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updateLinks="never" codeName="DieseArbeitsmappe" defaultThemeVersion="124226"/>
  <workbookProtection workbookAlgorithmName="SHA-512" workbookHashValue="lH1pcJwRbbw5/ALEoYL0lZAuDMLFN5nGUphryTpXL1N8Udsze9tIERj/OAsWBQKPMo/SzOoS1kmsvIIYj+pdVA==" workbookSaltValue="JI6S2s47AUT+Hh05Kep/XQ==" workbookSpinCount="100000" lockStructure="1"/>
  <bookViews>
    <workbookView xWindow="-120" yWindow="-120" windowWidth="29040" windowHeight="15840" tabRatio="794"/>
  </bookViews>
  <sheets>
    <sheet name="Basisdaten" sheetId="1" r:id="rId1"/>
    <sheet name="HilfstabelleSD" sheetId="8" state="hidden" r:id="rId2"/>
    <sheet name="HilfstabelleB" sheetId="24" state="hidden" r:id="rId3"/>
    <sheet name="Datenquelle" sheetId="16" state="hidden" r:id="rId4"/>
    <sheet name="Kennzahlenbogen_(KB)" sheetId="18" r:id="rId5"/>
    <sheet name="Berechnung1" sheetId="11" state="hidden" r:id="rId6"/>
    <sheet name="HilfstabelleKB" sheetId="10" state="hidden" r:id="rId7"/>
    <sheet name="Datendefizite_KB" sheetId="3" r:id="rId8"/>
    <sheet name="Hilfstabelle Datendef KB" sheetId="27" state="hidden" r:id="rId9"/>
    <sheet name="Matrix" sheetId="4" r:id="rId10"/>
    <sheet name="Berechnung2" sheetId="12" state="hidden" r:id="rId11"/>
    <sheet name="Berechnung3" sheetId="25" state="hidden" r:id="rId12"/>
    <sheet name="Datendefizite_Matrix" sheetId="5" r:id="rId13"/>
    <sheet name="HilfstabelleM" sheetId="22" state="hidden" r:id="rId14"/>
    <sheet name="HilfstabelleDM" sheetId="26" state="hidden" r:id="rId15"/>
  </sheets>
  <definedNames>
    <definedName name="_xlnm._FilterDatabase" localSheetId="10" hidden="1">Berechnung2!#REF!</definedName>
    <definedName name="_xlnm._FilterDatabase" localSheetId="3" hidden="1">Datenquelle!$A$101:$J$179</definedName>
    <definedName name="_xlnm.Print_Area" localSheetId="0">Basisdaten!$B$1:$R$55</definedName>
    <definedName name="_xlnm.Print_Area" localSheetId="7">OFFSET(Datendefizite_KB!$A$1,0,0,SUMPRODUCT((Datendefizite_KB!$A$14:$A$34&lt;&gt;"")+0)+13,11)</definedName>
    <definedName name="_xlnm.Print_Area" localSheetId="12">Datendefizite_Matrix!$A$1:$G$25</definedName>
    <definedName name="_xlnm.Print_Area" localSheetId="4">'Kennzahlenbogen_(KB)'!$A$1:$R$87</definedName>
    <definedName name="_xlnm.Print_Area" localSheetId="9">Matrix!$A$1:$AB$48</definedName>
    <definedName name="_xlnm.Print_Area">'Kennzahlenbogen_(KB)'!$A$1:$R$85</definedName>
    <definedName name="_xlnm.Print_Titles" localSheetId="0">Basisdaten!$1:$5</definedName>
    <definedName name="_xlnm.Print_Titles" localSheetId="7">Datendefizite_KB!$12:$13</definedName>
    <definedName name="_xlnm.Print_Titles" localSheetId="12">Datendefizite_Matrix!$15:$16</definedName>
    <definedName name="_xlnm.Print_Titles" localSheetId="8">'Hilfstabelle Datendef KB'!$1:$1</definedName>
    <definedName name="_xlnm.Print_Titles" localSheetId="4">'Kennzahlenbogen_(KB)'!$10:$11</definedName>
    <definedName name="Keine_Zusammenarbeit">Datenquelle!$B$92</definedName>
    <definedName name="KlinischesKrebsregister">Basisdaten!$I$24</definedName>
    <definedName name="KrebsregisterZusammenarbeit">Datenquelle!$B$91:$B$95</definedName>
    <definedName name="myCategory">Datenquelle!$A$67:$S$67</definedName>
    <definedName name="myItem">OFFSET(myItemList,0,0,COUNTA(myItemList),1)</definedName>
    <definedName name="myItemList">INDEX(Datenquelle!$A$68:$S$88,0,MATCH(Datenquelle!$F$99,Datenquelle!$A$67:$S$67,0))</definedName>
    <definedName name="Tumordokumentation">Datenquelle!$B$1:$B$45</definedName>
    <definedName name="Z_AD479C9E_06F7_4C03_8179_295428B49475_.wvu.PrintArea" localSheetId="0" hidden="1">Basisdaten!$A$1:$J$46</definedName>
    <definedName name="Z_AD479C9E_06F7_4C03_8179_295428B49475_.wvu.PrintTitles" localSheetId="7" hidden="1">Datendefizite_KB!$12:$13</definedName>
    <definedName name="Z_AD479C9E_06F7_4C03_8179_295428B49475_.wvu.PrintTitles" localSheetId="12" hidden="1">Datendefizite_Matrix!$15:$16</definedName>
    <definedName name="Z_AD479C9E_06F7_4C03_8179_295428B49475_.wvu.PrintTitles" localSheetId="8" hidden="1">'Hilfstabelle Datendef KB'!$1:$1</definedName>
    <definedName name="Z_AD479C9E_06F7_4C03_8179_295428B49475_.wvu.PrintTitles" localSheetId="4" hidden="1">'Kennzahlenbogen_(KB)'!$10:$11</definedName>
    <definedName name="Z_DAA0C1F4_4D8F_4BD8_91F9_40281B589772_.wvu.PrintArea" localSheetId="0" hidden="1">Basisdaten!$A$1:$J$46</definedName>
    <definedName name="Z_DAA0C1F4_4D8F_4BD8_91F9_40281B589772_.wvu.PrintTitles" localSheetId="7" hidden="1">Datendefizite_KB!$12:$13</definedName>
    <definedName name="Z_DAA0C1F4_4D8F_4BD8_91F9_40281B589772_.wvu.PrintTitles" localSheetId="12" hidden="1">Datendefizite_Matrix!$15:$16</definedName>
    <definedName name="Z_DAA0C1F4_4D8F_4BD8_91F9_40281B589772_.wvu.PrintTitles" localSheetId="8" hidden="1">'Hilfstabelle Datendef KB'!$1:$1</definedName>
    <definedName name="Z_DAA0C1F4_4D8F_4BD8_91F9_40281B589772_.wvu.PrintTitles" localSheetId="4" hidden="1">'Kennzahlenbogen_(KB)'!$10:$11</definedName>
    <definedName name="Z_DAA0C1F4_4D8F_4BD8_91F9_40281B589772_.wvu.Rows" localSheetId="5" hidden="1">Berechnung1!#REF!</definedName>
    <definedName name="ZentrumRegNr">Datenquelle!$A$102:$A$179</definedName>
  </definedNames>
  <calcPr calcId="145621"/>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 i="22" l="1"/>
  <c r="B8" i="22"/>
  <c r="B7" i="22"/>
  <c r="B6" i="22"/>
  <c r="B8" i="25"/>
  <c r="B7" i="25"/>
  <c r="B6" i="25"/>
  <c r="B5" i="25"/>
  <c r="B4" i="25"/>
  <c r="B3" i="25"/>
  <c r="B2" i="25"/>
  <c r="O95" i="11"/>
  <c r="O92" i="11"/>
  <c r="G15" i="10" l="1"/>
  <c r="F15" i="10"/>
  <c r="U22" i="18"/>
  <c r="O44" i="11"/>
  <c r="H15" i="10" s="1"/>
  <c r="V21" i="4" l="1"/>
  <c r="L1" i="22" l="1"/>
  <c r="L2" i="22"/>
  <c r="L3" i="22"/>
  <c r="L4" i="22"/>
  <c r="L5" i="22"/>
  <c r="L6" i="22"/>
  <c r="L7" i="22"/>
  <c r="F25" i="4" l="1"/>
  <c r="G25" i="4"/>
  <c r="H25" i="4"/>
  <c r="I25" i="4"/>
  <c r="J25" i="4"/>
  <c r="K25" i="4"/>
  <c r="L25" i="4"/>
  <c r="M25" i="4"/>
  <c r="L8" i="22" s="1"/>
  <c r="N25" i="4"/>
  <c r="O25" i="4"/>
  <c r="P25" i="4"/>
  <c r="Q25" i="4"/>
  <c r="R25" i="4"/>
  <c r="E25" i="4"/>
  <c r="P37" i="1" l="1"/>
  <c r="B3" i="22" l="1"/>
  <c r="D3" i="22"/>
  <c r="E3" i="22"/>
  <c r="F3" i="22"/>
  <c r="G3" i="22"/>
  <c r="H3" i="22"/>
  <c r="I3" i="22"/>
  <c r="J3" i="22"/>
  <c r="K3" i="22"/>
  <c r="M3" i="22"/>
  <c r="N3" i="22"/>
  <c r="O3" i="22"/>
  <c r="P3" i="22"/>
  <c r="Q3" i="22"/>
  <c r="R3" i="22"/>
  <c r="S3" i="22"/>
  <c r="U3" i="22"/>
  <c r="V3" i="22"/>
  <c r="W3" i="22"/>
  <c r="B4" i="22"/>
  <c r="D4" i="22"/>
  <c r="E4" i="22"/>
  <c r="F4" i="22"/>
  <c r="G4" i="22"/>
  <c r="H4" i="22"/>
  <c r="I4" i="22"/>
  <c r="J4" i="22"/>
  <c r="K4" i="22"/>
  <c r="M4" i="22"/>
  <c r="N4" i="22"/>
  <c r="O4" i="22"/>
  <c r="P4" i="22"/>
  <c r="Q4" i="22"/>
  <c r="R4" i="22"/>
  <c r="S4" i="22"/>
  <c r="U4" i="22"/>
  <c r="V4" i="22"/>
  <c r="W4" i="22"/>
  <c r="B5" i="22"/>
  <c r="D5" i="22"/>
  <c r="E5" i="22"/>
  <c r="F5" i="22"/>
  <c r="G5" i="22"/>
  <c r="H5" i="22"/>
  <c r="I5" i="22"/>
  <c r="J5" i="22"/>
  <c r="K5" i="22"/>
  <c r="M5" i="22"/>
  <c r="N5" i="22"/>
  <c r="O5" i="22"/>
  <c r="P5" i="22"/>
  <c r="Q5" i="22"/>
  <c r="R5" i="22"/>
  <c r="S5" i="22"/>
  <c r="U5" i="22"/>
  <c r="V5" i="22"/>
  <c r="W5" i="22"/>
  <c r="D6" i="22"/>
  <c r="E6" i="22"/>
  <c r="F6" i="22"/>
  <c r="G6" i="22"/>
  <c r="H6" i="22"/>
  <c r="I6" i="22"/>
  <c r="J6" i="22"/>
  <c r="K6" i="22"/>
  <c r="M6" i="22"/>
  <c r="N6" i="22"/>
  <c r="O6" i="22"/>
  <c r="P6" i="22"/>
  <c r="Q6" i="22"/>
  <c r="R6" i="22"/>
  <c r="S6" i="22"/>
  <c r="U6" i="22"/>
  <c r="V6" i="22"/>
  <c r="W6" i="22"/>
  <c r="D7" i="22"/>
  <c r="E7" i="22"/>
  <c r="F7" i="22"/>
  <c r="G7" i="22"/>
  <c r="H7" i="22"/>
  <c r="I7" i="22"/>
  <c r="J7" i="22"/>
  <c r="K7" i="22"/>
  <c r="M7" i="22"/>
  <c r="N7" i="22"/>
  <c r="O7" i="22"/>
  <c r="P7" i="22"/>
  <c r="Q7" i="22"/>
  <c r="R7" i="22"/>
  <c r="S7" i="22"/>
  <c r="T7" i="22"/>
  <c r="U7" i="22"/>
  <c r="V7" i="22"/>
  <c r="W7" i="22"/>
  <c r="D8" i="22"/>
  <c r="E8" i="22"/>
  <c r="F8" i="22"/>
  <c r="G8" i="22"/>
  <c r="H8" i="22"/>
  <c r="I8" i="22"/>
  <c r="J8" i="22"/>
  <c r="K8" i="22"/>
  <c r="M8" i="22"/>
  <c r="N8" i="22"/>
  <c r="O8" i="22"/>
  <c r="P8" i="22"/>
  <c r="Q8" i="22"/>
  <c r="R8" i="22"/>
  <c r="S8" i="22"/>
  <c r="T8" i="22"/>
  <c r="U8" i="22"/>
  <c r="V8" i="22"/>
  <c r="W8" i="22"/>
  <c r="D25" i="4"/>
  <c r="C8" i="22" s="1"/>
  <c r="G27" i="10" l="1"/>
  <c r="G28" i="10"/>
  <c r="G29" i="10"/>
  <c r="G30" i="10"/>
  <c r="G31" i="10"/>
  <c r="G32" i="10"/>
  <c r="F32" i="10"/>
  <c r="F31" i="10"/>
  <c r="F30" i="10"/>
  <c r="F29" i="10"/>
  <c r="C30" i="10"/>
  <c r="C29" i="10"/>
  <c r="B32" i="10"/>
  <c r="B31" i="10"/>
  <c r="B30" i="10"/>
  <c r="B29" i="10"/>
  <c r="M93" i="11"/>
  <c r="M94" i="11"/>
  <c r="O89" i="11"/>
  <c r="H30" i="10" s="1"/>
  <c r="H32" i="10"/>
  <c r="H31" i="10"/>
  <c r="O86" i="11"/>
  <c r="H29" i="10" s="1"/>
  <c r="Q74" i="18"/>
  <c r="R72" i="18" s="1"/>
  <c r="Q71" i="18"/>
  <c r="R69" i="18" s="1"/>
  <c r="Q68" i="18"/>
  <c r="Q65" i="18"/>
  <c r="D32" i="10" l="1"/>
  <c r="D31" i="10"/>
  <c r="D30" i="10"/>
  <c r="R66" i="18"/>
  <c r="D29" i="10"/>
  <c r="R63" i="18"/>
  <c r="L92" i="11"/>
  <c r="L86" i="11"/>
  <c r="L89" i="11"/>
  <c r="L95" i="11"/>
  <c r="M89" i="11" l="1"/>
  <c r="N89" i="11" s="1"/>
  <c r="E30" i="10" s="1"/>
  <c r="A20" i="27"/>
  <c r="M86" i="11"/>
  <c r="N86" i="11" s="1"/>
  <c r="E29" i="10" s="1"/>
  <c r="A19" i="27"/>
  <c r="F1" i="22"/>
  <c r="G1" i="22"/>
  <c r="H1" i="22"/>
  <c r="I1" i="22"/>
  <c r="J1" i="22"/>
  <c r="K1" i="22"/>
  <c r="M1" i="22"/>
  <c r="E1" i="22"/>
  <c r="D1" i="22"/>
  <c r="D20" i="27" l="1"/>
  <c r="M20" i="27"/>
  <c r="G20" i="27"/>
  <c r="K20" i="27"/>
  <c r="I20" i="27"/>
  <c r="F20" i="27"/>
  <c r="J20" i="27"/>
  <c r="C20" i="27"/>
  <c r="E20" i="27"/>
  <c r="H20" i="27"/>
  <c r="L20" i="27"/>
  <c r="D19" i="27"/>
  <c r="M19" i="27"/>
  <c r="K19" i="27"/>
  <c r="I19" i="27"/>
  <c r="F19" i="27"/>
  <c r="C19" i="27"/>
  <c r="G19" i="27"/>
  <c r="L19" i="27"/>
  <c r="J19" i="27"/>
  <c r="E19" i="27"/>
  <c r="H19" i="27"/>
  <c r="V20" i="4"/>
  <c r="T3" i="22" s="1"/>
  <c r="T4" i="22" l="1"/>
  <c r="V23" i="4"/>
  <c r="T6" i="22" l="1"/>
  <c r="Q49" i="18"/>
  <c r="B2" i="4" l="1"/>
  <c r="B2" i="18"/>
  <c r="P13" i="24"/>
  <c r="P12" i="24"/>
  <c r="N2" i="24"/>
  <c r="O2" i="24"/>
  <c r="N3" i="24"/>
  <c r="O3" i="24"/>
  <c r="N4" i="24"/>
  <c r="O4" i="24"/>
  <c r="N5" i="24"/>
  <c r="O5" i="24"/>
  <c r="N6" i="24"/>
  <c r="O6" i="24"/>
  <c r="N7" i="24"/>
  <c r="O7" i="24"/>
  <c r="N8" i="24"/>
  <c r="O8" i="24"/>
  <c r="C2" i="24"/>
  <c r="D2" i="24"/>
  <c r="E2" i="24"/>
  <c r="F2" i="24"/>
  <c r="G2" i="24"/>
  <c r="H2" i="24"/>
  <c r="I2" i="24"/>
  <c r="J2" i="24"/>
  <c r="K2" i="24"/>
  <c r="L2" i="24"/>
  <c r="M2" i="24"/>
  <c r="C3" i="24"/>
  <c r="D3" i="24"/>
  <c r="E3" i="24"/>
  <c r="F3" i="24"/>
  <c r="G3" i="24"/>
  <c r="H3" i="24"/>
  <c r="I3" i="24"/>
  <c r="J3" i="24"/>
  <c r="K3" i="24"/>
  <c r="L3" i="24"/>
  <c r="M3" i="24"/>
  <c r="C4" i="24"/>
  <c r="D4" i="24"/>
  <c r="E4" i="24"/>
  <c r="F4" i="24"/>
  <c r="G4" i="24"/>
  <c r="H4" i="24"/>
  <c r="I4" i="24"/>
  <c r="J4" i="24"/>
  <c r="K4" i="24"/>
  <c r="L4" i="24"/>
  <c r="M4" i="24"/>
  <c r="C5" i="24"/>
  <c r="D5" i="24"/>
  <c r="E5" i="24"/>
  <c r="F5" i="24"/>
  <c r="G5" i="24"/>
  <c r="H5" i="24"/>
  <c r="I5" i="24"/>
  <c r="J5" i="24"/>
  <c r="K5" i="24"/>
  <c r="L5" i="24"/>
  <c r="M5" i="24"/>
  <c r="C6" i="24"/>
  <c r="D6" i="24"/>
  <c r="E6" i="24"/>
  <c r="F6" i="24"/>
  <c r="G6" i="24"/>
  <c r="H6" i="24"/>
  <c r="I6" i="24"/>
  <c r="J6" i="24"/>
  <c r="K6" i="24"/>
  <c r="L6" i="24"/>
  <c r="M6" i="24"/>
  <c r="C7" i="24"/>
  <c r="D7" i="24"/>
  <c r="E7" i="24"/>
  <c r="F7" i="24"/>
  <c r="G7" i="24"/>
  <c r="H7" i="24"/>
  <c r="I7" i="24"/>
  <c r="J7" i="24"/>
  <c r="K7" i="24"/>
  <c r="L7" i="24"/>
  <c r="M7" i="24"/>
  <c r="C8" i="24"/>
  <c r="D8" i="24"/>
  <c r="E8" i="24"/>
  <c r="F8" i="24"/>
  <c r="G8" i="24"/>
  <c r="H8" i="24"/>
  <c r="I8" i="24"/>
  <c r="J8" i="24"/>
  <c r="K8" i="24"/>
  <c r="L8" i="24"/>
  <c r="M8" i="24"/>
  <c r="B3" i="24"/>
  <c r="B4" i="24"/>
  <c r="B5" i="24"/>
  <c r="B6" i="24"/>
  <c r="B7" i="24"/>
  <c r="B8" i="24"/>
  <c r="B2" i="24"/>
  <c r="N37" i="1"/>
  <c r="L9" i="24" s="1"/>
  <c r="N38" i="1"/>
  <c r="L10" i="24" s="1"/>
  <c r="N39" i="1"/>
  <c r="L11" i="24" s="1"/>
  <c r="D39" i="1" l="1"/>
  <c r="B11" i="24" s="1"/>
  <c r="D38" i="1"/>
  <c r="B10" i="24" s="1"/>
  <c r="D37" i="1"/>
  <c r="G39" i="1"/>
  <c r="E11" i="24" s="1"/>
  <c r="E39" i="1"/>
  <c r="C11" i="24" s="1"/>
  <c r="B9" i="24" l="1"/>
  <c r="F39" i="1"/>
  <c r="H39" i="1"/>
  <c r="F11" i="24" s="1"/>
  <c r="I39" i="1"/>
  <c r="G11" i="24" s="1"/>
  <c r="J39" i="1"/>
  <c r="H11" i="24" s="1"/>
  <c r="K39" i="1"/>
  <c r="I11" i="24" s="1"/>
  <c r="L39" i="1"/>
  <c r="J11" i="24" s="1"/>
  <c r="M39" i="1"/>
  <c r="K11" i="24" s="1"/>
  <c r="O39" i="1"/>
  <c r="M11" i="24" s="1"/>
  <c r="P39" i="1"/>
  <c r="N11" i="24" s="1"/>
  <c r="Q39" i="1"/>
  <c r="O11" i="24" s="1"/>
  <c r="R39" i="1" l="1"/>
  <c r="P11" i="24" s="1"/>
  <c r="D11" i="24"/>
  <c r="C74" i="4"/>
  <c r="C75" i="4"/>
  <c r="C76" i="4"/>
  <c r="C77" i="4"/>
  <c r="C78" i="4"/>
  <c r="L38" i="1" l="1"/>
  <c r="J10" i="24" s="1"/>
  <c r="L37" i="1"/>
  <c r="J9" i="24" s="1"/>
  <c r="E38" i="1" l="1"/>
  <c r="C10" i="24" s="1"/>
  <c r="F38" i="1"/>
  <c r="D10" i="24" s="1"/>
  <c r="G38" i="1"/>
  <c r="E10" i="24" s="1"/>
  <c r="H38" i="1"/>
  <c r="F10" i="24" s="1"/>
  <c r="I38" i="1"/>
  <c r="G10" i="24" s="1"/>
  <c r="J38" i="1"/>
  <c r="H10" i="24" s="1"/>
  <c r="K38" i="1"/>
  <c r="I10" i="24" s="1"/>
  <c r="M38" i="1"/>
  <c r="K10" i="24" s="1"/>
  <c r="O38" i="1"/>
  <c r="M10" i="24" s="1"/>
  <c r="P38" i="1"/>
  <c r="N10" i="24" s="1"/>
  <c r="Q38" i="1"/>
  <c r="O10" i="24" s="1"/>
  <c r="Q37" i="1"/>
  <c r="O9" i="24" s="1"/>
  <c r="E37" i="1"/>
  <c r="F37" i="1"/>
  <c r="D9" i="24" s="1"/>
  <c r="G37" i="1"/>
  <c r="E9" i="24" s="1"/>
  <c r="H37" i="1"/>
  <c r="F9" i="24" s="1"/>
  <c r="I37" i="1"/>
  <c r="J37" i="1"/>
  <c r="H9" i="24" s="1"/>
  <c r="K37" i="1"/>
  <c r="I9" i="24" s="1"/>
  <c r="M37" i="1"/>
  <c r="O37" i="1"/>
  <c r="M9" i="24" s="1"/>
  <c r="N9" i="24"/>
  <c r="R36" i="1"/>
  <c r="P8" i="24" s="1"/>
  <c r="R35" i="1"/>
  <c r="P7" i="24" s="1"/>
  <c r="R34" i="1"/>
  <c r="Q21" i="18" s="1"/>
  <c r="R33" i="1"/>
  <c r="P5" i="24" s="1"/>
  <c r="R32" i="1"/>
  <c r="P4" i="24" s="1"/>
  <c r="R31" i="1"/>
  <c r="P3" i="24" s="1"/>
  <c r="R30" i="1"/>
  <c r="P2" i="24" s="1"/>
  <c r="B15" i="10" l="1"/>
  <c r="R21" i="18"/>
  <c r="L44" i="11"/>
  <c r="U38" i="18"/>
  <c r="K9" i="24"/>
  <c r="U73" i="18"/>
  <c r="Q73" i="18" s="1"/>
  <c r="G9" i="24"/>
  <c r="U70" i="18"/>
  <c r="Q70" i="18" s="1"/>
  <c r="P6" i="24"/>
  <c r="U25" i="18"/>
  <c r="Q25" i="18" s="1"/>
  <c r="U31" i="18"/>
  <c r="C9" i="24"/>
  <c r="R37" i="1"/>
  <c r="R38" i="1"/>
  <c r="P10" i="24" s="1"/>
  <c r="U37" i="18"/>
  <c r="M92" i="11" l="1"/>
  <c r="A21" i="27"/>
  <c r="M95" i="11"/>
  <c r="A22" i="27"/>
  <c r="A5" i="27"/>
  <c r="M44" i="11"/>
  <c r="N44" i="11" s="1"/>
  <c r="E15" i="10" s="1"/>
  <c r="C32" i="10"/>
  <c r="C31" i="10"/>
  <c r="P9" i="24"/>
  <c r="D45" i="1"/>
  <c r="P14" i="24" s="1"/>
  <c r="Q15" i="18"/>
  <c r="J21" i="27" l="1"/>
  <c r="F21" i="27"/>
  <c r="I21" i="27"/>
  <c r="C21" i="27"/>
  <c r="E21" i="27"/>
  <c r="D21" i="27"/>
  <c r="K21" i="27"/>
  <c r="G21" i="27"/>
  <c r="L21" i="27"/>
  <c r="M21" i="27"/>
  <c r="H21" i="27"/>
  <c r="J22" i="27"/>
  <c r="D22" i="27"/>
  <c r="E22" i="27"/>
  <c r="F22" i="27"/>
  <c r="G22" i="27"/>
  <c r="I22" i="27"/>
  <c r="C22" i="27"/>
  <c r="L22" i="27"/>
  <c r="K22" i="27"/>
  <c r="H22" i="27"/>
  <c r="M22" i="27"/>
  <c r="C5" i="27"/>
  <c r="E5" i="27"/>
  <c r="D5" i="27"/>
  <c r="H5" i="27"/>
  <c r="M5" i="27"/>
  <c r="F5" i="27"/>
  <c r="L5" i="27"/>
  <c r="G5" i="27"/>
  <c r="J5" i="27"/>
  <c r="I5" i="27"/>
  <c r="K5" i="27"/>
  <c r="N95" i="11"/>
  <c r="E32" i="10" s="1"/>
  <c r="N92" i="11"/>
  <c r="E31" i="10" s="1"/>
  <c r="Q31" i="18"/>
  <c r="Q34" i="18" s="1"/>
  <c r="R45" i="18"/>
  <c r="R42" i="18"/>
  <c r="C6" i="8" l="1"/>
  <c r="Q62" i="18"/>
  <c r="A1" i="22"/>
  <c r="B1" i="22"/>
  <c r="C1" i="22"/>
  <c r="P1" i="22"/>
  <c r="Q1" i="22"/>
  <c r="S1" i="22"/>
  <c r="T1" i="22"/>
  <c r="U1" i="22"/>
  <c r="V1" i="22"/>
  <c r="W1" i="22"/>
  <c r="B2" i="22"/>
  <c r="D2" i="22"/>
  <c r="E2" i="22"/>
  <c r="F2" i="22"/>
  <c r="G2" i="22"/>
  <c r="H2" i="22"/>
  <c r="I2" i="22"/>
  <c r="J2" i="22"/>
  <c r="K2" i="22"/>
  <c r="M2" i="22"/>
  <c r="N2" i="22"/>
  <c r="O2" i="22"/>
  <c r="P2" i="22"/>
  <c r="Q2" i="22"/>
  <c r="R2" i="22"/>
  <c r="S2" i="22"/>
  <c r="U2" i="22"/>
  <c r="V2" i="22"/>
  <c r="W2" i="22"/>
  <c r="B1" i="8"/>
  <c r="B2" i="8"/>
  <c r="B6" i="8"/>
  <c r="D6" i="8"/>
  <c r="G44" i="12"/>
  <c r="J44" i="12"/>
  <c r="G45" i="12"/>
  <c r="J45" i="12"/>
  <c r="G46" i="12"/>
  <c r="J46" i="12"/>
  <c r="G47" i="12"/>
  <c r="J47" i="12"/>
  <c r="G48" i="12"/>
  <c r="J48" i="12"/>
  <c r="G49" i="12"/>
  <c r="J49" i="12"/>
  <c r="G50" i="12"/>
  <c r="J50" i="12"/>
  <c r="G51" i="12"/>
  <c r="J51" i="12"/>
  <c r="J54" i="12"/>
  <c r="X74" i="4" s="1"/>
  <c r="J55" i="12"/>
  <c r="X75" i="4" s="1"/>
  <c r="J56" i="12"/>
  <c r="X76" i="4" s="1"/>
  <c r="J57" i="12"/>
  <c r="X77" i="4" s="1"/>
  <c r="J58" i="12"/>
  <c r="X78" i="4" s="1"/>
  <c r="A99" i="16"/>
  <c r="F99" i="16" s="1"/>
  <c r="B21" i="1" s="1"/>
  <c r="A6" i="8" s="1"/>
  <c r="C8" i="5"/>
  <c r="G8" i="5"/>
  <c r="C8" i="4"/>
  <c r="X8" i="4"/>
  <c r="D19" i="4"/>
  <c r="C2" i="22" s="1"/>
  <c r="V19" i="4"/>
  <c r="T2" i="22" s="1"/>
  <c r="D20" i="4"/>
  <c r="D21" i="4"/>
  <c r="D22" i="4"/>
  <c r="V22" i="4"/>
  <c r="D23" i="4"/>
  <c r="AC59" i="4"/>
  <c r="AC60" i="4"/>
  <c r="AC61" i="4"/>
  <c r="B62" i="4"/>
  <c r="C62" i="4"/>
  <c r="D62" i="4"/>
  <c r="S62" i="4"/>
  <c r="T62" i="4"/>
  <c r="V62" i="4"/>
  <c r="W62" i="4"/>
  <c r="X62" i="4"/>
  <c r="Y62" i="4"/>
  <c r="Z62" i="4"/>
  <c r="AA62" i="4"/>
  <c r="AB62" i="4"/>
  <c r="AC62" i="4"/>
  <c r="AD62" i="4"/>
  <c r="B63" i="4"/>
  <c r="C63" i="4"/>
  <c r="D63" i="4"/>
  <c r="S63" i="4"/>
  <c r="T63" i="4"/>
  <c r="V63" i="4"/>
  <c r="W63" i="4"/>
  <c r="X63" i="4"/>
  <c r="Y63" i="4"/>
  <c r="Z63" i="4"/>
  <c r="AA63" i="4"/>
  <c r="AB63" i="4"/>
  <c r="AC63" i="4"/>
  <c r="AD63" i="4"/>
  <c r="B64" i="4"/>
  <c r="C64" i="4"/>
  <c r="D64" i="4"/>
  <c r="S64" i="4"/>
  <c r="T64" i="4"/>
  <c r="V64" i="4"/>
  <c r="W64" i="4"/>
  <c r="X64" i="4"/>
  <c r="Y64" i="4"/>
  <c r="Z64" i="4"/>
  <c r="AA64" i="4"/>
  <c r="AB64" i="4"/>
  <c r="AC64" i="4"/>
  <c r="AD64" i="4"/>
  <c r="B65" i="4"/>
  <c r="C65" i="4"/>
  <c r="D65" i="4"/>
  <c r="S65" i="4"/>
  <c r="T65" i="4"/>
  <c r="V65" i="4"/>
  <c r="W65" i="4"/>
  <c r="X65" i="4"/>
  <c r="Y65" i="4"/>
  <c r="Z65" i="4"/>
  <c r="AA65" i="4"/>
  <c r="AB65" i="4"/>
  <c r="AC65" i="4"/>
  <c r="AD65" i="4"/>
  <c r="B66" i="4"/>
  <c r="C66" i="4"/>
  <c r="D66" i="4"/>
  <c r="S66" i="4"/>
  <c r="T66" i="4"/>
  <c r="V66" i="4"/>
  <c r="W66" i="4"/>
  <c r="X66" i="4"/>
  <c r="Y66" i="4"/>
  <c r="Z66" i="4"/>
  <c r="AA66" i="4"/>
  <c r="AB66" i="4"/>
  <c r="AC66" i="4"/>
  <c r="AD66" i="4"/>
  <c r="B67" i="4"/>
  <c r="C67" i="4"/>
  <c r="D67" i="4"/>
  <c r="S67" i="4"/>
  <c r="T67" i="4"/>
  <c r="V67" i="4"/>
  <c r="W67" i="4"/>
  <c r="X67" i="4"/>
  <c r="Y67" i="4"/>
  <c r="Z67" i="4"/>
  <c r="AA67" i="4"/>
  <c r="AB67" i="4"/>
  <c r="AC67" i="4"/>
  <c r="AD67" i="4"/>
  <c r="B68" i="4"/>
  <c r="C68" i="4"/>
  <c r="D68" i="4"/>
  <c r="S68" i="4"/>
  <c r="T68" i="4"/>
  <c r="V68" i="4"/>
  <c r="W68" i="4"/>
  <c r="X68" i="4"/>
  <c r="Y68" i="4"/>
  <c r="Z68" i="4"/>
  <c r="AA68" i="4"/>
  <c r="AB68" i="4"/>
  <c r="AC68" i="4"/>
  <c r="AD68" i="4"/>
  <c r="B69" i="4"/>
  <c r="C69" i="4"/>
  <c r="D69" i="4"/>
  <c r="S69" i="4"/>
  <c r="T69" i="4"/>
  <c r="V69" i="4"/>
  <c r="W69" i="4"/>
  <c r="X69" i="4"/>
  <c r="Y69" i="4"/>
  <c r="Z69" i="4"/>
  <c r="AA69" i="4"/>
  <c r="AB69" i="4"/>
  <c r="AC69" i="4"/>
  <c r="AD69" i="4"/>
  <c r="B70" i="4"/>
  <c r="C70" i="4"/>
  <c r="D70" i="4"/>
  <c r="S70" i="4"/>
  <c r="T70" i="4"/>
  <c r="V70" i="4"/>
  <c r="W70" i="4"/>
  <c r="X70" i="4"/>
  <c r="Y70" i="4"/>
  <c r="Z70" i="4"/>
  <c r="AA70" i="4"/>
  <c r="AB70" i="4"/>
  <c r="AC70" i="4"/>
  <c r="AD70" i="4"/>
  <c r="B71" i="4"/>
  <c r="C71" i="4"/>
  <c r="D71" i="4"/>
  <c r="S71" i="4"/>
  <c r="T71" i="4"/>
  <c r="V71" i="4"/>
  <c r="W71" i="4"/>
  <c r="X71" i="4"/>
  <c r="Y71" i="4"/>
  <c r="Z71" i="4"/>
  <c r="AA71" i="4"/>
  <c r="AB71" i="4"/>
  <c r="AC71" i="4"/>
  <c r="AD71" i="4"/>
  <c r="B72" i="4"/>
  <c r="C72" i="4"/>
  <c r="D72" i="4"/>
  <c r="S72" i="4"/>
  <c r="T72" i="4"/>
  <c r="V72" i="4"/>
  <c r="W72" i="4"/>
  <c r="X72" i="4"/>
  <c r="Y72" i="4"/>
  <c r="Z72" i="4"/>
  <c r="AA72" i="4"/>
  <c r="AB72" i="4"/>
  <c r="AC72" i="4"/>
  <c r="AD72" i="4"/>
  <c r="B73" i="4"/>
  <c r="C73" i="4"/>
  <c r="D73" i="4"/>
  <c r="S73" i="4"/>
  <c r="T73" i="4"/>
  <c r="V73" i="4"/>
  <c r="W73" i="4"/>
  <c r="X73" i="4"/>
  <c r="Y73" i="4"/>
  <c r="Z73" i="4"/>
  <c r="AA73" i="4"/>
  <c r="AB73" i="4"/>
  <c r="AC73" i="4"/>
  <c r="AD73" i="4"/>
  <c r="B74" i="4"/>
  <c r="D74" i="4"/>
  <c r="E74" i="4"/>
  <c r="S74" i="4"/>
  <c r="T74" i="4"/>
  <c r="V74" i="4"/>
  <c r="W74" i="4"/>
  <c r="Y74" i="4"/>
  <c r="Z74" i="4"/>
  <c r="AA74" i="4"/>
  <c r="AB74" i="4"/>
  <c r="AC74" i="4"/>
  <c r="AD74" i="4"/>
  <c r="B75" i="4"/>
  <c r="D75" i="4"/>
  <c r="E75" i="4"/>
  <c r="S75" i="4"/>
  <c r="T75" i="4"/>
  <c r="V75" i="4"/>
  <c r="W75" i="4"/>
  <c r="Y75" i="4"/>
  <c r="Z75" i="4"/>
  <c r="AA75" i="4"/>
  <c r="AB75" i="4"/>
  <c r="AC75" i="4"/>
  <c r="AD75" i="4"/>
  <c r="B76" i="4"/>
  <c r="D76" i="4"/>
  <c r="E76" i="4"/>
  <c r="S76" i="4"/>
  <c r="T76" i="4"/>
  <c r="V76" i="4"/>
  <c r="W76" i="4"/>
  <c r="Y76" i="4"/>
  <c r="Z76" i="4"/>
  <c r="AA76" i="4"/>
  <c r="AB76" i="4"/>
  <c r="AC76" i="4"/>
  <c r="AD76" i="4"/>
  <c r="B77" i="4"/>
  <c r="D77" i="4"/>
  <c r="E77" i="4"/>
  <c r="S77" i="4"/>
  <c r="T77" i="4"/>
  <c r="V77" i="4"/>
  <c r="W77" i="4"/>
  <c r="Y77" i="4"/>
  <c r="Z77" i="4"/>
  <c r="AA77" i="4"/>
  <c r="AB77" i="4"/>
  <c r="AC77" i="4"/>
  <c r="AD77" i="4"/>
  <c r="B78" i="4"/>
  <c r="D78" i="4"/>
  <c r="E78" i="4"/>
  <c r="S78" i="4"/>
  <c r="T78" i="4"/>
  <c r="V78" i="4"/>
  <c r="W78" i="4"/>
  <c r="Y78" i="4"/>
  <c r="Z78" i="4"/>
  <c r="AA78" i="4"/>
  <c r="AB78" i="4"/>
  <c r="AC78" i="4"/>
  <c r="AD78" i="4"/>
  <c r="B79" i="4"/>
  <c r="C79" i="4"/>
  <c r="D79" i="4"/>
  <c r="E79" i="4"/>
  <c r="S79" i="4"/>
  <c r="T79" i="4"/>
  <c r="V79" i="4"/>
  <c r="W79" i="4"/>
  <c r="X79" i="4"/>
  <c r="Y79" i="4"/>
  <c r="Z79" i="4"/>
  <c r="AA79" i="4"/>
  <c r="AB79" i="4"/>
  <c r="AD79" i="4"/>
  <c r="B80" i="4"/>
  <c r="C80" i="4"/>
  <c r="D80" i="4"/>
  <c r="E80" i="4"/>
  <c r="S80" i="4"/>
  <c r="T80" i="4"/>
  <c r="V80" i="4"/>
  <c r="W80" i="4"/>
  <c r="X80" i="4"/>
  <c r="Y80" i="4"/>
  <c r="Z80" i="4"/>
  <c r="AA80" i="4"/>
  <c r="AB80" i="4"/>
  <c r="AD80" i="4"/>
  <c r="B81" i="4"/>
  <c r="C81" i="4"/>
  <c r="D81" i="4"/>
  <c r="E81" i="4"/>
  <c r="S81" i="4"/>
  <c r="T81" i="4"/>
  <c r="V81" i="4"/>
  <c r="W81" i="4"/>
  <c r="X81" i="4"/>
  <c r="Y81" i="4"/>
  <c r="Z81" i="4"/>
  <c r="AA81" i="4"/>
  <c r="AD81" i="4"/>
  <c r="C8" i="3"/>
  <c r="J8" i="3"/>
  <c r="B2" i="10"/>
  <c r="B3" i="10"/>
  <c r="F12" i="10"/>
  <c r="G12" i="10"/>
  <c r="F13" i="10"/>
  <c r="G13" i="10"/>
  <c r="F14" i="10"/>
  <c r="G14" i="10"/>
  <c r="B16" i="10"/>
  <c r="C16" i="10"/>
  <c r="F16" i="10"/>
  <c r="G16" i="10"/>
  <c r="B17" i="10"/>
  <c r="F17" i="10"/>
  <c r="G17" i="10"/>
  <c r="B18" i="10"/>
  <c r="F18" i="10"/>
  <c r="G18" i="10"/>
  <c r="B19" i="10"/>
  <c r="F19" i="10"/>
  <c r="G19" i="10"/>
  <c r="B20" i="10"/>
  <c r="F20" i="10"/>
  <c r="G20" i="10"/>
  <c r="B21" i="10"/>
  <c r="C21" i="10"/>
  <c r="F21" i="10"/>
  <c r="G21" i="10"/>
  <c r="B22" i="10"/>
  <c r="F22" i="10"/>
  <c r="G22" i="10"/>
  <c r="B23" i="10"/>
  <c r="F23" i="10"/>
  <c r="G23" i="10"/>
  <c r="B24" i="10"/>
  <c r="F24" i="10"/>
  <c r="G24" i="10"/>
  <c r="B25" i="10"/>
  <c r="F25" i="10"/>
  <c r="G25" i="10"/>
  <c r="B26" i="10"/>
  <c r="F26" i="10"/>
  <c r="G26" i="10"/>
  <c r="B27" i="10"/>
  <c r="C27" i="10"/>
  <c r="F27" i="10"/>
  <c r="B28" i="10"/>
  <c r="C28" i="10"/>
  <c r="F28" i="10"/>
  <c r="D25" i="11"/>
  <c r="D26" i="11"/>
  <c r="O35" i="11"/>
  <c r="H12" i="10" s="1"/>
  <c r="O38" i="11"/>
  <c r="H13" i="10" s="1"/>
  <c r="M39" i="11"/>
  <c r="M40" i="11"/>
  <c r="O41" i="11"/>
  <c r="H14" i="10" s="1"/>
  <c r="O47" i="11"/>
  <c r="H16" i="10" s="1"/>
  <c r="O50" i="11"/>
  <c r="H17" i="10" s="1"/>
  <c r="O53" i="11"/>
  <c r="H18" i="10" s="1"/>
  <c r="O56" i="11"/>
  <c r="H19" i="10" s="1"/>
  <c r="O59" i="11"/>
  <c r="H20" i="10" s="1"/>
  <c r="O62" i="11"/>
  <c r="H21" i="10" s="1"/>
  <c r="L65" i="11"/>
  <c r="O65" i="11"/>
  <c r="H22" i="10" s="1"/>
  <c r="L68" i="11"/>
  <c r="O68" i="11"/>
  <c r="H23" i="10" s="1"/>
  <c r="O71" i="11"/>
  <c r="H24" i="10" s="1"/>
  <c r="O74" i="11"/>
  <c r="H25" i="10" s="1"/>
  <c r="O77" i="11"/>
  <c r="H26" i="10" s="1"/>
  <c r="O80" i="11"/>
  <c r="H27" i="10" s="1"/>
  <c r="O83" i="11"/>
  <c r="H28" i="10" s="1"/>
  <c r="F8" i="18"/>
  <c r="K8" i="18"/>
  <c r="Q12" i="18"/>
  <c r="R12" i="18" s="1"/>
  <c r="Q18" i="18"/>
  <c r="R18" i="18" s="1"/>
  <c r="Q26" i="18"/>
  <c r="R24" i="18" s="1"/>
  <c r="Q28" i="18"/>
  <c r="C17" i="10" s="1"/>
  <c r="C20" i="10"/>
  <c r="Q38" i="18"/>
  <c r="Q41" i="18"/>
  <c r="R39" i="18" s="1"/>
  <c r="M65" i="11"/>
  <c r="N65" i="11" s="1"/>
  <c r="E22" i="10" s="1"/>
  <c r="A13" i="27"/>
  <c r="Q50" i="18"/>
  <c r="C25" i="10"/>
  <c r="Q55" i="18"/>
  <c r="C26" i="10" s="1"/>
  <c r="Q59" i="18"/>
  <c r="R57" i="18" s="1"/>
  <c r="D28" i="10" l="1"/>
  <c r="R60" i="18"/>
  <c r="C5" i="22"/>
  <c r="C4" i="22"/>
  <c r="C6" i="22"/>
  <c r="C3" i="22"/>
  <c r="T5" i="22"/>
  <c r="C13" i="27"/>
  <c r="H13" i="27"/>
  <c r="L83" i="11"/>
  <c r="B12" i="10"/>
  <c r="C19" i="10"/>
  <c r="R15" i="18"/>
  <c r="D20" i="10"/>
  <c r="R36" i="18"/>
  <c r="D24" i="10"/>
  <c r="R48" i="18"/>
  <c r="I13" i="27"/>
  <c r="G13" i="27"/>
  <c r="J99" i="16"/>
  <c r="C24" i="10"/>
  <c r="Q56" i="18"/>
  <c r="R54" i="18" s="1"/>
  <c r="A12" i="27"/>
  <c r="Q53" i="18"/>
  <c r="Q29" i="18"/>
  <c r="Q35" i="18"/>
  <c r="M80" i="11"/>
  <c r="N80" i="11" s="1"/>
  <c r="E27" i="10" s="1"/>
  <c r="A17" i="27"/>
  <c r="D27" i="10"/>
  <c r="L80" i="11"/>
  <c r="J13" i="27"/>
  <c r="I99" i="16"/>
  <c r="D24" i="4"/>
  <c r="A2" i="27"/>
  <c r="M35" i="11"/>
  <c r="N35" i="11" s="1"/>
  <c r="E12" i="10" s="1"/>
  <c r="L59" i="11"/>
  <c r="B14" i="10"/>
  <c r="L41" i="11"/>
  <c r="L62" i="11"/>
  <c r="D21" i="10"/>
  <c r="L35" i="11"/>
  <c r="D24" i="11"/>
  <c r="F13" i="27"/>
  <c r="D13" i="27"/>
  <c r="M13" i="27"/>
  <c r="K13" i="27"/>
  <c r="L47" i="11"/>
  <c r="D16" i="10"/>
  <c r="G99" i="16"/>
  <c r="O14" i="1" s="1"/>
  <c r="B99" i="16"/>
  <c r="C8" i="1" s="1"/>
  <c r="D99" i="16"/>
  <c r="C99" i="16"/>
  <c r="C10" i="1" s="1"/>
  <c r="E99" i="16"/>
  <c r="H99" i="16"/>
  <c r="E13" i="27"/>
  <c r="L71" i="11"/>
  <c r="B13" i="10"/>
  <c r="L38" i="11"/>
  <c r="L13" i="27"/>
  <c r="M68" i="11"/>
  <c r="N68" i="11" s="1"/>
  <c r="E23" i="10" s="1"/>
  <c r="M83" i="11" l="1"/>
  <c r="N83" i="11" s="1"/>
  <c r="E28" i="10" s="1"/>
  <c r="A18" i="27"/>
  <c r="C7" i="22"/>
  <c r="H2" i="27"/>
  <c r="I2" i="27"/>
  <c r="F17" i="27"/>
  <c r="H17" i="27"/>
  <c r="I17" i="27"/>
  <c r="G12" i="27"/>
  <c r="H12" i="27"/>
  <c r="L74" i="11"/>
  <c r="R51" i="18"/>
  <c r="L50" i="11"/>
  <c r="R27" i="18"/>
  <c r="A7" i="27" s="1"/>
  <c r="R33" i="18"/>
  <c r="M56" i="11" s="1"/>
  <c r="N56" i="11" s="1"/>
  <c r="E19" i="10" s="1"/>
  <c r="D26" i="10"/>
  <c r="F12" i="27"/>
  <c r="E12" i="27"/>
  <c r="D12" i="27"/>
  <c r="L12" i="27"/>
  <c r="M12" i="27"/>
  <c r="L77" i="11"/>
  <c r="I12" i="27"/>
  <c r="C12" i="27"/>
  <c r="J12" i="27"/>
  <c r="K12" i="27"/>
  <c r="D17" i="10"/>
  <c r="D25" i="10"/>
  <c r="L56" i="11"/>
  <c r="D19" i="10"/>
  <c r="C18" i="10"/>
  <c r="Q32" i="18"/>
  <c r="R30" i="18" s="1"/>
  <c r="G17" i="27"/>
  <c r="D17" i="27"/>
  <c r="K17" i="27"/>
  <c r="C17" i="27"/>
  <c r="E17" i="27"/>
  <c r="M17" i="27"/>
  <c r="L17" i="27"/>
  <c r="J17" i="27"/>
  <c r="M71" i="11"/>
  <c r="N71" i="11" s="1"/>
  <c r="E24" i="10" s="1"/>
  <c r="A14" i="27"/>
  <c r="C6" i="5"/>
  <c r="C6" i="4"/>
  <c r="F6" i="18"/>
  <c r="C6" i="3"/>
  <c r="A26" i="12"/>
  <c r="B3" i="8"/>
  <c r="M38" i="11"/>
  <c r="N38" i="11" s="1"/>
  <c r="E13" i="10" s="1"/>
  <c r="A3" i="27"/>
  <c r="H3" i="27" s="1"/>
  <c r="A11" i="27"/>
  <c r="M62" i="11"/>
  <c r="N62" i="11" s="1"/>
  <c r="E21" i="10" s="1"/>
  <c r="M77" i="11"/>
  <c r="N77" i="11" s="1"/>
  <c r="E26" i="10" s="1"/>
  <c r="A16" i="27"/>
  <c r="K2" i="27"/>
  <c r="L2" i="27"/>
  <c r="G2" i="27"/>
  <c r="J2" i="27"/>
  <c r="E2" i="27"/>
  <c r="F2" i="27"/>
  <c r="M2" i="27"/>
  <c r="C2" i="27"/>
  <c r="D2" i="27"/>
  <c r="D27" i="11"/>
  <c r="M47" i="11"/>
  <c r="N47" i="11" s="1"/>
  <c r="E16" i="10" s="1"/>
  <c r="A6" i="27"/>
  <c r="M41" i="11"/>
  <c r="N41" i="11" s="1"/>
  <c r="E14" i="10" s="1"/>
  <c r="A4" i="27"/>
  <c r="H4" i="27" s="1"/>
  <c r="M59" i="11"/>
  <c r="N59" i="11" s="1"/>
  <c r="E20" i="10" s="1"/>
  <c r="A10" i="27"/>
  <c r="C6" i="11" l="1"/>
  <c r="E6" i="11"/>
  <c r="F6" i="11"/>
  <c r="D6" i="11"/>
  <c r="G6" i="11"/>
  <c r="G9" i="11" s="1"/>
  <c r="G80" i="18" s="1"/>
  <c r="H6" i="11"/>
  <c r="D18" i="27"/>
  <c r="I18" i="27"/>
  <c r="M18" i="27"/>
  <c r="L18" i="27"/>
  <c r="G18" i="27"/>
  <c r="H18" i="27"/>
  <c r="K18" i="27"/>
  <c r="J18" i="27"/>
  <c r="C18" i="27"/>
  <c r="E18" i="27"/>
  <c r="F18" i="27"/>
  <c r="B26" i="12"/>
  <c r="M74" i="11"/>
  <c r="N74" i="11" s="1"/>
  <c r="E25" i="10" s="1"/>
  <c r="H14" i="27"/>
  <c r="I14" i="27"/>
  <c r="H7" i="27"/>
  <c r="I7" i="27"/>
  <c r="I16" i="27"/>
  <c r="H16" i="27"/>
  <c r="I6" i="27"/>
  <c r="H6" i="27"/>
  <c r="I11" i="27"/>
  <c r="H11" i="27"/>
  <c r="H10" i="27"/>
  <c r="I10" i="27"/>
  <c r="A9" i="27"/>
  <c r="M50" i="11"/>
  <c r="N50" i="11" s="1"/>
  <c r="E17" i="10" s="1"/>
  <c r="A15" i="27"/>
  <c r="D18" i="10"/>
  <c r="L53" i="11"/>
  <c r="E14" i="27"/>
  <c r="J14" i="27"/>
  <c r="M14" i="27"/>
  <c r="K14" i="27"/>
  <c r="G14" i="27"/>
  <c r="L14" i="27"/>
  <c r="D14" i="27"/>
  <c r="F14" i="27"/>
  <c r="C14" i="27"/>
  <c r="D4" i="27"/>
  <c r="M4" i="27"/>
  <c r="F4" i="27"/>
  <c r="J4" i="27"/>
  <c r="I4" i="27"/>
  <c r="L4" i="27"/>
  <c r="G4" i="27"/>
  <c r="C4" i="27"/>
  <c r="E4" i="27"/>
  <c r="K4" i="27"/>
  <c r="E7" i="27"/>
  <c r="F7" i="27"/>
  <c r="G7" i="27"/>
  <c r="D7" i="27"/>
  <c r="C7" i="27"/>
  <c r="J7" i="27"/>
  <c r="L7" i="27"/>
  <c r="K7" i="27"/>
  <c r="M7" i="27"/>
  <c r="F11" i="27"/>
  <c r="M11" i="27"/>
  <c r="G11" i="27"/>
  <c r="K11" i="27"/>
  <c r="E11" i="27"/>
  <c r="L11" i="27"/>
  <c r="C11" i="27"/>
  <c r="J11" i="27"/>
  <c r="D11" i="27"/>
  <c r="F10" i="27"/>
  <c r="E10" i="27"/>
  <c r="M10" i="27"/>
  <c r="L10" i="27"/>
  <c r="C10" i="27"/>
  <c r="G10" i="27"/>
  <c r="D10" i="27"/>
  <c r="K10" i="27"/>
  <c r="J10" i="27"/>
  <c r="L16" i="27"/>
  <c r="E16" i="27"/>
  <c r="M16" i="27"/>
  <c r="J16" i="27"/>
  <c r="D16" i="27"/>
  <c r="K16" i="27"/>
  <c r="C16" i="27"/>
  <c r="G16" i="27"/>
  <c r="F16" i="27"/>
  <c r="F6" i="27"/>
  <c r="M6" i="27"/>
  <c r="G6" i="27"/>
  <c r="E6" i="27"/>
  <c r="C6" i="27"/>
  <c r="L6" i="27"/>
  <c r="D6" i="27"/>
  <c r="K6" i="27"/>
  <c r="J6" i="27"/>
  <c r="D3" i="27"/>
  <c r="E3" i="27"/>
  <c r="M3" i="27"/>
  <c r="I3" i="27"/>
  <c r="G3" i="27"/>
  <c r="J3" i="27"/>
  <c r="F3" i="27"/>
  <c r="K3" i="27"/>
  <c r="L3" i="27"/>
  <c r="C3" i="27"/>
  <c r="A7" i="25" l="1"/>
  <c r="H14" i="25" s="1"/>
  <c r="E14" i="25" s="1"/>
  <c r="B20" i="4"/>
  <c r="A3" i="22" s="1"/>
  <c r="A3" i="25"/>
  <c r="B22" i="4"/>
  <c r="A5" i="22" s="1"/>
  <c r="A4" i="25"/>
  <c r="H4" i="25" s="1"/>
  <c r="B21" i="4"/>
  <c r="A4" i="22" s="1"/>
  <c r="A6" i="25"/>
  <c r="H13" i="25" s="1"/>
  <c r="E13" i="25" s="1"/>
  <c r="B19" i="4"/>
  <c r="A2" i="22" s="1"/>
  <c r="B23" i="4"/>
  <c r="V28" i="4" s="1"/>
  <c r="A5" i="25"/>
  <c r="A8" i="25"/>
  <c r="B25" i="4"/>
  <c r="A8" i="22" s="1"/>
  <c r="B24" i="4"/>
  <c r="A7" i="22" s="1"/>
  <c r="A2" i="25"/>
  <c r="H30" i="25" s="1"/>
  <c r="E30" i="25" s="1"/>
  <c r="E9" i="11"/>
  <c r="E7" i="11"/>
  <c r="E10" i="11"/>
  <c r="H10" i="11"/>
  <c r="H9" i="11"/>
  <c r="H7" i="11"/>
  <c r="E11" i="11"/>
  <c r="C9" i="11"/>
  <c r="G77" i="18" s="1"/>
  <c r="D7" i="11"/>
  <c r="D10" i="11"/>
  <c r="F9" i="11"/>
  <c r="G81" i="18" s="1"/>
  <c r="G10" i="11"/>
  <c r="G7" i="11"/>
  <c r="G8" i="11" s="1"/>
  <c r="K6" i="11"/>
  <c r="I6" i="11"/>
  <c r="D9" i="11"/>
  <c r="C15" i="27"/>
  <c r="H15" i="27"/>
  <c r="I15" i="27"/>
  <c r="L9" i="27"/>
  <c r="I9" i="27"/>
  <c r="H9" i="27"/>
  <c r="D9" i="27"/>
  <c r="G9" i="27"/>
  <c r="F9" i="27"/>
  <c r="K9" i="27"/>
  <c r="J9" i="27"/>
  <c r="E9" i="27"/>
  <c r="M9" i="27"/>
  <c r="C9" i="27"/>
  <c r="K15" i="27"/>
  <c r="E15" i="27"/>
  <c r="M15" i="27"/>
  <c r="J15" i="27"/>
  <c r="F15" i="27"/>
  <c r="D15" i="27"/>
  <c r="G15" i="27"/>
  <c r="L15" i="27"/>
  <c r="A8" i="27"/>
  <c r="M53" i="11"/>
  <c r="N53" i="11" s="1"/>
  <c r="E18" i="10" s="1"/>
  <c r="H77" i="18" l="1"/>
  <c r="H80" i="18"/>
  <c r="H26" i="25"/>
  <c r="E26" i="25" s="1"/>
  <c r="H5" i="25"/>
  <c r="E5" i="25" s="1"/>
  <c r="H79" i="18"/>
  <c r="H33" i="25"/>
  <c r="E33" i="25" s="1"/>
  <c r="H51" i="25"/>
  <c r="H19" i="25"/>
  <c r="E19" i="25" s="1"/>
  <c r="H10" i="25"/>
  <c r="E10" i="25" s="1"/>
  <c r="H3" i="25"/>
  <c r="E3" i="25" s="1"/>
  <c r="H9" i="25"/>
  <c r="E9" i="25" s="1"/>
  <c r="H2" i="25"/>
  <c r="E2" i="25" s="1"/>
  <c r="H12" i="25"/>
  <c r="E12" i="25" s="1"/>
  <c r="H11" i="25"/>
  <c r="E11" i="25" s="1"/>
  <c r="E4" i="25"/>
  <c r="H8" i="25"/>
  <c r="E8" i="25" s="1"/>
  <c r="H15" i="25"/>
  <c r="E15" i="25" s="1"/>
  <c r="H41" i="25"/>
  <c r="E41" i="25" s="1"/>
  <c r="H27" i="25"/>
  <c r="E27" i="25" s="1"/>
  <c r="H7" i="25"/>
  <c r="E7" i="25" s="1"/>
  <c r="A6" i="22"/>
  <c r="H24" i="25"/>
  <c r="E24" i="25" s="1"/>
  <c r="H38" i="25"/>
  <c r="E38" i="25" s="1"/>
  <c r="H50" i="25"/>
  <c r="E50" i="25" s="1"/>
  <c r="H17" i="25"/>
  <c r="E17" i="25" s="1"/>
  <c r="H23" i="25"/>
  <c r="E23" i="25" s="1"/>
  <c r="H49" i="25"/>
  <c r="E49" i="25" s="1"/>
  <c r="H6" i="25"/>
  <c r="E6" i="25" s="1"/>
  <c r="H40" i="25"/>
  <c r="E40" i="25" s="1"/>
  <c r="H16" i="25"/>
  <c r="E16" i="25" s="1"/>
  <c r="H37" i="25"/>
  <c r="E37" i="25" s="1"/>
  <c r="H39" i="25"/>
  <c r="E39" i="25" s="1"/>
  <c r="V30" i="4"/>
  <c r="H25" i="25"/>
  <c r="E25" i="25" s="1"/>
  <c r="H32" i="25"/>
  <c r="E32" i="25" s="1"/>
  <c r="H34" i="25"/>
  <c r="E34" i="25" s="1"/>
  <c r="H48" i="25"/>
  <c r="E48" i="25" s="1"/>
  <c r="H18" i="25"/>
  <c r="E18" i="25" s="1"/>
  <c r="H31" i="25"/>
  <c r="E31" i="25" s="1"/>
  <c r="H20" i="25"/>
  <c r="E20" i="25" s="1"/>
  <c r="H52" i="25"/>
  <c r="E52" i="25" s="1"/>
  <c r="G14" i="25"/>
  <c r="J14" i="25"/>
  <c r="F14" i="25"/>
  <c r="G11" i="11"/>
  <c r="I11" i="11" s="1"/>
  <c r="K9" i="11"/>
  <c r="G78" i="18" s="1"/>
  <c r="I10" i="11"/>
  <c r="I9" i="11"/>
  <c r="E8" i="11"/>
  <c r="I8" i="11" s="1"/>
  <c r="I7" i="11"/>
  <c r="H8" i="27"/>
  <c r="I8" i="27"/>
  <c r="D8" i="27"/>
  <c r="M8" i="27"/>
  <c r="G8" i="27"/>
  <c r="C8" i="27"/>
  <c r="E8" i="27"/>
  <c r="F8" i="27"/>
  <c r="J8" i="27"/>
  <c r="L8" i="27"/>
  <c r="K8" i="27"/>
  <c r="F30" i="25"/>
  <c r="G30" i="25"/>
  <c r="J30" i="25"/>
  <c r="F13" i="25"/>
  <c r="G13" i="25"/>
  <c r="J13" i="25"/>
  <c r="U21" i="27" a="1"/>
  <c r="V6" i="27" a="1"/>
  <c r="S15" i="27" a="1"/>
  <c r="T4" i="27" a="1"/>
  <c r="S4" i="27" a="1"/>
  <c r="Y12" i="27" a="1"/>
  <c r="Y8" i="27" a="1"/>
  <c r="T17" i="27" a="1"/>
  <c r="Y7" i="27" a="1"/>
  <c r="T2" i="27" a="1"/>
  <c r="R6" i="27" a="1"/>
  <c r="V13" i="27" a="1"/>
  <c r="R7" i="27" a="1"/>
  <c r="W17" i="27" a="1"/>
  <c r="Y5" i="27" a="1"/>
  <c r="S18" i="27" a="1"/>
  <c r="P13" i="27" a="1"/>
  <c r="S13" i="27" a="1"/>
  <c r="T7" i="27" a="1"/>
  <c r="T8" i="27" a="1"/>
  <c r="S5" i="27" a="1"/>
  <c r="Y2" i="27" a="1"/>
  <c r="S11" i="27" a="1"/>
  <c r="Y19" i="27" a="1"/>
  <c r="S6" i="27" a="1"/>
  <c r="R22" i="27" a="1"/>
  <c r="X12" i="27" a="1"/>
  <c r="R16" i="27" a="1"/>
  <c r="V5" i="27" a="1"/>
  <c r="S12" i="27" a="1"/>
  <c r="S2" i="27" a="1"/>
  <c r="T19" i="27" a="1"/>
  <c r="T5" i="27" a="1"/>
  <c r="Y16" i="27" a="1"/>
  <c r="V18" i="27" a="1"/>
  <c r="V17" i="27" a="1"/>
  <c r="O11" i="27" a="1"/>
  <c r="T16" i="27" a="1"/>
  <c r="R4" i="27" a="1"/>
  <c r="V16" i="27" a="1"/>
  <c r="U18" i="27" a="1"/>
  <c r="V22" i="27" a="1"/>
  <c r="O13" i="27" a="1"/>
  <c r="R11" i="27" a="1"/>
  <c r="S3" i="27" a="1"/>
  <c r="R8" i="27" a="1"/>
  <c r="S9" i="27" a="1"/>
  <c r="V20" i="27" a="1"/>
  <c r="V19" i="27" a="1"/>
  <c r="P5" i="27" a="1"/>
  <c r="Y6" i="27" a="1"/>
  <c r="O14" i="27" a="1"/>
  <c r="W18" i="27" a="1"/>
  <c r="R14" i="27" a="1"/>
  <c r="Y4" i="27" a="1"/>
  <c r="S14" i="27" a="1"/>
  <c r="S21" i="27" a="1"/>
  <c r="T9" i="27" a="1"/>
  <c r="S16" i="27" a="1"/>
  <c r="S8" i="27" a="1"/>
  <c r="P20" i="27" a="1"/>
  <c r="X3" i="27" a="1"/>
  <c r="Y11" i="27" a="1"/>
  <c r="R19" i="27" a="1"/>
  <c r="Y20" i="27" a="1"/>
  <c r="W10" i="27" a="1"/>
  <c r="T12" i="27" a="1"/>
  <c r="Y10" i="27" a="1"/>
  <c r="Q19" i="27" a="1"/>
  <c r="R21" i="27" a="1"/>
  <c r="V10" i="27" a="1"/>
  <c r="T11" i="27" a="1"/>
  <c r="Y15" i="27" a="1"/>
  <c r="S17" i="27" a="1"/>
  <c r="W20" i="27" a="1"/>
  <c r="U4" i="27" a="1"/>
  <c r="V14" i="27" a="1"/>
  <c r="U17" i="27" a="1"/>
  <c r="R20" i="27" a="1"/>
  <c r="Q3" i="27" a="1"/>
  <c r="V7" i="27" a="1"/>
  <c r="T21" i="27" a="1"/>
  <c r="R15" i="27" a="1"/>
  <c r="T14" i="27" a="1"/>
  <c r="V4" i="27" a="1"/>
  <c r="S22" i="27" a="1"/>
  <c r="T13" i="27" a="1"/>
  <c r="Y22" i="27" a="1"/>
  <c r="V15" i="27" a="1"/>
  <c r="S19" i="27" a="1"/>
  <c r="R17" i="27" a="1"/>
  <c r="V8" i="27" a="1"/>
  <c r="V21" i="27" a="1"/>
  <c r="O22" i="27" a="1"/>
  <c r="R2" i="27" a="1"/>
  <c r="Y14" i="27" a="1"/>
  <c r="R9" i="27" a="1"/>
  <c r="Y13" i="27" a="1"/>
  <c r="T6" i="27" a="1"/>
  <c r="T15" i="27" a="1"/>
  <c r="R12" i="27" a="1"/>
  <c r="T22" i="27" a="1"/>
  <c r="T18" i="27" a="1"/>
  <c r="V11" i="27" a="1"/>
  <c r="P2" i="27" a="1"/>
  <c r="U6" i="27" a="1"/>
  <c r="V3" i="27" a="1"/>
  <c r="Y17" i="27" a="1"/>
  <c r="V2" i="27" a="1"/>
  <c r="T10" i="27" a="1"/>
  <c r="Y9" i="27" a="1"/>
  <c r="V12" i="27" a="1"/>
  <c r="U15" i="27" a="1"/>
  <c r="O8" i="27" a="1"/>
  <c r="S20" i="27" a="1"/>
  <c r="S7" i="27" a="1"/>
  <c r="R13" i="27" a="1"/>
  <c r="Y21" i="27" a="1"/>
  <c r="T20" i="27" a="1"/>
  <c r="T3" i="27" a="1"/>
  <c r="S10" i="27" a="1"/>
  <c r="W14" i="27" a="1"/>
  <c r="R3" i="27" a="1"/>
  <c r="R10" i="27" a="1"/>
  <c r="Y3" i="27" a="1"/>
  <c r="V9" i="27" a="1"/>
  <c r="R5" i="27" a="1"/>
  <c r="Y18" i="27" a="1"/>
  <c r="R18" i="27" a="1"/>
  <c r="F26" i="25" l="1"/>
  <c r="J26" i="25"/>
  <c r="G26" i="25"/>
  <c r="I79" i="18"/>
  <c r="G51" i="25"/>
  <c r="E51" i="25"/>
  <c r="J10" i="25"/>
  <c r="G38" i="25"/>
  <c r="J24" i="25"/>
  <c r="J9" i="25"/>
  <c r="I51" i="25" a="1"/>
  <c r="I51" i="25" s="1"/>
  <c r="J52" i="25"/>
  <c r="F8" i="25"/>
  <c r="F15" i="25"/>
  <c r="R4" i="27"/>
  <c r="R8" i="27"/>
  <c r="R12" i="27"/>
  <c r="R16" i="27"/>
  <c r="R19" i="27"/>
  <c r="D31" i="3" s="1"/>
  <c r="R3" i="27"/>
  <c r="R7" i="27"/>
  <c r="R11" i="27"/>
  <c r="R15" i="27"/>
  <c r="R14" i="27"/>
  <c r="R22" i="27"/>
  <c r="D34" i="3" s="1"/>
  <c r="R6" i="27"/>
  <c r="D18" i="3" s="1"/>
  <c r="R10" i="27"/>
  <c r="R17" i="27"/>
  <c r="R20" i="27"/>
  <c r="D32" i="3" s="1"/>
  <c r="R5" i="27"/>
  <c r="D17" i="3" s="1"/>
  <c r="R9" i="27"/>
  <c r="R13" i="27"/>
  <c r="R18" i="27"/>
  <c r="D30" i="3" s="1"/>
  <c r="R21" i="27"/>
  <c r="D33" i="3" s="1"/>
  <c r="R2" i="27"/>
  <c r="D14" i="3" s="1"/>
  <c r="W18" i="27"/>
  <c r="I30" i="3" s="1"/>
  <c r="W20" i="27"/>
  <c r="I32" i="3" s="1"/>
  <c r="W17" i="27"/>
  <c r="W10" i="27"/>
  <c r="W14" i="27"/>
  <c r="X12" i="27"/>
  <c r="X3" i="27"/>
  <c r="O13" i="27"/>
  <c r="O8" i="27"/>
  <c r="O11" i="27"/>
  <c r="O14" i="27"/>
  <c r="O22" i="27"/>
  <c r="A34" i="3" s="1"/>
  <c r="U15" i="27"/>
  <c r="U18" i="27"/>
  <c r="G30" i="3" s="1"/>
  <c r="U6" i="27"/>
  <c r="G18" i="3" s="1"/>
  <c r="U21" i="27"/>
  <c r="G33" i="3" s="1"/>
  <c r="U4" i="27"/>
  <c r="U17" i="27"/>
  <c r="V4" i="27"/>
  <c r="V8" i="27"/>
  <c r="V12" i="27"/>
  <c r="V16" i="27"/>
  <c r="H28" i="3" s="1"/>
  <c r="V17" i="27"/>
  <c r="V19" i="27"/>
  <c r="H31" i="3" s="1"/>
  <c r="V3" i="27"/>
  <c r="V7" i="27"/>
  <c r="V11" i="27"/>
  <c r="V15" i="27"/>
  <c r="V10" i="27"/>
  <c r="V6" i="27"/>
  <c r="H18" i="3" s="1"/>
  <c r="V14" i="27"/>
  <c r="V18" i="27"/>
  <c r="H30" i="3" s="1"/>
  <c r="V20" i="27"/>
  <c r="H32" i="3" s="1"/>
  <c r="V22" i="27"/>
  <c r="H34" i="3" s="1"/>
  <c r="V5" i="27"/>
  <c r="H17" i="3" s="1"/>
  <c r="V9" i="27"/>
  <c r="V13" i="27"/>
  <c r="V21" i="27"/>
  <c r="H33" i="3" s="1"/>
  <c r="V2" i="27"/>
  <c r="S5" i="27"/>
  <c r="E17" i="3" s="1"/>
  <c r="S9" i="27"/>
  <c r="E21" i="3" s="1"/>
  <c r="S13" i="27"/>
  <c r="S17" i="27"/>
  <c r="S18" i="27"/>
  <c r="E30" i="3" s="1"/>
  <c r="S20" i="27"/>
  <c r="E32" i="3" s="1"/>
  <c r="S22" i="27"/>
  <c r="E34" i="3" s="1"/>
  <c r="S4" i="27"/>
  <c r="S8" i="27"/>
  <c r="S12" i="27"/>
  <c r="S16" i="27"/>
  <c r="S11" i="27"/>
  <c r="S3" i="27"/>
  <c r="S7" i="27"/>
  <c r="S15" i="27"/>
  <c r="S19" i="27"/>
  <c r="E31" i="3" s="1"/>
  <c r="S21" i="27"/>
  <c r="E33" i="3" s="1"/>
  <c r="S6" i="27"/>
  <c r="E18" i="3" s="1"/>
  <c r="S10" i="27"/>
  <c r="S14" i="27"/>
  <c r="S2" i="27"/>
  <c r="T6" i="27"/>
  <c r="F18" i="3" s="1"/>
  <c r="T10" i="27"/>
  <c r="T14" i="27"/>
  <c r="T19" i="27"/>
  <c r="F31" i="3" s="1"/>
  <c r="T21" i="27"/>
  <c r="F33" i="3" s="1"/>
  <c r="T22" i="27"/>
  <c r="F34" i="3" s="1"/>
  <c r="T5" i="27"/>
  <c r="F17" i="3" s="1"/>
  <c r="T9" i="27"/>
  <c r="T13" i="27"/>
  <c r="T17" i="27"/>
  <c r="T16" i="27"/>
  <c r="T18" i="27"/>
  <c r="F30" i="3" s="1"/>
  <c r="T20" i="27"/>
  <c r="F32" i="3" s="1"/>
  <c r="T4" i="27"/>
  <c r="T8" i="27"/>
  <c r="F20" i="3" s="1"/>
  <c r="T12" i="27"/>
  <c r="T3" i="27"/>
  <c r="T7" i="27"/>
  <c r="T11" i="27"/>
  <c r="T15" i="27"/>
  <c r="T2" i="27"/>
  <c r="Y3" i="27"/>
  <c r="Y7" i="27"/>
  <c r="Y11" i="27"/>
  <c r="Y15" i="27"/>
  <c r="Y16" i="27"/>
  <c r="Y18" i="27"/>
  <c r="K30" i="3" s="1"/>
  <c r="Y22" i="27"/>
  <c r="K34" i="3" s="1"/>
  <c r="Y6" i="27"/>
  <c r="K18" i="3" s="1"/>
  <c r="Y10" i="27"/>
  <c r="Y14" i="27"/>
  <c r="K26" i="3" s="1"/>
  <c r="Y17" i="27"/>
  <c r="Y9" i="27"/>
  <c r="Y19" i="27"/>
  <c r="K31" i="3" s="1"/>
  <c r="Y21" i="27"/>
  <c r="K33" i="3" s="1"/>
  <c r="Y5" i="27"/>
  <c r="K17" i="3" s="1"/>
  <c r="Y13" i="27"/>
  <c r="Y4" i="27"/>
  <c r="Y8" i="27"/>
  <c r="Y12" i="27"/>
  <c r="Y20" i="27"/>
  <c r="K32" i="3" s="1"/>
  <c r="Y2" i="27"/>
  <c r="Q3" i="27"/>
  <c r="Q19" i="27"/>
  <c r="C31" i="3" s="1"/>
  <c r="P5" i="27"/>
  <c r="B17" i="3" s="1"/>
  <c r="P13" i="27"/>
  <c r="P20" i="27"/>
  <c r="B32" i="3" s="1"/>
  <c r="P2" i="27"/>
  <c r="J33" i="25"/>
  <c r="J51" i="25"/>
  <c r="F33" i="25"/>
  <c r="F51" i="25"/>
  <c r="G33" i="25"/>
  <c r="G10" i="25"/>
  <c r="J19" i="25"/>
  <c r="F10" i="25"/>
  <c r="F27" i="25"/>
  <c r="F12" i="25"/>
  <c r="J27" i="25"/>
  <c r="G27" i="25"/>
  <c r="J8" i="25"/>
  <c r="F19" i="25"/>
  <c r="J12" i="25"/>
  <c r="G19" i="25"/>
  <c r="G12" i="25"/>
  <c r="F11" i="25"/>
  <c r="G8" i="25"/>
  <c r="J11" i="25"/>
  <c r="F9" i="25"/>
  <c r="G7" i="25"/>
  <c r="B16" i="12"/>
  <c r="C16" i="12" s="1"/>
  <c r="G41" i="25"/>
  <c r="G9" i="25"/>
  <c r="G11" i="25"/>
  <c r="F41" i="25"/>
  <c r="G50" i="25"/>
  <c r="J41" i="25"/>
  <c r="E23" i="12"/>
  <c r="E15" i="12"/>
  <c r="D23" i="12"/>
  <c r="D15" i="12"/>
  <c r="J2" i="25"/>
  <c r="F2" i="25"/>
  <c r="G24" i="25"/>
  <c r="G2" i="25"/>
  <c r="J6" i="25"/>
  <c r="J7" i="25"/>
  <c r="F7" i="25"/>
  <c r="J37" i="25"/>
  <c r="F24" i="25"/>
  <c r="G37" i="25"/>
  <c r="G6" i="25"/>
  <c r="H45" i="25"/>
  <c r="E45" i="25" s="1"/>
  <c r="B20" i="12"/>
  <c r="C20" i="12" s="1"/>
  <c r="J38" i="25"/>
  <c r="F38" i="25"/>
  <c r="B19" i="12"/>
  <c r="C19" i="12" s="1"/>
  <c r="B23" i="12"/>
  <c r="C23" i="12" s="1"/>
  <c r="B15" i="12"/>
  <c r="C15" i="12" s="1"/>
  <c r="B18" i="12"/>
  <c r="C18" i="12" s="1"/>
  <c r="B17" i="12"/>
  <c r="C17" i="12" s="1"/>
  <c r="F5" i="25"/>
  <c r="F34" i="25"/>
  <c r="F49" i="25"/>
  <c r="G17" i="25"/>
  <c r="G49" i="25"/>
  <c r="F17" i="25"/>
  <c r="J50" i="25"/>
  <c r="J17" i="25"/>
  <c r="J49" i="25"/>
  <c r="F50" i="25"/>
  <c r="G5" i="25"/>
  <c r="F37" i="25"/>
  <c r="F48" i="25"/>
  <c r="G23" i="25"/>
  <c r="D20" i="12"/>
  <c r="F40" i="25"/>
  <c r="J5" i="25"/>
  <c r="D18" i="12"/>
  <c r="G40" i="25"/>
  <c r="F23" i="25"/>
  <c r="J18" i="25"/>
  <c r="J40" i="25"/>
  <c r="G18" i="25"/>
  <c r="J34" i="25"/>
  <c r="F39" i="25"/>
  <c r="J31" i="25"/>
  <c r="J23" i="25"/>
  <c r="F6" i="25"/>
  <c r="F16" i="25"/>
  <c r="G32" i="25"/>
  <c r="G16" i="25"/>
  <c r="J15" i="25"/>
  <c r="F32" i="25"/>
  <c r="F20" i="25"/>
  <c r="J16" i="25"/>
  <c r="G15" i="25"/>
  <c r="F18" i="25"/>
  <c r="E20" i="12"/>
  <c r="G4" i="25"/>
  <c r="J4" i="25"/>
  <c r="D17" i="12"/>
  <c r="G34" i="25"/>
  <c r="F4" i="25"/>
  <c r="E17" i="12"/>
  <c r="J48" i="25"/>
  <c r="J39" i="25"/>
  <c r="G39" i="25"/>
  <c r="F31" i="25"/>
  <c r="J25" i="25"/>
  <c r="G3" i="25"/>
  <c r="E18" i="12"/>
  <c r="E19" i="12"/>
  <c r="J20" i="25"/>
  <c r="F3" i="25"/>
  <c r="G25" i="25"/>
  <c r="F52" i="25"/>
  <c r="I52" i="25" a="1"/>
  <c r="I52" i="25" s="1"/>
  <c r="E16" i="12"/>
  <c r="D16" i="12"/>
  <c r="D19" i="12"/>
  <c r="J32" i="25"/>
  <c r="G20" i="25"/>
  <c r="F25" i="25"/>
  <c r="G52" i="25"/>
  <c r="G48" i="25"/>
  <c r="J3" i="25"/>
  <c r="G31" i="25"/>
  <c r="H44" i="25"/>
  <c r="E44" i="25" s="1"/>
  <c r="U10" i="27" a="1"/>
  <c r="O5" i="27" a="1"/>
  <c r="Q6" i="27" a="1"/>
  <c r="Q21" i="27" a="1"/>
  <c r="Q9" i="27" a="1"/>
  <c r="Q16" i="27" a="1"/>
  <c r="O19" i="27" a="1"/>
  <c r="X7" i="27" a="1"/>
  <c r="W15" i="27" a="1"/>
  <c r="X20" i="27" a="1"/>
  <c r="U14" i="27" a="1"/>
  <c r="W6" i="27" a="1"/>
  <c r="O9" i="27" a="1"/>
  <c r="U16" i="27" a="1"/>
  <c r="X19" i="27" a="1"/>
  <c r="W22" i="27" a="1"/>
  <c r="X6" i="27" a="1"/>
  <c r="O6" i="27" a="1"/>
  <c r="Q14" i="27" a="1"/>
  <c r="P8" i="27" a="1"/>
  <c r="X21" i="27" a="1"/>
  <c r="W8" i="27" a="1"/>
  <c r="U9" i="27" a="1"/>
  <c r="Q5" i="27" a="1"/>
  <c r="X4" i="27" a="1"/>
  <c r="O12" i="27" a="1"/>
  <c r="O3" i="27" a="1"/>
  <c r="X11" i="27" a="1"/>
  <c r="Q12" i="27" a="1"/>
  <c r="P6" i="27" a="1"/>
  <c r="O33" i="25" a="1"/>
  <c r="X8" i="27" a="1"/>
  <c r="U5" i="27" a="1"/>
  <c r="U12" i="27" a="1"/>
  <c r="X17" i="27" a="1"/>
  <c r="Q22" i="27" a="1"/>
  <c r="X10" i="27" a="1"/>
  <c r="U22" i="27" a="1"/>
  <c r="O20" i="27" a="1"/>
  <c r="O49" i="25" a="1"/>
  <c r="Q8" i="27" a="1"/>
  <c r="P12" i="27" a="1"/>
  <c r="O41" i="25" a="1"/>
  <c r="P3" i="27" a="1"/>
  <c r="U11" i="27" a="1"/>
  <c r="U7" i="27" a="1"/>
  <c r="W7" i="27" a="1"/>
  <c r="U3" i="27" a="1"/>
  <c r="O16" i="27" a="1"/>
  <c r="P11" i="27" a="1"/>
  <c r="Q11" i="27" a="1"/>
  <c r="O21" i="27" a="1"/>
  <c r="W19" i="27" a="1"/>
  <c r="Q18" i="27" a="1"/>
  <c r="P18" i="27" a="1"/>
  <c r="W13" i="27" a="1"/>
  <c r="P21" i="27" a="1"/>
  <c r="O10" i="27" a="1"/>
  <c r="P7" i="27" a="1"/>
  <c r="U2" i="27" a="1"/>
  <c r="X18" i="27" a="1"/>
  <c r="U19" i="27" a="1"/>
  <c r="X13" i="27" a="1"/>
  <c r="P17" i="27" a="1"/>
  <c r="Q15" i="27" a="1"/>
  <c r="W4" i="27" a="1"/>
  <c r="Q17" i="27" a="1"/>
  <c r="X9" i="27" a="1"/>
  <c r="O2" i="27" a="1"/>
  <c r="X5" i="27" a="1"/>
  <c r="O18" i="27" a="1"/>
  <c r="W16" i="27" a="1"/>
  <c r="O7" i="27" a="1"/>
  <c r="O9" i="25" a="1"/>
  <c r="P19" i="27" a="1"/>
  <c r="Q13" i="27" a="1"/>
  <c r="Q10" i="27" a="1"/>
  <c r="W12" i="27" a="1"/>
  <c r="O4" i="27" a="1"/>
  <c r="P15" i="27" a="1"/>
  <c r="U13" i="27" a="1"/>
  <c r="U20" i="27" a="1"/>
  <c r="P22" i="27" a="1"/>
  <c r="W21" i="27" a="1"/>
  <c r="X15" i="27" a="1"/>
  <c r="P14" i="27" a="1"/>
  <c r="P4" i="27" a="1"/>
  <c r="O15" i="25" a="1"/>
  <c r="P9" i="27" a="1"/>
  <c r="Q7" i="27" a="1"/>
  <c r="O15" i="27" a="1"/>
  <c r="W5" i="27" a="1"/>
  <c r="Q20" i="27" a="1"/>
  <c r="W11" i="27" a="1"/>
  <c r="W9" i="27" a="1"/>
  <c r="O17" i="27" a="1"/>
  <c r="X14" i="27" a="1"/>
  <c r="X22" i="27" a="1"/>
  <c r="X2" i="27" a="1"/>
  <c r="Q4" i="27" a="1"/>
  <c r="P16" i="27" a="1"/>
  <c r="Q2" i="27" a="1"/>
  <c r="U8" i="27" a="1"/>
  <c r="W2" i="27" a="1"/>
  <c r="P10" i="27" a="1"/>
  <c r="X16" i="27" a="1"/>
  <c r="W3" i="27" a="1"/>
  <c r="X15" i="27" l="1"/>
  <c r="O19" i="27"/>
  <c r="A31" i="3" s="1"/>
  <c r="X21" i="27"/>
  <c r="J33" i="3" s="1"/>
  <c r="U13" i="27"/>
  <c r="X17" i="27"/>
  <c r="J29" i="3" s="1"/>
  <c r="O16" i="27"/>
  <c r="A28" i="3" s="1"/>
  <c r="X18" i="27"/>
  <c r="J30" i="3" s="1"/>
  <c r="X5" i="27"/>
  <c r="J17" i="3" s="1"/>
  <c r="U8" i="27"/>
  <c r="G20" i="3" s="1"/>
  <c r="X19" i="27"/>
  <c r="J31" i="3" s="1"/>
  <c r="U12" i="27"/>
  <c r="U3" i="27"/>
  <c r="G15" i="3" s="1"/>
  <c r="U20" i="27"/>
  <c r="G32" i="3" s="1"/>
  <c r="U9" i="27"/>
  <c r="G21" i="3" s="1"/>
  <c r="U11" i="27"/>
  <c r="G23" i="3" s="1"/>
  <c r="U22" i="27"/>
  <c r="G34" i="3" s="1"/>
  <c r="O21" i="27"/>
  <c r="A33" i="3" s="1"/>
  <c r="X9" i="27"/>
  <c r="X4" i="27"/>
  <c r="O9" i="27"/>
  <c r="A21" i="3" s="1"/>
  <c r="X8" i="27"/>
  <c r="U7" i="27"/>
  <c r="U10" i="27"/>
  <c r="G22" i="3" s="1"/>
  <c r="W19" i="27"/>
  <c r="I31" i="3" s="1"/>
  <c r="Q16" i="27"/>
  <c r="C28" i="3" s="1"/>
  <c r="Q10" i="27"/>
  <c r="C22" i="3" s="1"/>
  <c r="O4" i="27"/>
  <c r="A16" i="3" s="1"/>
  <c r="P16" i="27"/>
  <c r="W12" i="27"/>
  <c r="W5" i="27"/>
  <c r="I17" i="3" s="1"/>
  <c r="O3" i="27"/>
  <c r="A15" i="3" s="1"/>
  <c r="W15" i="27"/>
  <c r="U16" i="27"/>
  <c r="X11" i="27"/>
  <c r="W3" i="27"/>
  <c r="X20" i="27"/>
  <c r="J32" i="3" s="1"/>
  <c r="Q18" i="27"/>
  <c r="C30" i="3" s="1"/>
  <c r="X16" i="27"/>
  <c r="X10" i="27"/>
  <c r="P18" i="27"/>
  <c r="B30" i="3" s="1"/>
  <c r="Q2" i="27"/>
  <c r="C14" i="3" s="1"/>
  <c r="O7" i="27"/>
  <c r="Q17" i="27"/>
  <c r="C29" i="3" s="1"/>
  <c r="P17" i="27"/>
  <c r="P9" i="27"/>
  <c r="O2" i="27"/>
  <c r="A14" i="3" s="1"/>
  <c r="O5" i="27"/>
  <c r="A17" i="3" s="1"/>
  <c r="Q14" i="27"/>
  <c r="C26" i="3" s="1"/>
  <c r="X6" i="27"/>
  <c r="J18" i="3" s="1"/>
  <c r="O17" i="27"/>
  <c r="P21" i="27"/>
  <c r="B33" i="3" s="1"/>
  <c r="Q21" i="27"/>
  <c r="C33" i="3" s="1"/>
  <c r="W8" i="27"/>
  <c r="P15" i="27"/>
  <c r="W6" i="27"/>
  <c r="I18" i="3" s="1"/>
  <c r="U2" i="27"/>
  <c r="G14" i="3" s="1"/>
  <c r="W21" i="27"/>
  <c r="I33" i="3" s="1"/>
  <c r="Q13" i="27"/>
  <c r="C25" i="3" s="1"/>
  <c r="U5" i="27"/>
  <c r="G17" i="3" s="1"/>
  <c r="Q5" i="27"/>
  <c r="C17" i="3" s="1"/>
  <c r="X14" i="27"/>
  <c r="X7" i="27"/>
  <c r="Q12" i="27"/>
  <c r="C24" i="3" s="1"/>
  <c r="X22" i="27"/>
  <c r="J34" i="3" s="1"/>
  <c r="W4" i="27"/>
  <c r="W9" i="27"/>
  <c r="O18" i="27"/>
  <c r="A30" i="3" s="1"/>
  <c r="Q22" i="27"/>
  <c r="C34" i="3" s="1"/>
  <c r="O12" i="27"/>
  <c r="P7" i="27"/>
  <c r="W22" i="27"/>
  <c r="I34" i="3" s="1"/>
  <c r="O10" i="27"/>
  <c r="A22" i="3" s="1"/>
  <c r="O20" i="27"/>
  <c r="A32" i="3" s="1"/>
  <c r="W13" i="27"/>
  <c r="W7" i="27"/>
  <c r="Q4" i="27"/>
  <c r="C16" i="3" s="1"/>
  <c r="U14" i="27"/>
  <c r="G26" i="3" s="1"/>
  <c r="O15" i="27"/>
  <c r="W2" i="27"/>
  <c r="W16" i="27"/>
  <c r="O6" i="27"/>
  <c r="A18" i="3" s="1"/>
  <c r="Q20" i="27"/>
  <c r="C32" i="3" s="1"/>
  <c r="Q9" i="27"/>
  <c r="C21" i="3" s="1"/>
  <c r="W11" i="27"/>
  <c r="P22" i="27"/>
  <c r="B34" i="3" s="1"/>
  <c r="P3" i="27"/>
  <c r="P19" i="27"/>
  <c r="B31" i="3" s="1"/>
  <c r="Q8" i="27"/>
  <c r="C20" i="3" s="1"/>
  <c r="P4" i="27"/>
  <c r="P11" i="27"/>
  <c r="B23" i="3" s="1"/>
  <c r="P12" i="27"/>
  <c r="P8" i="27"/>
  <c r="P14" i="27"/>
  <c r="Q15" i="27"/>
  <c r="C27" i="3" s="1"/>
  <c r="P10" i="27"/>
  <c r="P6" i="27"/>
  <c r="B18" i="3" s="1"/>
  <c r="Q6" i="27"/>
  <c r="C18" i="3" s="1"/>
  <c r="Q7" i="27"/>
  <c r="C19" i="3" s="1"/>
  <c r="Q11" i="27"/>
  <c r="C23" i="3" s="1"/>
  <c r="U19" i="27"/>
  <c r="G31" i="3" s="1"/>
  <c r="X13" i="27"/>
  <c r="X2" i="27"/>
  <c r="J44" i="25"/>
  <c r="J58" i="25" s="1"/>
  <c r="D6" i="12" s="1"/>
  <c r="T13" i="4" s="1"/>
  <c r="B22" i="12"/>
  <c r="G45" i="25"/>
  <c r="D22" i="12" a="1"/>
  <c r="D22" i="12" s="1"/>
  <c r="C22" i="12" s="1"/>
  <c r="J45" i="25"/>
  <c r="E22" i="12"/>
  <c r="F45" i="25"/>
  <c r="J55" i="25"/>
  <c r="F6" i="12" s="1"/>
  <c r="G13" i="5" s="1"/>
  <c r="J57" i="25"/>
  <c r="C6" i="12" s="1"/>
  <c r="E13" i="4" s="1"/>
  <c r="E21" i="12"/>
  <c r="J56" i="25"/>
  <c r="E6" i="12" s="1"/>
  <c r="F13" i="5" s="1"/>
  <c r="D21" i="12" a="1"/>
  <c r="D21" i="12" s="1"/>
  <c r="C21" i="12" s="1"/>
  <c r="G44" i="25"/>
  <c r="O9" i="25"/>
  <c r="C9" i="26" s="1"/>
  <c r="O33" i="25"/>
  <c r="C33" i="26" s="1"/>
  <c r="O41" i="25"/>
  <c r="C41" i="26" s="1"/>
  <c r="O49" i="25"/>
  <c r="C49" i="26" s="1"/>
  <c r="O15" i="25"/>
  <c r="C15" i="26" s="1"/>
  <c r="F44" i="25"/>
  <c r="H22" i="3"/>
  <c r="H26" i="3"/>
  <c r="H15" i="3"/>
  <c r="A20" i="3"/>
  <c r="D16" i="3"/>
  <c r="C15" i="3"/>
  <c r="D26" i="3"/>
  <c r="D20" i="3"/>
  <c r="D19" i="3"/>
  <c r="G16" i="3"/>
  <c r="A25" i="3"/>
  <c r="G29" i="3"/>
  <c r="F15" i="3"/>
  <c r="O30" i="25" a="1"/>
  <c r="O25" i="25" a="1"/>
  <c r="O22" i="25" a="1"/>
  <c r="O16" i="25" a="1"/>
  <c r="O51" i="25" a="1"/>
  <c r="O42" i="25" a="1"/>
  <c r="O44" i="25" a="1"/>
  <c r="O24" i="25" a="1"/>
  <c r="O11" i="25" a="1"/>
  <c r="O43" i="25" a="1"/>
  <c r="O7" i="25" a="1"/>
  <c r="O3" i="25" a="1"/>
  <c r="O29" i="25" a="1"/>
  <c r="O32" i="25" a="1"/>
  <c r="O27" i="25" a="1"/>
  <c r="O20" i="25" a="1"/>
  <c r="O48" i="25" a="1"/>
  <c r="O45" i="25" a="1"/>
  <c r="O19" i="25" a="1"/>
  <c r="O6" i="25" a="1"/>
  <c r="O10" i="25" a="1"/>
  <c r="O14" i="25" a="1"/>
  <c r="O50" i="25" a="1"/>
  <c r="O40" i="25" a="1"/>
  <c r="O35" i="25" a="1"/>
  <c r="O52" i="25" a="1"/>
  <c r="O47" i="25" a="1"/>
  <c r="O26" i="25" a="1"/>
  <c r="O12" i="25" a="1"/>
  <c r="O18" i="25" a="1"/>
  <c r="O36" i="25" a="1"/>
  <c r="O21" i="25" a="1"/>
  <c r="O39" i="25" a="1"/>
  <c r="O38" i="25" a="1"/>
  <c r="O46" i="25" a="1"/>
  <c r="O31" i="25" a="1"/>
  <c r="O8" i="25" a="1"/>
  <c r="O23" i="25" a="1"/>
  <c r="O28" i="25" a="1"/>
  <c r="O34" i="25" a="1"/>
  <c r="O5" i="25" a="1"/>
  <c r="O37" i="25" a="1"/>
  <c r="O17" i="25" a="1"/>
  <c r="O4" i="25" a="1"/>
  <c r="O13" i="25" a="1"/>
  <c r="O50" i="25" l="1"/>
  <c r="C50" i="26" s="1"/>
  <c r="O37" i="25"/>
  <c r="C37" i="26" s="1"/>
  <c r="O40" i="25"/>
  <c r="C40" i="26" s="1"/>
  <c r="O10" i="25"/>
  <c r="C10" i="26" s="1"/>
  <c r="O3" i="25"/>
  <c r="C3" i="26" s="1"/>
  <c r="O44" i="25"/>
  <c r="C44" i="26" s="1"/>
  <c r="O17" i="25"/>
  <c r="C17" i="26" s="1"/>
  <c r="O38" i="25"/>
  <c r="C38" i="26" s="1"/>
  <c r="O52" i="25"/>
  <c r="C52" i="26" s="1"/>
  <c r="O4" i="25"/>
  <c r="C4" i="26" s="1"/>
  <c r="O29" i="25"/>
  <c r="C29" i="26" s="1"/>
  <c r="O23" i="25"/>
  <c r="C23" i="26" s="1"/>
  <c r="O34" i="25"/>
  <c r="C34" i="26" s="1"/>
  <c r="O48" i="25"/>
  <c r="C48" i="26" s="1"/>
  <c r="O43" i="25"/>
  <c r="C43" i="26" s="1"/>
  <c r="O7" i="25"/>
  <c r="C7" i="26" s="1"/>
  <c r="O16" i="25"/>
  <c r="C16" i="26" s="1"/>
  <c r="O11" i="25"/>
  <c r="C11" i="26" s="1"/>
  <c r="O5" i="25"/>
  <c r="C5" i="26" s="1"/>
  <c r="O14" i="25"/>
  <c r="C14" i="26" s="1"/>
  <c r="O30" i="25"/>
  <c r="C30" i="26" s="1"/>
  <c r="M11" i="3" a="1"/>
  <c r="M11" i="3" s="1"/>
  <c r="A12" i="3" s="1"/>
  <c r="O36" i="25"/>
  <c r="C36" i="26" s="1"/>
  <c r="O19" i="25"/>
  <c r="C19" i="26" s="1"/>
  <c r="O31" i="25"/>
  <c r="C31" i="26" s="1"/>
  <c r="O6" i="25"/>
  <c r="C6" i="26" s="1"/>
  <c r="O39" i="25"/>
  <c r="C39" i="26" s="1"/>
  <c r="O24" i="25"/>
  <c r="C24" i="26" s="1"/>
  <c r="O26" i="25"/>
  <c r="C26" i="26" s="1"/>
  <c r="O12" i="25"/>
  <c r="C12" i="26" s="1"/>
  <c r="O27" i="25"/>
  <c r="C27" i="26" s="1"/>
  <c r="O22" i="25"/>
  <c r="C22" i="26" s="1"/>
  <c r="O42" i="25"/>
  <c r="C42" i="26" s="1"/>
  <c r="O20" i="25"/>
  <c r="C20" i="26" s="1"/>
  <c r="O32" i="25"/>
  <c r="C32" i="26" s="1"/>
  <c r="O51" i="25"/>
  <c r="C51" i="26" s="1"/>
  <c r="O25" i="25"/>
  <c r="C25" i="26" s="1"/>
  <c r="O46" i="25"/>
  <c r="C46" i="26" s="1"/>
  <c r="O13" i="25"/>
  <c r="C13" i="26" s="1"/>
  <c r="O21" i="25"/>
  <c r="C21" i="26" s="1"/>
  <c r="O35" i="25"/>
  <c r="C35" i="26" s="1"/>
  <c r="O45" i="25"/>
  <c r="C45" i="26" s="1"/>
  <c r="O18" i="25"/>
  <c r="C18" i="26" s="1"/>
  <c r="O28" i="25"/>
  <c r="C28" i="26" s="1"/>
  <c r="O8" i="25"/>
  <c r="C8" i="26" s="1"/>
  <c r="O47" i="25"/>
  <c r="C47" i="26" s="1"/>
  <c r="E13" i="5"/>
  <c r="I22" i="12" a="1"/>
  <c r="I22" i="12" s="1"/>
  <c r="J22" i="12" s="1"/>
  <c r="H15" i="12" a="1"/>
  <c r="H15" i="12" s="1"/>
  <c r="C17" i="5" s="1"/>
  <c r="D13" i="5"/>
  <c r="W13" i="4"/>
  <c r="H18" i="12" a="1"/>
  <c r="H18" i="12" s="1"/>
  <c r="C20" i="5" s="1"/>
  <c r="I21" i="12" a="1"/>
  <c r="I21" i="12" s="1"/>
  <c r="J21" i="12" s="1"/>
  <c r="Z13" i="4"/>
  <c r="B6" i="12"/>
  <c r="C13" i="5" s="1"/>
  <c r="C12" i="5" s="1"/>
  <c r="I23" i="12" a="1"/>
  <c r="I23" i="12" s="1"/>
  <c r="J23" i="12" s="1"/>
  <c r="H19" i="12" a="1"/>
  <c r="H19" i="12" s="1"/>
  <c r="C21" i="5" s="1"/>
  <c r="G18" i="12" a="1"/>
  <c r="G18" i="12" s="1"/>
  <c r="B20" i="5" s="1"/>
  <c r="I19" i="12" a="1"/>
  <c r="I19" i="12" s="1"/>
  <c r="J19" i="12" s="1"/>
  <c r="I15" i="12" a="1"/>
  <c r="I15" i="12" s="1"/>
  <c r="G19" i="12" a="1"/>
  <c r="G19" i="12" s="1"/>
  <c r="B21" i="5" s="1"/>
  <c r="I17" i="12" a="1"/>
  <c r="I17" i="12" s="1"/>
  <c r="J17" i="12" s="1"/>
  <c r="H16" i="12" a="1"/>
  <c r="H16" i="12" s="1"/>
  <c r="C18" i="5" s="1"/>
  <c r="I16" i="12" a="1"/>
  <c r="I16" i="12" s="1"/>
  <c r="J16" i="12" s="1"/>
  <c r="I12" i="25" s="1"/>
  <c r="H20" i="12" a="1"/>
  <c r="H20" i="12" s="1"/>
  <c r="C22" i="5" s="1"/>
  <c r="H23" i="12" a="1"/>
  <c r="H23" i="12" s="1"/>
  <c r="C25" i="5" s="1"/>
  <c r="G21" i="12" a="1"/>
  <c r="G21" i="12" s="1"/>
  <c r="B23" i="5" s="1"/>
  <c r="I20" i="12" a="1"/>
  <c r="I20" i="12" s="1"/>
  <c r="J20" i="12" s="1"/>
  <c r="G23" i="12" a="1"/>
  <c r="G23" i="12" s="1"/>
  <c r="B25" i="5" s="1"/>
  <c r="H17" i="12" a="1"/>
  <c r="H17" i="12" s="1"/>
  <c r="C19" i="5" s="1"/>
  <c r="H22" i="12" a="1"/>
  <c r="H22" i="12" s="1"/>
  <c r="C24" i="5" s="1"/>
  <c r="H21" i="12" a="1"/>
  <c r="H21" i="12" s="1"/>
  <c r="C23" i="5" s="1"/>
  <c r="I18" i="12" a="1"/>
  <c r="I18" i="12" s="1"/>
  <c r="J18" i="12" s="1"/>
  <c r="G22" i="12" a="1"/>
  <c r="G22" i="12" s="1"/>
  <c r="B24" i="5" s="1"/>
  <c r="G20" i="12" a="1"/>
  <c r="G20" i="12" s="1"/>
  <c r="B22" i="5" s="1"/>
  <c r="B21" i="12"/>
  <c r="G17" i="12" s="1" a="1"/>
  <c r="G17" i="12" s="1"/>
  <c r="B19" i="5" s="1"/>
  <c r="I38" i="25" a="1"/>
  <c r="I38" i="25" s="1"/>
  <c r="I34" i="25" a="1"/>
  <c r="I34" i="25" s="1"/>
  <c r="I41" i="25" a="1"/>
  <c r="I41" i="25" s="1"/>
  <c r="I50" i="25" a="1"/>
  <c r="I50" i="25" s="1"/>
  <c r="G15" i="12" a="1"/>
  <c r="G15" i="12" s="1"/>
  <c r="B17" i="5" s="1"/>
  <c r="I23" i="25" a="1"/>
  <c r="I23" i="25" s="1"/>
  <c r="I16" i="25" a="1"/>
  <c r="I16" i="25" s="1"/>
  <c r="I26" i="25" a="1"/>
  <c r="I26" i="25" s="1"/>
  <c r="I25" i="25" a="1"/>
  <c r="I25" i="25" s="1"/>
  <c r="I24" i="25" a="1"/>
  <c r="I24" i="25" s="1"/>
  <c r="I18" i="25" a="1"/>
  <c r="I18" i="25" s="1"/>
  <c r="I17" i="25" a="1"/>
  <c r="I17" i="25" s="1"/>
  <c r="I48" i="25" a="1"/>
  <c r="I48" i="25" s="1"/>
  <c r="G16" i="12" a="1"/>
  <c r="G16" i="12" s="1"/>
  <c r="B18" i="5" s="1"/>
  <c r="I49" i="25" a="1"/>
  <c r="I49" i="25" s="1"/>
  <c r="H13" i="3" l="1"/>
  <c r="F12" i="3"/>
  <c r="C12" i="3"/>
  <c r="G13" i="3"/>
  <c r="B10" i="3"/>
  <c r="C13" i="3"/>
  <c r="D13" i="3"/>
  <c r="E13" i="3"/>
  <c r="J12" i="3"/>
  <c r="B11" i="3"/>
  <c r="B12" i="3"/>
  <c r="J13" i="3"/>
  <c r="K13" i="3"/>
  <c r="I12" i="3"/>
  <c r="F13" i="3"/>
  <c r="I19" i="25" a="1"/>
  <c r="I19" i="25" s="1"/>
  <c r="I37" i="25" a="1"/>
  <c r="I37" i="25" s="1"/>
  <c r="I30" i="25" a="1"/>
  <c r="I30" i="25" s="1"/>
  <c r="I9" i="25"/>
  <c r="I14" i="25"/>
  <c r="I15" i="25"/>
  <c r="J15" i="12"/>
  <c r="I8" i="25" s="1" a="1"/>
  <c r="I8" i="25" s="1"/>
  <c r="I11" i="25"/>
  <c r="I20" i="25" a="1"/>
  <c r="I20" i="25" s="1"/>
  <c r="I33" i="25" a="1"/>
  <c r="I33" i="25" s="1"/>
  <c r="I39" i="25" a="1"/>
  <c r="I39" i="25" s="1"/>
  <c r="I40" i="25" a="1"/>
  <c r="I40" i="25" s="1"/>
  <c r="I32" i="25" a="1"/>
  <c r="I32" i="25" s="1"/>
  <c r="I31" i="25" a="1"/>
  <c r="I31" i="25" s="1"/>
  <c r="I27" i="25" a="1"/>
  <c r="I27" i="25" s="1"/>
  <c r="B13" i="4"/>
  <c r="B12" i="4" s="1"/>
  <c r="I10" i="25"/>
  <c r="I13" i="25"/>
  <c r="I44" i="25" a="1"/>
  <c r="I44" i="25" s="1"/>
  <c r="I45" i="25" a="1"/>
  <c r="I45" i="25" s="1"/>
  <c r="I2" i="25" l="1"/>
  <c r="I3" i="25" a="1"/>
  <c r="I3" i="25" s="1"/>
  <c r="I7" i="25" a="1"/>
  <c r="I7" i="25" s="1"/>
  <c r="I4" i="25" a="1"/>
  <c r="I4" i="25" s="1"/>
  <c r="I6" i="25" a="1"/>
  <c r="I6" i="25" s="1"/>
  <c r="I5" i="25" a="1"/>
  <c r="I5" i="25" s="1"/>
  <c r="L47" i="25" a="1"/>
  <c r="M30" i="25" a="1"/>
  <c r="M2" i="25" a="1"/>
  <c r="L40" i="25" a="1"/>
  <c r="L15" i="25" a="1"/>
  <c r="P36" i="25" a="1"/>
  <c r="L37" i="25" a="1"/>
  <c r="N9" i="25" a="1"/>
  <c r="N39" i="25" a="1"/>
  <c r="L35" i="25" a="1"/>
  <c r="P3" i="25" a="1"/>
  <c r="M52" i="25" a="1"/>
  <c r="N26" i="25" a="1"/>
  <c r="L11" i="25" a="1"/>
  <c r="L23" i="25" a="1"/>
  <c r="N13" i="25" a="1"/>
  <c r="M3" i="25" a="1"/>
  <c r="N14" i="25" a="1"/>
  <c r="L48" i="25" a="1"/>
  <c r="M31" i="25" a="1"/>
  <c r="N20" i="25" a="1"/>
  <c r="N51" i="25" a="1"/>
  <c r="L3" i="25" a="1"/>
  <c r="N38" i="25" a="1"/>
  <c r="N6" i="25" a="1"/>
  <c r="L25" i="25" a="1"/>
  <c r="L39" i="25" a="1"/>
  <c r="M14" i="25" a="1"/>
  <c r="L8" i="25" a="1"/>
  <c r="M4" i="25" a="1"/>
  <c r="N50" i="25" a="1"/>
  <c r="L17" i="25" a="1"/>
  <c r="N29" i="25" a="1"/>
  <c r="L46" i="25" a="1"/>
  <c r="M50" i="25" a="1"/>
  <c r="L30" i="25" a="1"/>
  <c r="P46" i="25" a="1"/>
  <c r="M19" i="25" a="1"/>
  <c r="N44" i="25" a="1"/>
  <c r="L26" i="25" a="1"/>
  <c r="M15" i="25" a="1"/>
  <c r="M39" i="25" a="1"/>
  <c r="M16" i="25" a="1"/>
  <c r="L52" i="25" a="1"/>
  <c r="M48" i="25" a="1"/>
  <c r="L32" i="25" a="1"/>
  <c r="L51" i="25" a="1"/>
  <c r="L13" i="25" a="1"/>
  <c r="M49" i="25" a="1"/>
  <c r="N12" i="25" a="1"/>
  <c r="N21" i="25" a="1"/>
  <c r="N4" i="25" a="1"/>
  <c r="N34" i="25" a="1"/>
  <c r="N10" i="25" a="1"/>
  <c r="L34" i="25" a="1"/>
  <c r="L21" i="25" a="1"/>
  <c r="M34" i="25" a="1"/>
  <c r="L22" i="25" a="1"/>
  <c r="N18" i="25" a="1"/>
  <c r="M43" i="25" a="1"/>
  <c r="L10" i="25" a="1"/>
  <c r="N45" i="25" a="1"/>
  <c r="N28" i="25" a="1"/>
  <c r="N40" i="25" a="1"/>
  <c r="L16" i="25" a="1"/>
  <c r="M44" i="25" a="1"/>
  <c r="N8" i="25" a="1"/>
  <c r="L27" i="25" a="1"/>
  <c r="M17" i="25" a="1"/>
  <c r="N35" i="25" a="1"/>
  <c r="L18" i="25" a="1"/>
  <c r="M21" i="25" a="1"/>
  <c r="M33" i="25" a="1"/>
  <c r="M9" i="25" a="1"/>
  <c r="M42" i="25" a="1"/>
  <c r="N37" i="25" a="1"/>
  <c r="N19" i="25" a="1"/>
  <c r="L38" i="25" a="1"/>
  <c r="M46" i="25" a="1"/>
  <c r="M29" i="25" a="1"/>
  <c r="M47" i="25" a="1"/>
  <c r="N17" i="25" a="1"/>
  <c r="L31" i="25" a="1"/>
  <c r="L45" i="25" a="1"/>
  <c r="L50" i="25" a="1"/>
  <c r="M18" i="25" a="1"/>
  <c r="M45" i="25" a="1"/>
  <c r="M32" i="25" a="1"/>
  <c r="L12" i="25" a="1"/>
  <c r="M7" i="25" a="1"/>
  <c r="L24" i="25" a="1"/>
  <c r="N33" i="25" a="1"/>
  <c r="N25" i="25" a="1"/>
  <c r="L5" i="25" a="1"/>
  <c r="N2" i="25" a="1"/>
  <c r="M6" i="25" a="1"/>
  <c r="N47" i="25" a="1"/>
  <c r="M27" i="25" a="1"/>
  <c r="L2" i="25" a="1"/>
  <c r="M23" i="25" a="1"/>
  <c r="N43" i="25" a="1"/>
  <c r="M20" i="25" a="1"/>
  <c r="N24" i="25" a="1"/>
  <c r="L43" i="25" a="1"/>
  <c r="L6" i="25" a="1"/>
  <c r="M36" i="25" a="1"/>
  <c r="L14" i="25" a="1"/>
  <c r="L29" i="25" a="1"/>
  <c r="M24" i="25" a="1"/>
  <c r="M12" i="25" a="1"/>
  <c r="N27" i="25" a="1"/>
  <c r="M40" i="25" a="1"/>
  <c r="L28" i="25" a="1"/>
  <c r="N7" i="25" a="1"/>
  <c r="L7" i="25" a="1"/>
  <c r="M28" i="25" a="1"/>
  <c r="L19" i="25" a="1"/>
  <c r="N11" i="25" a="1"/>
  <c r="M35" i="25" a="1"/>
  <c r="L20" i="25" a="1"/>
  <c r="M41" i="25" a="1"/>
  <c r="N41" i="25" a="1"/>
  <c r="M13" i="25" a="1"/>
  <c r="M22" i="25" a="1"/>
  <c r="L42" i="25" a="1"/>
  <c r="N46" i="25" a="1"/>
  <c r="M11" i="25" a="1"/>
  <c r="N52" i="25" a="1"/>
  <c r="M8" i="25" a="1"/>
  <c r="N32" i="25" a="1"/>
  <c r="M10" i="25" a="1"/>
  <c r="N31" i="25" a="1"/>
  <c r="N42" i="25" a="1"/>
  <c r="M25" i="25" a="1"/>
  <c r="L44" i="25" a="1"/>
  <c r="N15" i="25" a="1"/>
  <c r="N16" i="25" a="1"/>
  <c r="L49" i="25" a="1"/>
  <c r="L41" i="25" a="1"/>
  <c r="N30" i="25" a="1"/>
  <c r="N3" i="25" a="1"/>
  <c r="N5" i="25" a="1"/>
  <c r="N23" i="25" a="1"/>
  <c r="M38" i="25" a="1"/>
  <c r="N22" i="25" a="1"/>
  <c r="L33" i="25" a="1"/>
  <c r="N48" i="25" a="1"/>
  <c r="M26" i="25" a="1"/>
  <c r="L9" i="25" a="1"/>
  <c r="M5" i="25" a="1"/>
  <c r="M51" i="25" a="1"/>
  <c r="L4" i="25" a="1"/>
  <c r="O2" i="25" a="1"/>
  <c r="N49" i="25" a="1"/>
  <c r="L36" i="25" a="1"/>
  <c r="N36" i="25" a="1"/>
  <c r="M37" i="25" a="1"/>
  <c r="H16" i="3" l="1"/>
  <c r="D29" i="3"/>
  <c r="J25" i="3"/>
  <c r="N23" i="25"/>
  <c r="B23" i="26" s="1"/>
  <c r="L43" i="25"/>
  <c r="A43" i="26" s="1"/>
  <c r="M27" i="25"/>
  <c r="D15" i="3"/>
  <c r="E16" i="3"/>
  <c r="N29" i="25"/>
  <c r="B29" i="26" s="1"/>
  <c r="N45" i="25"/>
  <c r="B45" i="26" s="1"/>
  <c r="G24" i="3"/>
  <c r="M45" i="25"/>
  <c r="F27" i="3"/>
  <c r="M28" i="25"/>
  <c r="N34" i="25"/>
  <c r="B34" i="26" s="1"/>
  <c r="M36" i="25"/>
  <c r="N4" i="25"/>
  <c r="B4" i="26" s="1"/>
  <c r="L28" i="25"/>
  <c r="A28" i="26" s="1"/>
  <c r="I20" i="3"/>
  <c r="J16" i="3"/>
  <c r="N21" i="25"/>
  <c r="B21" i="26" s="1"/>
  <c r="K14" i="3"/>
  <c r="N17" i="25"/>
  <c r="B17" i="26" s="1"/>
  <c r="D25" i="3"/>
  <c r="N24" i="25"/>
  <c r="B24" i="26" s="1"/>
  <c r="N16" i="25"/>
  <c r="B16" i="26" s="1"/>
  <c r="H21" i="3"/>
  <c r="K20" i="3"/>
  <c r="M16" i="25"/>
  <c r="N20" i="25"/>
  <c r="B20" i="26" s="1"/>
  <c r="M19" i="25"/>
  <c r="E20" i="3"/>
  <c r="M3" i="25"/>
  <c r="I29" i="3"/>
  <c r="N51" i="25"/>
  <c r="B51" i="26" s="1"/>
  <c r="B25" i="3"/>
  <c r="L16" i="25"/>
  <c r="A16" i="26" s="1"/>
  <c r="L46" i="25"/>
  <c r="A46" i="26" s="1"/>
  <c r="J14" i="3"/>
  <c r="M22" i="25"/>
  <c r="L3" i="25"/>
  <c r="A3" i="26" s="1"/>
  <c r="N19" i="25"/>
  <c r="B19" i="26" s="1"/>
  <c r="N12" i="25"/>
  <c r="B12" i="26" s="1"/>
  <c r="K27" i="3"/>
  <c r="L32" i="25"/>
  <c r="A32" i="26" s="1"/>
  <c r="I16" i="3"/>
  <c r="H29" i="3"/>
  <c r="I23" i="3"/>
  <c r="B15" i="3"/>
  <c r="D28" i="3"/>
  <c r="F22" i="3"/>
  <c r="M31" i="25"/>
  <c r="N37" i="25"/>
  <c r="B37" i="26" s="1"/>
  <c r="M13" i="25"/>
  <c r="I24" i="3"/>
  <c r="N42" i="25"/>
  <c r="B42" i="26" s="1"/>
  <c r="M52" i="25"/>
  <c r="M42" i="25"/>
  <c r="N47" i="25"/>
  <c r="B47" i="26" s="1"/>
  <c r="L26" i="25"/>
  <c r="A26" i="26" s="1"/>
  <c r="N18" i="25"/>
  <c r="B18" i="26" s="1"/>
  <c r="L25" i="25"/>
  <c r="A25" i="26" s="1"/>
  <c r="H23" i="3"/>
  <c r="H20" i="3"/>
  <c r="L10" i="25"/>
  <c r="A10" i="26" s="1"/>
  <c r="L38" i="25"/>
  <c r="A38" i="26" s="1"/>
  <c r="E25" i="3"/>
  <c r="M30" i="25"/>
  <c r="M41" i="25"/>
  <c r="K24" i="3"/>
  <c r="M17" i="25"/>
  <c r="K25" i="3"/>
  <c r="I21" i="3"/>
  <c r="L35" i="25"/>
  <c r="A35" i="26" s="1"/>
  <c r="M15" i="25"/>
  <c r="L7" i="25"/>
  <c r="A7" i="26" s="1"/>
  <c r="L8" i="25"/>
  <c r="A8" i="26" s="1"/>
  <c r="N7" i="25"/>
  <c r="B7" i="26" s="1"/>
  <c r="N49" i="25"/>
  <c r="B49" i="26" s="1"/>
  <c r="M37" i="25"/>
  <c r="D21" i="3"/>
  <c r="F14" i="3"/>
  <c r="N10" i="25"/>
  <c r="B10" i="26" s="1"/>
  <c r="J21" i="3"/>
  <c r="L18" i="25"/>
  <c r="A18" i="26" s="1"/>
  <c r="N5" i="25"/>
  <c r="B5" i="26" s="1"/>
  <c r="D24" i="3"/>
  <c r="J27" i="3"/>
  <c r="L41" i="25"/>
  <c r="A41" i="26" s="1"/>
  <c r="N14" i="25"/>
  <c r="B14" i="26" s="1"/>
  <c r="M25" i="25"/>
  <c r="M32" i="25"/>
  <c r="N8" i="25"/>
  <c r="B8" i="26" s="1"/>
  <c r="N15" i="25"/>
  <c r="B15" i="26" s="1"/>
  <c r="N27" i="25"/>
  <c r="B27" i="26" s="1"/>
  <c r="M9" i="25"/>
  <c r="M2" i="25"/>
  <c r="M34" i="25"/>
  <c r="M20" i="25"/>
  <c r="F16" i="3"/>
  <c r="F25" i="3"/>
  <c r="K28" i="3"/>
  <c r="M44" i="25"/>
  <c r="N46" i="25"/>
  <c r="B46" i="26" s="1"/>
  <c r="L13" i="25"/>
  <c r="A13" i="26" s="1"/>
  <c r="K16" i="3"/>
  <c r="J15" i="3"/>
  <c r="L37" i="25"/>
  <c r="A37" i="26" s="1"/>
  <c r="N3" i="25"/>
  <c r="B3" i="26" s="1"/>
  <c r="P46" i="25"/>
  <c r="D46" i="26" s="1"/>
  <c r="M47" i="25"/>
  <c r="J22" i="3"/>
  <c r="E29" i="3"/>
  <c r="N52" i="25"/>
  <c r="B52" i="26" s="1"/>
  <c r="L12" i="25"/>
  <c r="A12" i="26" s="1"/>
  <c r="N40" i="25"/>
  <c r="B40" i="26" s="1"/>
  <c r="E27" i="3"/>
  <c r="L11" i="25"/>
  <c r="A11" i="26" s="1"/>
  <c r="J19" i="3"/>
  <c r="B24" i="3"/>
  <c r="A24" i="3"/>
  <c r="M24" i="25"/>
  <c r="M12" i="25"/>
  <c r="N41" i="25"/>
  <c r="B41" i="26" s="1"/>
  <c r="M7" i="25"/>
  <c r="L5" i="25"/>
  <c r="A5" i="26" s="1"/>
  <c r="H24" i="3"/>
  <c r="L44" i="25"/>
  <c r="A44" i="26" s="1"/>
  <c r="M43" i="25"/>
  <c r="K21" i="3"/>
  <c r="M40" i="25"/>
  <c r="D22" i="3"/>
  <c r="L20" i="25"/>
  <c r="A20" i="26" s="1"/>
  <c r="N32" i="25"/>
  <c r="B32" i="26" s="1"/>
  <c r="N36" i="25"/>
  <c r="B36" i="26" s="1"/>
  <c r="N50" i="25"/>
  <c r="B50" i="26" s="1"/>
  <c r="L45" i="25"/>
  <c r="A45" i="26" s="1"/>
  <c r="N33" i="25"/>
  <c r="B33" i="26" s="1"/>
  <c r="B22" i="3"/>
  <c r="E14" i="3"/>
  <c r="N13" i="25"/>
  <c r="B13" i="26" s="1"/>
  <c r="E23" i="3"/>
  <c r="A27" i="3"/>
  <c r="N11" i="25"/>
  <c r="B11" i="26" s="1"/>
  <c r="N35" i="25"/>
  <c r="B35" i="26" s="1"/>
  <c r="M14" i="25"/>
  <c r="M46" i="25"/>
  <c r="N9" i="25"/>
  <c r="B9" i="26" s="1"/>
  <c r="M21" i="25"/>
  <c r="L22" i="25"/>
  <c r="A22" i="26" s="1"/>
  <c r="E26" i="3"/>
  <c r="F19" i="3"/>
  <c r="B20" i="3"/>
  <c r="M29" i="25"/>
  <c r="I14" i="3"/>
  <c r="K29" i="3"/>
  <c r="G28" i="3"/>
  <c r="N26" i="25"/>
  <c r="B26" i="26" s="1"/>
  <c r="M8" i="25"/>
  <c r="O2" i="25"/>
  <c r="C2" i="26" s="1"/>
  <c r="L15" i="25"/>
  <c r="A15" i="26" s="1"/>
  <c r="N25" i="25"/>
  <c r="B25" i="26" s="1"/>
  <c r="F26" i="3"/>
  <c r="A29" i="3"/>
  <c r="M6" i="25"/>
  <c r="M48" i="25"/>
  <c r="L21" i="25"/>
  <c r="A21" i="26" s="1"/>
  <c r="M26" i="25"/>
  <c r="J23" i="3"/>
  <c r="F21" i="3"/>
  <c r="I15" i="3"/>
  <c r="N6" i="25"/>
  <c r="B6" i="26" s="1"/>
  <c r="L6" i="25"/>
  <c r="A6" i="26" s="1"/>
  <c r="F24" i="3"/>
  <c r="B16" i="3"/>
  <c r="H19" i="3"/>
  <c r="E15" i="3"/>
  <c r="I22" i="3"/>
  <c r="M35" i="25"/>
  <c r="L4" i="25"/>
  <c r="A4" i="26" s="1"/>
  <c r="N30" i="25"/>
  <c r="B30" i="26" s="1"/>
  <c r="B21" i="3"/>
  <c r="M23" i="25"/>
  <c r="K22" i="3"/>
  <c r="A19" i="3"/>
  <c r="I19" i="3"/>
  <c r="N31" i="25"/>
  <c r="B31" i="26" s="1"/>
  <c r="M18" i="25"/>
  <c r="G27" i="3"/>
  <c r="L14" i="25"/>
  <c r="A14" i="26" s="1"/>
  <c r="J28" i="3"/>
  <c r="J20" i="3"/>
  <c r="N22" i="25"/>
  <c r="B22" i="26" s="1"/>
  <c r="I27" i="3"/>
  <c r="E22" i="3"/>
  <c r="N44" i="25"/>
  <c r="B44" i="26" s="1"/>
  <c r="M50" i="25"/>
  <c r="G25" i="3"/>
  <c r="M11" i="25"/>
  <c r="D27" i="3"/>
  <c r="P3" i="25"/>
  <c r="D3" i="26" s="1"/>
  <c r="P36" i="25"/>
  <c r="D36" i="26" s="1"/>
  <c r="B28" i="3"/>
  <c r="G19" i="3"/>
  <c r="L29" i="25"/>
  <c r="A29" i="26" s="1"/>
  <c r="L40" i="25"/>
  <c r="A40" i="26" s="1"/>
  <c r="B14" i="3"/>
  <c r="K23" i="3"/>
  <c r="L50" i="25"/>
  <c r="A50" i="26" s="1"/>
  <c r="A23" i="3"/>
  <c r="L24" i="25"/>
  <c r="A24" i="26" s="1"/>
  <c r="L52" i="25"/>
  <c r="A52" i="26" s="1"/>
  <c r="A26" i="3"/>
  <c r="B29" i="3"/>
  <c r="I26" i="3"/>
  <c r="B27" i="3"/>
  <c r="L36" i="25"/>
  <c r="A36" i="26" s="1"/>
  <c r="I28" i="3"/>
  <c r="M5" i="25"/>
  <c r="M49" i="25"/>
  <c r="L23" i="25"/>
  <c r="A23" i="26" s="1"/>
  <c r="L39" i="25"/>
  <c r="A39" i="26" s="1"/>
  <c r="M51" i="25"/>
  <c r="L2" i="25"/>
  <c r="A2" i="26" s="1"/>
  <c r="E24" i="3"/>
  <c r="L27" i="25"/>
  <c r="A27" i="26" s="1"/>
  <c r="K15" i="3"/>
  <c r="N2" i="25"/>
  <c r="B2" i="26" s="1"/>
  <c r="N43" i="25"/>
  <c r="B43" i="26" s="1"/>
  <c r="L49" i="25"/>
  <c r="A49" i="26" s="1"/>
  <c r="N38" i="25"/>
  <c r="B38" i="26" s="1"/>
  <c r="L51" i="25"/>
  <c r="A51" i="26" s="1"/>
  <c r="F29" i="3"/>
  <c r="M38" i="25"/>
  <c r="L30" i="25"/>
  <c r="A30" i="26" s="1"/>
  <c r="L48" i="25"/>
  <c r="A48" i="26" s="1"/>
  <c r="H27" i="3"/>
  <c r="M4" i="25"/>
  <c r="N28" i="25"/>
  <c r="B28" i="26" s="1"/>
  <c r="M10" i="25"/>
  <c r="L34" i="25"/>
  <c r="A34" i="26" s="1"/>
  <c r="L19" i="25"/>
  <c r="A19" i="26" s="1"/>
  <c r="H14" i="3"/>
  <c r="L33" i="25"/>
  <c r="A33" i="26" s="1"/>
  <c r="L17" i="25"/>
  <c r="A17" i="26" s="1"/>
  <c r="N48" i="25"/>
  <c r="B48" i="26" s="1"/>
  <c r="J26" i="3"/>
  <c r="H25" i="3"/>
  <c r="F23" i="3"/>
  <c r="D23" i="3"/>
  <c r="M39" i="25"/>
  <c r="M33" i="25"/>
  <c r="N39" i="25"/>
  <c r="B39" i="26" s="1"/>
  <c r="L9" i="25"/>
  <c r="A9" i="26" s="1"/>
  <c r="E19" i="3"/>
  <c r="E28" i="3"/>
  <c r="B26" i="3"/>
  <c r="F28" i="3"/>
  <c r="K19" i="3"/>
  <c r="B19" i="3"/>
  <c r="I25" i="3"/>
  <c r="J24" i="3"/>
  <c r="L42" i="25"/>
  <c r="A42" i="26" s="1"/>
  <c r="L47" i="25"/>
  <c r="A47" i="26" s="1"/>
  <c r="L31" i="25"/>
  <c r="A31" i="26" s="1"/>
  <c r="P34" i="25" a="1"/>
  <c r="P50" i="25" a="1"/>
  <c r="P11" i="25" a="1"/>
  <c r="P18" i="25" a="1"/>
  <c r="P42" i="25" a="1"/>
  <c r="P17" i="25" a="1"/>
  <c r="P2" i="25" a="1"/>
  <c r="P51" i="25" a="1"/>
  <c r="P28" i="25" a="1"/>
  <c r="P29" i="25" a="1"/>
  <c r="P13" i="25" a="1"/>
  <c r="P52" i="25" a="1"/>
  <c r="P49" i="25" a="1"/>
  <c r="P25" i="25" a="1"/>
  <c r="P12" i="25" a="1"/>
  <c r="P44" i="25" a="1"/>
  <c r="P30" i="25" a="1"/>
  <c r="P23" i="25" a="1"/>
  <c r="P14" i="25" a="1"/>
  <c r="P10" i="25" a="1"/>
  <c r="P15" i="25" a="1"/>
  <c r="P43" i="25" a="1"/>
  <c r="P31" i="25" a="1"/>
  <c r="P20" i="25" a="1"/>
  <c r="P37" i="25" a="1"/>
  <c r="P4" i="25" a="1"/>
  <c r="P16" i="25" a="1"/>
  <c r="P7" i="25" a="1"/>
  <c r="P38" i="25" a="1"/>
  <c r="P32" i="25" a="1"/>
  <c r="P48" i="25" a="1"/>
  <c r="P33" i="25" a="1"/>
  <c r="P26" i="25" a="1"/>
  <c r="P45" i="25" a="1"/>
  <c r="P35" i="25" a="1"/>
  <c r="P41" i="25" a="1"/>
  <c r="P8" i="25" a="1"/>
  <c r="P6" i="25" a="1"/>
  <c r="P5" i="25" a="1"/>
  <c r="P22" i="25" a="1"/>
  <c r="P9" i="25" a="1"/>
  <c r="P27" i="25" a="1"/>
  <c r="P24" i="25" a="1"/>
  <c r="P39" i="25" a="1"/>
  <c r="P40" i="25" a="1"/>
  <c r="P19" i="25" a="1"/>
  <c r="P21" i="25" a="1"/>
  <c r="P47" i="25" a="1"/>
  <c r="P49" i="25" l="1"/>
  <c r="D49" i="26" s="1"/>
  <c r="P41" i="25"/>
  <c r="D41" i="26" s="1"/>
  <c r="P14" i="25"/>
  <c r="D14" i="26" s="1"/>
  <c r="P37" i="25"/>
  <c r="D37" i="26" s="1"/>
  <c r="P13" i="25"/>
  <c r="D13" i="26" s="1"/>
  <c r="P35" i="25"/>
  <c r="D35" i="26" s="1"/>
  <c r="P50" i="25"/>
  <c r="D50" i="26" s="1"/>
  <c r="P26" i="25"/>
  <c r="D26" i="26" s="1"/>
  <c r="P25" i="25"/>
  <c r="D25" i="26" s="1"/>
  <c r="P23" i="25"/>
  <c r="D23" i="26" s="1"/>
  <c r="P18" i="25"/>
  <c r="D18" i="26" s="1"/>
  <c r="P9" i="25"/>
  <c r="D9" i="26" s="1"/>
  <c r="P4" i="25"/>
  <c r="D4" i="26" s="1"/>
  <c r="P42" i="25"/>
  <c r="D42" i="26" s="1"/>
  <c r="P40" i="25"/>
  <c r="D40" i="26" s="1"/>
  <c r="P34" i="25"/>
  <c r="D34" i="26" s="1"/>
  <c r="P28" i="25"/>
  <c r="D28" i="26" s="1"/>
  <c r="P12" i="25"/>
  <c r="D12" i="26" s="1"/>
  <c r="P30" i="25"/>
  <c r="D30" i="26" s="1"/>
  <c r="P20" i="25"/>
  <c r="D20" i="26" s="1"/>
  <c r="P22" i="25"/>
  <c r="D22" i="26" s="1"/>
  <c r="P38" i="25"/>
  <c r="D38" i="26" s="1"/>
  <c r="P32" i="25"/>
  <c r="D32" i="26" s="1"/>
  <c r="P29" i="25"/>
  <c r="D29" i="26" s="1"/>
  <c r="P10" i="25"/>
  <c r="D10" i="26" s="1"/>
  <c r="P33" i="25"/>
  <c r="D33" i="26" s="1"/>
  <c r="P7" i="25"/>
  <c r="D7" i="26" s="1"/>
  <c r="P17" i="25"/>
  <c r="D17" i="26" s="1"/>
  <c r="P8" i="25"/>
  <c r="D8" i="26" s="1"/>
  <c r="P16" i="25"/>
  <c r="D16" i="26" s="1"/>
  <c r="P21" i="25"/>
  <c r="D21" i="26" s="1"/>
  <c r="P43" i="25"/>
  <c r="D43" i="26" s="1"/>
  <c r="P45" i="25"/>
  <c r="D45" i="26" s="1"/>
  <c r="P48" i="25"/>
  <c r="D48" i="26" s="1"/>
  <c r="P47" i="25"/>
  <c r="D47" i="26" s="1"/>
  <c r="P24" i="25"/>
  <c r="D24" i="26" s="1"/>
  <c r="P5" i="25"/>
  <c r="D5" i="26" s="1"/>
  <c r="P11" i="25"/>
  <c r="D11" i="26" s="1"/>
  <c r="P2" i="25"/>
  <c r="D2" i="26" s="1"/>
  <c r="P15" i="25"/>
  <c r="D15" i="26" s="1"/>
  <c r="P6" i="25"/>
  <c r="D6" i="26" s="1"/>
  <c r="P44" i="25"/>
  <c r="D44" i="26" s="1"/>
  <c r="P39" i="25"/>
  <c r="D39" i="26" s="1"/>
  <c r="P31" i="25"/>
  <c r="D31" i="26" s="1"/>
  <c r="P51" i="25"/>
  <c r="D51" i="26" s="1"/>
  <c r="P52" i="25"/>
  <c r="D52" i="26" s="1"/>
  <c r="P27" i="25"/>
  <c r="D27" i="26" s="1"/>
  <c r="P19" i="25"/>
  <c r="D19" i="26" s="1"/>
  <c r="B1" i="3"/>
</calcChain>
</file>

<file path=xl/comments1.xml><?xml version="1.0" encoding="utf-8"?>
<comments xmlns="http://schemas.openxmlformats.org/spreadsheetml/2006/main">
  <authors>
    <author>OnkoZert</author>
    <author>Florina</author>
  </authors>
  <commentList>
    <comment ref="C6" authorId="0">
      <text>
        <r>
          <rPr>
            <sz val="8"/>
            <color indexed="81"/>
            <rFont val="Arial"/>
            <family val="2"/>
          </rPr>
          <t>Bitte Reg.-Nr. auswählen, siehe Zertifikat Beispiel, und 
dann die grauen Felder ausfüllen.</t>
        </r>
      </text>
    </comment>
    <comment ref="K6" authorId="0">
      <text/>
    </comment>
    <comment ref="C12" authorId="0">
      <text>
        <r>
          <rPr>
            <sz val="9"/>
            <color indexed="81"/>
            <rFont val="Arial"/>
            <family val="2"/>
          </rPr>
          <t>Name, Vorname</t>
        </r>
      </text>
    </comment>
    <comment ref="O12" authorId="0">
      <text>
        <r>
          <rPr>
            <sz val="9"/>
            <color indexed="81"/>
            <rFont val="Arial"/>
            <family val="2"/>
          </rPr>
          <t>tt.mm.jjjj
Übertrag in weitere Tabellenblätter erfolgt automatisch.</t>
        </r>
      </text>
    </comment>
    <comment ref="O14" authorId="0">
      <text>
        <r>
          <rPr>
            <sz val="9"/>
            <color indexed="81"/>
            <rFont val="Arial"/>
            <family val="2"/>
          </rPr>
          <t>Auswahl erfolgt über Reg.-Nr.</t>
        </r>
      </text>
    </comment>
    <comment ref="I20" authorId="0">
      <text>
        <r>
          <rPr>
            <sz val="9"/>
            <color indexed="81"/>
            <rFont val="Arial"/>
            <family val="2"/>
          </rPr>
          <t>Subjektive Bewertung der Zusammenarbeit hinsichtlich Darlegung der Zertifizierungsdaten und Rückmeldung der Follow-Up-Daten.</t>
        </r>
      </text>
    </comment>
    <comment ref="I23" authorId="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B27" authorId="0">
      <text>
        <r>
          <rPr>
            <sz val="9"/>
            <color indexed="81"/>
            <rFont val="Arial"/>
            <family val="2"/>
          </rPr>
          <t>KB = Kennzahlenbogen
KN = Kennzahlen</t>
        </r>
      </text>
    </comment>
    <comment ref="P27" authorId="0">
      <text>
        <r>
          <rPr>
            <sz val="9"/>
            <color indexed="81"/>
            <rFont val="Arial"/>
            <family val="2"/>
          </rPr>
          <t>Patienten mit Malignem Melanom der Uvea, Konjunktiva, Schleimhaut werden ausschließlich für Spalte P gezählt. Keine Doppelangaben.</t>
        </r>
      </text>
    </comment>
    <comment ref="M34" authorId="1">
      <text>
        <r>
          <rPr>
            <sz val="9"/>
            <color indexed="81"/>
            <rFont val="Arial"/>
            <family val="2"/>
          </rPr>
          <t>Teil von Nenner KN: 18</t>
        </r>
      </text>
    </comment>
    <comment ref="O34" authorId="1">
      <text>
        <r>
          <rPr>
            <sz val="9"/>
            <color indexed="81"/>
            <rFont val="Arial"/>
            <family val="2"/>
          </rPr>
          <t>Teil von Nenner KN: 18</t>
        </r>
      </text>
    </comment>
    <comment ref="R34" authorId="1">
      <text>
        <r>
          <rPr>
            <sz val="9"/>
            <color indexed="81"/>
            <rFont val="Arial"/>
            <family val="2"/>
          </rPr>
          <t>Anzahl KN: 1.4
Teil von Nenner KN: 2, 4, 5</t>
        </r>
      </text>
    </comment>
    <comment ref="I37" authorId="1">
      <text>
        <r>
          <rPr>
            <sz val="9"/>
            <color indexed="81"/>
            <rFont val="Arial"/>
            <family val="2"/>
          </rPr>
          <t>Teil von Nenner KN: 17</t>
        </r>
      </text>
    </comment>
    <comment ref="J37" authorId="1">
      <text>
        <r>
          <rPr>
            <sz val="9"/>
            <color indexed="81"/>
            <rFont val="Arial"/>
            <family val="2"/>
          </rPr>
          <t>Teil von Nenner KN: 17</t>
        </r>
      </text>
    </comment>
    <comment ref="K37" authorId="1">
      <text>
        <r>
          <rPr>
            <sz val="9"/>
            <color indexed="81"/>
            <rFont val="Arial"/>
            <family val="2"/>
          </rPr>
          <t>Teil von Nenner KN: 17</t>
        </r>
      </text>
    </comment>
    <comment ref="L37" authorId="1">
      <text>
        <r>
          <rPr>
            <sz val="9"/>
            <color indexed="81"/>
            <rFont val="Arial"/>
            <family val="2"/>
          </rPr>
          <t>Teil von Nenner KN: 17</t>
        </r>
      </text>
    </comment>
    <comment ref="M37" authorId="1">
      <text>
        <r>
          <rPr>
            <sz val="9"/>
            <color indexed="81"/>
            <rFont val="Arial"/>
            <family val="2"/>
          </rPr>
          <t>Teil von Nenner KN: 17, 18</t>
        </r>
      </text>
    </comment>
    <comment ref="N37" authorId="1">
      <text>
        <r>
          <rPr>
            <sz val="9"/>
            <color indexed="81"/>
            <rFont val="Arial"/>
            <family val="2"/>
          </rPr>
          <t>Teil von Nenner KN: 17</t>
        </r>
      </text>
    </comment>
    <comment ref="O37" authorId="1">
      <text>
        <r>
          <rPr>
            <sz val="9"/>
            <color indexed="81"/>
            <rFont val="Arial"/>
            <family val="2"/>
          </rPr>
          <t>Teil von Nenner KN: 17, 18</t>
        </r>
      </text>
    </comment>
    <comment ref="P37" authorId="1">
      <text>
        <r>
          <rPr>
            <sz val="9"/>
            <color indexed="81"/>
            <rFont val="Arial"/>
            <family val="2"/>
          </rPr>
          <t>Teil von Nenner KN: 2</t>
        </r>
      </text>
    </comment>
    <comment ref="R37" authorId="0">
      <text>
        <r>
          <rPr>
            <sz val="9"/>
            <color indexed="81"/>
            <rFont val="Arial"/>
            <family val="2"/>
          </rPr>
          <t>Anzahl KN: 1.2 
Teil von Nenner KN: 4, 5</t>
        </r>
      </text>
    </comment>
    <comment ref="D42" authorId="0">
      <text>
        <r>
          <rPr>
            <sz val="9"/>
            <color indexed="8"/>
            <rFont val="Arial"/>
            <family val="2"/>
          </rPr>
          <t>Anzahl KN 1.1</t>
        </r>
      </text>
    </comment>
    <comment ref="D43" authorId="0">
      <text>
        <r>
          <rPr>
            <sz val="9"/>
            <color indexed="81"/>
            <rFont val="Arial"/>
            <family val="2"/>
          </rPr>
          <t>Anzahl KN 1.3</t>
        </r>
      </text>
    </comment>
  </commentList>
</comments>
</file>

<file path=xl/comments2.xml><?xml version="1.0" encoding="utf-8"?>
<comments xmlns="http://schemas.openxmlformats.org/spreadsheetml/2006/main">
  <authors>
    <author>OnkoZert</author>
    <author>Florina</author>
    <author>OnkoZert - Christine Keller</author>
  </authors>
  <commentList>
    <comment ref="F6" authorId="0">
      <text>
        <r>
          <rPr>
            <sz val="9"/>
            <color indexed="81"/>
            <rFont val="Arial"/>
            <family val="2"/>
          </rPr>
          <t>Übertrag erfolgt aus 
Tabellenblatt Basisdaten</t>
        </r>
      </text>
    </comment>
    <comment ref="F8" authorId="0">
      <text>
        <r>
          <rPr>
            <sz val="9"/>
            <color indexed="81"/>
            <rFont val="Arial"/>
            <family val="2"/>
          </rPr>
          <t>Übertrag erfolgt aus 
Tabellenblatt Basisdaten</t>
        </r>
      </text>
    </comment>
    <comment ref="K8" authorId="0">
      <text>
        <r>
          <rPr>
            <sz val="9"/>
            <color indexed="81"/>
            <rFont val="Arial"/>
            <family val="2"/>
          </rPr>
          <t>Übertrag erfolgt aus 
Tabellenblatt Basisdaten</t>
        </r>
      </text>
    </comment>
    <comment ref="B10" authorId="0">
      <text>
        <r>
          <rPr>
            <sz val="9"/>
            <color indexed="81"/>
            <rFont val="Arial"/>
            <family val="2"/>
          </rPr>
          <t>KN = Kennzahl</t>
        </r>
      </text>
    </comment>
    <comment ref="D10" authorId="0">
      <text>
        <r>
          <rPr>
            <sz val="9"/>
            <color indexed="81"/>
            <rFont val="Arial"/>
            <family val="2"/>
          </rPr>
          <t>EB = Erhebungsbogen 
LL = Leitlinie (www.leitlinienprogramm-onkologie.de)</t>
        </r>
      </text>
    </comment>
    <comment ref="P10" authorId="0">
      <text>
        <r>
          <rPr>
            <sz val="9"/>
            <color indexed="81"/>
            <rFont val="Arial"/>
            <family val="2"/>
          </rPr>
          <t>Bitte zuerst Tabellenblatt Basisdaten komplett bearbeiten, 
dann graue Felder Ist-Werte ausfüllen.</t>
        </r>
      </text>
    </comment>
    <comment ref="S11" authorId="0">
      <text>
        <r>
          <rPr>
            <sz val="9"/>
            <color indexed="81"/>
            <rFont val="Arial"/>
            <family val="2"/>
          </rPr>
          <t>Wenn Zelle grau, bitte Begründung angeben.</t>
        </r>
      </text>
    </comment>
    <comment ref="Q12" authorId="0">
      <text>
        <r>
          <rPr>
            <sz val="9"/>
            <color indexed="81"/>
            <rFont val="Arial"/>
            <family val="2"/>
          </rPr>
          <t>Übertrag erfolgt aus Tabellenblatt Basisdaten
Zelle D42</t>
        </r>
      </text>
    </comment>
    <comment ref="Q15" authorId="0">
      <text>
        <r>
          <rPr>
            <sz val="9"/>
            <color indexed="81"/>
            <rFont val="Arial"/>
            <family val="2"/>
          </rPr>
          <t>Übertrag erfolgt aus Tabellenblatt Basisdaten
Zelle R37</t>
        </r>
      </text>
    </comment>
    <comment ref="Q18" authorId="0">
      <text>
        <r>
          <rPr>
            <sz val="9"/>
            <color indexed="81"/>
            <rFont val="Arial"/>
            <family val="2"/>
          </rPr>
          <t>Übertrag erfolgt aus Tabellenblatt Basisdaten
Zelle D43</t>
        </r>
      </text>
    </comment>
    <comment ref="Q21" authorId="1">
      <text>
        <r>
          <rPr>
            <sz val="9"/>
            <color indexed="81"/>
            <rFont val="Arial"/>
            <family val="2"/>
          </rPr>
          <t>Übertrag erfolgt aus Tabellenblatt Basisdaten
Zelle R34</t>
        </r>
      </text>
    </comment>
    <comment ref="Q25" authorId="0">
      <text>
        <r>
          <rPr>
            <sz val="9"/>
            <color indexed="81"/>
            <rFont val="Arial"/>
            <family val="2"/>
          </rPr>
          <t>Übertrag erfolgt aus Summe 
Basisdaten R34 + Basisdaten P37</t>
        </r>
      </text>
    </comment>
    <comment ref="Q28" authorId="0">
      <text>
        <r>
          <rPr>
            <sz val="9"/>
            <color indexed="81"/>
            <rFont val="Arial"/>
            <family val="2"/>
          </rPr>
          <t>Übertrag erfolgt aus Zähler KN 2</t>
        </r>
      </text>
    </comment>
    <comment ref="Q31" authorId="0">
      <text>
        <r>
          <rPr>
            <sz val="9"/>
            <color indexed="81"/>
            <rFont val="Arial"/>
            <family val="2"/>
          </rPr>
          <t>Übertrag erfolgt aus Summe 
KN 1.2 + Basisdaten R34</t>
        </r>
      </text>
    </comment>
    <comment ref="Q34" authorId="0">
      <text>
        <r>
          <rPr>
            <sz val="9"/>
            <color indexed="81"/>
            <rFont val="Arial"/>
            <family val="2"/>
          </rPr>
          <t>Übertrag erfolgt aus Summe 
KN 1.2 + Basisdaten R34</t>
        </r>
      </text>
    </comment>
    <comment ref="Q36" authorId="0">
      <text>
        <r>
          <rPr>
            <sz val="9"/>
            <color indexed="81"/>
            <rFont val="Arial"/>
            <family val="2"/>
          </rPr>
          <t>Der Zähler ist keine Teilmenge des Nenners.</t>
        </r>
      </text>
    </comment>
    <comment ref="Q40" authorId="0">
      <text>
        <r>
          <rPr>
            <sz val="9"/>
            <color indexed="81"/>
            <rFont val="Arial"/>
            <family val="2"/>
          </rPr>
          <t>Die OPS-Codes, welche gezählt werden können, sind in den "FAQ's zum Erhebungsbogen für Hautkrebszentren" hinterlegt.</t>
        </r>
      </text>
    </comment>
    <comment ref="Q49" authorId="2">
      <text>
        <r>
          <rPr>
            <sz val="9"/>
            <color indexed="81"/>
            <rFont val="Arial"/>
            <family val="2"/>
          </rPr>
          <t>Übertrag erfolgt aus Summe 
KN 8 + KN 9</t>
        </r>
      </text>
    </comment>
    <comment ref="Q55" authorId="2">
      <text>
        <r>
          <rPr>
            <sz val="9"/>
            <color indexed="81"/>
            <rFont val="Arial"/>
            <family val="2"/>
          </rPr>
          <t>Übertrag erfolgt aus Summe 
KN 8 + KN 9</t>
        </r>
      </text>
    </comment>
    <comment ref="Q70" authorId="1">
      <text>
        <r>
          <rPr>
            <sz val="9"/>
            <color indexed="81"/>
            <rFont val="Arial"/>
            <family val="2"/>
          </rPr>
          <t>Übertrag erfolgt aus Tabellenblatt Basisdaten Zelle I37:O37</t>
        </r>
      </text>
    </comment>
    <comment ref="Q73" authorId="1">
      <text>
        <r>
          <rPr>
            <sz val="9"/>
            <color indexed="81"/>
            <rFont val="Arial"/>
            <family val="2"/>
          </rPr>
          <t>Übertrag erfolgt aus Tabellenblatt Basisdaten Zelle M37+O37+M34+O34</t>
        </r>
      </text>
    </comment>
  </commentList>
</comments>
</file>

<file path=xl/comments3.xml><?xml version="1.0" encoding="utf-8"?>
<comments xmlns="http://schemas.openxmlformats.org/spreadsheetml/2006/main">
  <authors>
    <author>OnkoZert - Christine Keller</author>
  </authors>
  <commentList>
    <comment ref="D24" authorId="0">
      <text>
        <r>
          <rPr>
            <sz val="9"/>
            <color indexed="81"/>
            <rFont val="Tahoma"/>
            <family val="2"/>
          </rPr>
          <t xml:space="preserve">für Matrix EQ
</t>
        </r>
      </text>
    </comment>
    <comment ref="H33" authorId="0">
      <text>
        <r>
          <rPr>
            <b/>
            <sz val="9"/>
            <color indexed="81"/>
            <rFont val="Tahoma"/>
            <family val="2"/>
          </rPr>
          <t>OnkoZert - Christine Keller:</t>
        </r>
        <r>
          <rPr>
            <sz val="9"/>
            <color indexed="81"/>
            <rFont val="Tahoma"/>
            <family val="2"/>
          </rPr>
          <t xml:space="preserve">
Angabe aus KB übernommen.</t>
        </r>
      </text>
    </comment>
  </commentList>
</comments>
</file>

<file path=xl/comments4.xml><?xml version="1.0" encoding="utf-8"?>
<comments xmlns="http://schemas.openxmlformats.org/spreadsheetml/2006/main">
  <authors>
    <author>OnkoZert</author>
  </authors>
  <commentList>
    <comment ref="C6" authorId="0">
      <text>
        <r>
          <rPr>
            <sz val="9"/>
            <color indexed="81"/>
            <rFont val="Arial"/>
            <family val="2"/>
          </rPr>
          <t>Übertrag erfolgt aus 
Tabellenblatt Basisdaten</t>
        </r>
      </text>
    </comment>
    <comment ref="C8" authorId="0">
      <text>
        <r>
          <rPr>
            <sz val="9"/>
            <color indexed="81"/>
            <rFont val="Arial"/>
            <family val="2"/>
          </rPr>
          <t>Übertrag erfolgt aus 
Tabellenblatt Basisdaten</t>
        </r>
      </text>
    </comment>
    <comment ref="J8" authorId="0">
      <text>
        <r>
          <rPr>
            <sz val="9"/>
            <color indexed="81"/>
            <rFont val="Arial"/>
            <family val="2"/>
          </rPr>
          <t>Übertrag erfolgt aus 
Tabellenblatt Basisdaten</t>
        </r>
      </text>
    </comment>
  </commentList>
</comments>
</file>

<file path=xl/comments5.xml><?xml version="1.0" encoding="utf-8"?>
<comments xmlns="http://schemas.openxmlformats.org/spreadsheetml/2006/main">
  <authors>
    <author>OnkoZert</author>
  </authors>
  <commentList>
    <comment ref="C6" authorId="0">
      <text>
        <r>
          <rPr>
            <sz val="9"/>
            <color indexed="81"/>
            <rFont val="Arial"/>
            <family val="2"/>
          </rPr>
          <t>Übertrag erfolgt aus 
Tabellenblatt Basisdaten</t>
        </r>
      </text>
    </comment>
    <comment ref="C8" authorId="0">
      <text>
        <r>
          <rPr>
            <sz val="9"/>
            <color indexed="81"/>
            <rFont val="Arial"/>
            <family val="2"/>
          </rPr>
          <t>Übertrag erfolgt aus 
Tabellenblatt Basisdaten</t>
        </r>
      </text>
    </comment>
    <comment ref="X8" authorId="0">
      <text>
        <r>
          <rPr>
            <sz val="9"/>
            <color indexed="81"/>
            <rFont val="Arial"/>
            <family val="2"/>
          </rPr>
          <t>Übertrag erfolgt aus 
Tabellenblatt Basisdaten</t>
        </r>
      </text>
    </comment>
  </commentList>
</comments>
</file>

<file path=xl/comments6.xml><?xml version="1.0" encoding="utf-8"?>
<comments xmlns="http://schemas.openxmlformats.org/spreadsheetml/2006/main">
  <authors>
    <author>OnkoZert</author>
  </authors>
  <commentList>
    <comment ref="C6" authorId="0">
      <text>
        <r>
          <rPr>
            <sz val="9"/>
            <color indexed="81"/>
            <rFont val="Arial"/>
            <family val="2"/>
          </rPr>
          <t>Übertrag erfolgt aus 
Tabellenblatt Basisdaten</t>
        </r>
      </text>
    </comment>
    <comment ref="C8" authorId="0">
      <text>
        <r>
          <rPr>
            <sz val="9"/>
            <color indexed="81"/>
            <rFont val="Arial"/>
            <family val="2"/>
          </rPr>
          <t>Übertrag erfolgt aus 
Tabellenblatt Basisdaten</t>
        </r>
      </text>
    </comment>
    <comment ref="G8" authorId="0">
      <text>
        <r>
          <rPr>
            <sz val="9"/>
            <color indexed="81"/>
            <rFont val="Arial"/>
            <family val="2"/>
          </rPr>
          <t>Übertrag erfolgt aus 
Tabellenblatt Basisdaten</t>
        </r>
      </text>
    </comment>
    <comment ref="C15" authorId="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<sst xmlns="http://schemas.openxmlformats.org/spreadsheetml/2006/main" count="1392" uniqueCount="841">
  <si>
    <t>Begründung / Ursache</t>
  </si>
  <si>
    <t>Eingeleitete / geplante Aktionen</t>
  </si>
  <si>
    <t>Erläuterung hinsichtlich Datendefizit
Begründung / Ursachenanalyse / Aktionen</t>
  </si>
  <si>
    <t>Geringe / punktuelle Zusammenarbeit</t>
  </si>
  <si>
    <t>Intensive / regelmäßige Zusammenarbeit</t>
  </si>
  <si>
    <t>Nr.</t>
  </si>
  <si>
    <t>Kennzahlenziel</t>
  </si>
  <si>
    <t>Zähler</t>
  </si>
  <si>
    <t>Sollvorgabe</t>
  </si>
  <si>
    <t>Nenner</t>
  </si>
  <si>
    <t>%</t>
  </si>
  <si>
    <t>Primärfälle</t>
  </si>
  <si>
    <t>Anzahl</t>
  </si>
  <si>
    <t>Sollvorgabe nicht erfüllt</t>
  </si>
  <si>
    <t>F</t>
  </si>
  <si>
    <t>I</t>
  </si>
  <si>
    <t>Jahr der Erstdiagnose</t>
  </si>
  <si>
    <t>Summe</t>
  </si>
  <si>
    <t>Gesamt</t>
  </si>
  <si>
    <t>Quote</t>
  </si>
  <si>
    <t>Reg.-Nr.</t>
  </si>
  <si>
    <t>Bundesland</t>
  </si>
  <si>
    <t>Thüringen</t>
  </si>
  <si>
    <t>Tumorzentrum Erfurt</t>
  </si>
  <si>
    <t>Tumordokumentationssystem</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</si>
  <si>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</si>
  <si>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</si>
  <si>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</si>
  <si>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</si>
  <si>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</si>
  <si>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</si>
  <si>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</si>
  <si>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</si>
  <si>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</si>
  <si>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</si>
  <si>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</si>
  <si>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</si>
  <si>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</si>
  <si>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</si>
  <si>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</si>
  <si>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</si>
  <si>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</si>
  <si>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</si>
  <si>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</si>
  <si>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</si>
  <si>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</si>
  <si>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</si>
  <si>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</si>
  <si>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</si>
  <si>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</si>
  <si>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</si>
  <si>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</si>
  <si>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</si>
  <si>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</si>
  <si>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</si>
  <si>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</si>
  <si>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</si>
  <si>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</si>
  <si>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</si>
  <si>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</si>
  <si>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OAS</t>
  </si>
  <si>
    <t>Datenqualität</t>
  </si>
  <si>
    <t>Aktion</t>
  </si>
  <si>
    <t>ID</t>
  </si>
  <si>
    <t>HID</t>
  </si>
  <si>
    <t>EingeleiteteAktionen</t>
  </si>
  <si>
    <t>Aktionen</t>
  </si>
  <si>
    <t>vID</t>
  </si>
  <si>
    <t>Zaehler</t>
  </si>
  <si>
    <t>Nr</t>
  </si>
  <si>
    <t>RegNr</t>
  </si>
  <si>
    <t>FormularID</t>
  </si>
  <si>
    <t>ErlaeuterungDatendefizit</t>
  </si>
  <si>
    <t>% Angabe</t>
  </si>
  <si>
    <t>Tumorzentrum Zwickau</t>
  </si>
  <si>
    <t>Italien</t>
  </si>
  <si>
    <t>Kennzahlenbogen</t>
  </si>
  <si>
    <t>Erstelldatum</t>
  </si>
  <si>
    <t>Plausibilität unklar</t>
  </si>
  <si>
    <t>Verifizierung Zentrum</t>
  </si>
  <si>
    <t xml:space="preserve">Reg.-Nr. </t>
  </si>
  <si>
    <t>Erstzertifizierung</t>
  </si>
  <si>
    <t>Basisdaten</t>
  </si>
  <si>
    <t>Datenqualität Kennzahlen</t>
  </si>
  <si>
    <t>Grundgesamtheit 
(= Nenner)</t>
  </si>
  <si>
    <t>L</t>
  </si>
  <si>
    <t>Follow-Up-Meldungen</t>
  </si>
  <si>
    <t>I.O.</t>
  </si>
  <si>
    <t>I.O. (Plausibilität unklar)</t>
  </si>
  <si>
    <t>Pflicht Berechnung</t>
  </si>
  <si>
    <t>Optional Berechnung</t>
  </si>
  <si>
    <t>optional - I.O.</t>
  </si>
  <si>
    <t>optional - I.O. (Plausibilität unklar)</t>
  </si>
  <si>
    <t>optional - Sollvorgabe nicht erfüllt</t>
  </si>
  <si>
    <t>optional - unvollständig</t>
  </si>
  <si>
    <t>optional - inkorrekt</t>
  </si>
  <si>
    <t>In Ordnung</t>
  </si>
  <si>
    <t>Plausibel</t>
  </si>
  <si>
    <t>Inkorrekt</t>
  </si>
  <si>
    <t>Fehlerhaft</t>
  </si>
  <si>
    <t>Unvollständig</t>
  </si>
  <si>
    <t>kein Eintrag</t>
  </si>
  <si>
    <t>n.d.</t>
  </si>
  <si>
    <t>Bearbeitungs-qualität</t>
  </si>
  <si>
    <t>DFS</t>
  </si>
  <si>
    <t>Follow-Up-Quote der letzten 1-3 Jahre</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</si>
  <si>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</si>
  <si>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</si>
  <si>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</si>
  <si>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</si>
  <si>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</si>
  <si>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</si>
  <si>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</si>
  <si>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</si>
  <si>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</si>
  <si>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</si>
  <si>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</si>
  <si>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untere Grenze</t>
  </si>
  <si>
    <t>obere Grenze</t>
  </si>
  <si>
    <t>Werte</t>
  </si>
  <si>
    <t>Texte</t>
  </si>
  <si>
    <t>von</t>
  </si>
  <si>
    <t>ART</t>
  </si>
  <si>
    <t>plausi</t>
  </si>
  <si>
    <t>sollvorgabe</t>
  </si>
  <si>
    <t>unvollständig</t>
  </si>
  <si>
    <t>Liste zum Übertragen</t>
  </si>
  <si>
    <t>Kalenderjahr(e) 
(Erstdiagnose)</t>
  </si>
  <si>
    <t>Länge</t>
  </si>
  <si>
    <t>Prüfung der Nenner</t>
  </si>
  <si>
    <t>Wert</t>
  </si>
  <si>
    <t>Erläuterung</t>
  </si>
  <si>
    <t>relevant</t>
  </si>
  <si>
    <t>Zentrum</t>
  </si>
  <si>
    <t>Standort</t>
  </si>
  <si>
    <t>Matrix kann eingereicht werden</t>
  </si>
  <si>
    <t>Einrichtung 1</t>
  </si>
  <si>
    <t>Status</t>
  </si>
  <si>
    <t>Land</t>
  </si>
  <si>
    <t>Nebenstandort</t>
  </si>
  <si>
    <t>Phase</t>
  </si>
  <si>
    <t>Audit Start</t>
  </si>
  <si>
    <t>Audit Ende</t>
  </si>
  <si>
    <t>Phase 2012</t>
  </si>
  <si>
    <t>Phase 2013</t>
  </si>
  <si>
    <t>die inkorrekten und unvollständigen Einträge beheben</t>
  </si>
  <si>
    <t>Zellen müssen nicht ausgefüllt werden</t>
  </si>
  <si>
    <t>Anzahl Primärfälle</t>
  </si>
  <si>
    <t>&lt; Follow-Up</t>
  </si>
  <si>
    <t>2</t>
  </si>
  <si>
    <t>3</t>
  </si>
  <si>
    <t>1.7.5</t>
  </si>
  <si>
    <t>≥ 5%</t>
  </si>
  <si>
    <t>≥ 95%</t>
  </si>
  <si>
    <t>≥ 80%</t>
  </si>
  <si>
    <t>Zähler/ Anzahl</t>
  </si>
  <si>
    <t>Texte Matrix Datenquali</t>
  </si>
  <si>
    <t>Fehlermeldungen Matrix</t>
  </si>
  <si>
    <t>Ganze Zahl zwischen 0 und 5000 eingeben.</t>
  </si>
  <si>
    <t>zu wenig Primärfälle angegeben</t>
  </si>
  <si>
    <t>OAS auffällig hoch</t>
  </si>
  <si>
    <t>MATRIX- Hilfstabelle</t>
  </si>
  <si>
    <t>D</t>
  </si>
  <si>
    <t>J</t>
  </si>
  <si>
    <t>M</t>
  </si>
  <si>
    <t>B</t>
  </si>
  <si>
    <t>Tumordoku. liegt größtenteils beim Krebsregister</t>
  </si>
  <si>
    <t>C</t>
  </si>
  <si>
    <t>Kennzahl-
definition</t>
  </si>
  <si>
    <t>1.1.3</t>
  </si>
  <si>
    <t xml:space="preserve">Sentinel Node-Biopsie </t>
  </si>
  <si>
    <t>Adäquate Rate an psychoonkologischer Betreuung</t>
  </si>
  <si>
    <t>Möglichst häufig intraoperativer Nachweis des markierten Sentinel-LK</t>
  </si>
  <si>
    <t>Invasive maligne Melanome</t>
  </si>
  <si>
    <t>Epitheliale Tumoren (exclusive in-situ)</t>
  </si>
  <si>
    <t>Basisdaten Haut</t>
  </si>
  <si>
    <t xml:space="preserve">≥ 30 </t>
  </si>
  <si>
    <t>≥ 100</t>
  </si>
  <si>
    <t>≥ 40</t>
  </si>
  <si>
    <t>Kennzahlenbogen Haut</t>
  </si>
  <si>
    <t>Keine Zusammenarbeit</t>
  </si>
  <si>
    <t>IV</t>
  </si>
  <si>
    <t>E</t>
  </si>
  <si>
    <t>H</t>
  </si>
  <si>
    <t>Keine Rückmeldung</t>
  </si>
  <si>
    <t>OAS nach Kaplan-Meier    
(Overall Survival) in %</t>
  </si>
  <si>
    <t>O</t>
  </si>
  <si>
    <t>FAH-Z001</t>
  </si>
  <si>
    <t>Deutschland</t>
  </si>
  <si>
    <t>FAH-Z002</t>
  </si>
  <si>
    <t>Hauttumorzentrum - HTZ Klinikum Kassel</t>
  </si>
  <si>
    <t>FAH-Z003</t>
  </si>
  <si>
    <t>Hauttumorzentrum der Universitäts-Hautklinik und des NCT Heidelberg</t>
  </si>
  <si>
    <t>FAH-Z004</t>
  </si>
  <si>
    <t>Hauttumorzentrum der Universitätsmedizin Greifswald</t>
  </si>
  <si>
    <t>Universitätsmedizin Greifswald</t>
  </si>
  <si>
    <t>FAH-Z005</t>
  </si>
  <si>
    <t>Hautkrebszentrum Harz</t>
  </si>
  <si>
    <t>FAH-Z006</t>
  </si>
  <si>
    <t>Hauttumorzentrum Hornheide - Münster</t>
  </si>
  <si>
    <t>Fachklinik Hornheide</t>
  </si>
  <si>
    <t>FAH-Z007</t>
  </si>
  <si>
    <t>Hauttumorzentrum des Universitätsklinikums Leipzig</t>
  </si>
  <si>
    <t>Universitätsklinikum Leipzig AöR</t>
  </si>
  <si>
    <t>FAH-Z008</t>
  </si>
  <si>
    <t>Hauttumorzentrum des Universitätsklinikums Jena</t>
  </si>
  <si>
    <t>Universitätsklinikum Jena</t>
  </si>
  <si>
    <t>FAH-Z009</t>
  </si>
  <si>
    <t>Hauttumorzentrum Darmstadt</t>
  </si>
  <si>
    <t>FAH-Z010</t>
  </si>
  <si>
    <t>FAH-Z011</t>
  </si>
  <si>
    <t>Hauttumorzentrum Rheinpfalz Standort Ludwigshafen</t>
  </si>
  <si>
    <t>FAH-Z012</t>
  </si>
  <si>
    <t>Hauttumorzentrum Mannheim</t>
  </si>
  <si>
    <t>Klinik für Dermatologie, Venerologie und Allergologie Universitätsmedizin Mannheim (UMM)</t>
  </si>
  <si>
    <t>FAH-Z013</t>
  </si>
  <si>
    <t>FAH-Z014</t>
  </si>
  <si>
    <t>Hauttumorzentrum Wiesbaden</t>
  </si>
  <si>
    <t>FAH-Z015</t>
  </si>
  <si>
    <t>Universitätsklinikum Essen</t>
  </si>
  <si>
    <t>FAH-Z016</t>
  </si>
  <si>
    <t>Hauttumorzentrum Nürnberg</t>
  </si>
  <si>
    <t>Klinikum Nürnberg</t>
  </si>
  <si>
    <t>FAH-Z017</t>
  </si>
  <si>
    <t>Hautkrebszentrum Rhein-Main</t>
  </si>
  <si>
    <t>Hautklinik und Poliklinik; Universitätsmedizin Mainz</t>
  </si>
  <si>
    <t>FAH-Z018</t>
  </si>
  <si>
    <t>Hautkrebszentrum Ostbayern</t>
  </si>
  <si>
    <t>Klinik und Poliklinik für Dermatologie; Universitätsklinikum Regensburg</t>
  </si>
  <si>
    <t>FAH-Z019</t>
  </si>
  <si>
    <t>Hauttumorzentrum Heilbronn-Franken</t>
  </si>
  <si>
    <t>FAH-Z020</t>
  </si>
  <si>
    <t>FAH-Z021</t>
  </si>
  <si>
    <t>HautTumorCentrum Minden (HTCM)</t>
  </si>
  <si>
    <t>Johannes Wesling Klinikum Minden</t>
  </si>
  <si>
    <t>FAH-Z022</t>
  </si>
  <si>
    <t>Hauttumorzentrum Ulm</t>
  </si>
  <si>
    <t>FAH-Z024</t>
  </si>
  <si>
    <t>Universitätsklinikum Münster</t>
  </si>
  <si>
    <t>FAH-Z025</t>
  </si>
  <si>
    <t>Hauttumorzentrum Klinikum Hildesheim</t>
  </si>
  <si>
    <t>Österreich</t>
  </si>
  <si>
    <t>FAH-Z027</t>
  </si>
  <si>
    <t>Universitätsklinikum Freiburg</t>
  </si>
  <si>
    <t>FAH-Z028</t>
  </si>
  <si>
    <t>FAH-Z029</t>
  </si>
  <si>
    <t>Hautkrebszentrum Chemnitz</t>
  </si>
  <si>
    <t>DRK Krankenhaus Chemnitz-Rabenstein</t>
  </si>
  <si>
    <t>FAH-Z030</t>
  </si>
  <si>
    <t>Hautkrebszentrum Frankfurt am Main</t>
  </si>
  <si>
    <t>FAH-Z031</t>
  </si>
  <si>
    <t>FAH-Z032</t>
  </si>
  <si>
    <t>Hautkrebszentrum Universitätsklinikum Erlangen</t>
  </si>
  <si>
    <t>Universitätsklinikum Erlangen</t>
  </si>
  <si>
    <t>FAH-Z033</t>
  </si>
  <si>
    <t>Hautkrebszentrum Würzburg</t>
  </si>
  <si>
    <t>Klinik und Poliklinik für Dermatologie, Venerologie und Allergologie Universitätsklinikum Würzburg</t>
  </si>
  <si>
    <t>FAH-Z034</t>
  </si>
  <si>
    <t>Hautkrebszentrum Dessau-Anhalt</t>
  </si>
  <si>
    <t>FAH-Z035</t>
  </si>
  <si>
    <t>Marburger Hauttumorzentrum (MR-HTZ)</t>
  </si>
  <si>
    <t>Universitätsklinikum Gießen und Marburg GmbH (UKGM), Standort Marburg</t>
  </si>
  <si>
    <t>FAH-Z036</t>
  </si>
  <si>
    <t>FAH-Z037</t>
  </si>
  <si>
    <t>UniversitätsSpital Zürich</t>
  </si>
  <si>
    <t>FAH-Z038</t>
  </si>
  <si>
    <t>FAH-Z040</t>
  </si>
  <si>
    <t>Vestisches Hautkrebszentrum</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</si>
  <si>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</si>
  <si>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</si>
  <si>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</si>
  <si>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</si>
  <si>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</si>
  <si>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</si>
  <si>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</si>
  <si>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</si>
  <si>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</si>
  <si>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</si>
  <si>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</si>
  <si>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</si>
  <si>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</si>
  <si>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</si>
  <si>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</si>
  <si>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</si>
  <si>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Nicht gelistet</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</si>
  <si>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</si>
  <si>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</si>
  <si>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</si>
  <si>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</si>
  <si>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</si>
  <si>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</si>
  <si>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</si>
  <si>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</si>
  <si>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</si>
  <si>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</si>
  <si>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</si>
  <si>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</si>
  <si>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</si>
  <si>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</si>
  <si>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</si>
  <si>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</si>
  <si>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</si>
  <si>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</si>
  <si>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</si>
  <si>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</si>
  <si>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</si>
  <si>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</si>
  <si>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</si>
  <si>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</si>
  <si>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</si>
  <si>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</si>
  <si>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</si>
  <si>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</si>
  <si>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</si>
  <si>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</si>
  <si>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</si>
  <si>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</si>
  <si>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</si>
  <si>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</si>
  <si>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</si>
  <si>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</si>
  <si>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</si>
  <si>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</si>
  <si>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</si>
  <si>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</si>
  <si>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</si>
  <si>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</si>
  <si>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Achiever Medical System</t>
  </si>
  <si>
    <t>CARAT</t>
  </si>
  <si>
    <t>CREDOS</t>
  </si>
  <si>
    <t>GTDS</t>
  </si>
  <si>
    <t>Eigenentwicklung (MS Excel, MS Access etc.)</t>
  </si>
  <si>
    <t>KIS-Erweiterung</t>
  </si>
  <si>
    <t>KRAZTUR</t>
  </si>
  <si>
    <t>NUK</t>
  </si>
  <si>
    <t>OnkoNet</t>
  </si>
  <si>
    <t>Tabelle Plausibilitätsabfragen:</t>
  </si>
  <si>
    <t>inkorrekt</t>
  </si>
  <si>
    <t>nicht relevant</t>
  </si>
  <si>
    <t>zu viele Pat im Follow Up</t>
  </si>
  <si>
    <t>zu viele Pat Keine Rückmeldungen</t>
  </si>
  <si>
    <t>zu viele Pat Tumorbedingt gestorben</t>
  </si>
  <si>
    <t>zu viele Pat Gestorben</t>
  </si>
  <si>
    <t>Kutane Lymphome und anderen seltenen, malignen Hauttumoren</t>
  </si>
  <si>
    <t>1.1</t>
  </si>
  <si>
    <t>1.2</t>
  </si>
  <si>
    <t>1.3</t>
  </si>
  <si>
    <t>Datendefizite Matrix</t>
  </si>
  <si>
    <t>Kennzahlenbogen - Analyseprotokoll Datendefizite Haut</t>
  </si>
  <si>
    <t>Siehe Sollvorgabe</t>
  </si>
  <si>
    <t>-----</t>
  </si>
  <si>
    <t>&gt; 80%</t>
  </si>
  <si>
    <t>Spalte/ Zelle</t>
  </si>
  <si>
    <t xml:space="preserve">leere Zellen  </t>
  </si>
  <si>
    <t>OAS auffällig niedrig oder hoch</t>
  </si>
  <si>
    <t>DFS auffällig niedrig oder hoch</t>
  </si>
  <si>
    <t xml:space="preserve">   </t>
  </si>
  <si>
    <t>IIIC</t>
  </si>
  <si>
    <t xml:space="preserve">Spalte D </t>
  </si>
  <si>
    <t>Geringe Follow-Up Quote der Nachsorgejahre</t>
  </si>
  <si>
    <t>geringe Follow-Up Quote der Nachsorgejahre</t>
  </si>
  <si>
    <t xml:space="preserve">                     Erstelldatum</t>
  </si>
  <si>
    <t>Nicht ausgefüllte Zellen von relevanten Nachsorgejahren</t>
  </si>
  <si>
    <t>Alle relevanten Nachsorgejahre sind zu bearbeiten, abhängig vom Datum der Erstzertifizierung</t>
  </si>
  <si>
    <t>D &lt; 5</t>
  </si>
  <si>
    <t>geringe Follow-Up Quote</t>
  </si>
  <si>
    <t>durchschnittliche Follow-Up Quote &lt; 60%</t>
  </si>
  <si>
    <t>durchschnittliche Follow-Up Quote &gt; 95%</t>
  </si>
  <si>
    <t>Kennzahldefinition</t>
  </si>
  <si>
    <t>Bundesland / Land</t>
  </si>
  <si>
    <t>Ansprechpartner</t>
  </si>
  <si>
    <t>Achieva</t>
  </si>
  <si>
    <t>Alcedis MED</t>
  </si>
  <si>
    <t>c37.CancerCenter</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</si>
  <si>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</si>
  <si>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</si>
  <si>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</si>
  <si>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</si>
  <si>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</si>
  <si>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</si>
  <si>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</si>
  <si>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</si>
  <si>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</si>
  <si>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</si>
  <si>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</si>
  <si>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</si>
  <si>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</si>
  <si>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Daten-qualität
1), 2), 3)</t>
  </si>
  <si>
    <t>relevante Nachsorgejahre nicht / unvollständig bearbeitet</t>
  </si>
  <si>
    <t>Allgemeine Feststellungen</t>
  </si>
  <si>
    <t>Allgemeine Hinweise</t>
  </si>
  <si>
    <t>Allgemeine Abweichungen</t>
  </si>
  <si>
    <t>Feststellung</t>
  </si>
  <si>
    <t>Hinweis</t>
  </si>
  <si>
    <t>Abweichung</t>
  </si>
  <si>
    <t>Noch nicht vorhanden</t>
  </si>
  <si>
    <t>Datenverifizierung_ID</t>
  </si>
  <si>
    <t>ID: a</t>
  </si>
  <si>
    <t>ID: c</t>
  </si>
  <si>
    <t>ID: b</t>
  </si>
  <si>
    <t>ID: d</t>
  </si>
  <si>
    <t>ID: e</t>
  </si>
  <si>
    <t>ID: f</t>
  </si>
  <si>
    <t>ID: i</t>
  </si>
  <si>
    <t>Sollvorgabe nicht erfüllt; durchschnittliche Follow-Up Quote &lt; 60%; ID: g</t>
  </si>
  <si>
    <t>Plausibilität unklar; durchschnittliche Follow-Up Quote &gt; 95%; ID: h</t>
  </si>
  <si>
    <t>Erläuterung hinsichtlich Datendefizit</t>
  </si>
  <si>
    <t>ID_intern</t>
  </si>
  <si>
    <t>IA</t>
  </si>
  <si>
    <t>IB</t>
  </si>
  <si>
    <t>IIA</t>
  </si>
  <si>
    <t>IIB</t>
  </si>
  <si>
    <t>IIC</t>
  </si>
  <si>
    <t>IIIA</t>
  </si>
  <si>
    <t>IIIB</t>
  </si>
  <si>
    <t>Anmerkung OnkoZert</t>
  </si>
  <si>
    <t>Bewertung Ausschuss</t>
  </si>
  <si>
    <t>FAH-Z041</t>
  </si>
  <si>
    <t>Hauttumorzentrum des Universitätsklinikums Düsseldorf</t>
  </si>
  <si>
    <t>FAH-Z042</t>
  </si>
  <si>
    <t>Tumorzentrum Ostsachsen</t>
  </si>
  <si>
    <t>Tumorzentrum Weser-Ems</t>
  </si>
  <si>
    <t>Prostata-Ca Register</t>
  </si>
  <si>
    <t>QuaDoSta</t>
  </si>
  <si>
    <t>UroCloud</t>
  </si>
  <si>
    <t>Daten-qualität</t>
  </si>
  <si>
    <t>KN NR.</t>
  </si>
  <si>
    <t xml:space="preserve">Für Übertragung in Datendefizite_KB:
</t>
  </si>
  <si>
    <t>Alle KN leer:</t>
  </si>
  <si>
    <t>ixserv.4</t>
  </si>
  <si>
    <t>Heartsoft Tumordatenbank</t>
  </si>
  <si>
    <r>
      <t xml:space="preserve">Eingeleitete / geplante Aktionen
</t>
    </r>
    <r>
      <rPr>
        <sz val="8"/>
        <color indexed="8"/>
        <rFont val="Arial"/>
        <family val="2"/>
      </rPr>
      <t>(bei plausibler Begründung keine Aktion erforderlich)</t>
    </r>
  </si>
  <si>
    <t>FAH-Z043</t>
  </si>
  <si>
    <t>FAH-Z044</t>
  </si>
  <si>
    <t>Hautkrebszentrum Klinikum Bayreuth</t>
  </si>
  <si>
    <t>Unvollständige Jahre</t>
  </si>
  <si>
    <t xml:space="preserve">          Erstelldatum</t>
  </si>
  <si>
    <t>KN</t>
  </si>
  <si>
    <t>Derzeit keine Vorgaben</t>
  </si>
  <si>
    <t>Hauttumorzentrum Ruhr-Universität Bochum</t>
  </si>
  <si>
    <t>Universitätsklinikum Ulm</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</si>
  <si>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</si>
  <si>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</si>
  <si>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</si>
  <si>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</si>
  <si>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</si>
  <si>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</si>
  <si>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</si>
  <si>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</si>
  <si>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</si>
  <si>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</si>
  <si>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</si>
  <si>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</si>
  <si>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</si>
  <si>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Revisionsoperationen nach Nachblutungen</t>
  </si>
  <si>
    <t>Möglichst niedrige Rate an Revisionsoperationen nach Nachblutungen</t>
  </si>
  <si>
    <t>Summe Zähler
Kennzahl 8 + 9</t>
  </si>
  <si>
    <t>≤  3%</t>
  </si>
  <si>
    <t xml:space="preserve">Summe Zähler
Kennzahl 8 + 9 </t>
  </si>
  <si>
    <t>Primärfälle
(Def. siehe 1.1.3)</t>
  </si>
  <si>
    <t>Möglichst niedrige Rate an revisionsbedürftigen Nachblutungen nach SNB u. LAD</t>
  </si>
  <si>
    <t>G</t>
  </si>
  <si>
    <t>K</t>
  </si>
  <si>
    <t>N</t>
  </si>
  <si>
    <t>P</t>
  </si>
  <si>
    <t>Q</t>
  </si>
  <si>
    <t>T</t>
  </si>
  <si>
    <t>U</t>
  </si>
  <si>
    <t>X</t>
  </si>
  <si>
    <t xml:space="preserve">                               Erstelldatum</t>
  </si>
  <si>
    <t>FAH-Z045</t>
  </si>
  <si>
    <t>Universitätsklinik für Dermatologie</t>
  </si>
  <si>
    <r>
      <t xml:space="preserve">Begründung / Ursache
</t>
    </r>
    <r>
      <rPr>
        <sz val="8"/>
        <color indexed="8"/>
        <rFont val="Arial"/>
        <family val="2"/>
      </rPr>
      <t>(min. 30 Zeichen / max. 500 Zeichen)</t>
    </r>
  </si>
  <si>
    <t>Datum Erstzertifizierung</t>
  </si>
  <si>
    <t>Spalte S</t>
  </si>
  <si>
    <t xml:space="preserve">Werte Spalte S "Patienten mit aktueller Follow-Up Meldung" müssen kleiner gleich sein als Spalte D </t>
  </si>
  <si>
    <t xml:space="preserve">Werte Spalte T "Keine Rückmeldung" müssen kleiner gleich sein als Spalte D </t>
  </si>
  <si>
    <t xml:space="preserve">Werte Spalte W "Tumorbedingt gestorben" müssen kleiner sein als Spalte S </t>
  </si>
  <si>
    <t xml:space="preserve">Werte Spalte X "Gestorben (Todesursache unbekannt bzw. nicht tumorbedingt)" müssen kleiner sein als Spalte S </t>
  </si>
  <si>
    <t>Krebsregister Schweiz</t>
  </si>
  <si>
    <t>Krebsregister Österreich</t>
  </si>
  <si>
    <t xml:space="preserve">     </t>
  </si>
  <si>
    <t xml:space="preserve"> </t>
  </si>
  <si>
    <t>Kennzahlenjahr</t>
  </si>
  <si>
    <r>
      <t xml:space="preserve">                                                           </t>
    </r>
    <r>
      <rPr>
        <sz val="8"/>
        <color indexed="55"/>
        <rFont val="Arial"/>
        <family val="2"/>
      </rPr>
      <t>(Muster Zertifikat)</t>
    </r>
  </si>
  <si>
    <t>FAH-Z046</t>
  </si>
  <si>
    <t>XML-OncoBox</t>
  </si>
  <si>
    <t>Krebsregister Italien</t>
  </si>
  <si>
    <t>MaDoS</t>
  </si>
  <si>
    <t>FAH-Z023</t>
  </si>
  <si>
    <t>Universitätsklinikum Carl Gustav Carus Dresden</t>
  </si>
  <si>
    <t>Ist-Wert</t>
  </si>
  <si>
    <t>UCC-TDS (Tumorzentrum Dresden)</t>
  </si>
  <si>
    <t>&lt; 5%</t>
  </si>
  <si>
    <t>&gt; 70%</t>
  </si>
  <si>
    <t>Kutane Lymphome und andere seltene, maligne Hauttumoren (Angiosarkom, Merkel, DFSP usw.)</t>
  </si>
  <si>
    <t>FAH-Z047</t>
  </si>
  <si>
    <t>FAH-Z049</t>
  </si>
  <si>
    <t>FAH-Z050</t>
  </si>
  <si>
    <t>UKM - Hauttumorzentrum</t>
  </si>
  <si>
    <t>Hauttumorzentrum des Tumorzentrums Freiburg - CCCF</t>
  </si>
  <si>
    <t>Hautkrebszentrum Kiel am Universitätsklinikum Schleswig-Holstein Campus Kiel</t>
  </si>
  <si>
    <t>Hautkrebszentrum der TU München</t>
  </si>
  <si>
    <t>Universitäts-Hautklinik/NCT Heidelberg</t>
  </si>
  <si>
    <t>Universitätsklinikum Halle (Saale)</t>
  </si>
  <si>
    <t>Universitätsspital Basel</t>
  </si>
  <si>
    <t>Klinik und Poliklinik der Dermatologie und Allergologie am Biederstein</t>
  </si>
  <si>
    <t>≤ 3%</t>
  </si>
  <si>
    <t>Gesamt Primärfälle</t>
  </si>
  <si>
    <t>Invasive Maligne Melanome</t>
  </si>
  <si>
    <t>Uro-Link</t>
  </si>
  <si>
    <t>OncoBox</t>
  </si>
  <si>
    <t>5. a) Pat. mit Primärerkrankung</t>
  </si>
  <si>
    <t>b) Anzahl der Fälle bei Primärerkrankung</t>
  </si>
  <si>
    <t xml:space="preserve">6. a) Pat. mit Zweit-/Dritt-Melanom andere Lokalisation </t>
  </si>
  <si>
    <t>b) Anzahl der Fälle bei Zweit/Dritt-Melanom</t>
  </si>
  <si>
    <t xml:space="preserve">7. Pat. mit Stadienshift/Rezidive </t>
  </si>
  <si>
    <t>Optional: 8. Pat. mit andauernder Therapie</t>
  </si>
  <si>
    <t>Optional: 9. Pat. in Nachsorge</t>
  </si>
  <si>
    <t xml:space="preserve">oder </t>
  </si>
  <si>
    <t>Ausnahme</t>
  </si>
  <si>
    <t>Zusammenarbeit mit KFRG-Krebsregister</t>
  </si>
  <si>
    <t>Klinikum Kassel</t>
  </si>
  <si>
    <t>Klinikum der Stadt Ludwigshafen am Rhein gGmbH</t>
  </si>
  <si>
    <t>HautTumorCentrumCharité (HTCC) im Charité Comprehensive Cancer Center</t>
  </si>
  <si>
    <t>Charité - Campus Mitte</t>
  </si>
  <si>
    <t>Hauttumorzentrum am Westdeutschen Tumorzentrum - Universitätsmedizin Essen</t>
  </si>
  <si>
    <t>SLK-Kliniken Heilbronn</t>
  </si>
  <si>
    <t>Katholisches Klinikum Bochum, St. Josef-Hospital, Universitätsklinikum der RUB</t>
  </si>
  <si>
    <t>Städtisches Klinikum Klinik für Dermatologie, Venerologie und Allergologie / Immunologisches Zentrum Dessau</t>
  </si>
  <si>
    <t>Klinikum Bayreuth</t>
  </si>
  <si>
    <t>Universitäres Hauttumorzentrum Inselspital Bern</t>
  </si>
  <si>
    <t>Hauttumorzentrum am Universitätsklinikum Halle (Saale)</t>
  </si>
  <si>
    <t>Zentrum für Hauttumore Universitätsspital Basel</t>
  </si>
  <si>
    <t>FAH-Z051</t>
  </si>
  <si>
    <t>FAH-Z052</t>
  </si>
  <si>
    <t>Hauttumorzentrum Hannover (HTZH)</t>
  </si>
  <si>
    <t>Medizinische Hochschule Hannover, Klinik für Dermatologie, Allergologie und Venerologie</t>
  </si>
  <si>
    <t>FAH-Z053</t>
  </si>
  <si>
    <t>Hauttumorzentrum Oberhausen</t>
  </si>
  <si>
    <t>HELIOS St. Elisabeth Klinik Oberhausen</t>
  </si>
  <si>
    <t>FAH-Z054</t>
  </si>
  <si>
    <t>Hauttumorzentrum Gera</t>
  </si>
  <si>
    <t>SRH Wald-Klinikum Gera</t>
  </si>
  <si>
    <t>FAH-Z055</t>
  </si>
  <si>
    <t>FAH-Z056</t>
  </si>
  <si>
    <t>Hauttumorzentrum Klinikum Dortmund</t>
  </si>
  <si>
    <t>Klinikum Dortmund</t>
  </si>
  <si>
    <t>FAH-Z057</t>
  </si>
  <si>
    <t>HELIOS Hauttumorzentrum Krefeld</t>
  </si>
  <si>
    <t>HELIOS Klinikum Krefeld</t>
  </si>
  <si>
    <t>FAH-Z058</t>
  </si>
  <si>
    <t>Hauttumorzentrum Krankenhaus Tabea Hamburg</t>
  </si>
  <si>
    <t>Krankenhaus Tabea Hamburg</t>
  </si>
  <si>
    <t>FAH-Z059</t>
  </si>
  <si>
    <t>Hautkrebszentrum Universitätsklinik Innsbruck</t>
  </si>
  <si>
    <t>Universitätsklinik für Dermatologie, Venerologie &amp; Allergologie -Medizinische Universität Innsbruck</t>
  </si>
  <si>
    <t>HAUT</t>
  </si>
  <si>
    <r>
      <t xml:space="preserve">IA </t>
    </r>
    <r>
      <rPr>
        <b/>
        <vertAlign val="superscript"/>
        <sz val="8.5"/>
        <rFont val="Arial"/>
        <family val="2"/>
      </rPr>
      <t>1)</t>
    </r>
  </si>
  <si>
    <r>
      <t xml:space="preserve">IB </t>
    </r>
    <r>
      <rPr>
        <b/>
        <vertAlign val="superscript"/>
        <sz val="8.5"/>
        <rFont val="Arial"/>
        <family val="2"/>
      </rPr>
      <t>1)</t>
    </r>
  </si>
  <si>
    <r>
      <t xml:space="preserve">IIA </t>
    </r>
    <r>
      <rPr>
        <b/>
        <vertAlign val="superscript"/>
        <sz val="8.5"/>
        <rFont val="Arial"/>
        <family val="2"/>
      </rPr>
      <t>1)</t>
    </r>
  </si>
  <si>
    <r>
      <t xml:space="preserve">IIB </t>
    </r>
    <r>
      <rPr>
        <b/>
        <vertAlign val="superscript"/>
        <sz val="8.5"/>
        <rFont val="Arial"/>
        <family val="2"/>
      </rPr>
      <t>1)</t>
    </r>
  </si>
  <si>
    <r>
      <t xml:space="preserve">IIC </t>
    </r>
    <r>
      <rPr>
        <b/>
        <vertAlign val="superscript"/>
        <sz val="8.5"/>
        <rFont val="Arial"/>
        <family val="2"/>
      </rPr>
      <t>1)</t>
    </r>
  </si>
  <si>
    <r>
      <t xml:space="preserve">IIIA </t>
    </r>
    <r>
      <rPr>
        <b/>
        <vertAlign val="superscript"/>
        <sz val="8.5"/>
        <rFont val="Arial"/>
        <family val="2"/>
      </rPr>
      <t>1)</t>
    </r>
  </si>
  <si>
    <r>
      <t xml:space="preserve">IIIB </t>
    </r>
    <r>
      <rPr>
        <b/>
        <vertAlign val="superscript"/>
        <sz val="8.5"/>
        <rFont val="Arial"/>
        <family val="2"/>
      </rPr>
      <t>1)</t>
    </r>
  </si>
  <si>
    <r>
      <t xml:space="preserve">IIIC </t>
    </r>
    <r>
      <rPr>
        <b/>
        <vertAlign val="superscript"/>
        <sz val="8.5"/>
        <rFont val="Arial"/>
        <family val="2"/>
      </rPr>
      <t>1)</t>
    </r>
  </si>
  <si>
    <r>
      <t xml:space="preserve">IV </t>
    </r>
    <r>
      <rPr>
        <b/>
        <vertAlign val="superscript"/>
        <sz val="8.5"/>
        <rFont val="Arial"/>
        <family val="2"/>
      </rPr>
      <t xml:space="preserve">1) </t>
    </r>
  </si>
  <si>
    <r>
      <t>5.</t>
    </r>
    <r>
      <rPr>
        <vertAlign val="superscript"/>
        <sz val="9"/>
        <rFont val="Arial"/>
        <family val="2"/>
      </rPr>
      <t>2)</t>
    </r>
    <r>
      <rPr>
        <b/>
        <sz val="9"/>
        <rFont val="Arial"/>
        <family val="2"/>
      </rPr>
      <t xml:space="preserve"> a) Pat. mit Primärerkrankung
</t>
    </r>
    <r>
      <rPr>
        <sz val="8"/>
        <rFont val="Arial"/>
        <family val="2"/>
      </rPr>
      <t>(= Pat. mit erster Diagnose MM)</t>
    </r>
  </si>
  <si>
    <r>
      <t xml:space="preserve">   b) Anzahl der Fälle bei Primärerkrankung
</t>
    </r>
    <r>
      <rPr>
        <sz val="8"/>
        <rFont val="Arial"/>
        <family val="2"/>
      </rPr>
      <t>(= Im Kalenderjahr treten synchron/metachron weitere Diag. MM anderer Lokalisation auf, kein Rezidiv, kein Stadienshift)</t>
    </r>
  </si>
  <si>
    <r>
      <t>6. a) Pat. mit Zweit-/Dritt-Melanom andere Lokalisation</t>
    </r>
    <r>
      <rPr>
        <sz val="9"/>
        <rFont val="Arial"/>
        <family val="2"/>
      </rPr>
      <t xml:space="preserve"> 
</t>
    </r>
    <r>
      <rPr>
        <sz val="8"/>
        <rFont val="Arial"/>
        <family val="2"/>
      </rPr>
      <t>(= Pat. hatte bereits Diag. MM in einem vorherigen Kalenderjahr; jetzt: 2./3. MM an anderer Stelle)</t>
    </r>
  </si>
  <si>
    <r>
      <t xml:space="preserve">Optional:
8. Pat. mit andauernder Therapie
</t>
    </r>
    <r>
      <rPr>
        <sz val="8"/>
        <color theme="0" tint="-0.499984740745262"/>
        <rFont val="Arial"/>
        <family val="2"/>
      </rPr>
      <t>(= Pat. mit andauernder Therapie, die für das Kalenderjahr nicht bereits in den Kategorien 5-7 gezählt wurden, Zählg 1x/Kalenderjahr)</t>
    </r>
  </si>
  <si>
    <r>
      <t xml:space="preserve">Optional:
9. Pat. in Nachsorge
</t>
    </r>
    <r>
      <rPr>
        <sz val="8"/>
        <color theme="0" tint="-0.499984740745262"/>
        <rFont val="Arial"/>
        <family val="2"/>
      </rPr>
      <t>(= Pat., die ohne Therapie in der Nachsorge sind, die für das Kalenderjahr nicht bereits in den Kategorien 5-7 gezählt wurden, Zählg 1x/Kalenderjahr)</t>
    </r>
  </si>
  <si>
    <r>
      <t>Primärdiagnose</t>
    </r>
    <r>
      <rPr>
        <b/>
        <vertAlign val="superscript"/>
        <sz val="9"/>
        <rFont val="Arial"/>
        <family val="2"/>
      </rPr>
      <t>1)</t>
    </r>
  </si>
  <si>
    <r>
      <t xml:space="preserve">Auswertungen </t>
    </r>
    <r>
      <rPr>
        <b/>
        <vertAlign val="superscript"/>
        <sz val="9"/>
        <rFont val="Arial"/>
        <family val="2"/>
      </rPr>
      <t>4)</t>
    </r>
  </si>
  <si>
    <r>
      <t xml:space="preserve">Tumorbedingt gestorben </t>
    </r>
    <r>
      <rPr>
        <vertAlign val="superscript"/>
        <sz val="9"/>
        <rFont val="Arial"/>
        <family val="2"/>
      </rPr>
      <t>3)</t>
    </r>
  </si>
  <si>
    <r>
      <t xml:space="preserve">Gestorben (Todesursache 
unbekannt bzw. nicht tumorbedingt) </t>
    </r>
    <r>
      <rPr>
        <vertAlign val="superscript"/>
        <sz val="9"/>
        <rFont val="Arial"/>
        <family val="2"/>
      </rPr>
      <t>3)</t>
    </r>
  </si>
  <si>
    <r>
      <t>IIID</t>
    </r>
    <r>
      <rPr>
        <b/>
        <vertAlign val="superscript"/>
        <sz val="8.5"/>
        <rFont val="Arial"/>
        <family val="2"/>
      </rPr>
      <t xml:space="preserve"> 1)</t>
    </r>
  </si>
  <si>
    <r>
      <t>IIIB/IIIC</t>
    </r>
    <r>
      <rPr>
        <b/>
        <vertAlign val="superscript"/>
        <sz val="8.5"/>
        <rFont val="Arial"/>
        <family val="2"/>
      </rPr>
      <t>1)</t>
    </r>
  </si>
  <si>
    <r>
      <t>IV</t>
    </r>
    <r>
      <rPr>
        <b/>
        <vertAlign val="superscript"/>
        <sz val="8.5"/>
        <rFont val="Arial"/>
        <family val="2"/>
      </rPr>
      <t>1)</t>
    </r>
  </si>
  <si>
    <t xml:space="preserve"> mit Primärtumor</t>
  </si>
  <si>
    <t>ohne Primärtumor</t>
  </si>
  <si>
    <r>
      <t>nicht zuzu-ordnen (z.B.: pTx)</t>
    </r>
    <r>
      <rPr>
        <b/>
        <vertAlign val="superscript"/>
        <sz val="8.5"/>
        <rFont val="Arial"/>
        <family val="2"/>
      </rPr>
      <t>4)</t>
    </r>
  </si>
  <si>
    <t>Bearbeitungshinweise:</t>
  </si>
  <si>
    <t>1) TNM 8. Auflage:</t>
  </si>
  <si>
    <r>
      <rPr>
        <strike/>
        <sz val="8"/>
        <rFont val="Arial"/>
        <family val="2"/>
      </rPr>
      <t xml:space="preserve">
</t>
    </r>
    <r>
      <rPr>
        <sz val="8"/>
        <rFont val="Arial"/>
        <family val="2"/>
      </rPr>
      <t xml:space="preserve">Dokumentationsbeispiele unter:  </t>
    </r>
  </si>
  <si>
    <t>Hautkrebszentrum am Cancer Center UniversitätsSpital Zürich</t>
  </si>
  <si>
    <t>Klinikum Vest, Behandlungszentrum Knappschaftskrankenhaus Recklinghausen</t>
  </si>
  <si>
    <t>FAH-Z060</t>
  </si>
  <si>
    <t>Hauttumorzentrum Luzern</t>
  </si>
  <si>
    <t>Luzerner Kantonsspital</t>
  </si>
  <si>
    <t>FAH-Z061</t>
  </si>
  <si>
    <t>Hauttumorzentrum Städtisches Klinikum Karlsruhe</t>
  </si>
  <si>
    <t>Städtisches Klinikum Karlsruhe</t>
  </si>
  <si>
    <t>FAH-Z062</t>
  </si>
  <si>
    <t>Hautkrebszentrum am Kantonsspital Aarau</t>
  </si>
  <si>
    <t>Kantonsspital Aarau</t>
  </si>
  <si>
    <t>FAH-Z063</t>
  </si>
  <si>
    <t>Klinik und Poliklinik für Dermatologie und Venerologie</t>
  </si>
  <si>
    <t>FAH-Z064</t>
  </si>
  <si>
    <t>Hautkrebszentrum Klinikum Bremerhaven</t>
  </si>
  <si>
    <t>Klinik für Dermatologie, Allergologie und Phlebologie, Klinikum Bremerhaven</t>
  </si>
  <si>
    <t>MADOS 4</t>
  </si>
  <si>
    <t>HAUT
mit Primärtumor</t>
  </si>
  <si>
    <t>HAUT
ohne Primär-tumor</t>
  </si>
  <si>
    <t>nicht  zuzuordnen (z.B.: pTx)</t>
  </si>
  <si>
    <t>IIIB/IIIC</t>
  </si>
  <si>
    <t>nicht zuzu-ordnen (z.B.: pTx)</t>
  </si>
  <si>
    <t>ohne Primärtumor - IV</t>
  </si>
  <si>
    <t>ohne Primärtumor - IIIB/IIIC</t>
  </si>
  <si>
    <t>Harzklinikum Dorothea Christiane Erxleben Standort Quedlinburg</t>
  </si>
  <si>
    <t>Klinik für Dermatologie, Allergologie und Venerologie</t>
  </si>
  <si>
    <t>Hautkrebszentrum Helios Kliniken Schwerin</t>
  </si>
  <si>
    <t>Helios Kliniken Schwerin</t>
  </si>
  <si>
    <t>Hautkrebszentrum der Universitätsmedizin Rostock</t>
  </si>
  <si>
    <t>FAH-Z065</t>
  </si>
  <si>
    <t>Hautkrebszentrum Dresden Friedrichstadt</t>
  </si>
  <si>
    <t>Städtisches Klinikum Dresden, Standort Friedrichstadt</t>
  </si>
  <si>
    <t>FAH-Z066</t>
  </si>
  <si>
    <t>Hautkrebszentrum am Universitätsklinikum Gießen</t>
  </si>
  <si>
    <t>FAH-Z067</t>
  </si>
  <si>
    <t>CCC-Subzentrum HAUT - Hautkrebszentrum Graz</t>
  </si>
  <si>
    <t>Landeskrankenhaus - Universitätsklinikum Graz</t>
  </si>
  <si>
    <t>FAH-Z068</t>
  </si>
  <si>
    <t>Hautkrebszentrum der Universitätsmedizin Göttingen</t>
  </si>
  <si>
    <t>Universitätsmedizin Göttingen</t>
  </si>
  <si>
    <t>13</t>
  </si>
  <si>
    <t>Ausnahme (Plausibilität unklar)</t>
  </si>
  <si>
    <t>Summe Plausibilität unklar</t>
  </si>
  <si>
    <t>optional - Ausnahme (Plausibilität unklar)</t>
  </si>
  <si>
    <t>Adjumed</t>
  </si>
  <si>
    <t>CADA (Eigenentwicklung)</t>
  </si>
  <si>
    <t>CaOnkoDok (Eigenentwicklung)</t>
  </si>
  <si>
    <t>Clinic WinData</t>
  </si>
  <si>
    <t>ODSeasy / ODSeasyNet</t>
  </si>
  <si>
    <t>Tumorregister München (TRM)</t>
  </si>
  <si>
    <t>Eigenentwicklung auf Basis medico (Cerner)</t>
  </si>
  <si>
    <t>KoReDos</t>
  </si>
  <si>
    <t>Martini-Data</t>
  </si>
  <si>
    <t>Oncodossier (Eigenentwicklung auf Basis ORBIS)</t>
  </si>
  <si>
    <t>ProDos</t>
  </si>
  <si>
    <t>Zentrum für Dermatoonkologie Tübingen</t>
  </si>
  <si>
    <t>Universitätsklinikum Tübingen, CCC Tübingen-Stuttgart</t>
  </si>
  <si>
    <t>FAH-Z048</t>
  </si>
  <si>
    <t>Hautkrebszentrum der Universitätshautklinik Magdeburg</t>
  </si>
  <si>
    <t>Universitätsklinikum Magdeburg</t>
  </si>
  <si>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</si>
  <si>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r>
      <rPr>
        <sz val="8"/>
        <color theme="10"/>
        <rFont val="Arial"/>
        <family val="2"/>
      </rPr>
      <t xml:space="preserve">               </t>
    </r>
    <r>
      <rPr>
        <u/>
        <sz val="8"/>
        <color theme="10"/>
        <rFont val="Arial"/>
        <family val="2"/>
      </rPr>
      <t>https://www.onkozert.de/organ/haut/</t>
    </r>
  </si>
  <si>
    <r>
      <rPr>
        <sz val="8"/>
        <color theme="10"/>
        <rFont val="Aral"/>
      </rPr>
      <t xml:space="preserve">               </t>
    </r>
    <r>
      <rPr>
        <u/>
        <sz val="8"/>
        <color theme="10"/>
        <rFont val="Aral"/>
      </rPr>
      <t>https://www.krebsgesellschaft.de/zertdokumente.html</t>
    </r>
  </si>
  <si>
    <r>
      <t xml:space="preserve">Uvea, Konjunktiva, Schleimhaut </t>
    </r>
    <r>
      <rPr>
        <b/>
        <vertAlign val="superscript"/>
        <sz val="8.5"/>
        <rFont val="Arial"/>
        <family val="2"/>
      </rPr>
      <t>3)</t>
    </r>
  </si>
  <si>
    <t>Uvea, Konjunktiva, Schleimhaut</t>
  </si>
  <si>
    <t>Invasive Maligne Melanome
(inkl. Malignes Melanom Uvea, Konjunktiva,
Schleimhaut)</t>
  </si>
  <si>
    <t>Kutane Lymphome u. andere seltene, maligne Hauttumoren
(Angiosarkom, Merkelzell-Ca, DFSP usw.)</t>
  </si>
  <si>
    <t>Melanom: Fallbesprechung</t>
  </si>
  <si>
    <t>Melanom: Therapieabweichung gegenüber Empfehlung Tumorkonferenz</t>
  </si>
  <si>
    <t>≤ 25%</t>
  </si>
  <si>
    <t>Melanom: Psychoonkologische Betreuung</t>
  </si>
  <si>
    <t>Melanom: 
Beratung Sozialdienst</t>
  </si>
  <si>
    <t>Primärfälle Melanom Stad. III - IV</t>
  </si>
  <si>
    <t>SNB-Operationen des Nenners mit intraoperativ nachgewiesenem Sentinel-LK</t>
  </si>
  <si>
    <t>≥ 90%</t>
  </si>
  <si>
    <t>Revisionsoperationen (OPS: 5-983) aufgrund von intra- bzw. postoperativen Nachblutungen (T81.0) nach Operationen des Nenners</t>
  </si>
  <si>
    <t>Revisionsoperationen bei Nachblutungen nach SNB u. LAD</t>
  </si>
  <si>
    <t xml:space="preserve">Revisionsoperationen (OPS: 5-983) aufgrund von postoperativen Nachblutungen (T81.0) nach Operationen des Nenners </t>
  </si>
  <si>
    <t>Revisionsoperationen nach postoperativen Wundinfektionen</t>
  </si>
  <si>
    <t>Möglichst niedrige Rate an Revisionsoperationen nach postoperativen Wundinfektionen</t>
  </si>
  <si>
    <t>Revisionsoperationen (OPS: 5-983) aufgrund von postoperativen Wundinfektionen (T81.4) nach Operationen des Nenners</t>
  </si>
  <si>
    <t>Melanom:
Sentinel-Node-Biopsie</t>
  </si>
  <si>
    <t>Möglichst häufig SNB bei Primärfällen mit kutanem Melanom ≥ pT2a und ohne Hinweis auf lokoregionale oder Fernmetastasierung</t>
  </si>
  <si>
    <t>Primärfälle des Nenners, bei denen die SNB durchgeführt wird</t>
  </si>
  <si>
    <t>Primärfälle kutanes Melanom mit einer Tumordicke ≥ pT2a und ohne Hinweis auf lokoregionale oder Fernmetastasierung (cN0, cM0)</t>
  </si>
  <si>
    <t>Möglichst häufig Sicherheitsabstand 1cm bei kurativer radikaler Exzision eines kutanen Melanoms mit Tumordicke ≤ 2 mm</t>
  </si>
  <si>
    <t>Primärfälle des Nenners mit radikaler Exzision mit Sicherheitsabstand 1 cm</t>
  </si>
  <si>
    <t>Primärfälle kutanes Melanom mit kurativer radikaler Exzision bei einer Tumordicke ≤ 2 mm</t>
  </si>
  <si>
    <t>Melanom:
Sicherheitsabstand (1 cm) bei radikaler Exzision</t>
  </si>
  <si>
    <t>Melanom: Sicherheitsabstand (2 cm) bei radikaler Exzision</t>
  </si>
  <si>
    <t xml:space="preserve">Melanom:
Therapeutische Lymphadenektomie </t>
  </si>
  <si>
    <t>Melanom:
Mutationsanalyse für BRAF</t>
  </si>
  <si>
    <t>Melanom: 
LDH-Bestimmung</t>
  </si>
  <si>
    <t>Möglichst häufig Sicherheitsabstand 2cm bei kurativer radikaler Exzision eines Melanoms mit Tumordicke &gt; 2 mm</t>
  </si>
  <si>
    <t>Möglichst häufig therapeutische Lymphadenektomie (LAD) bei klinischem Nachweis einer lymphogenen Metastasierung und fehlendem Hinweis auf Fernmetastasen</t>
  </si>
  <si>
    <t>Primärfälle des Nenners mit radikaler Exzision mit Sicherheitsabstand 2 cm</t>
  </si>
  <si>
    <t>Primärfälle des Nenners mit therapeutischer LAD</t>
  </si>
  <si>
    <t>Primärfälle des Nenners mit Mutationsanalyse für BRAF</t>
  </si>
  <si>
    <t>Primärfälle kutanes Melanom mit kurativer radikaler Exzision bei einer Tumordicke &gt; 2 mm</t>
  </si>
  <si>
    <t>Primärfälle mit Melanom mit jedem pT und c/pN1b 
oder c/pN2b oder 
c/pN3b und M0</t>
  </si>
  <si>
    <t xml:space="preserve">Primärfälle mit kutanem Melanom ab Stad. III </t>
  </si>
  <si>
    <t>Anmerkung:</t>
  </si>
  <si>
    <r>
      <t xml:space="preserve">IIID </t>
    </r>
    <r>
      <rPr>
        <vertAlign val="superscript"/>
        <sz val="9"/>
        <rFont val="Arial"/>
        <family val="2"/>
      </rPr>
      <t>6)</t>
    </r>
  </si>
  <si>
    <t>R</t>
  </si>
  <si>
    <t>V</t>
  </si>
  <si>
    <t>Y</t>
  </si>
  <si>
    <t>AA</t>
  </si>
  <si>
    <t>V28</t>
  </si>
  <si>
    <t>V21 - V23</t>
  </si>
  <si>
    <t>V28 &lt; 60%</t>
  </si>
  <si>
    <t>V &lt; 50%</t>
  </si>
  <si>
    <t>V28 &gt; 95%</t>
  </si>
  <si>
    <t>mit Primärtumor - IA</t>
  </si>
  <si>
    <t>mit Primärtumor - IB</t>
  </si>
  <si>
    <t>mit Primärtumor - IIA</t>
  </si>
  <si>
    <t>mit Primärtumor - IIB</t>
  </si>
  <si>
    <t>mit Primärtumor - IIC</t>
  </si>
  <si>
    <t>mit Primärtumor - IIIA</t>
  </si>
  <si>
    <t>mit Primärtumor - IIIB</t>
  </si>
  <si>
    <t>mit Primärtumor - IIIC</t>
  </si>
  <si>
    <t>mit Primärtumor - IIID</t>
  </si>
  <si>
    <t>mit Primärtumor - IV</t>
  </si>
  <si>
    <t>Clinical Information Catalogue (CIC) (Eigenentwicklung)</t>
  </si>
  <si>
    <t>nur Prostata</t>
  </si>
  <si>
    <t>nur Darm</t>
  </si>
  <si>
    <t>nur Brust / Gyn</t>
  </si>
  <si>
    <t>SHGHoncoDoc</t>
  </si>
  <si>
    <t>Darm, Leber, Magen , Pankreas</t>
  </si>
  <si>
    <t>TD System KEM (Eigenentwicklung)</t>
  </si>
  <si>
    <t>Helios Dr. Horst Schmidt Kliniken Wiesbaden</t>
  </si>
  <si>
    <t>Helios Klinikum Hildesheim</t>
  </si>
  <si>
    <t>Universitätsklinikum Augsburg - Medizincampus Süd</t>
  </si>
  <si>
    <t>Hauttumorzentrum im CIO Köln</t>
  </si>
  <si>
    <t>Centrum für Integrierte Onkologie Aachen Bonn Köln Düsseldorf im Universitätsklinikum Köln</t>
  </si>
  <si>
    <t>Centrum für Integrierte Onkologie Aachen Bonn Köln Düsseldorf im Universitätsklinikum Düsseldorf</t>
  </si>
  <si>
    <t>Hautkrebszentrum am Helios Universitätsklinikum Wuppertal</t>
  </si>
  <si>
    <t>Helios Universitätsklinikum Wuppertal</t>
  </si>
  <si>
    <t>Hauttumorzentrum im CIO Bonn</t>
  </si>
  <si>
    <t>Centrum für Integrierte Onkologie Aachen Bonn Köln Düsseldorf im Universitätsklinikum Bonn</t>
  </si>
  <si>
    <t>Hautkrebszentrum - Euregio Skin Cancer Center - im CIO Aachen</t>
  </si>
  <si>
    <t>Centrum für Integrierte Onkologie Aachen Bonn Köln Düsseldorf in der Uniklinik RWTH Aachen</t>
  </si>
  <si>
    <t>Klinik für Dermatologie und Allergologie Universitätsklinikum Gießen</t>
  </si>
  <si>
    <t>FAH-Z069</t>
  </si>
  <si>
    <t>Hauttumorzentrum Berlin-Buch</t>
  </si>
  <si>
    <t>HELIOS Klinikum Berlin-Buch</t>
  </si>
  <si>
    <t>FAH-Z070</t>
  </si>
  <si>
    <t>Hauttumorzentrum des Universitätsklinikums Hamburg-Eppendorf (UKE)</t>
  </si>
  <si>
    <t>Universitätsklinikum Hamburg-Eppendorf</t>
  </si>
  <si>
    <t>FAH-Z071</t>
  </si>
  <si>
    <t>Hautkrebszentrum Klinikum Klagenfurt</t>
  </si>
  <si>
    <t>Klinikum Klagenfurt am Wörthersee</t>
  </si>
  <si>
    <t>Vorstellung aller im Nenner genannten Fälle in der Tumorkonferenz</t>
  </si>
  <si>
    <t>Möglichst selten Therapieabweichung gegenüber der Tumorkonferenz-Empfehlung</t>
  </si>
  <si>
    <t>Kutane Lymphome und andere seltene, maligne Hauttumoren (Angiosarkom, Merkelzell-Ca, DFSP usw.)</t>
  </si>
  <si>
    <t>FAH-Z039</t>
  </si>
  <si>
    <t>Hautkrebszentrum Elbeklinikum Buxtehude</t>
  </si>
  <si>
    <t>Elbe Klinikum Buxtehude</t>
  </si>
  <si>
    <t>Follow-Up Quote in % 
= T / (T + U)</t>
  </si>
  <si>
    <r>
      <t xml:space="preserve">7. Pat. mit Stadienshift/Rezidiv
</t>
    </r>
    <r>
      <rPr>
        <sz val="8"/>
        <rFont val="Arial"/>
        <family val="2"/>
      </rPr>
      <t>(= Pat. hatte bereits Diag. MM in einem vorherigen oder im aktuellen Kalenderjahr; jetzt: Rezidiv, Stadienshift inkl. neu aufgetretene Fernmetastasierung)</t>
    </r>
  </si>
  <si>
    <t>EB/ LL</t>
  </si>
  <si>
    <t>1.4</t>
  </si>
  <si>
    <t xml:space="preserve">LL QI Melanom </t>
  </si>
  <si>
    <t>LL QI Melanom</t>
  </si>
  <si>
    <t>LL QI  Melanom</t>
  </si>
  <si>
    <t>&lt; 80%</t>
  </si>
  <si>
    <r>
      <t xml:space="preserve">2020 </t>
    </r>
    <r>
      <rPr>
        <vertAlign val="superscript"/>
        <sz val="9"/>
        <rFont val="Arial"/>
        <family val="2"/>
      </rPr>
      <t>5)</t>
    </r>
  </si>
  <si>
    <t>Helios Hauttumorzentrum Erfurt</t>
  </si>
  <si>
    <t>Helios Klinikum Erfurt</t>
  </si>
  <si>
    <t>Hauttumorzentrum Universitätsklinikum Augsburg</t>
  </si>
  <si>
    <t>FAH-Z072-1</t>
  </si>
  <si>
    <t>Vivantes Hauttumorzentrum Berlin</t>
  </si>
  <si>
    <t>Vivantes Klinikum im Friedrichshain</t>
  </si>
  <si>
    <t>FAH-Z072-2</t>
  </si>
  <si>
    <t>Vivantes Klinikum Neukölln</t>
  </si>
  <si>
    <t>FAH-Z072-3</t>
  </si>
  <si>
    <t>Vivantes Klinikum Spandau</t>
  </si>
  <si>
    <t>Anlage EB Version J1.1 (Auditjahr 2022 / Kennzahlenjahr 2021)</t>
  </si>
  <si>
    <t>Grundlage des Erhebungsbogens stellt die TNM – Klassifikation maligner Tumoren, 8. Auflage 2017 sowie die ICD-Klassifikation ICD-10-GM 2021 (DIMDI) und die OPS-Klassifikation OPS 2021 (DIMDI) dar.</t>
  </si>
  <si>
    <t>Auditjahr 2022 / Kennzahlenjahr 2021</t>
  </si>
  <si>
    <t>&lt; 15%</t>
  </si>
  <si>
    <t>Operative Eingriffe mit LL-definiertem Sicherheitsabstand  
( = Maligne Melanome, Merkelzellkarzinome, Sarkome und andere seltene, maligne Hauttumoren)</t>
  </si>
  <si>
    <t>OP's mit Sicherheitsabstand bei Primärfällen ( = Maligne Melanome, Merkelzellkarzinome, Sarkome und andere seltene, maligne Hauttumoren)</t>
  </si>
  <si>
    <t>Operative Eingriffe mit histologischer Randkontrolle 
( = Epitheliale Tumoren)</t>
  </si>
  <si>
    <t>OP's mit histologischer Randkontrolle bei Primärfällen
( = Epitheliale Tumoren)</t>
  </si>
  <si>
    <r>
      <t xml:space="preserve">2021 </t>
    </r>
    <r>
      <rPr>
        <vertAlign val="superscript"/>
        <sz val="9"/>
        <rFont val="Arial"/>
        <family val="2"/>
      </rPr>
      <t>5)</t>
    </r>
  </si>
  <si>
    <t xml:space="preserve">    Ø Follow-Up Quote der Jahre 2017-2019</t>
  </si>
  <si>
    <t>Follow-Up Quote der Jahre 2017-2019</t>
  </si>
  <si>
    <t>Follow-Up Quote der Jahre 2017-2019 (positive Unplausibilität)</t>
  </si>
  <si>
    <t>geringe Follow-Up Quote der Jahre 2017-2019</t>
  </si>
  <si>
    <t>zu hohe Follow-Up Quote der Jahre 2017-2019</t>
  </si>
  <si>
    <t>Matrix - Ergebnisqualität (Malignes Melanom)</t>
  </si>
  <si>
    <t xml:space="preserve">Anzahl Primärfälle 
Malignes Melanom </t>
  </si>
  <si>
    <t>Werte Spalte U "Keine Rückmeldung" müssen kleiner gleich sein als Spalte D "Anzahl Primärfälle Malignes Melanom"; siehe Fußnote 2</t>
  </si>
  <si>
    <t>Anzahl Primärfälle Malignes Melanom</t>
  </si>
  <si>
    <t>Matrix - Analyseprotokoll Datendefizite (Malignes Melanom)</t>
  </si>
  <si>
    <t>Im Sinne einer gendergerechten Sprache verwenden wir für die Begriffe „Patientinnen“, „Patienten“, „Patient*innen“ die Bezeichnung „Pat.“, die ausdrücklich jede Geschlechtszuschreibung (weiblich, männlich, divers) einschließt.</t>
  </si>
  <si>
    <t>Die jeweilige Eingabe oder Änderung  "Anzahl / Zähler / Nenner" (gepunktete Felder) ist nur im Tabellenblatt "Basisdaten" möglich, die Übertragung erfolgt automatisch.
Der Zähler ist immer eine Teilmenge des Nenners (Ausnahme: Kennzahl 6 - Melanom: Anteil Studienpat.).</t>
  </si>
  <si>
    <t xml:space="preserve"> In Ordnung</t>
  </si>
  <si>
    <t xml:space="preserve">                   Sollvorgabe nicht erfüllt</t>
  </si>
  <si>
    <t>Pat. mit Stadienshift/Rezidiv</t>
  </si>
  <si>
    <t>Pat. des Nenners, die in der Tumorkonferenz vorgestellt wurden</t>
  </si>
  <si>
    <t>Pat. mit Stadienshift/Rezidiv
und Primärfälle mit extrakutanen Melanomen</t>
  </si>
  <si>
    <t>Pat. des Nenners,
bei denen eine Therapieabweichung vorgenommen wurde</t>
  </si>
  <si>
    <t>Pat. mit Stadienshift/Rezidiv und Primärfälle mit extrakutanen Melanomen, die in der Tumorkonferenz vorgestellt wurden
(= Zähler Kennzahl 2)</t>
  </si>
  <si>
    <t>Pat. des Nenners,
die stationär oder ambulant psychoonkologisch betreut wurden 
(Gesprächsdauer ≥ 25 Min.)</t>
  </si>
  <si>
    <t>Primärfälle (= Kennzahl 1.2) + Pat. mit Stadienshift/Rezidiv 
(= Basisdaten R34)</t>
  </si>
  <si>
    <t>Möglichst hohe Rate an Pat., die durch den Sozialdienst beraten wurden</t>
  </si>
  <si>
    <t>Pat. des Nenners, die stationär oder ambulant durch den Sozialdienst beraten wurden</t>
  </si>
  <si>
    <t>Primärfälle ( = Kennzahl 1.2) + Pat. mit Stadienshift/Rezidiv 
(= Basisdaten R34)</t>
  </si>
  <si>
    <t>Melanom:
Anteil Studienpat.</t>
  </si>
  <si>
    <t>Einschleusung von möglichst vielen Pat. in Studien</t>
  </si>
  <si>
    <t>Pat. mit Melanom, die in eine Studie mit Ethikvotum eingebracht wurden</t>
  </si>
  <si>
    <t>Pat. des Nenners mit LDH-Bestimmung</t>
  </si>
  <si>
    <t>Primärfälle und Pat. mit Stadienshift/Rezidiv mit Melanom bei Eintritt Stad. IV</t>
  </si>
  <si>
    <t>SNB-Operationen (Mehrfachnennung pro Pat. möglich)</t>
  </si>
  <si>
    <t>SNB-Operationen 
(= Nenner Kennzahl 7) + therapeutische LADs im Stad. III  (Mehrfachnennung pro Pat. möglich)</t>
  </si>
  <si>
    <t>Möglichst häufig Mutationsanalyse für BRAF bei Pat. mit kutanem Melanom ab Stad. III</t>
  </si>
  <si>
    <t>Möglichst häufig LDH-Bestimmung bei Pat. mit malignem Melanom bei Eintritt Stad. IV</t>
  </si>
  <si>
    <t>Primärfallpat. MM = 5a) + 6a)</t>
  </si>
  <si>
    <t>Zentrumspat. = 5a) + 6a) + 7)</t>
  </si>
  <si>
    <t>Alle Pat. MM (mit optional)
=  5a) + 6a) + 7) + 8) + 9)</t>
  </si>
  <si>
    <t xml:space="preserve">
2) Die Tabelle beginnt mit 5., damit keine Verwirrung mit den Tumorstadien entsteht.
3) Pat. mit Malignem Melanom der Uvea, Konjunktiva, Schleimhaut werden ausschließlich für Spalte P gezählt. Keine Doppelangaben.
4) Tx = Tumor kann nicht beurteilt werden.</t>
  </si>
  <si>
    <r>
      <t xml:space="preserve">Pat. mit aktueller 
Follow-Up-Meldung </t>
    </r>
    <r>
      <rPr>
        <vertAlign val="superscript"/>
        <sz val="9"/>
        <rFont val="Arial"/>
        <family val="2"/>
      </rPr>
      <t>2)</t>
    </r>
  </si>
  <si>
    <t>Werte Spalte T "Pat. mit aktueller Follow-Up-Meldung" müssen kleiner gleich sein als Spalte D 
"Anzahl Primärfälle Malignes Melanom"; siehe Fußnote 2</t>
  </si>
  <si>
    <t>Werte Spalte X "Tumorbedingt gestorben" müssen kleiner gleich sein als Spalte S "Pat. mit aktueller Follow-Up-Meldung"</t>
  </si>
  <si>
    <t>Werte Spalte Y "Gestorben (Todesursache unbekannt bzw. nicht tumorbedingt)" müssen kleiner gleich sein als Spalte S "Pat. mit aktueller Follow-Up-Meldung"</t>
  </si>
  <si>
    <t>Für OAS sind keine Plausibilitätsabfragen hinterlegt, dies liegt daran, dass die einzelnen Kollektive der Kohortenjahre in der Regel zu wenige Pat. umfassen</t>
  </si>
  <si>
    <t>Nicht relevant – Zentrum nicht in Deutschland</t>
  </si>
  <si>
    <t>FIltername EMAC: "Liste Reg.Nr DS"</t>
  </si>
  <si>
    <t>Klinikum Darmstadt</t>
  </si>
  <si>
    <t>Hauttumorzentrum am Nationalen Centrum für Tumorerkrankungen Dresden (NCT/UCC)</t>
  </si>
  <si>
    <t>Klinik für Dermatologie, Venerologie und Allergologie; Universitätsklinikum Frankfurt</t>
  </si>
  <si>
    <t>Hautkrebszentrum am UKSH, Campus Lübeck</t>
  </si>
  <si>
    <t>Universitätsklinikum Schleswig-Holstein, Campus Kiel</t>
  </si>
  <si>
    <t>Hautkrebszentrum Bremen</t>
  </si>
  <si>
    <t>Gesundheit Nord, Standort Klinikum Bremen-Ost</t>
  </si>
  <si>
    <t>FAH-Z073</t>
  </si>
  <si>
    <t>Hautkrebszentrum Klinikum Oldenburg</t>
  </si>
  <si>
    <t>Universitätsklinik für Dermatologie und Allergologie, Klinikum Oldenburg</t>
  </si>
  <si>
    <t>FAH-Z074</t>
  </si>
  <si>
    <t>Hautkrebszentrum im Ordensklinikum Linz</t>
  </si>
  <si>
    <t>Ordensklinikum Linz Elisabethinen</t>
  </si>
  <si>
    <t>FAH-Z075</t>
  </si>
  <si>
    <t>Hauttumorzentrum Helios Klinikum Duisburg</t>
  </si>
  <si>
    <t>Helios Klinikum Duisburg - HELIOS St. Johannes Klinik</t>
  </si>
  <si>
    <t>FAH-Z076</t>
  </si>
  <si>
    <t>Hauttumorzentrum am Universitätsklinikum des Saarlandes</t>
  </si>
  <si>
    <t>Universitätsklinikum des Saarlandes</t>
  </si>
  <si>
    <t>Stand: 24.09.2021</t>
  </si>
  <si>
    <t>Alle Pat. MM (mit optional) =  5a) + 6a) + 7) + 8) + 9)</t>
  </si>
  <si>
    <r>
      <t>1)</t>
    </r>
    <r>
      <rPr>
        <sz val="8"/>
        <rFont val="Arial"/>
        <family val="2"/>
      </rPr>
      <t xml:space="preserve">  Die Darstellung der Ergebnisqualität beschränkt sich im Moment auf die Primärfälle (Definition siehe Tabellenblatt "Basisdaten") </t>
    </r>
    <r>
      <rPr>
        <b/>
        <sz val="8"/>
        <rFont val="Arial"/>
        <family val="2"/>
      </rPr>
      <t>malignes Melanom!</t>
    </r>
    <r>
      <rPr>
        <sz val="8"/>
        <rFont val="Arial"/>
        <family val="2"/>
      </rPr>
      <t xml:space="preserve">
</t>
    </r>
    <r>
      <rPr>
        <vertAlign val="superscript"/>
        <sz val="8"/>
        <rFont val="Arial"/>
        <family val="2"/>
      </rPr>
      <t>2)</t>
    </r>
    <r>
      <rPr>
        <sz val="8"/>
        <rFont val="Arial"/>
        <family val="2"/>
      </rPr>
      <t xml:space="preserve">  Die Daten müssen pat.bezogen rückverfolgbar sein. Es werden Follow-up-Daten aus dem vorletzten Kalenderjahr vor dem Audit betrachtet (Auditjahr 2022 =&gt; Follow-up-Daten aus dem Zeitraum 01.01.2020-31.12.2020). 
    Unter Follow-Up ist Spalte T bis Y zu verstehen (Aktives Follow-Up).
</t>
    </r>
    <r>
      <rPr>
        <vertAlign val="superscript"/>
        <sz val="8"/>
        <rFont val="Arial"/>
        <family val="2"/>
      </rPr>
      <t xml:space="preserve">3) </t>
    </r>
    <r>
      <rPr>
        <sz val="8"/>
        <rFont val="Arial"/>
        <family val="2"/>
      </rPr>
      <t xml:space="preserve"> Primärfälle aus der Jahreskohorte x, die verstorben sind.
</t>
    </r>
    <r>
      <rPr>
        <vertAlign val="superscript"/>
        <sz val="8"/>
        <rFont val="Arial"/>
        <family val="2"/>
      </rPr>
      <t xml:space="preserve">4) </t>
    </r>
    <r>
      <rPr>
        <sz val="8"/>
        <rFont val="Arial"/>
        <family val="2"/>
      </rPr>
      <t xml:space="preserve"> OAS ist nicht direkt aus dieser Matrix abzuleiten und kann deshalb nach eigener Berechnung hier manuell eingetragen werden. Eine automatische Berechnung durch EXCEL erfolgt nicht.
</t>
    </r>
    <r>
      <rPr>
        <vertAlign val="superscript"/>
        <sz val="8"/>
        <rFont val="Arial"/>
        <family val="2"/>
      </rPr>
      <t>5)</t>
    </r>
    <r>
      <rPr>
        <sz val="8"/>
        <rFont val="Arial"/>
        <family val="2"/>
      </rPr>
      <t xml:space="preserve"> Ausgelöst durch die Follow-Up-Strukturen der Krebsregister (Latenzzeit Vollzähligkeit der Registrierung von Zielereignissen) ist es für das letzte und vorletzte Kalenderjahr ausreichend, die 
   aufgeschlüsselten Primärfälle (Spalte E-R) anzugeben.
</t>
    </r>
    <r>
      <rPr>
        <vertAlign val="superscript"/>
        <sz val="8"/>
        <rFont val="Arial"/>
        <family val="2"/>
      </rPr>
      <t>6)</t>
    </r>
    <r>
      <rPr>
        <sz val="8"/>
        <rFont val="Arial"/>
        <family val="2"/>
      </rPr>
      <t xml:space="preserve"> Das Stadium IIID wurde mit der 8. Auflage der TNM-Klassifikation eingeführt. Das Stadium IIID ist für die Jahre vor 2017 daher nicht relevant.
</t>
    </r>
  </si>
  <si>
    <r>
      <t xml:space="preserve">    b) Anzahl der Fälle bei Zweit-/Dritt-Melanom
</t>
    </r>
    <r>
      <rPr>
        <sz val="8"/>
        <rFont val="Arial"/>
        <family val="2"/>
      </rPr>
      <t>(= Im Kalenderjahr treten synchron/metachron weitere Diag. MM anderer Lokalisation auf, kein Rezidiv, kein Stadienshift)</t>
    </r>
  </si>
  <si>
    <t>Epitheliale Tumoren
(exklusive in-situ;
inkl. u.a. Basalzellkarzinom, Plattenepithelkarzinom)</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</si>
  <si>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</si>
  <si>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r>
      <rPr>
        <b/>
        <u/>
        <sz val="8"/>
        <color indexed="8"/>
        <rFont val="Arial"/>
        <family val="2"/>
      </rPr>
      <t>Bearbeitungshinweise:</t>
    </r>
    <r>
      <rPr>
        <sz val="8"/>
        <color indexed="8"/>
        <rFont val="Arial"/>
        <family val="2"/>
      </rPr>
      <t xml:space="preserve">
Die verbindliche Bearbeitung der Matrix / Ergebnisqualität wurde in der Zertifizierungskommissionssitzung vom 12.05.2014 aufgehoben. Das Kriterium der „Follow-Up Quote“ besteht somit nicht mehr und ist auch nicht für den Antrag REDZYK nachzuweisen.
Für die Bewertung der Matrix gelten folgende Regelungen:
            a) Alle Pat. ab dem Folgejahr der EZ sind im Follow-Up zu berücksichtigen; alle relevanten Nachsorgejahre sind zu bearbeiten, abhängig vom Datum der Erstzertifizierung.
            b) Nachsorgejahr "relevant" (Spalte B) =&gt; Sämtliche „hellgrau“ hinterlegte Felder sollten vollständig bearbeitet werden; dies gilt auch für Nullwerte (=0).
            c) Ausnahmen sind die optional anzugebenden Felder OAS (Spalte AA). Dezimaltrennzeichen ist das Komma (nicht der Punkt). Rundung erfolgt auf zwei Nachkommastellen.
            d) Bei den „hellrot“ hinterlegten Feldern liegt eine Falscheingabe vor, diese ist zu korrigieren.
            e) Zahlen müssen manuell eingegeben werden, diese dürfen nicht kopiert werden.
            f) „Hellgrün“ hinterlegte Felder weisen auf Unplausibilitäten hin. Diese Werte sind zu analysieren und das Ergebnis ist auf dem Folgeblatt „Datendefizite_Matrix“ darzulegen.
</t>
    </r>
    <r>
      <rPr>
        <b/>
        <u/>
        <sz val="8"/>
        <color indexed="8"/>
        <rFont val="Arial"/>
        <family val="2"/>
      </rPr>
      <t xml:space="preserve">
Anmerkungen:
</t>
    </r>
    <r>
      <rPr>
        <sz val="8"/>
        <color indexed="8"/>
        <rFont val="Arial"/>
        <family val="2"/>
      </rPr>
      <t>In dieser Excel-Vorlage sind die nachfolgend skizzierten Plausibilitätsabfragen hinterlegt.
Ein Anspruch auf Vollständigkeit besteht nicht.
Von Seiten des Fachexperten können weitere Unplausibilitäten bzw. Inkorrektheiten identifiziert und im Rahmen des Auditergebnisses dargestellt werden.</t>
    </r>
  </si>
  <si>
    <t>Aktualisierung: 12.11.2021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</si>
</sst>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132">
    <font>
      <sz val="11"/>
      <color theme="1"/>
      <name val="Calibri"/>
      <family val="2"/>
      <scheme val="minor"/>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b/>
      <sz val="12"/>
      <color indexed="8"/>
      <name val="Arial"/>
      <family val="2"/>
    </font>
    <font>
      <sz val="9"/>
      <color indexed="8"/>
      <name val="Arial"/>
      <family val="2"/>
    </font>
    <font>
      <sz val="9"/>
      <color indexed="8"/>
      <name val="Times New Roman"/>
      <family val="1"/>
    </font>
    <font>
      <sz val="9"/>
      <color indexed="81"/>
      <name val="Arial"/>
      <family val="2"/>
    </font>
    <font>
      <b/>
      <sz val="16"/>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sz val="8"/>
      <color indexed="8"/>
      <name val="Times New Roman"/>
      <family val="1"/>
    </font>
    <font>
      <sz val="8"/>
      <color indexed="81"/>
      <name val="Arial"/>
      <family val="2"/>
    </font>
    <font>
      <sz val="8"/>
      <color indexed="55"/>
      <name val="Arial"/>
      <family val="2"/>
    </font>
    <font>
      <b/>
      <u/>
      <sz val="8"/>
      <color indexed="8"/>
      <name val="Arial"/>
      <family val="2"/>
    </font>
    <font>
      <vertAlign val="superscript"/>
      <sz val="9"/>
      <name val="Arial"/>
      <family val="2"/>
    </font>
    <font>
      <b/>
      <vertAlign val="superscript"/>
      <sz val="9"/>
      <name val="Arial"/>
      <family val="2"/>
    </font>
    <font>
      <vertAlign val="superscript"/>
      <sz val="8"/>
      <name val="Arial"/>
      <family val="2"/>
    </font>
    <font>
      <vertAlign val="superscript"/>
      <sz val="8"/>
      <color indexed="14"/>
      <name val="Arial"/>
      <family val="2"/>
    </font>
    <font>
      <sz val="10"/>
      <color indexed="14"/>
      <name val="Arial"/>
      <family val="2"/>
    </font>
    <font>
      <sz val="8"/>
      <color indexed="14"/>
      <name val="Arial"/>
      <family val="2"/>
    </font>
    <font>
      <sz val="10"/>
      <color indexed="55"/>
      <name val="Arial"/>
      <family val="2"/>
    </font>
    <font>
      <sz val="11"/>
      <color indexed="8"/>
      <name val="Calibri"/>
      <family val="2"/>
    </font>
    <font>
      <sz val="8"/>
      <color indexed="8"/>
      <name val="Arial"/>
      <family val="2"/>
    </font>
    <font>
      <sz val="9"/>
      <color indexed="8"/>
      <name val="Arial"/>
      <family val="2"/>
    </font>
    <font>
      <sz val="10"/>
      <color indexed="8"/>
      <name val="Arial"/>
      <family val="2"/>
    </font>
    <font>
      <b/>
      <sz val="8"/>
      <color indexed="8"/>
      <name val="Arial"/>
      <family val="2"/>
    </font>
    <font>
      <sz val="11"/>
      <color indexed="23"/>
      <name val="Arial"/>
      <family val="2"/>
    </font>
    <font>
      <sz val="8"/>
      <color indexed="8"/>
      <name val="Calibri"/>
      <family val="2"/>
    </font>
    <font>
      <sz val="8"/>
      <color indexed="8"/>
      <name val="Arial Narrow"/>
      <family val="2"/>
    </font>
    <font>
      <sz val="8"/>
      <color indexed="23"/>
      <name val="Arial Narrow"/>
      <family val="2"/>
    </font>
    <font>
      <b/>
      <sz val="8"/>
      <color indexed="8"/>
      <name val="Arial Narrow"/>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9"/>
      <color indexed="8"/>
      <name val="Arial"/>
      <family val="2"/>
    </font>
    <font>
      <sz val="8"/>
      <color indexed="8"/>
      <name val="Arial"/>
      <family val="2"/>
    </font>
    <font>
      <sz val="9"/>
      <color indexed="8"/>
      <name val="Arial"/>
      <family val="2"/>
    </font>
    <font>
      <sz val="10"/>
      <color indexed="8"/>
      <name val="Arial"/>
      <family val="2"/>
    </font>
    <font>
      <sz val="11"/>
      <color indexed="8"/>
      <name val="Arial"/>
      <family val="2"/>
    </font>
    <font>
      <b/>
      <sz val="8"/>
      <color indexed="8"/>
      <name val="Arial"/>
      <family val="2"/>
    </font>
    <font>
      <b/>
      <sz val="8"/>
      <color indexed="8"/>
      <name val="Arial Narrow"/>
      <family val="2"/>
    </font>
    <font>
      <u/>
      <sz val="8"/>
      <color indexed="8"/>
      <name val="Arial"/>
      <family val="2"/>
    </font>
    <font>
      <sz val="11"/>
      <name val="Calibri"/>
      <family val="2"/>
    </font>
    <font>
      <sz val="9"/>
      <color indexed="23"/>
      <name val="Arial"/>
      <family val="2"/>
    </font>
    <font>
      <sz val="8"/>
      <name val="Arial Narrow"/>
      <family val="2"/>
    </font>
    <font>
      <sz val="8"/>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8"/>
      <color theme="1"/>
      <name val="Arial"/>
      <family val="2"/>
    </font>
    <font>
      <sz val="11"/>
      <color theme="1"/>
      <name val="Calibri"/>
      <family val="2"/>
    </font>
    <font>
      <sz val="11"/>
      <name val="Calibri"/>
      <family val="2"/>
      <scheme val="minor"/>
    </font>
    <font>
      <sz val="8"/>
      <color rgb="FFFF0000"/>
      <name val="Arial"/>
      <family val="2"/>
    </font>
    <font>
      <sz val="9"/>
      <color theme="0" tint="-0.499984740745262"/>
      <name val="Arial"/>
      <family val="2"/>
    </font>
    <font>
      <b/>
      <sz val="8.5"/>
      <color indexed="8"/>
      <name val="Arial"/>
      <family val="2"/>
    </font>
    <font>
      <u/>
      <sz val="11"/>
      <color theme="10"/>
      <name val="Calibri"/>
      <family val="2"/>
      <scheme val="minor"/>
    </font>
    <font>
      <u/>
      <sz val="8"/>
      <color theme="10"/>
      <name val="Arial"/>
      <family val="2"/>
    </font>
    <font>
      <sz val="8"/>
      <color theme="10"/>
      <name val="Arial"/>
      <family val="2"/>
    </font>
    <font>
      <strike/>
      <sz val="10"/>
      <color rgb="FFFF0000"/>
      <name val="Arial"/>
      <family val="2"/>
    </font>
    <font>
      <strike/>
      <sz val="10"/>
      <color indexed="8"/>
      <name val="Arial"/>
      <family val="2"/>
    </font>
    <font>
      <b/>
      <sz val="8.5"/>
      <name val="Arial"/>
      <family val="2"/>
    </font>
    <font>
      <b/>
      <vertAlign val="superscript"/>
      <sz val="8.5"/>
      <name val="Arial"/>
      <family val="2"/>
    </font>
    <font>
      <b/>
      <sz val="11"/>
      <name val="Calibri"/>
      <family val="2"/>
      <scheme val="minor"/>
    </font>
    <font>
      <b/>
      <sz val="9"/>
      <color theme="0" tint="-0.499984740745262"/>
      <name val="Arial"/>
      <family val="2"/>
    </font>
    <font>
      <sz val="8"/>
      <color theme="0" tint="-0.499984740745262"/>
      <name val="Arial"/>
      <family val="2"/>
    </font>
    <font>
      <strike/>
      <sz val="8"/>
      <name val="Arial"/>
      <family val="2"/>
    </font>
    <font>
      <sz val="9"/>
      <color theme="1"/>
      <name val="Arial"/>
      <family val="2"/>
    </font>
    <font>
      <b/>
      <u/>
      <sz val="9"/>
      <name val="Arial"/>
      <family val="2"/>
    </font>
    <font>
      <u/>
      <sz val="8"/>
      <color theme="10"/>
      <name val="Aral"/>
    </font>
    <font>
      <sz val="8"/>
      <color theme="10"/>
      <name val="Aral"/>
    </font>
    <font>
      <sz val="11"/>
      <color theme="0" tint="-0.499984740745262"/>
      <name val="Arial"/>
      <family val="2"/>
    </font>
    <font>
      <sz val="7"/>
      <name val="Arial"/>
      <family val="2"/>
    </font>
  </fonts>
  <fills count="89">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gray0625">
        <fgColor indexed="23"/>
        <bgColor indexed="9"/>
      </patternFill>
    </fill>
    <fill>
      <patternFill patternType="solid">
        <fgColor indexed="11"/>
        <bgColor indexed="64"/>
      </patternFill>
    </fill>
    <fill>
      <patternFill patternType="solid">
        <fgColor indexed="14"/>
        <bgColor indexed="64"/>
      </patternFill>
    </fill>
    <fill>
      <patternFill patternType="solid">
        <fgColor indexed="41"/>
        <bgColor indexed="64"/>
      </patternFill>
    </fill>
    <fill>
      <patternFill patternType="solid">
        <fgColor indexed="22"/>
        <bgColor indexed="64"/>
      </patternFill>
    </fill>
    <fill>
      <patternFill patternType="gray0625">
        <fgColor indexed="23"/>
      </patternFill>
    </fill>
    <fill>
      <patternFill patternType="gray0625"/>
    </fill>
    <fill>
      <patternFill patternType="solid">
        <fgColor indexed="65"/>
        <bgColor indexed="64"/>
      </patternFill>
    </fill>
    <fill>
      <patternFill patternType="solid">
        <fgColor indexed="47"/>
        <bgColor indexed="64"/>
      </patternFill>
    </fill>
    <fill>
      <patternFill patternType="solid">
        <fgColor indexed="13"/>
        <bgColor indexed="64"/>
      </patternFill>
    </fill>
    <fill>
      <patternFill patternType="solid">
        <fgColor indexed="41"/>
        <bgColor indexed="2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DCE6F1"/>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C000"/>
        <bgColor indexed="64"/>
      </patternFill>
    </fill>
    <fill>
      <patternFill patternType="solid">
        <fgColor theme="7" tint="0.59999389629810485"/>
        <bgColor indexed="64"/>
      </patternFill>
    </fill>
    <fill>
      <patternFill patternType="lightUp">
        <bgColor theme="0" tint="-0.24994659260841701"/>
      </patternFill>
    </fill>
    <fill>
      <patternFill patternType="solid">
        <fgColor rgb="FFCCFFCC"/>
        <bgColor indexed="64"/>
      </patternFill>
    </fill>
    <fill>
      <patternFill patternType="solid">
        <fgColor theme="9" tint="0.39997558519241921"/>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C0C0C0"/>
        <bgColor indexed="64"/>
      </patternFill>
    </fill>
  </fills>
  <borders count="99">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diagonal/>
    </border>
    <border>
      <left style="thick">
        <color indexed="64"/>
      </left>
      <right/>
      <top style="thick">
        <color indexed="64"/>
      </top>
      <bottom/>
      <diagonal/>
    </border>
    <border>
      <left style="medium">
        <color indexed="64"/>
      </left>
      <right style="medium">
        <color indexed="64"/>
      </right>
      <top style="thick">
        <color indexed="64"/>
      </top>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medium">
        <color indexed="64"/>
      </bottom>
      <diagonal/>
    </border>
    <border>
      <left style="thick">
        <color indexed="64"/>
      </left>
      <right/>
      <top style="medium">
        <color indexed="64"/>
      </top>
      <bottom/>
      <diagonal/>
    </border>
    <border>
      <left style="thick">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ck">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n">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right style="thick">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bottom style="thick">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thin">
        <color indexed="64"/>
      </right>
      <top style="thin">
        <color indexed="64"/>
      </top>
      <bottom/>
      <diagonal/>
    </border>
  </borders>
  <cellStyleXfs count="584">
    <xf numFmtId="0" fontId="0" fillId="0" borderId="0"/>
    <xf numFmtId="0" fontId="91" fillId="41" borderId="0" applyNumberFormat="0" applyBorder="0" applyAlignment="0" applyProtection="0"/>
    <xf numFmtId="0" fontId="91" fillId="3" borderId="0" applyNumberFormat="0" applyBorder="0" applyAlignment="0" applyProtection="0"/>
    <xf numFmtId="0" fontId="91" fillId="41"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1" borderId="0" applyNumberFormat="0" applyBorder="0" applyAlignment="0" applyProtection="0"/>
    <xf numFmtId="0" fontId="91" fillId="2" borderId="0" applyNumberFormat="0" applyBorder="0" applyAlignment="0" applyProtection="0"/>
    <xf numFmtId="0" fontId="91" fillId="2"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0"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91" fillId="42" borderId="0" applyNumberFormat="0" applyBorder="0" applyAlignment="0" applyProtection="0"/>
    <xf numFmtId="0" fontId="91" fillId="6" borderId="0" applyNumberFormat="0" applyBorder="0" applyAlignment="0" applyProtection="0"/>
    <xf numFmtId="0" fontId="91" fillId="42"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42"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0"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91" fillId="43" borderId="0" applyNumberFormat="0" applyBorder="0" applyAlignment="0" applyProtection="0"/>
    <xf numFmtId="0" fontId="91" fillId="8" borderId="0" applyNumberFormat="0" applyBorder="0" applyAlignment="0" applyProtection="0"/>
    <xf numFmtId="0" fontId="91" fillId="43"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91" fillId="43" borderId="0" applyNumberFormat="0" applyBorder="0" applyAlignment="0" applyProtection="0"/>
    <xf numFmtId="0" fontId="91" fillId="7" borderId="0" applyNumberFormat="0" applyBorder="0" applyAlignment="0" applyProtection="0"/>
    <xf numFmtId="0" fontId="91" fillId="7"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0"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91" fillId="44" borderId="0" applyNumberFormat="0" applyBorder="0" applyAlignment="0" applyProtection="0"/>
    <xf numFmtId="0" fontId="91" fillId="10" borderId="0" applyNumberFormat="0" applyBorder="0" applyAlignment="0" applyProtection="0"/>
    <xf numFmtId="0" fontId="91" fillId="44"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44"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1" fillId="45" borderId="0" applyNumberFormat="0" applyBorder="0" applyAlignment="0" applyProtection="0"/>
    <xf numFmtId="0" fontId="91" fillId="4" borderId="0" applyNumberFormat="0" applyBorder="0" applyAlignment="0" applyProtection="0"/>
    <xf numFmtId="0" fontId="91" fillId="4" borderId="0" applyNumberFormat="0" applyBorder="0" applyAlignment="0" applyProtection="0"/>
    <xf numFmtId="0" fontId="91" fillId="45" borderId="0" applyNumberFormat="0" applyBorder="0" applyAlignment="0" applyProtection="0"/>
    <xf numFmtId="0" fontId="91" fillId="2"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1" fillId="46"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0"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91" fillId="47" borderId="0" applyNumberFormat="0" applyBorder="0" applyAlignment="0" applyProtection="0"/>
    <xf numFmtId="0" fontId="91" fillId="47" borderId="0" applyNumberFormat="0" applyBorder="0" applyAlignment="0" applyProtection="0"/>
    <xf numFmtId="0" fontId="91" fillId="2"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91" fillId="48" borderId="0" applyNumberFormat="0" applyBorder="0" applyAlignment="0" applyProtection="0"/>
    <xf numFmtId="0" fontId="10"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0"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91" fillId="49" borderId="0" applyNumberFormat="0" applyBorder="0" applyAlignment="0" applyProtection="0"/>
    <xf numFmtId="0" fontId="91" fillId="14" borderId="0" applyNumberFormat="0" applyBorder="0" applyAlignment="0" applyProtection="0"/>
    <xf numFmtId="0" fontId="91" fillId="49"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91" fillId="49" borderId="0" applyNumberFormat="0" applyBorder="0" applyAlignment="0" applyProtection="0"/>
    <xf numFmtId="0" fontId="91" fillId="13" borderId="0" applyNumberFormat="0" applyBorder="0" applyAlignment="0" applyProtection="0"/>
    <xf numFmtId="0" fontId="91" fillId="13" borderId="0" applyNumberFormat="0" applyBorder="0" applyAlignment="0" applyProtection="0"/>
    <xf numFmtId="0" fontId="1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91" fillId="50" borderId="0" applyNumberFormat="0" applyBorder="0" applyAlignment="0" applyProtection="0"/>
    <xf numFmtId="0" fontId="91" fillId="15" borderId="0" applyNumberFormat="0" applyBorder="0" applyAlignment="0" applyProtection="0"/>
    <xf numFmtId="0" fontId="91" fillId="15" borderId="0" applyNumberFormat="0" applyBorder="0" applyAlignment="0" applyProtection="0"/>
    <xf numFmtId="0" fontId="91" fillId="50" borderId="0" applyNumberFormat="0" applyBorder="0" applyAlignment="0" applyProtection="0"/>
    <xf numFmtId="0" fontId="91" fillId="15"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2"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0"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91" fillId="52" borderId="0" applyNumberFormat="0" applyBorder="0" applyAlignment="0" applyProtection="0"/>
    <xf numFmtId="0" fontId="91" fillId="5" borderId="0" applyNumberFormat="0" applyBorder="0" applyAlignment="0" applyProtection="0"/>
    <xf numFmtId="0" fontId="91" fillId="5" borderId="0" applyNumberFormat="0" applyBorder="0" applyAlignment="0" applyProtection="0"/>
    <xf numFmtId="0" fontId="91" fillId="52" borderId="0" applyNumberFormat="0" applyBorder="0" applyAlignment="0" applyProtection="0"/>
    <xf numFmtId="0" fontId="91" fillId="5" borderId="0" applyNumberFormat="0" applyBorder="0" applyAlignment="0" applyProtection="0"/>
    <xf numFmtId="0" fontId="10"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0"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2" fillId="53" borderId="0" applyNumberFormat="0" applyBorder="0" applyAlignment="0" applyProtection="0"/>
    <xf numFmtId="0" fontId="92" fillId="4" borderId="0" applyNumberFormat="0" applyBorder="0" applyAlignment="0" applyProtection="0"/>
    <xf numFmtId="0" fontId="92" fillId="4" borderId="0" applyNumberFormat="0" applyBorder="0" applyAlignment="0" applyProtection="0"/>
    <xf numFmtId="0" fontId="92" fillId="53" borderId="0" applyNumberFormat="0" applyBorder="0" applyAlignment="0" applyProtection="0"/>
    <xf numFmtId="0" fontId="92" fillId="2"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92" fillId="54"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92" fillId="5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92" fillId="56" borderId="0" applyNumberFormat="0" applyBorder="0" applyAlignment="0" applyProtection="0"/>
    <xf numFmtId="0" fontId="92" fillId="18" borderId="0" applyNumberFormat="0" applyBorder="0" applyAlignment="0" applyProtection="0"/>
    <xf numFmtId="0" fontId="92" fillId="56"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56"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92" fillId="57" borderId="0" applyNumberFormat="0" applyBorder="0" applyAlignment="0" applyProtection="0"/>
    <xf numFmtId="0" fontId="92" fillId="4" borderId="0" applyNumberFormat="0" applyBorder="0" applyAlignment="0" applyProtection="0"/>
    <xf numFmtId="0" fontId="92" fillId="4" borderId="0" applyNumberFormat="0" applyBorder="0" applyAlignment="0" applyProtection="0"/>
    <xf numFmtId="0" fontId="92" fillId="57" borderId="0" applyNumberFormat="0" applyBorder="0" applyAlignment="0" applyProtection="0"/>
    <xf numFmtId="0" fontId="92" fillId="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92" fillId="58" borderId="0" applyNumberFormat="0" applyBorder="0" applyAlignment="0" applyProtection="0"/>
    <xf numFmtId="0" fontId="92" fillId="20" borderId="0" applyNumberFormat="0" applyBorder="0" applyAlignment="0" applyProtection="0"/>
    <xf numFmtId="0" fontId="92" fillId="58"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92" fillId="58" borderId="0" applyNumberFormat="0" applyBorder="0" applyAlignment="0" applyProtection="0"/>
    <xf numFmtId="0" fontId="92" fillId="5" borderId="0" applyNumberFormat="0" applyBorder="0" applyAlignment="0" applyProtection="0"/>
    <xf numFmtId="0" fontId="92" fillId="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92" fillId="59" borderId="0" applyNumberFormat="0" applyBorder="0" applyAlignment="0" applyProtection="0"/>
    <xf numFmtId="0" fontId="35" fillId="21"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59" borderId="0" applyNumberFormat="0" applyBorder="0" applyAlignment="0" applyProtection="0"/>
    <xf numFmtId="0" fontId="92" fillId="19" borderId="0" applyNumberFormat="0" applyBorder="0" applyAlignment="0" applyProtection="0"/>
    <xf numFmtId="0" fontId="92" fillId="21" borderId="0" applyNumberFormat="0" applyBorder="0" applyAlignment="0" applyProtection="0"/>
    <xf numFmtId="0" fontId="92" fillId="60" borderId="0" applyNumberFormat="0" applyBorder="0" applyAlignment="0" applyProtection="0"/>
    <xf numFmtId="0" fontId="35" fillId="22" borderId="0" applyNumberFormat="0" applyBorder="0" applyAlignment="0" applyProtection="0"/>
    <xf numFmtId="0" fontId="92" fillId="23" borderId="0" applyNumberFormat="0" applyBorder="0" applyAlignment="0" applyProtection="0"/>
    <xf numFmtId="0" fontId="92" fillId="22" borderId="0" applyNumberFormat="0" applyBorder="0" applyAlignment="0" applyProtection="0"/>
    <xf numFmtId="0" fontId="35" fillId="24" borderId="0" applyNumberFormat="0" applyBorder="0" applyAlignment="0" applyProtection="0"/>
    <xf numFmtId="0" fontId="92" fillId="61" borderId="0" applyNumberFormat="0" applyBorder="0" applyAlignment="0" applyProtection="0"/>
    <xf numFmtId="0" fontId="92" fillId="62" borderId="0" applyNumberFormat="0" applyBorder="0" applyAlignment="0" applyProtection="0"/>
    <xf numFmtId="0" fontId="35" fillId="18" borderId="0" applyNumberFormat="0" applyBorder="0" applyAlignment="0" applyProtection="0"/>
    <xf numFmtId="0" fontId="92" fillId="25" borderId="0" applyNumberFormat="0" applyBorder="0" applyAlignment="0" applyProtection="0"/>
    <xf numFmtId="0" fontId="92" fillId="25" borderId="0" applyNumberFormat="0" applyBorder="0" applyAlignment="0" applyProtection="0"/>
    <xf numFmtId="0" fontId="92" fillId="62"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35" fillId="19" borderId="0" applyNumberFormat="0" applyBorder="0" applyAlignment="0" applyProtection="0"/>
    <xf numFmtId="0" fontId="92" fillId="63" borderId="0" applyNumberFormat="0" applyBorder="0" applyAlignment="0" applyProtection="0"/>
    <xf numFmtId="0" fontId="35" fillId="23" borderId="0" applyNumberFormat="0" applyBorder="0" applyAlignment="0" applyProtection="0"/>
    <xf numFmtId="0" fontId="92" fillId="64" borderId="0" applyNumberFormat="0" applyBorder="0" applyAlignment="0" applyProtection="0"/>
    <xf numFmtId="0" fontId="92" fillId="21"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3" fillId="65" borderId="84" applyNumberFormat="0" applyAlignment="0" applyProtection="0"/>
    <xf numFmtId="0" fontId="93" fillId="15" borderId="84" applyNumberFormat="0" applyAlignment="0" applyProtection="0"/>
    <xf numFmtId="0" fontId="93" fillId="15" borderId="84" applyNumberFormat="0" applyAlignment="0" applyProtection="0"/>
    <xf numFmtId="0" fontId="11" fillId="15" borderId="1" applyNumberFormat="0" applyAlignment="0" applyProtection="0"/>
    <xf numFmtId="0" fontId="93" fillId="65" borderId="84" applyNumberFormat="0" applyAlignment="0" applyProtection="0"/>
    <xf numFmtId="0" fontId="93" fillId="9" borderId="84" applyNumberFormat="0" applyAlignment="0" applyProtection="0"/>
    <xf numFmtId="0" fontId="93" fillId="9" borderId="84" applyNumberFormat="0" applyAlignment="0" applyProtection="0"/>
    <xf numFmtId="0" fontId="93" fillId="65" borderId="84" applyNumberFormat="0" applyAlignment="0" applyProtection="0"/>
    <xf numFmtId="0" fontId="11" fillId="9" borderId="1" applyNumberFormat="0" applyAlignment="0" applyProtection="0"/>
    <xf numFmtId="0" fontId="93" fillId="15" borderId="84" applyNumberFormat="0" applyAlignment="0" applyProtection="0"/>
    <xf numFmtId="0" fontId="11" fillId="9" borderId="1" applyNumberFormat="0" applyAlignment="0" applyProtection="0"/>
    <xf numFmtId="0" fontId="93" fillId="15" borderId="84" applyNumberFormat="0" applyAlignment="0" applyProtection="0"/>
    <xf numFmtId="0" fontId="93" fillId="15" borderId="84" applyNumberFormat="0" applyAlignment="0" applyProtection="0"/>
    <xf numFmtId="0" fontId="11" fillId="15" borderId="1"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93" fillId="15" borderId="84" applyNumberFormat="0" applyAlignment="0" applyProtection="0"/>
    <xf numFmtId="0" fontId="93" fillId="15" borderId="84" applyNumberFormat="0" applyAlignment="0" applyProtection="0"/>
    <xf numFmtId="0" fontId="11" fillId="15" borderId="1" applyNumberFormat="0" applyAlignment="0" applyProtection="0"/>
    <xf numFmtId="0" fontId="93" fillId="15" borderId="84" applyNumberFormat="0" applyAlignment="0" applyProtection="0"/>
    <xf numFmtId="0" fontId="36" fillId="15" borderId="2" applyNumberFormat="0" applyAlignment="0" applyProtection="0"/>
    <xf numFmtId="0" fontId="36" fillId="15" borderId="2" applyNumberFormat="0" applyAlignment="0" applyProtection="0"/>
    <xf numFmtId="0" fontId="93" fillId="15" borderId="84" applyNumberFormat="0" applyAlignment="0" applyProtection="0"/>
    <xf numFmtId="0" fontId="48" fillId="6" borderId="0" applyNumberFormat="0" applyBorder="0" applyAlignment="0" applyProtection="0"/>
    <xf numFmtId="0" fontId="94" fillId="66" borderId="0" applyNumberFormat="0" applyBorder="0" applyAlignment="0" applyProtection="0"/>
    <xf numFmtId="0" fontId="95" fillId="65" borderId="85" applyNumberFormat="0" applyAlignment="0" applyProtection="0"/>
    <xf numFmtId="0" fontId="95" fillId="15" borderId="85" applyNumberFormat="0" applyAlignment="0" applyProtection="0"/>
    <xf numFmtId="0" fontId="95" fillId="65" borderId="85" applyNumberFormat="0" applyAlignment="0" applyProtection="0"/>
    <xf numFmtId="0" fontId="95" fillId="9" borderId="85" applyNumberFormat="0" applyAlignment="0" applyProtection="0"/>
    <xf numFmtId="0" fontId="95" fillId="9" borderId="85" applyNumberFormat="0" applyAlignment="0" applyProtection="0"/>
    <xf numFmtId="0" fontId="95" fillId="65" borderId="85" applyNumberFormat="0" applyAlignment="0" applyProtection="0"/>
    <xf numFmtId="0" fontId="95" fillId="9" borderId="85" applyNumberFormat="0" applyAlignment="0" applyProtection="0"/>
    <xf numFmtId="0" fontId="95" fillId="9" borderId="85" applyNumberFormat="0" applyAlignment="0" applyProtection="0"/>
    <xf numFmtId="0" fontId="95" fillId="15" borderId="85"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95" fillId="15" borderId="85" applyNumberFormat="0" applyAlignment="0" applyProtection="0"/>
    <xf numFmtId="0" fontId="37" fillId="15" borderId="3" applyNumberFormat="0" applyAlignment="0" applyProtection="0"/>
    <xf numFmtId="0" fontId="37" fillId="15" borderId="3" applyNumberFormat="0" applyAlignment="0" applyProtection="0"/>
    <xf numFmtId="0" fontId="50" fillId="26" borderId="5" applyNumberFormat="0" applyAlignment="0" applyProtection="0"/>
    <xf numFmtId="0" fontId="96" fillId="67" borderId="86" applyNumberFormat="0" applyAlignment="0" applyProtection="0"/>
    <xf numFmtId="0" fontId="96" fillId="67" borderId="4" applyNumberFormat="0" applyAlignment="0" applyProtection="0"/>
    <xf numFmtId="0" fontId="97" fillId="68" borderId="85"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98" fillId="0" borderId="87" applyNumberFormat="0" applyFill="0" applyAlignment="0" applyProtection="0"/>
    <xf numFmtId="0" fontId="98" fillId="0" borderId="7" applyNumberFormat="0" applyFill="0" applyAlignment="0" applyProtection="0"/>
    <xf numFmtId="0" fontId="98" fillId="0" borderId="7" applyNumberFormat="0" applyFill="0" applyAlignment="0" applyProtection="0"/>
    <xf numFmtId="0" fontId="98" fillId="0" borderId="7" applyNumberFormat="0" applyFill="0" applyAlignment="0" applyProtection="0"/>
    <xf numFmtId="0" fontId="98" fillId="0" borderId="87"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87" applyNumberFormat="0" applyFill="0" applyAlignment="0" applyProtection="0"/>
    <xf numFmtId="0" fontId="98" fillId="0" borderId="6" applyNumberFormat="0" applyFill="0" applyAlignment="0" applyProtection="0"/>
    <xf numFmtId="0" fontId="98" fillId="0" borderId="6" applyNumberFormat="0" applyFill="0" applyAlignment="0" applyProtection="0"/>
    <xf numFmtId="0" fontId="98" fillId="0" borderId="7" applyNumberFormat="0" applyFill="0" applyAlignment="0" applyProtection="0"/>
    <xf numFmtId="0" fontId="98"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98"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11" fillId="0" borderId="7" applyNumberFormat="0" applyFill="0" applyAlignment="0" applyProtection="0"/>
    <xf numFmtId="0" fontId="98" fillId="0" borderId="7" applyNumberFormat="0" applyFill="0" applyAlignment="0" applyProtection="0"/>
    <xf numFmtId="0" fontId="11" fillId="0" borderId="7" applyNumberFormat="0" applyFill="0" applyAlignment="0" applyProtection="0"/>
    <xf numFmtId="0" fontId="9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7" fillId="8"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1" fillId="0" borderId="88" applyNumberFormat="0" applyFill="0" applyAlignment="0" applyProtection="0"/>
    <xf numFmtId="0" fontId="74" fillId="0" borderId="8" applyNumberFormat="0" applyFill="0" applyAlignment="0" applyProtection="0"/>
    <xf numFmtId="0" fontId="74" fillId="0" borderId="8" applyNumberFormat="0" applyFill="0" applyAlignment="0" applyProtection="0"/>
    <xf numFmtId="0" fontId="101" fillId="0" borderId="88" applyNumberFormat="0" applyFill="0" applyAlignment="0" applyProtection="0"/>
    <xf numFmtId="0" fontId="74" fillId="0" borderId="8" applyNumberFormat="0" applyFill="0" applyAlignment="0" applyProtection="0"/>
    <xf numFmtId="0" fontId="42" fillId="0" borderId="9" applyNumberFormat="0" applyFill="0" applyAlignment="0" applyProtection="0"/>
    <xf numFmtId="0" fontId="102" fillId="0" borderId="89" applyNumberFormat="0" applyFill="0" applyAlignment="0" applyProtection="0"/>
    <xf numFmtId="0" fontId="75" fillId="0" borderId="11" applyNumberFormat="0" applyFill="0" applyAlignment="0" applyProtection="0"/>
    <xf numFmtId="0" fontId="75" fillId="0" borderId="11" applyNumberFormat="0" applyFill="0" applyAlignment="0" applyProtection="0"/>
    <xf numFmtId="0" fontId="102" fillId="0" borderId="89" applyNumberFormat="0" applyFill="0" applyAlignment="0" applyProtection="0"/>
    <xf numFmtId="0" fontId="75" fillId="0" borderId="10" applyNumberFormat="0" applyFill="0" applyAlignment="0" applyProtection="0"/>
    <xf numFmtId="0" fontId="45" fillId="0" borderId="12" applyNumberFormat="0" applyFill="0" applyAlignment="0" applyProtection="0"/>
    <xf numFmtId="0" fontId="103" fillId="0" borderId="90" applyNumberFormat="0" applyFill="0" applyAlignment="0" applyProtection="0"/>
    <xf numFmtId="0" fontId="76" fillId="0" borderId="14" applyNumberFormat="0" applyFill="0" applyAlignment="0" applyProtection="0"/>
    <xf numFmtId="0" fontId="76" fillId="0" borderId="14" applyNumberFormat="0" applyFill="0" applyAlignment="0" applyProtection="0"/>
    <xf numFmtId="0" fontId="103" fillId="0" borderId="90" applyNumberFormat="0" applyFill="0" applyAlignment="0" applyProtection="0"/>
    <xf numFmtId="0" fontId="76" fillId="0" borderId="13" applyNumberFormat="0" applyFill="0" applyAlignment="0" applyProtection="0"/>
    <xf numFmtId="0" fontId="43" fillId="0" borderId="15" applyNumberFormat="0" applyFill="0" applyAlignment="0" applyProtection="0"/>
    <xf numFmtId="0" fontId="103"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03" fillId="0" borderId="0" applyNumberFormat="0" applyFill="0" applyBorder="0" applyAlignment="0" applyProtection="0"/>
    <xf numFmtId="0" fontId="76" fillId="0" borderId="0" applyNumberFormat="0" applyFill="0" applyBorder="0" applyAlignment="0" applyProtection="0"/>
    <xf numFmtId="0" fontId="43" fillId="0" borderId="0" applyNumberFormat="0" applyFill="0" applyBorder="0" applyAlignment="0" applyProtection="0"/>
    <xf numFmtId="0" fontId="38" fillId="5" borderId="3" applyNumberFormat="0" applyAlignment="0" applyProtection="0"/>
    <xf numFmtId="0" fontId="49" fillId="0" borderId="16" applyNumberFormat="0" applyFill="0" applyAlignment="0" applyProtection="0"/>
    <xf numFmtId="0" fontId="104" fillId="0" borderId="91" applyNumberFormat="0" applyFill="0" applyAlignment="0" applyProtection="0"/>
    <xf numFmtId="0" fontId="105" fillId="70" borderId="0" applyNumberFormat="0" applyBorder="0" applyAlignment="0" applyProtection="0"/>
    <xf numFmtId="0" fontId="91" fillId="0" borderId="0"/>
    <xf numFmtId="0" fontId="63" fillId="71" borderId="92" applyNumberFormat="0" applyFont="0" applyAlignment="0" applyProtection="0"/>
    <xf numFmtId="0" fontId="2" fillId="7" borderId="17" applyNumberFormat="0" applyFont="0" applyAlignment="0" applyProtection="0"/>
    <xf numFmtId="0" fontId="2" fillId="7" borderId="17"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63"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63"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63"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0"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1" fillId="71" borderId="92" applyNumberFormat="0" applyFont="0" applyAlignment="0" applyProtection="0"/>
    <xf numFmtId="0" fontId="36" fillId="15" borderId="2" applyNumberFormat="0" applyAlignment="0" applyProtection="0"/>
    <xf numFmtId="9" fontId="10"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94" fillId="66" borderId="0" applyNumberFormat="0" applyBorder="0" applyAlignment="0" applyProtection="0"/>
    <xf numFmtId="0" fontId="94" fillId="66" borderId="0" applyNumberFormat="0" applyBorder="0" applyAlignment="0" applyProtection="0"/>
    <xf numFmtId="0" fontId="94" fillId="66" borderId="0" applyNumberFormat="0" applyBorder="0" applyAlignment="0" applyProtection="0"/>
    <xf numFmtId="0" fontId="2" fillId="0" borderId="0"/>
    <xf numFmtId="0" fontId="91" fillId="0" borderId="0"/>
    <xf numFmtId="0" fontId="91" fillId="0" borderId="0"/>
    <xf numFmtId="0" fontId="106" fillId="0" borderId="0"/>
    <xf numFmtId="0" fontId="2" fillId="0" borderId="0"/>
    <xf numFmtId="0" fontId="91" fillId="0" borderId="0"/>
    <xf numFmtId="0" fontId="91" fillId="0" borderId="0"/>
    <xf numFmtId="0" fontId="106" fillId="0" borderId="0"/>
    <xf numFmtId="0" fontId="26" fillId="0" borderId="0"/>
    <xf numFmtId="0" fontId="2" fillId="0" borderId="0"/>
    <xf numFmtId="0" fontId="10" fillId="0" borderId="0"/>
    <xf numFmtId="0" fontId="10" fillId="0" borderId="0"/>
    <xf numFmtId="0" fontId="1" fillId="0" borderId="0"/>
    <xf numFmtId="0" fontId="1" fillId="0" borderId="0"/>
    <xf numFmtId="0" fontId="10" fillId="0" borderId="0"/>
    <xf numFmtId="0" fontId="1" fillId="0" borderId="0"/>
    <xf numFmtId="0" fontId="2" fillId="0" borderId="0"/>
    <xf numFmtId="0" fontId="1" fillId="0" borderId="0"/>
    <xf numFmtId="0" fontId="2" fillId="0" borderId="0"/>
    <xf numFmtId="0" fontId="2" fillId="0" borderId="0"/>
    <xf numFmtId="0" fontId="106" fillId="0" borderId="0"/>
    <xf numFmtId="0" fontId="10" fillId="0" borderId="0"/>
    <xf numFmtId="0" fontId="10" fillId="0" borderId="0"/>
    <xf numFmtId="0" fontId="1" fillId="0" borderId="0"/>
    <xf numFmtId="0" fontId="1" fillId="0" borderId="0"/>
    <xf numFmtId="0" fontId="10" fillId="0" borderId="0"/>
    <xf numFmtId="0" fontId="1" fillId="0" borderId="0"/>
    <xf numFmtId="0" fontId="1" fillId="0" borderId="0"/>
    <xf numFmtId="0" fontId="106" fillId="0" borderId="0"/>
    <xf numFmtId="0" fontId="91" fillId="0" borderId="0"/>
    <xf numFmtId="0" fontId="2" fillId="0" borderId="0"/>
    <xf numFmtId="0" fontId="2" fillId="0" borderId="0"/>
    <xf numFmtId="0" fontId="2" fillId="0" borderId="0"/>
    <xf numFmtId="0" fontId="10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107" fillId="0" borderId="0" applyNumberFormat="0" applyFill="0" applyBorder="0" applyAlignment="0" applyProtection="0"/>
    <xf numFmtId="0" fontId="77" fillId="0" borderId="0" applyNumberFormat="0" applyFill="0" applyBorder="0" applyAlignment="0" applyProtection="0"/>
    <xf numFmtId="0" fontId="44" fillId="0" borderId="0" applyNumberFormat="0" applyFill="0" applyBorder="0" applyAlignment="0" applyProtection="0"/>
    <xf numFmtId="0" fontId="11" fillId="0" borderId="7"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04" fillId="0" borderId="91" applyNumberFormat="0" applyFill="0" applyAlignment="0" applyProtection="0"/>
    <xf numFmtId="0" fontId="104" fillId="0" borderId="91" applyNumberFormat="0" applyFill="0" applyAlignment="0" applyProtection="0"/>
    <xf numFmtId="0" fontId="104" fillId="0" borderId="91" applyNumberFormat="0" applyFill="0" applyAlignment="0" applyProtection="0"/>
    <xf numFmtId="0" fontId="108" fillId="0" borderId="0" applyNumberFormat="0" applyFill="0" applyBorder="0" applyAlignment="0" applyProtection="0"/>
    <xf numFmtId="0" fontId="40" fillId="0" borderId="0" applyNumberFormat="0" applyFill="0" applyBorder="0" applyAlignment="0" applyProtection="0"/>
    <xf numFmtId="0" fontId="108" fillId="0" borderId="0" applyNumberFormat="0" applyFill="0" applyBorder="0" applyAlignment="0" applyProtection="0"/>
    <xf numFmtId="0" fontId="78"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96" fillId="67" borderId="86" applyNumberFormat="0" applyAlignment="0" applyProtection="0"/>
    <xf numFmtId="0" fontId="96" fillId="67" borderId="86" applyNumberFormat="0" applyAlignment="0" applyProtection="0"/>
    <xf numFmtId="0" fontId="96" fillId="67" borderId="86" applyNumberFormat="0" applyAlignment="0" applyProtection="0"/>
    <xf numFmtId="0" fontId="96" fillId="67" borderId="4" applyNumberFormat="0" applyAlignment="0" applyProtection="0"/>
    <xf numFmtId="0" fontId="96" fillId="67" borderId="86" applyNumberFormat="0" applyAlignment="0" applyProtection="0"/>
    <xf numFmtId="0" fontId="96" fillId="67" borderId="4" applyNumberFormat="0" applyAlignment="0" applyProtection="0"/>
    <xf numFmtId="0" fontId="115" fillId="0" borderId="0" applyNumberFormat="0" applyFill="0" applyBorder="0" applyAlignment="0" applyProtection="0"/>
  </cellStyleXfs>
  <cellXfs count="1143">
    <xf numFmtId="0" fontId="0" fillId="0" borderId="0" xfId="0"/>
    <xf numFmtId="0" fontId="0" fillId="0" borderId="0" xfId="0" applyProtection="1"/>
    <xf numFmtId="0" fontId="0" fillId="0" borderId="0" xfId="0" applyFill="1" applyProtection="1"/>
    <xf numFmtId="0" fontId="0" fillId="0" borderId="0" xfId="0" applyFill="1"/>
    <xf numFmtId="0" fontId="16" fillId="0" borderId="0" xfId="0" applyFont="1" applyProtection="1"/>
    <xf numFmtId="0" fontId="20" fillId="0" borderId="0" xfId="0" applyFont="1" applyProtection="1"/>
    <xf numFmtId="0" fontId="15" fillId="0" borderId="0" xfId="0" applyFont="1" applyProtection="1"/>
    <xf numFmtId="0" fontId="3" fillId="0" borderId="0" xfId="516" applyFont="1" applyProtection="1"/>
    <xf numFmtId="0" fontId="21" fillId="0" borderId="0" xfId="516" applyFont="1" applyProtection="1"/>
    <xf numFmtId="0" fontId="16" fillId="0" borderId="0" xfId="0" applyFont="1" applyFill="1" applyProtection="1"/>
    <xf numFmtId="0" fontId="12" fillId="0" borderId="0" xfId="0" applyFont="1" applyProtection="1"/>
    <xf numFmtId="0" fontId="20" fillId="0" borderId="0" xfId="0" applyFont="1" applyAlignment="1" applyProtection="1">
      <alignment vertical="center"/>
    </xf>
    <xf numFmtId="0" fontId="16" fillId="0" borderId="0" xfId="0" applyFont="1" applyBorder="1" applyAlignment="1" applyProtection="1">
      <alignment horizontal="center"/>
    </xf>
    <xf numFmtId="0" fontId="20" fillId="0" borderId="0" xfId="0" applyFont="1" applyAlignment="1" applyProtection="1"/>
    <xf numFmtId="0" fontId="22" fillId="0" borderId="0" xfId="0" applyFont="1" applyAlignment="1" applyProtection="1">
      <alignment horizontal="left" vertical="center"/>
    </xf>
    <xf numFmtId="0" fontId="16" fillId="0" borderId="0" xfId="0" applyFont="1" applyFill="1" applyAlignment="1" applyProtection="1">
      <alignment horizontal="center"/>
    </xf>
    <xf numFmtId="0" fontId="16" fillId="0" borderId="0" xfId="0" applyFont="1" applyBorder="1" applyAlignment="1" applyProtection="1">
      <alignment horizontal="center" vertical="center"/>
    </xf>
    <xf numFmtId="0" fontId="16" fillId="0" borderId="0" xfId="0" applyFont="1" applyAlignment="1" applyProtection="1">
      <alignment horizontal="center" vertical="center"/>
    </xf>
    <xf numFmtId="0" fontId="2" fillId="0" borderId="0" xfId="0" applyFont="1" applyProtection="1"/>
    <xf numFmtId="0" fontId="18" fillId="0" borderId="0" xfId="0" applyFont="1" applyFill="1" applyProtection="1"/>
    <xf numFmtId="0" fontId="9" fillId="0" borderId="18" xfId="0" applyFont="1" applyFill="1" applyBorder="1" applyAlignment="1" applyProtection="1">
      <alignment horizontal="center" vertical="center"/>
    </xf>
    <xf numFmtId="0" fontId="9" fillId="27" borderId="18" xfId="0" applyFont="1" applyFill="1" applyBorder="1" applyAlignment="1" applyProtection="1">
      <alignment horizontal="center" vertical="center"/>
    </xf>
    <xf numFmtId="0" fontId="30" fillId="0" borderId="0" xfId="0" applyFont="1" applyProtection="1"/>
    <xf numFmtId="0" fontId="16" fillId="0" borderId="0" xfId="0" applyFont="1" applyBorder="1" applyProtection="1"/>
    <xf numFmtId="0" fontId="4" fillId="0" borderId="0" xfId="0" applyFont="1" applyProtection="1"/>
    <xf numFmtId="0" fontId="5" fillId="0" borderId="0" xfId="0" applyFont="1" applyBorder="1" applyAlignment="1" applyProtection="1"/>
    <xf numFmtId="0" fontId="2" fillId="0" borderId="0" xfId="516" applyFont="1" applyProtection="1"/>
    <xf numFmtId="0" fontId="17" fillId="0" borderId="0" xfId="0" applyFont="1" applyFill="1" applyProtection="1"/>
    <xf numFmtId="0" fontId="13" fillId="0" borderId="0" xfId="0" applyFont="1" applyProtection="1"/>
    <xf numFmtId="0" fontId="2" fillId="0" borderId="0" xfId="516" applyFont="1" applyAlignment="1" applyProtection="1">
      <alignment horizontal="left"/>
    </xf>
    <xf numFmtId="0" fontId="14" fillId="0" borderId="0" xfId="0" applyFont="1" applyProtection="1"/>
    <xf numFmtId="0" fontId="3" fillId="0" borderId="0" xfId="516" applyFont="1" applyAlignment="1" applyProtection="1">
      <alignment horizontal="left"/>
    </xf>
    <xf numFmtId="0" fontId="15" fillId="0" borderId="0" xfId="516" applyFont="1" applyAlignment="1" applyProtection="1">
      <alignment vertical="center"/>
    </xf>
    <xf numFmtId="0" fontId="2" fillId="0" borderId="0" xfId="0" applyFont="1" applyAlignment="1" applyProtection="1">
      <alignment wrapText="1"/>
    </xf>
    <xf numFmtId="0" fontId="16" fillId="0" borderId="0" xfId="0" applyFont="1" applyBorder="1" applyAlignment="1" applyProtection="1"/>
    <xf numFmtId="0" fontId="19" fillId="0" borderId="0" xfId="0" applyFont="1" applyFill="1" applyProtection="1"/>
    <xf numFmtId="0" fontId="7" fillId="0" borderId="0" xfId="0" applyFont="1" applyBorder="1" applyAlignment="1" applyProtection="1">
      <alignment horizontal="center"/>
    </xf>
    <xf numFmtId="0" fontId="17" fillId="0" borderId="0" xfId="0" applyFont="1" applyBorder="1" applyProtection="1"/>
    <xf numFmtId="0" fontId="25" fillId="0" borderId="0" xfId="0" applyFont="1" applyProtection="1"/>
    <xf numFmtId="0" fontId="17" fillId="0" borderId="0" xfId="0" applyFont="1" applyProtection="1"/>
    <xf numFmtId="0" fontId="18" fillId="0" borderId="0" xfId="0" applyFont="1" applyProtection="1"/>
    <xf numFmtId="0" fontId="20" fillId="0" borderId="18" xfId="0" applyNumberFormat="1" applyFont="1" applyBorder="1" applyAlignment="1" applyProtection="1">
      <alignment horizontal="center" vertical="center" wrapText="1"/>
    </xf>
    <xf numFmtId="0" fontId="20" fillId="0" borderId="18" xfId="0" applyNumberFormat="1" applyFont="1" applyFill="1" applyBorder="1" applyAlignment="1" applyProtection="1">
      <alignment horizontal="center" vertical="center" wrapText="1"/>
    </xf>
    <xf numFmtId="0" fontId="20" fillId="28" borderId="19" xfId="0" applyFont="1" applyFill="1" applyBorder="1" applyAlignment="1" applyProtection="1">
      <alignment horizontal="center"/>
    </xf>
    <xf numFmtId="164" fontId="15" fillId="29" borderId="19" xfId="428" applyNumberFormat="1" applyFont="1" applyFill="1" applyBorder="1" applyAlignment="1" applyProtection="1">
      <alignment horizontal="center" wrapText="1"/>
    </xf>
    <xf numFmtId="0" fontId="6" fillId="0" borderId="0" xfId="0" applyFont="1" applyFill="1" applyBorder="1" applyAlignment="1" applyProtection="1">
      <alignment wrapText="1"/>
    </xf>
    <xf numFmtId="0" fontId="0" fillId="0" borderId="0" xfId="0" applyFill="1" applyBorder="1" applyProtection="1"/>
    <xf numFmtId="0" fontId="11" fillId="0" borderId="0" xfId="0" applyFont="1" applyProtection="1"/>
    <xf numFmtId="0" fontId="0" fillId="0" borderId="0" xfId="0" applyAlignment="1" applyProtection="1"/>
    <xf numFmtId="0" fontId="12" fillId="0" borderId="0" xfId="0" applyFont="1" applyFill="1" applyProtection="1"/>
    <xf numFmtId="0" fontId="22" fillId="0" borderId="0" xfId="0" applyFont="1" applyProtection="1"/>
    <xf numFmtId="0" fontId="16" fillId="0" borderId="0" xfId="0" applyFont="1" applyFill="1" applyBorder="1" applyProtection="1"/>
    <xf numFmtId="0" fontId="20"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5" fillId="0" borderId="0" xfId="516" applyFont="1" applyAlignment="1" applyProtection="1">
      <alignment horizontal="center" vertical="center"/>
    </xf>
    <xf numFmtId="0" fontId="16" fillId="0" borderId="0" xfId="0" applyFont="1" applyFill="1" applyAlignment="1" applyProtection="1">
      <alignment vertical="center"/>
    </xf>
    <xf numFmtId="0" fontId="6" fillId="0" borderId="18" xfId="0" applyFont="1" applyBorder="1" applyAlignment="1" applyProtection="1">
      <alignment horizontal="center" vertical="center" wrapText="1"/>
    </xf>
    <xf numFmtId="0" fontId="20" fillId="0" borderId="0" xfId="0" applyFont="1" applyFill="1" applyProtection="1"/>
    <xf numFmtId="0" fontId="15" fillId="0" borderId="0" xfId="0" applyFont="1" applyFill="1" applyProtection="1"/>
    <xf numFmtId="0" fontId="31" fillId="0" borderId="0" xfId="0" applyFont="1" applyFill="1" applyAlignment="1">
      <alignment vertical="center"/>
    </xf>
    <xf numFmtId="0" fontId="22" fillId="0" borderId="0" xfId="0" applyFont="1" applyAlignment="1" applyProtection="1">
      <alignment vertical="top"/>
    </xf>
    <xf numFmtId="0" fontId="20" fillId="0" borderId="18" xfId="0" applyFont="1" applyFill="1" applyBorder="1" applyAlignment="1" applyProtection="1">
      <alignment horizontal="center" vertical="center"/>
    </xf>
    <xf numFmtId="0" fontId="20" fillId="0" borderId="18" xfId="0" applyFont="1" applyFill="1" applyBorder="1" applyAlignment="1" applyProtection="1">
      <alignment horizontal="center" vertical="center" wrapText="1"/>
    </xf>
    <xf numFmtId="164" fontId="6" fillId="0" borderId="0" xfId="428" applyNumberFormat="1" applyFont="1" applyFill="1" applyBorder="1" applyAlignment="1" applyProtection="1">
      <alignment horizontal="center" wrapText="1"/>
    </xf>
    <xf numFmtId="16" fontId="12" fillId="0" borderId="20" xfId="0" applyNumberFormat="1" applyFont="1" applyBorder="1" applyAlignment="1" applyProtection="1">
      <alignment vertical="center" wrapText="1"/>
    </xf>
    <xf numFmtId="0" fontId="16" fillId="27" borderId="0" xfId="0" applyFont="1" applyFill="1" applyProtection="1"/>
    <xf numFmtId="0" fontId="19" fillId="0" borderId="0" xfId="0" applyFont="1" applyProtection="1"/>
    <xf numFmtId="0" fontId="29" fillId="0" borderId="0" xfId="0" applyFont="1" applyProtection="1"/>
    <xf numFmtId="0" fontId="29" fillId="0" borderId="0" xfId="0" applyFont="1" applyAlignment="1" applyProtection="1">
      <alignment wrapText="1"/>
    </xf>
    <xf numFmtId="0" fontId="12" fillId="0" borderId="20" xfId="0" applyFont="1" applyBorder="1" applyAlignment="1" applyProtection="1">
      <alignment vertical="center" wrapText="1"/>
    </xf>
    <xf numFmtId="1" fontId="24" fillId="30" borderId="20" xfId="0" applyNumberFormat="1" applyFont="1" applyFill="1" applyBorder="1" applyAlignment="1" applyProtection="1">
      <alignment horizontal="center" vertical="center" wrapText="1"/>
    </xf>
    <xf numFmtId="0" fontId="22" fillId="0" borderId="0" xfId="0" applyFont="1" applyAlignment="1" applyProtection="1">
      <alignment horizontal="left"/>
    </xf>
    <xf numFmtId="0" fontId="16" fillId="0" borderId="0" xfId="0" applyFont="1" applyFill="1" applyAlignment="1" applyProtection="1">
      <alignment horizontal="center" vertical="center"/>
    </xf>
    <xf numFmtId="0" fontId="20" fillId="28" borderId="21" xfId="0" applyFont="1" applyFill="1" applyBorder="1" applyAlignment="1" applyProtection="1">
      <alignment horizontal="center" vertical="center"/>
    </xf>
    <xf numFmtId="0" fontId="0" fillId="0" borderId="0" xfId="0" applyAlignment="1">
      <alignment wrapText="1"/>
    </xf>
    <xf numFmtId="0" fontId="46" fillId="0" borderId="0" xfId="0" applyFont="1" applyProtection="1"/>
    <xf numFmtId="0" fontId="34" fillId="0" borderId="0" xfId="0" applyFont="1" applyAlignment="1" applyProtection="1"/>
    <xf numFmtId="0" fontId="20" fillId="31" borderId="19" xfId="0" applyFont="1" applyFill="1" applyBorder="1" applyAlignment="1" applyProtection="1">
      <alignment horizontal="center"/>
    </xf>
    <xf numFmtId="0" fontId="20" fillId="32" borderId="19" xfId="0" applyFont="1" applyFill="1" applyBorder="1" applyAlignment="1" applyProtection="1">
      <alignment horizontal="center"/>
    </xf>
    <xf numFmtId="0" fontId="20" fillId="32" borderId="22" xfId="0" applyFont="1" applyFill="1" applyBorder="1" applyAlignment="1" applyProtection="1">
      <alignment horizontal="center"/>
    </xf>
    <xf numFmtId="0" fontId="27" fillId="0" borderId="18" xfId="0" applyFont="1" applyBorder="1" applyAlignment="1" applyProtection="1">
      <alignment horizontal="center" vertical="center"/>
    </xf>
    <xf numFmtId="1" fontId="24" fillId="33" borderId="20" xfId="0" applyNumberFormat="1" applyFont="1" applyFill="1" applyBorder="1" applyAlignment="1" applyProtection="1">
      <alignment horizontal="center" vertical="center"/>
      <protection locked="0"/>
    </xf>
    <xf numFmtId="1" fontId="24" fillId="33" borderId="0" xfId="0" applyNumberFormat="1" applyFont="1" applyFill="1" applyBorder="1" applyAlignment="1" applyProtection="1">
      <alignment horizontal="center" vertical="center"/>
      <protection locked="0"/>
    </xf>
    <xf numFmtId="14" fontId="12" fillId="0" borderId="18" xfId="0" applyNumberFormat="1" applyFont="1" applyBorder="1" applyAlignment="1">
      <alignment horizontal="left"/>
    </xf>
    <xf numFmtId="0" fontId="12" fillId="0" borderId="18" xfId="0" applyFont="1" applyBorder="1" applyAlignment="1">
      <alignment horizontal="left"/>
    </xf>
    <xf numFmtId="0" fontId="51" fillId="0" borderId="0" xfId="0" applyFont="1" applyProtection="1"/>
    <xf numFmtId="0" fontId="9" fillId="0" borderId="18" xfId="0" applyFont="1" applyFill="1" applyBorder="1" applyAlignment="1" applyProtection="1">
      <alignment horizontal="center" vertical="center" wrapText="1"/>
    </xf>
    <xf numFmtId="0" fontId="27" fillId="0" borderId="23" xfId="0" applyFont="1" applyFill="1" applyBorder="1" applyAlignment="1" applyProtection="1">
      <alignment horizontal="center" vertical="center"/>
    </xf>
    <xf numFmtId="0" fontId="27" fillId="0" borderId="18" xfId="0" applyFont="1" applyFill="1" applyBorder="1" applyAlignment="1" applyProtection="1">
      <alignment horizontal="center" vertical="center"/>
    </xf>
    <xf numFmtId="0" fontId="27" fillId="0" borderId="23" xfId="0" applyFont="1" applyFill="1" applyBorder="1" applyAlignment="1" applyProtection="1">
      <alignment vertical="center" wrapText="1"/>
    </xf>
    <xf numFmtId="0" fontId="19" fillId="0" borderId="0" xfId="0" applyFont="1" applyFill="1" applyAlignment="1" applyProtection="1">
      <alignment vertical="center"/>
    </xf>
    <xf numFmtId="0" fontId="0" fillId="0" borderId="0" xfId="0" applyAlignment="1">
      <alignment horizontal="center" vertical="center"/>
    </xf>
    <xf numFmtId="0" fontId="6" fillId="0" borderId="0" xfId="548" applyFont="1" applyAlignment="1">
      <alignment horizontal="center" vertical="center"/>
    </xf>
    <xf numFmtId="0" fontId="6" fillId="0" borderId="0" xfId="0" applyFont="1" applyAlignment="1">
      <alignment horizontal="center" vertical="center"/>
    </xf>
    <xf numFmtId="0" fontId="12" fillId="0" borderId="0" xfId="0" applyFont="1" applyFill="1" applyAlignment="1">
      <alignment horizontal="center" vertical="center"/>
    </xf>
    <xf numFmtId="0" fontId="24" fillId="0" borderId="18" xfId="0" applyFont="1" applyBorder="1" applyAlignment="1" applyProtection="1">
      <alignment horizontal="center" vertical="center"/>
    </xf>
    <xf numFmtId="49" fontId="20" fillId="0" borderId="18" xfId="0" applyNumberFormat="1" applyFont="1" applyBorder="1" applyAlignment="1" applyProtection="1">
      <alignment horizontal="center" vertical="center"/>
    </xf>
    <xf numFmtId="0" fontId="20" fillId="0" borderId="18" xfId="0" applyNumberFormat="1" applyFont="1" applyFill="1" applyBorder="1" applyAlignment="1" applyProtection="1">
      <alignment horizontal="center" vertical="center"/>
    </xf>
    <xf numFmtId="0" fontId="20" fillId="0" borderId="18" xfId="0" applyNumberFormat="1" applyFont="1" applyBorder="1" applyAlignment="1" applyProtection="1">
      <alignment horizontal="center" vertical="center"/>
    </xf>
    <xf numFmtId="0" fontId="20" fillId="34" borderId="18" xfId="0" applyNumberFormat="1" applyFont="1" applyFill="1" applyBorder="1" applyAlignment="1" applyProtection="1">
      <alignment horizontal="center" vertical="center"/>
    </xf>
    <xf numFmtId="0" fontId="20" fillId="34" borderId="18" xfId="0" applyFont="1" applyFill="1" applyBorder="1" applyAlignment="1" applyProtection="1">
      <alignment horizontal="center" vertical="center"/>
    </xf>
    <xf numFmtId="49" fontId="20" fillId="0" borderId="18" xfId="0" applyNumberFormat="1" applyFont="1" applyFill="1" applyBorder="1" applyAlignment="1" applyProtection="1">
      <alignment horizontal="center" vertical="center"/>
    </xf>
    <xf numFmtId="0" fontId="3" fillId="0" borderId="0" xfId="516" applyFont="1" applyAlignment="1" applyProtection="1">
      <alignment horizontal="center" vertical="center"/>
    </xf>
    <xf numFmtId="0" fontId="20" fillId="29" borderId="21" xfId="0" applyFont="1" applyFill="1" applyBorder="1" applyAlignment="1" applyProtection="1">
      <alignment horizontal="center" vertical="center" wrapText="1"/>
    </xf>
    <xf numFmtId="0" fontId="20" fillId="0" borderId="0" xfId="0" applyFont="1" applyFill="1" applyAlignment="1" applyProtection="1">
      <alignment vertical="center"/>
    </xf>
    <xf numFmtId="0" fontId="20" fillId="31" borderId="21" xfId="0" applyFont="1" applyFill="1" applyBorder="1" applyAlignment="1" applyProtection="1">
      <alignment horizontal="center" vertical="center" wrapText="1"/>
    </xf>
    <xf numFmtId="0" fontId="20" fillId="32" borderId="21" xfId="0" applyFont="1" applyFill="1" applyBorder="1" applyAlignment="1" applyProtection="1">
      <alignment horizontal="center" vertical="center"/>
    </xf>
    <xf numFmtId="0" fontId="20" fillId="32" borderId="24" xfId="0" applyFont="1" applyFill="1" applyBorder="1" applyAlignment="1" applyProtection="1">
      <alignment horizontal="center" vertical="center"/>
    </xf>
    <xf numFmtId="0" fontId="66" fillId="0" borderId="25" xfId="0" applyFont="1" applyBorder="1" applyAlignment="1" applyProtection="1"/>
    <xf numFmtId="0" fontId="13" fillId="0" borderId="23" xfId="0" applyFont="1" applyBorder="1" applyAlignment="1" applyProtection="1"/>
    <xf numFmtId="0" fontId="13" fillId="0" borderId="25" xfId="0" applyFont="1" applyBorder="1" applyAlignment="1" applyProtection="1"/>
    <xf numFmtId="0" fontId="13" fillId="0" borderId="26" xfId="0" applyFont="1" applyBorder="1" applyAlignment="1" applyProtection="1"/>
    <xf numFmtId="9" fontId="13" fillId="0" borderId="18" xfId="428" applyFont="1" applyBorder="1" applyAlignment="1" applyProtection="1">
      <alignment horizontal="left"/>
    </xf>
    <xf numFmtId="0" fontId="13" fillId="0" borderId="18" xfId="0" applyFont="1" applyBorder="1" applyAlignment="1" applyProtection="1"/>
    <xf numFmtId="0" fontId="13" fillId="0" borderId="23" xfId="0" applyFont="1" applyBorder="1" applyProtection="1"/>
    <xf numFmtId="0" fontId="66" fillId="0" borderId="0" xfId="0" applyFont="1" applyAlignment="1" applyProtection="1"/>
    <xf numFmtId="0" fontId="13" fillId="0" borderId="18" xfId="0" applyFont="1" applyBorder="1" applyAlignment="1" applyProtection="1">
      <alignment horizontal="left"/>
    </xf>
    <xf numFmtId="0" fontId="66" fillId="0" borderId="23" xfId="0" applyFont="1" applyFill="1" applyBorder="1" applyAlignment="1" applyProtection="1"/>
    <xf numFmtId="0" fontId="66" fillId="0" borderId="18" xfId="0" applyFont="1" applyBorder="1" applyAlignment="1" applyProtection="1">
      <alignment wrapText="1"/>
    </xf>
    <xf numFmtId="0" fontId="66" fillId="0" borderId="18" xfId="0" applyFont="1" applyBorder="1" applyAlignment="1" applyProtection="1"/>
    <xf numFmtId="0" fontId="66" fillId="0" borderId="26" xfId="0" applyFont="1" applyBorder="1" applyAlignment="1" applyProtection="1">
      <alignment horizontal="center"/>
    </xf>
    <xf numFmtId="0" fontId="66" fillId="0" borderId="25" xfId="0" applyFont="1" applyFill="1" applyBorder="1" applyAlignment="1" applyProtection="1"/>
    <xf numFmtId="0" fontId="66" fillId="0" borderId="18" xfId="0" applyFont="1" applyFill="1" applyBorder="1" applyAlignment="1" applyProtection="1"/>
    <xf numFmtId="0" fontId="66" fillId="0" borderId="23" xfId="0" applyFont="1" applyBorder="1" applyAlignment="1" applyProtection="1"/>
    <xf numFmtId="0" fontId="30" fillId="0" borderId="0" xfId="0" applyFont="1" applyFill="1" applyProtection="1"/>
    <xf numFmtId="0" fontId="0" fillId="0" borderId="0" xfId="0" applyFill="1" applyAlignment="1" applyProtection="1"/>
    <xf numFmtId="0" fontId="66" fillId="0" borderId="26" xfId="0" applyFont="1" applyFill="1" applyBorder="1" applyAlignment="1" applyProtection="1">
      <alignment horizontal="center"/>
    </xf>
    <xf numFmtId="0" fontId="66" fillId="0" borderId="25" xfId="0" applyFont="1" applyFill="1" applyBorder="1" applyProtection="1"/>
    <xf numFmtId="0" fontId="66" fillId="0" borderId="18" xfId="0" applyFont="1" applyBorder="1" applyAlignment="1" applyProtection="1">
      <alignment horizontal="center"/>
    </xf>
    <xf numFmtId="166" fontId="66" fillId="0" borderId="26" xfId="428" applyNumberFormat="1" applyFont="1" applyBorder="1" applyAlignment="1" applyProtection="1">
      <alignment horizontal="center"/>
    </xf>
    <xf numFmtId="0" fontId="66" fillId="0" borderId="0" xfId="0" applyFont="1" applyBorder="1" applyAlignment="1" applyProtection="1">
      <alignment horizontal="center"/>
    </xf>
    <xf numFmtId="9" fontId="66" fillId="0" borderId="18" xfId="428" applyFont="1" applyBorder="1" applyAlignment="1" applyProtection="1">
      <alignment horizontal="center"/>
    </xf>
    <xf numFmtId="9" fontId="66" fillId="0" borderId="18" xfId="0" applyNumberFormat="1" applyFont="1" applyFill="1" applyBorder="1" applyAlignment="1" applyProtection="1">
      <alignment horizontal="center"/>
    </xf>
    <xf numFmtId="0" fontId="66" fillId="0" borderId="18" xfId="0" applyNumberFormat="1" applyFont="1" applyFill="1" applyBorder="1" applyAlignment="1" applyProtection="1">
      <alignment horizontal="center"/>
    </xf>
    <xf numFmtId="0" fontId="66" fillId="0" borderId="18" xfId="0" applyFont="1" applyFill="1" applyBorder="1" applyAlignment="1" applyProtection="1">
      <alignment horizontal="center"/>
    </xf>
    <xf numFmtId="9" fontId="66" fillId="0" borderId="18" xfId="428" applyFont="1" applyFill="1" applyBorder="1" applyAlignment="1" applyProtection="1">
      <alignment horizontal="center"/>
    </xf>
    <xf numFmtId="9" fontId="66" fillId="0" borderId="26" xfId="428" applyFont="1" applyBorder="1" applyAlignment="1" applyProtection="1">
      <alignment horizontal="center"/>
    </xf>
    <xf numFmtId="0" fontId="66" fillId="0" borderId="0" xfId="0" applyFont="1" applyAlignment="1" applyProtection="1">
      <alignment horizontal="center" vertical="center"/>
    </xf>
    <xf numFmtId="0" fontId="66" fillId="0" borderId="0" xfId="0" applyFont="1" applyBorder="1" applyAlignment="1" applyProtection="1">
      <alignment horizontal="center" vertical="center"/>
    </xf>
    <xf numFmtId="0" fontId="66" fillId="0" borderId="0" xfId="0" applyFont="1" applyAlignment="1" applyProtection="1">
      <alignment horizontal="left"/>
    </xf>
    <xf numFmtId="0" fontId="13" fillId="0" borderId="18" xfId="0" applyFont="1" applyBorder="1" applyProtection="1"/>
    <xf numFmtId="0" fontId="14" fillId="0" borderId="18" xfId="0" applyFont="1" applyBorder="1" applyProtection="1"/>
    <xf numFmtId="0" fontId="20" fillId="0" borderId="0" xfId="0" applyFont="1" applyAlignment="1" applyProtection="1">
      <alignment horizontal="center" vertical="center"/>
    </xf>
    <xf numFmtId="0" fontId="20" fillId="0" borderId="0" xfId="0" applyFont="1" applyBorder="1" applyProtection="1"/>
    <xf numFmtId="1" fontId="24" fillId="35" borderId="20" xfId="0" applyNumberFormat="1" applyFont="1" applyFill="1" applyBorder="1" applyAlignment="1" applyProtection="1">
      <alignment horizontal="center" vertical="center"/>
    </xf>
    <xf numFmtId="0" fontId="16" fillId="0" borderId="0" xfId="0" applyFont="1" applyAlignment="1" applyProtection="1">
      <alignment vertical="center"/>
    </xf>
    <xf numFmtId="0" fontId="20" fillId="0" borderId="0" xfId="0" applyFont="1" applyFill="1" applyAlignment="1" applyProtection="1">
      <alignment vertical="top"/>
    </xf>
    <xf numFmtId="0" fontId="15" fillId="0" borderId="0" xfId="516" applyFont="1" applyFill="1" applyAlignment="1" applyProtection="1">
      <alignment vertical="center"/>
    </xf>
    <xf numFmtId="0" fontId="12" fillId="0" borderId="27" xfId="0" applyFont="1" applyBorder="1" applyAlignment="1" applyProtection="1">
      <alignment vertical="center" wrapText="1"/>
    </xf>
    <xf numFmtId="0" fontId="12" fillId="0" borderId="28" xfId="0" applyFont="1" applyBorder="1" applyAlignment="1" applyProtection="1">
      <alignment vertical="center" wrapText="1"/>
    </xf>
    <xf numFmtId="1" fontId="24" fillId="33" borderId="29" xfId="0" applyNumberFormat="1" applyFont="1" applyFill="1" applyBorder="1" applyAlignment="1" applyProtection="1">
      <alignment horizontal="center" vertical="center"/>
      <protection locked="0"/>
    </xf>
    <xf numFmtId="0" fontId="12" fillId="0" borderId="29" xfId="0" applyFont="1" applyBorder="1" applyAlignment="1" applyProtection="1">
      <alignment vertical="center" wrapText="1"/>
    </xf>
    <xf numFmtId="0" fontId="12" fillId="0" borderId="18" xfId="0" applyFont="1" applyFill="1" applyBorder="1" applyAlignment="1" applyProtection="1">
      <alignment horizontal="center" vertical="center" wrapText="1"/>
    </xf>
    <xf numFmtId="0" fontId="9" fillId="0" borderId="0" xfId="516" applyFont="1" applyFill="1" applyBorder="1" applyAlignment="1" applyProtection="1">
      <alignment horizontal="left" vertical="center" wrapText="1"/>
    </xf>
    <xf numFmtId="0" fontId="15" fillId="0" borderId="0" xfId="516" applyFont="1" applyFill="1" applyProtection="1"/>
    <xf numFmtId="0" fontId="2" fillId="0" borderId="0" xfId="516" applyFont="1" applyAlignment="1" applyProtection="1">
      <alignment vertical="center"/>
    </xf>
    <xf numFmtId="0" fontId="14" fillId="27" borderId="0" xfId="0" applyFont="1" applyFill="1" applyBorder="1" applyAlignment="1" applyProtection="1">
      <alignment horizontal="center" vertical="center" wrapText="1"/>
    </xf>
    <xf numFmtId="0" fontId="2" fillId="0" borderId="0" xfId="516" applyFont="1" applyFill="1" applyAlignment="1" applyProtection="1">
      <alignment vertical="center"/>
    </xf>
    <xf numFmtId="0" fontId="14" fillId="0" borderId="0" xfId="0" applyFont="1" applyAlignment="1" applyProtection="1">
      <alignment vertical="center"/>
    </xf>
    <xf numFmtId="0" fontId="2" fillId="0" borderId="0" xfId="516" applyFont="1" applyFill="1" applyBorder="1" applyProtection="1"/>
    <xf numFmtId="0" fontId="2" fillId="0" borderId="0" xfId="516" applyFont="1" applyFill="1" applyProtection="1"/>
    <xf numFmtId="0" fontId="14" fillId="0" borderId="0" xfId="0" applyFont="1" applyFill="1" applyProtection="1"/>
    <xf numFmtId="0" fontId="30" fillId="0" borderId="0" xfId="0" applyFont="1" applyAlignment="1" applyProtection="1">
      <alignment horizontal="left"/>
    </xf>
    <xf numFmtId="0" fontId="2" fillId="0" borderId="0" xfId="516" applyFont="1" applyFill="1" applyAlignment="1" applyProtection="1">
      <alignment horizontal="center"/>
    </xf>
    <xf numFmtId="0" fontId="4" fillId="0" borderId="0" xfId="0" applyFont="1" applyFill="1" applyProtection="1"/>
    <xf numFmtId="0" fontId="16" fillId="0" borderId="0" xfId="0" applyFont="1" applyFill="1" applyBorder="1" applyAlignment="1" applyProtection="1"/>
    <xf numFmtId="0" fontId="2" fillId="0" borderId="0" xfId="0" applyFont="1" applyFill="1" applyProtection="1"/>
    <xf numFmtId="0" fontId="3" fillId="0" borderId="0" xfId="516" applyFont="1" applyFill="1" applyProtection="1"/>
    <xf numFmtId="0" fontId="3" fillId="0" borderId="0" xfId="516" applyFont="1" applyFill="1" applyAlignment="1" applyProtection="1">
      <alignment horizontal="left"/>
    </xf>
    <xf numFmtId="0" fontId="16" fillId="0" borderId="0" xfId="0" applyFont="1" applyFill="1" applyBorder="1" applyAlignment="1" applyProtection="1">
      <alignment horizontal="left" vertical="center"/>
    </xf>
    <xf numFmtId="164" fontId="15" fillId="0" borderId="0" xfId="428" applyNumberFormat="1" applyFont="1" applyFill="1" applyBorder="1" applyAlignment="1" applyProtection="1">
      <alignment horizontal="center" vertical="center" wrapText="1"/>
    </xf>
    <xf numFmtId="0" fontId="13" fillId="0" borderId="0" xfId="0" applyFont="1" applyFill="1" applyProtection="1"/>
    <xf numFmtId="0" fontId="15" fillId="0" borderId="20" xfId="0" applyFont="1" applyFill="1" applyBorder="1" applyAlignment="1" applyProtection="1">
      <alignment horizontal="center" vertical="center" wrapText="1"/>
    </xf>
    <xf numFmtId="0" fontId="15" fillId="0" borderId="27" xfId="0" applyFont="1" applyFill="1" applyBorder="1" applyAlignment="1" applyProtection="1">
      <alignment horizontal="center" vertical="center" wrapText="1"/>
    </xf>
    <xf numFmtId="164" fontId="16" fillId="0" borderId="0" xfId="0" applyNumberFormat="1" applyFont="1" applyFill="1" applyProtection="1"/>
    <xf numFmtId="10" fontId="12" fillId="0" borderId="0" xfId="0" applyNumberFormat="1" applyFont="1" applyFill="1" applyBorder="1" applyAlignment="1" applyProtection="1">
      <alignment horizontal="center" vertical="center"/>
    </xf>
    <xf numFmtId="0" fontId="12" fillId="0" borderId="0" xfId="0" applyFont="1" applyFill="1" applyAlignment="1">
      <alignment vertical="center"/>
    </xf>
    <xf numFmtId="0" fontId="12" fillId="0" borderId="0" xfId="0" applyFont="1" applyFill="1" applyAlignment="1" applyProtection="1">
      <alignment horizontal="left"/>
    </xf>
    <xf numFmtId="0" fontId="20" fillId="0" borderId="0" xfId="0" applyFont="1" applyFill="1" applyBorder="1" applyProtection="1"/>
    <xf numFmtId="0" fontId="0" fillId="0" borderId="0" xfId="0" applyFill="1" applyBorder="1" applyAlignment="1"/>
    <xf numFmtId="0" fontId="20" fillId="0" borderId="0" xfId="0" applyFont="1" applyFill="1" applyAlignment="1">
      <alignment vertical="center"/>
    </xf>
    <xf numFmtId="10" fontId="12" fillId="0" borderId="24" xfId="0" applyNumberFormat="1" applyFont="1" applyFill="1" applyBorder="1" applyAlignment="1" applyProtection="1">
      <alignment horizontal="center" vertical="center"/>
    </xf>
    <xf numFmtId="164" fontId="15" fillId="29" borderId="19" xfId="428" applyNumberFormat="1"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20" fillId="32" borderId="22" xfId="0" applyFont="1" applyFill="1" applyBorder="1" applyAlignment="1" applyProtection="1">
      <alignment horizontal="center" vertical="center"/>
    </xf>
    <xf numFmtId="0" fontId="9" fillId="36" borderId="18" xfId="516" applyFont="1" applyFill="1" applyBorder="1" applyAlignment="1" applyProtection="1">
      <alignment vertical="center"/>
    </xf>
    <xf numFmtId="14" fontId="27" fillId="36" borderId="18" xfId="0" applyNumberFormat="1" applyFont="1" applyFill="1" applyBorder="1" applyAlignment="1" applyProtection="1">
      <alignment horizontal="center" vertical="center"/>
    </xf>
    <xf numFmtId="0" fontId="20" fillId="0" borderId="0" xfId="0" applyFont="1" applyFill="1" applyAlignment="1" applyProtection="1">
      <alignment horizontal="right"/>
    </xf>
    <xf numFmtId="0" fontId="24" fillId="0" borderId="18" xfId="0" applyFont="1" applyFill="1" applyBorder="1" applyAlignment="1">
      <alignment horizontal="center" vertical="center"/>
    </xf>
    <xf numFmtId="0" fontId="20" fillId="0" borderId="0" xfId="0" applyFont="1" applyFill="1" applyAlignment="1" applyProtection="1">
      <alignment horizontal="center"/>
    </xf>
    <xf numFmtId="0" fontId="19" fillId="0" borderId="0" xfId="0" applyFont="1" applyFill="1" applyAlignment="1" applyProtection="1">
      <alignment vertical="top"/>
    </xf>
    <xf numFmtId="0" fontId="12" fillId="0" borderId="25" xfId="0" applyFont="1" applyFill="1" applyBorder="1" applyAlignment="1">
      <alignment horizontal="left" vertical="center"/>
    </xf>
    <xf numFmtId="0" fontId="12"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31" fillId="0" borderId="0" xfId="0" applyFont="1" applyFill="1" applyBorder="1" applyAlignment="1">
      <alignment vertical="center"/>
    </xf>
    <xf numFmtId="0" fontId="32" fillId="0" borderId="0" xfId="0" applyFont="1" applyFill="1" applyBorder="1" applyAlignment="1" applyProtection="1">
      <alignment horizontal="left"/>
    </xf>
    <xf numFmtId="0" fontId="52" fillId="0" borderId="0" xfId="0" applyFont="1" applyFill="1" applyBorder="1" applyAlignment="1" applyProtection="1">
      <alignment horizontal="left"/>
    </xf>
    <xf numFmtId="0" fontId="12" fillId="0" borderId="0" xfId="0" applyFont="1" applyFill="1" applyBorder="1" applyAlignment="1" applyProtection="1">
      <alignment horizontal="left"/>
    </xf>
    <xf numFmtId="0" fontId="60" fillId="0" borderId="0" xfId="0" applyFont="1" applyProtection="1"/>
    <xf numFmtId="0" fontId="6" fillId="0" borderId="0" xfId="0" applyFont="1" applyAlignment="1" applyProtection="1">
      <alignment horizontal="left"/>
    </xf>
    <xf numFmtId="0" fontId="58" fillId="0" borderId="0" xfId="0" applyFont="1" applyAlignment="1" applyProtection="1">
      <alignment horizontal="left"/>
    </xf>
    <xf numFmtId="0" fontId="61" fillId="0" borderId="0" xfId="0" applyFont="1" applyAlignment="1" applyProtection="1"/>
    <xf numFmtId="0" fontId="20" fillId="0" borderId="0" xfId="0" applyFont="1" applyFill="1" applyBorder="1" applyAlignment="1">
      <alignment horizontal="left" vertical="center"/>
    </xf>
    <xf numFmtId="0" fontId="60" fillId="0" borderId="0" xfId="0" applyFont="1" applyAlignment="1" applyProtection="1"/>
    <xf numFmtId="0" fontId="60" fillId="0" borderId="0" xfId="0" applyFont="1" applyAlignment="1" applyProtection="1">
      <alignment horizontal="left"/>
    </xf>
    <xf numFmtId="0" fontId="59" fillId="0" borderId="0" xfId="0" applyFont="1" applyAlignment="1" applyProtection="1">
      <alignment horizontal="left"/>
    </xf>
    <xf numFmtId="0" fontId="61" fillId="0" borderId="0" xfId="0" applyFont="1" applyAlignment="1" applyProtection="1">
      <alignment horizontal="left"/>
    </xf>
    <xf numFmtId="0" fontId="12" fillId="0" borderId="0" xfId="0" applyFont="1" applyFill="1" applyBorder="1" applyAlignment="1">
      <alignment horizontal="left" vertical="center"/>
    </xf>
    <xf numFmtId="0" fontId="16" fillId="0" borderId="0" xfId="0" applyFont="1" applyBorder="1" applyAlignment="1" applyProtection="1">
      <alignment vertical="center"/>
    </xf>
    <xf numFmtId="0" fontId="20" fillId="0" borderId="0" xfId="0" applyFont="1" applyAlignment="1" applyProtection="1">
      <alignment horizontal="right"/>
    </xf>
    <xf numFmtId="0" fontId="15" fillId="33" borderId="20" xfId="0" applyNumberFormat="1" applyFont="1" applyFill="1" applyBorder="1" applyAlignment="1" applyProtection="1">
      <alignment horizontal="center" vertical="center"/>
      <protection locked="0"/>
    </xf>
    <xf numFmtId="0" fontId="24" fillId="0" borderId="23" xfId="0" applyNumberFormat="1" applyFont="1" applyBorder="1" applyAlignment="1" applyProtection="1">
      <alignment horizontal="left" vertical="center"/>
    </xf>
    <xf numFmtId="0" fontId="24" fillId="0" borderId="25" xfId="0" applyFont="1" applyBorder="1" applyAlignment="1" applyProtection="1">
      <alignment horizontal="left" vertical="center"/>
    </xf>
    <xf numFmtId="0" fontId="16" fillId="0" borderId="0" xfId="0" applyFont="1" applyAlignment="1" applyProtection="1">
      <alignment horizontal="left" vertical="center"/>
    </xf>
    <xf numFmtId="49" fontId="24" fillId="0" borderId="23" xfId="0" applyNumberFormat="1" applyFont="1" applyBorder="1" applyAlignment="1" applyProtection="1">
      <alignment horizontal="left" vertical="center"/>
    </xf>
    <xf numFmtId="2" fontId="24" fillId="0" borderId="25" xfId="0" applyNumberFormat="1" applyFont="1" applyBorder="1" applyAlignment="1" applyProtection="1">
      <alignment horizontal="left" vertical="center"/>
    </xf>
    <xf numFmtId="9" fontId="24" fillId="0" borderId="25" xfId="0" applyNumberFormat="1" applyFont="1" applyBorder="1" applyAlignment="1" applyProtection="1">
      <alignment horizontal="left" vertical="center"/>
    </xf>
    <xf numFmtId="166" fontId="24" fillId="0" borderId="25" xfId="0" applyNumberFormat="1" applyFont="1" applyBorder="1" applyAlignment="1" applyProtection="1">
      <alignment horizontal="left" vertical="center"/>
    </xf>
    <xf numFmtId="0" fontId="67" fillId="0" borderId="25" xfId="0" applyFont="1" applyBorder="1" applyAlignment="1" applyProtection="1">
      <alignment horizontal="left" vertical="center"/>
    </xf>
    <xf numFmtId="0" fontId="66" fillId="34" borderId="23" xfId="0" applyFont="1" applyFill="1" applyBorder="1" applyAlignment="1" applyProtection="1"/>
    <xf numFmtId="0" fontId="66" fillId="34" borderId="25" xfId="0" applyFont="1" applyFill="1" applyBorder="1" applyAlignment="1" applyProtection="1"/>
    <xf numFmtId="0" fontId="66" fillId="34" borderId="26" xfId="0" applyFont="1" applyFill="1" applyBorder="1" applyAlignment="1" applyProtection="1">
      <alignment horizontal="center" vertical="center"/>
    </xf>
    <xf numFmtId="0" fontId="66" fillId="34" borderId="18" xfId="0" applyFont="1" applyFill="1" applyBorder="1" applyAlignment="1" applyProtection="1">
      <alignment horizontal="center" vertical="center"/>
    </xf>
    <xf numFmtId="0" fontId="66" fillId="34" borderId="26" xfId="0" applyFont="1" applyFill="1" applyBorder="1" applyAlignment="1" applyProtection="1">
      <alignment horizontal="center"/>
    </xf>
    <xf numFmtId="0" fontId="66" fillId="34" borderId="25" xfId="0" applyFont="1" applyFill="1" applyBorder="1" applyAlignment="1" applyProtection="1">
      <alignment horizontal="left"/>
    </xf>
    <xf numFmtId="0" fontId="66" fillId="34" borderId="18" xfId="0" applyFont="1" applyFill="1" applyBorder="1" applyAlignment="1" applyProtection="1"/>
    <xf numFmtId="166" fontId="66" fillId="34" borderId="26" xfId="428" applyNumberFormat="1" applyFont="1" applyFill="1" applyBorder="1" applyAlignment="1" applyProtection="1">
      <alignment horizontal="center" vertical="center"/>
    </xf>
    <xf numFmtId="166" fontId="66" fillId="34" borderId="18" xfId="428" applyNumberFormat="1" applyFont="1" applyFill="1" applyBorder="1" applyAlignment="1" applyProtection="1">
      <alignment horizontal="center" vertical="center"/>
    </xf>
    <xf numFmtId="166" fontId="66" fillId="34" borderId="18" xfId="0" applyNumberFormat="1" applyFont="1" applyFill="1" applyBorder="1" applyAlignment="1" applyProtection="1">
      <alignment horizontal="center" vertical="center"/>
    </xf>
    <xf numFmtId="9" fontId="14" fillId="34" borderId="18" xfId="437" applyFont="1" applyFill="1" applyBorder="1" applyAlignment="1" applyProtection="1">
      <alignment horizontal="center" vertical="center"/>
    </xf>
    <xf numFmtId="0" fontId="12" fillId="0" borderId="18" xfId="0" applyFont="1" applyFill="1" applyBorder="1" applyAlignment="1">
      <alignment horizontal="lef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0" fontId="64" fillId="0" borderId="0" xfId="0" applyFont="1" applyFill="1" applyBorder="1" applyAlignment="1" applyProtection="1">
      <alignment vertical="center" wrapText="1"/>
    </xf>
    <xf numFmtId="0" fontId="64" fillId="0" borderId="0" xfId="0" applyFont="1" applyBorder="1" applyAlignment="1" applyProtection="1">
      <alignment vertical="center" wrapText="1"/>
    </xf>
    <xf numFmtId="0" fontId="6" fillId="0" borderId="18" xfId="0" applyFont="1" applyBorder="1" applyAlignment="1" applyProtection="1">
      <alignment vertical="center"/>
    </xf>
    <xf numFmtId="0" fontId="15" fillId="33" borderId="28" xfId="0" applyNumberFormat="1" applyFont="1" applyFill="1" applyBorder="1" applyAlignment="1" applyProtection="1">
      <alignment horizontal="center" vertical="center"/>
      <protection locked="0"/>
    </xf>
    <xf numFmtId="0" fontId="15" fillId="33" borderId="33" xfId="0" applyNumberFormat="1" applyFont="1" applyFill="1" applyBorder="1" applyAlignment="1" applyProtection="1">
      <alignment horizontal="center" vertical="center"/>
      <protection locked="0"/>
    </xf>
    <xf numFmtId="0" fontId="15" fillId="0" borderId="20" xfId="0" applyNumberFormat="1" applyFont="1" applyFill="1" applyBorder="1" applyAlignment="1" applyProtection="1">
      <alignment horizontal="center" vertical="center"/>
    </xf>
    <xf numFmtId="0" fontId="15" fillId="0" borderId="35" xfId="0" applyNumberFormat="1" applyFont="1" applyFill="1" applyBorder="1" applyAlignment="1" applyProtection="1">
      <alignment horizontal="center" vertical="center"/>
    </xf>
    <xf numFmtId="0" fontId="20" fillId="27" borderId="18" xfId="0" applyFont="1" applyFill="1" applyBorder="1" applyAlignment="1" applyProtection="1">
      <alignment horizontal="center" vertical="center"/>
    </xf>
    <xf numFmtId="0" fontId="68" fillId="0" borderId="0" xfId="0" applyFont="1" applyFill="1" applyAlignment="1" applyProtection="1">
      <alignment horizontal="right"/>
    </xf>
    <xf numFmtId="0" fontId="0" fillId="0" borderId="0" xfId="0" applyAlignment="1">
      <alignment horizontal="left" vertical="center"/>
    </xf>
    <xf numFmtId="0" fontId="0" fillId="0" borderId="0" xfId="0" applyAlignment="1" applyProtection="1">
      <alignment horizontal="left" vertical="center"/>
    </xf>
    <xf numFmtId="0" fontId="65" fillId="0" borderId="18" xfId="0" applyFont="1" applyBorder="1" applyAlignment="1" applyProtection="1">
      <alignment horizontal="left" vertical="center"/>
    </xf>
    <xf numFmtId="0" fontId="65" fillId="0" borderId="0" xfId="0" applyFont="1" applyAlignment="1">
      <alignment horizontal="left" vertical="center"/>
    </xf>
    <xf numFmtId="0" fontId="65" fillId="0" borderId="0" xfId="0" applyFont="1" applyAlignment="1" applyProtection="1">
      <alignment horizontal="left" vertical="center"/>
    </xf>
    <xf numFmtId="165" fontId="65" fillId="34" borderId="18" xfId="0" applyNumberFormat="1" applyFont="1" applyFill="1" applyBorder="1" applyAlignment="1" applyProtection="1">
      <alignment horizontal="center" vertical="center"/>
    </xf>
    <xf numFmtId="0" fontId="27" fillId="0" borderId="18" xfId="0" applyFont="1" applyBorder="1" applyAlignment="1" applyProtection="1">
      <alignment horizontal="left" vertical="center"/>
    </xf>
    <xf numFmtId="0" fontId="27" fillId="0" borderId="0" xfId="0" applyFont="1" applyFill="1" applyAlignment="1" applyProtection="1">
      <alignment horizontal="left" vertical="center"/>
    </xf>
    <xf numFmtId="0" fontId="0" fillId="0" borderId="0" xfId="0" applyAlignment="1" applyProtection="1">
      <alignment horizontal="center" vertical="center"/>
    </xf>
    <xf numFmtId="0" fontId="65" fillId="0" borderId="0" xfId="0" applyFont="1" applyAlignment="1" applyProtection="1">
      <alignment horizontal="center" vertical="center"/>
    </xf>
    <xf numFmtId="0" fontId="0" fillId="0" borderId="0" xfId="0" applyBorder="1"/>
    <xf numFmtId="49" fontId="65" fillId="0" borderId="18" xfId="0" applyNumberFormat="1" applyFont="1" applyFill="1" applyBorder="1" applyAlignment="1" applyProtection="1">
      <alignment horizontal="center" vertical="center"/>
    </xf>
    <xf numFmtId="0" fontId="65" fillId="27" borderId="18" xfId="0" applyFont="1" applyFill="1" applyBorder="1" applyAlignment="1" applyProtection="1">
      <alignment horizontal="left" vertical="center"/>
    </xf>
    <xf numFmtId="0" fontId="0" fillId="27" borderId="0" xfId="0" applyFill="1"/>
    <xf numFmtId="0" fontId="20" fillId="28" borderId="19" xfId="0" applyFont="1" applyFill="1" applyBorder="1" applyAlignment="1" applyProtection="1">
      <alignment horizontal="center" vertical="center"/>
    </xf>
    <xf numFmtId="0" fontId="66" fillId="0" borderId="18" xfId="0" applyFont="1" applyBorder="1" applyAlignment="1" applyProtection="1">
      <alignment horizontal="left" vertical="center"/>
    </xf>
    <xf numFmtId="0" fontId="6" fillId="0" borderId="18" xfId="0" applyNumberFormat="1" applyFont="1" applyFill="1" applyBorder="1" applyAlignment="1" applyProtection="1">
      <alignment horizontal="center" vertical="center"/>
    </xf>
    <xf numFmtId="14" fontId="66" fillId="0" borderId="18" xfId="0" applyNumberFormat="1" applyFont="1" applyBorder="1" applyAlignment="1" applyProtection="1">
      <alignment horizontal="left" vertical="center"/>
    </xf>
    <xf numFmtId="0" fontId="13" fillId="0" borderId="0" xfId="0" applyFont="1" applyFill="1" applyAlignment="1" applyProtection="1">
      <alignment horizontal="left" vertical="center"/>
    </xf>
    <xf numFmtId="0" fontId="2" fillId="0" borderId="0" xfId="516" applyFont="1" applyBorder="1" applyAlignment="1" applyProtection="1">
      <alignment vertical="center"/>
    </xf>
    <xf numFmtId="0" fontId="7" fillId="0" borderId="18" xfId="0" applyFont="1" applyFill="1" applyBorder="1" applyAlignment="1" applyProtection="1">
      <alignment horizontal="center" wrapText="1"/>
    </xf>
    <xf numFmtId="0" fontId="65" fillId="32" borderId="24" xfId="0" applyFont="1" applyFill="1" applyBorder="1" applyAlignment="1" applyProtection="1">
      <alignment horizontal="center" vertical="center"/>
    </xf>
    <xf numFmtId="0" fontId="12" fillId="31" borderId="21" xfId="0" applyFont="1" applyFill="1" applyBorder="1" applyAlignment="1" applyProtection="1">
      <alignment horizontal="center" vertical="center" wrapText="1"/>
    </xf>
    <xf numFmtId="0" fontId="58" fillId="0" borderId="0" xfId="0" applyFont="1" applyAlignment="1" applyProtection="1">
      <alignment horizontal="left" vertical="top" wrapText="1"/>
    </xf>
    <xf numFmtId="0" fontId="12" fillId="0" borderId="18" xfId="0" applyFont="1" applyBorder="1" applyAlignment="1" applyProtection="1">
      <alignment horizontal="center" vertical="center"/>
    </xf>
    <xf numFmtId="164" fontId="24" fillId="0" borderId="25" xfId="0" applyNumberFormat="1" applyFont="1" applyBorder="1" applyAlignment="1" applyProtection="1">
      <alignment horizontal="left" vertical="center"/>
    </xf>
    <xf numFmtId="14" fontId="65" fillId="0" borderId="18" xfId="0" applyNumberFormat="1" applyFont="1" applyBorder="1" applyAlignment="1" applyProtection="1">
      <alignment horizontal="left" vertical="center"/>
    </xf>
    <xf numFmtId="0" fontId="60" fillId="0" borderId="0" xfId="0" applyFont="1" applyAlignment="1" applyProtection="1">
      <alignment horizontal="left" vertical="center"/>
    </xf>
    <xf numFmtId="1" fontId="65" fillId="0" borderId="18" xfId="0" applyNumberFormat="1" applyFont="1" applyBorder="1" applyAlignment="1" applyProtection="1">
      <alignment horizontal="center" vertical="center"/>
    </xf>
    <xf numFmtId="1" fontId="65" fillId="27" borderId="18" xfId="0" applyNumberFormat="1" applyFont="1" applyFill="1" applyBorder="1" applyAlignment="1" applyProtection="1">
      <alignment horizontal="center" vertical="center"/>
    </xf>
    <xf numFmtId="1" fontId="65" fillId="34" borderId="18" xfId="0" applyNumberFormat="1" applyFont="1" applyFill="1" applyBorder="1" applyAlignment="1" applyProtection="1">
      <alignment horizontal="center" vertical="center"/>
    </xf>
    <xf numFmtId="1" fontId="65" fillId="0" borderId="18" xfId="0" applyNumberFormat="1" applyFont="1" applyFill="1" applyBorder="1" applyAlignment="1" applyProtection="1">
      <alignment horizontal="center" vertical="center"/>
    </xf>
    <xf numFmtId="0" fontId="9" fillId="37" borderId="0" xfId="516" applyFont="1" applyFill="1" applyBorder="1" applyAlignment="1" applyProtection="1">
      <alignment horizontal="left" vertical="center"/>
    </xf>
    <xf numFmtId="0" fontId="12" fillId="0" borderId="23" xfId="0" applyFont="1" applyFill="1" applyBorder="1" applyAlignment="1" applyProtection="1">
      <alignment horizontal="center" vertical="center" wrapText="1"/>
    </xf>
    <xf numFmtId="0" fontId="15" fillId="0" borderId="28"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center" vertical="top" wrapText="1"/>
    </xf>
    <xf numFmtId="0" fontId="15" fillId="0" borderId="0" xfId="0" applyNumberFormat="1" applyFont="1" applyFill="1" applyBorder="1" applyAlignment="1" applyProtection="1">
      <alignment horizontal="center" vertical="center"/>
    </xf>
    <xf numFmtId="164" fontId="16" fillId="0" borderId="0" xfId="0" applyNumberFormat="1" applyFont="1" applyFill="1" applyBorder="1" applyProtection="1"/>
    <xf numFmtId="0" fontId="18" fillId="0" borderId="0" xfId="0" applyFont="1" applyFill="1" applyBorder="1" applyProtection="1"/>
    <xf numFmtId="0" fontId="15" fillId="0" borderId="0" xfId="0" applyFont="1" applyFill="1" applyBorder="1" applyAlignment="1" applyProtection="1">
      <alignment horizontal="center" vertical="center" wrapText="1"/>
    </xf>
    <xf numFmtId="0" fontId="19" fillId="0" borderId="0" xfId="0" applyFont="1" applyFill="1" applyAlignment="1" applyProtection="1">
      <alignment horizontal="center"/>
    </xf>
    <xf numFmtId="0" fontId="12" fillId="0" borderId="18" xfId="0" applyFont="1" applyFill="1" applyBorder="1" applyAlignment="1">
      <alignment horizontal="center" vertical="center"/>
    </xf>
    <xf numFmtId="0" fontId="12" fillId="0" borderId="23" xfId="0" applyFont="1" applyFill="1" applyBorder="1" applyAlignment="1">
      <alignment horizontal="center" vertical="center"/>
    </xf>
    <xf numFmtId="0" fontId="15" fillId="0" borderId="37" xfId="0" applyFont="1" applyFill="1" applyBorder="1" applyAlignment="1" applyProtection="1">
      <alignment horizontal="center" textRotation="90" wrapText="1"/>
    </xf>
    <xf numFmtId="0" fontId="15" fillId="0" borderId="38" xfId="0" applyFont="1" applyFill="1" applyBorder="1" applyAlignment="1" applyProtection="1">
      <alignment textRotation="90" wrapText="1"/>
    </xf>
    <xf numFmtId="0" fontId="9" fillId="0" borderId="39" xfId="0" applyFont="1" applyFill="1" applyBorder="1" applyAlignment="1" applyProtection="1">
      <alignment horizontal="center" vertical="center" wrapText="1"/>
    </xf>
    <xf numFmtId="0" fontId="15" fillId="0" borderId="40" xfId="0" applyFont="1" applyFill="1" applyBorder="1" applyAlignment="1" applyProtection="1">
      <alignment horizontal="center" wrapText="1"/>
    </xf>
    <xf numFmtId="0" fontId="15" fillId="0" borderId="41" xfId="0" applyFont="1" applyFill="1" applyBorder="1" applyAlignment="1" applyProtection="1">
      <alignment horizontal="center" vertical="center" wrapText="1"/>
    </xf>
    <xf numFmtId="0" fontId="15" fillId="0" borderId="42" xfId="0" applyNumberFormat="1" applyFont="1" applyFill="1" applyBorder="1" applyAlignment="1" applyProtection="1">
      <alignment horizontal="center" vertical="center"/>
    </xf>
    <xf numFmtId="0" fontId="15" fillId="0" borderId="43" xfId="0" applyNumberFormat="1" applyFont="1" applyFill="1" applyBorder="1" applyAlignment="1" applyProtection="1">
      <alignment horizontal="center" vertical="center"/>
    </xf>
    <xf numFmtId="0" fontId="15" fillId="0" borderId="44" xfId="0" applyNumberFormat="1" applyFont="1" applyFill="1" applyBorder="1" applyAlignment="1" applyProtection="1">
      <alignment horizontal="center" vertical="center"/>
    </xf>
    <xf numFmtId="0" fontId="15" fillId="0" borderId="45" xfId="0" applyNumberFormat="1" applyFont="1" applyFill="1" applyBorder="1" applyAlignment="1" applyProtection="1">
      <alignment horizontal="center" vertical="center"/>
    </xf>
    <xf numFmtId="0" fontId="69" fillId="0" borderId="48" xfId="0" applyFont="1" applyFill="1" applyBorder="1" applyAlignment="1">
      <alignment horizontal="left" vertical="center" wrapText="1"/>
    </xf>
    <xf numFmtId="0" fontId="69" fillId="0" borderId="48" xfId="0" applyFont="1" applyBorder="1" applyAlignment="1">
      <alignment horizontal="left" vertical="center" wrapText="1"/>
    </xf>
    <xf numFmtId="0" fontId="12" fillId="0" borderId="48" xfId="0" applyFont="1" applyFill="1" applyBorder="1" applyAlignment="1">
      <alignment horizontal="left" vertical="center" wrapText="1"/>
    </xf>
    <xf numFmtId="0" fontId="12" fillId="0" borderId="48" xfId="0" applyFont="1" applyFill="1" applyBorder="1" applyAlignment="1">
      <alignment horizontal="left" vertical="center"/>
    </xf>
    <xf numFmtId="0" fontId="69" fillId="0" borderId="48" xfId="0" applyFont="1" applyBorder="1" applyAlignment="1">
      <alignment horizontal="left" vertical="center"/>
    </xf>
    <xf numFmtId="0" fontId="24" fillId="0" borderId="48" xfId="0" applyFont="1" applyFill="1" applyBorder="1" applyAlignment="1">
      <alignment horizontal="left" vertical="center"/>
    </xf>
    <xf numFmtId="10" fontId="15" fillId="33" borderId="41" xfId="0" applyNumberFormat="1" applyFont="1" applyFill="1" applyBorder="1" applyAlignment="1" applyProtection="1">
      <alignment horizontal="center" vertical="center"/>
      <protection locked="0"/>
    </xf>
    <xf numFmtId="0" fontId="12" fillId="0" borderId="0" xfId="0" applyFont="1" applyAlignment="1" applyProtection="1">
      <alignment horizontal="left" wrapText="1"/>
    </xf>
    <xf numFmtId="9" fontId="20" fillId="34" borderId="18" xfId="0" applyNumberFormat="1" applyFont="1" applyFill="1" applyBorder="1" applyAlignment="1" applyProtection="1">
      <alignment horizontal="center" vertical="center"/>
    </xf>
    <xf numFmtId="9" fontId="20" fillId="27" borderId="18" xfId="0" applyNumberFormat="1" applyFont="1" applyFill="1" applyBorder="1" applyAlignment="1" applyProtection="1">
      <alignment horizontal="center" vertical="center"/>
    </xf>
    <xf numFmtId="9" fontId="20" fillId="0" borderId="18" xfId="0" applyNumberFormat="1" applyFont="1" applyFill="1" applyBorder="1" applyAlignment="1" applyProtection="1">
      <alignment horizontal="center" vertical="center"/>
    </xf>
    <xf numFmtId="0" fontId="14" fillId="0" borderId="25" xfId="0" applyFont="1" applyBorder="1" applyAlignment="1" applyProtection="1"/>
    <xf numFmtId="0" fontId="7" fillId="0" borderId="18" xfId="0" applyFont="1" applyBorder="1" applyAlignment="1" applyProtection="1">
      <alignment horizontal="center" vertical="center" wrapText="1"/>
    </xf>
    <xf numFmtId="0" fontId="20" fillId="0" borderId="18" xfId="0" applyFont="1" applyBorder="1" applyAlignment="1" applyProtection="1">
      <alignment horizontal="left" vertical="center"/>
    </xf>
    <xf numFmtId="0" fontId="79" fillId="0" borderId="18" xfId="0" applyFont="1" applyBorder="1" applyAlignment="1">
      <alignment horizontal="center" vertical="center"/>
    </xf>
    <xf numFmtId="0" fontId="79" fillId="0" borderId="18" xfId="0" applyFont="1" applyBorder="1" applyAlignment="1" applyProtection="1">
      <alignment horizontal="center" vertical="center"/>
    </xf>
    <xf numFmtId="0" fontId="0" fillId="0" borderId="18" xfId="0" applyNumberFormat="1" applyBorder="1" applyAlignment="1">
      <alignment horizontal="left" vertical="center"/>
    </xf>
    <xf numFmtId="0" fontId="0" fillId="0" borderId="18" xfId="0" applyNumberFormat="1" applyBorder="1" applyAlignment="1" applyProtection="1">
      <alignment horizontal="left" vertical="center"/>
    </xf>
    <xf numFmtId="0" fontId="16" fillId="0" borderId="18" xfId="0" applyNumberFormat="1" applyFont="1" applyBorder="1" applyAlignment="1" applyProtection="1">
      <alignment horizontal="left" vertical="center"/>
    </xf>
    <xf numFmtId="0" fontId="16" fillId="0" borderId="0" xfId="0" applyFont="1" applyFill="1" applyAlignment="1" applyProtection="1">
      <alignment wrapText="1"/>
    </xf>
    <xf numFmtId="0" fontId="14" fillId="0" borderId="0" xfId="0" applyFont="1" applyAlignment="1" applyProtection="1">
      <alignment wrapText="1"/>
    </xf>
    <xf numFmtId="0" fontId="17" fillId="0" borderId="0" xfId="0" applyFont="1" applyAlignment="1" applyProtection="1">
      <alignment wrapText="1"/>
    </xf>
    <xf numFmtId="0" fontId="16" fillId="0" borderId="0" xfId="0" applyFont="1" applyAlignment="1" applyProtection="1">
      <alignment wrapText="1"/>
    </xf>
    <xf numFmtId="0" fontId="13" fillId="0" borderId="18" xfId="0" applyFont="1" applyBorder="1" applyAlignment="1" applyProtection="1">
      <alignment wrapText="1"/>
    </xf>
    <xf numFmtId="166" fontId="13" fillId="0" borderId="18" xfId="0" applyNumberFormat="1" applyFont="1" applyBorder="1" applyAlignment="1" applyProtection="1">
      <alignment horizontal="left" vertical="top" wrapText="1"/>
    </xf>
    <xf numFmtId="0" fontId="66" fillId="0" borderId="18" xfId="0" applyFont="1" applyBorder="1" applyAlignment="1" applyProtection="1">
      <alignment horizontal="center" wrapText="1"/>
    </xf>
    <xf numFmtId="166" fontId="66" fillId="0" borderId="18" xfId="0" applyNumberFormat="1" applyFont="1" applyBorder="1" applyAlignment="1" applyProtection="1">
      <alignment horizontal="center" wrapText="1"/>
    </xf>
    <xf numFmtId="0" fontId="66" fillId="0" borderId="18" xfId="0" applyFont="1" applyFill="1" applyBorder="1" applyAlignment="1" applyProtection="1">
      <alignment horizontal="center" wrapText="1"/>
    </xf>
    <xf numFmtId="166" fontId="66" fillId="0" borderId="18" xfId="0" applyNumberFormat="1" applyFont="1" applyFill="1" applyBorder="1" applyAlignment="1" applyProtection="1">
      <alignment horizontal="center" wrapText="1"/>
    </xf>
    <xf numFmtId="166" fontId="66" fillId="0" borderId="18" xfId="428" applyNumberFormat="1" applyFont="1" applyBorder="1" applyAlignment="1" applyProtection="1">
      <alignment horizontal="center" wrapText="1"/>
    </xf>
    <xf numFmtId="9" fontId="66" fillId="0" borderId="18" xfId="0" applyNumberFormat="1" applyFont="1" applyBorder="1" applyAlignment="1" applyProtection="1">
      <alignment horizontal="center" wrapText="1"/>
    </xf>
    <xf numFmtId="164" fontId="66" fillId="0" borderId="18" xfId="0" applyNumberFormat="1" applyFont="1" applyFill="1" applyBorder="1" applyAlignment="1" applyProtection="1">
      <alignment horizontal="center" wrapText="1"/>
    </xf>
    <xf numFmtId="0" fontId="66" fillId="0" borderId="0" xfId="0" applyFont="1" applyAlignment="1" applyProtection="1">
      <alignment wrapText="1"/>
    </xf>
    <xf numFmtId="0" fontId="66" fillId="34" borderId="18" xfId="0" applyFont="1" applyFill="1" applyBorder="1" applyAlignment="1" applyProtection="1">
      <alignment horizontal="center" vertical="center" wrapText="1"/>
    </xf>
    <xf numFmtId="166" fontId="66" fillId="34" borderId="18" xfId="0" applyNumberFormat="1" applyFont="1" applyFill="1" applyBorder="1" applyAlignment="1" applyProtection="1">
      <alignment horizontal="center" vertical="center" wrapText="1"/>
    </xf>
    <xf numFmtId="9" fontId="14" fillId="34" borderId="18" xfId="437" applyFont="1" applyFill="1" applyBorder="1" applyAlignment="1" applyProtection="1">
      <alignment horizontal="center" vertical="center" wrapText="1"/>
    </xf>
    <xf numFmtId="0" fontId="66" fillId="0" borderId="0" xfId="0" applyFont="1" applyBorder="1" applyAlignment="1" applyProtection="1">
      <alignment horizontal="center" vertical="center" wrapText="1"/>
    </xf>
    <xf numFmtId="0" fontId="66" fillId="0" borderId="26" xfId="0" applyFont="1" applyBorder="1" applyAlignment="1" applyProtection="1">
      <alignment wrapText="1"/>
    </xf>
    <xf numFmtId="0" fontId="66" fillId="0" borderId="26" xfId="0" applyFont="1" applyFill="1" applyBorder="1" applyAlignment="1" applyProtection="1"/>
    <xf numFmtId="0" fontId="12" fillId="0" borderId="18" xfId="0" applyNumberFormat="1" applyFont="1" applyFill="1" applyBorder="1" applyAlignment="1" applyProtection="1">
      <alignment horizontal="center" vertical="center" wrapText="1"/>
    </xf>
    <xf numFmtId="0" fontId="80" fillId="0" borderId="18" xfId="0" applyFont="1" applyFill="1" applyBorder="1" applyAlignment="1">
      <alignment horizontal="center" vertical="center"/>
    </xf>
    <xf numFmtId="0" fontId="12" fillId="0" borderId="50" xfId="0" applyNumberFormat="1" applyFont="1" applyFill="1" applyBorder="1" applyAlignment="1" applyProtection="1">
      <alignment horizontal="center" vertical="center" wrapText="1"/>
    </xf>
    <xf numFmtId="0" fontId="80" fillId="0" borderId="50" xfId="0" applyFont="1" applyFill="1" applyBorder="1" applyAlignment="1">
      <alignment horizontal="center" vertical="center"/>
    </xf>
    <xf numFmtId="0" fontId="80" fillId="0" borderId="51" xfId="0" applyFont="1" applyFill="1" applyBorder="1" applyAlignment="1">
      <alignment horizontal="center" vertical="center"/>
    </xf>
    <xf numFmtId="0" fontId="80" fillId="0" borderId="31" xfId="0" applyFont="1" applyFill="1" applyBorder="1" applyAlignment="1">
      <alignment horizontal="center" vertical="center"/>
    </xf>
    <xf numFmtId="0" fontId="80" fillId="0" borderId="0" xfId="0" applyFont="1" applyFill="1" applyAlignment="1">
      <alignment horizontal="center" vertical="center"/>
    </xf>
    <xf numFmtId="0" fontId="6" fillId="0" borderId="50"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80" fillId="0" borderId="31" xfId="0" applyFont="1" applyFill="1" applyBorder="1" applyAlignment="1">
      <alignment horizontal="center" vertical="center" wrapText="1"/>
    </xf>
    <xf numFmtId="0" fontId="0" fillId="0" borderId="0" xfId="0" applyAlignment="1">
      <alignment horizontal="left"/>
    </xf>
    <xf numFmtId="0" fontId="79" fillId="0" borderId="18" xfId="0" applyFont="1" applyBorder="1" applyAlignment="1">
      <alignment horizontal="center" vertical="center" wrapText="1"/>
    </xf>
    <xf numFmtId="0" fontId="81" fillId="0" borderId="0" xfId="0" applyFont="1" applyAlignment="1">
      <alignment vertical="center" wrapText="1"/>
    </xf>
    <xf numFmtId="0" fontId="81" fillId="0" borderId="0" xfId="0" applyFont="1" applyAlignment="1">
      <alignment horizontal="center" vertical="center"/>
    </xf>
    <xf numFmtId="0" fontId="81" fillId="0" borderId="0" xfId="0" applyFont="1" applyAlignment="1">
      <alignment vertical="center"/>
    </xf>
    <xf numFmtId="0" fontId="0" fillId="0" borderId="0" xfId="0" applyAlignment="1">
      <alignment horizontal="center" vertical="top"/>
    </xf>
    <xf numFmtId="0" fontId="73" fillId="0" borderId="0" xfId="0" applyFont="1" applyAlignment="1">
      <alignment horizontal="center" vertical="center"/>
    </xf>
    <xf numFmtId="0" fontId="0" fillId="0" borderId="0" xfId="0" applyFill="1" applyBorder="1" applyAlignment="1">
      <alignment vertical="top" wrapText="1"/>
    </xf>
    <xf numFmtId="0" fontId="12" fillId="0" borderId="52" xfId="0" applyNumberFormat="1" applyFont="1" applyFill="1" applyBorder="1" applyAlignment="1" applyProtection="1">
      <alignment horizontal="center" vertical="center" wrapText="1"/>
    </xf>
    <xf numFmtId="0" fontId="12" fillId="0" borderId="26" xfId="0" applyNumberFormat="1" applyFont="1" applyFill="1" applyBorder="1" applyAlignment="1" applyProtection="1">
      <alignment horizontal="center" vertical="center" wrapText="1"/>
    </xf>
    <xf numFmtId="0" fontId="6" fillId="0" borderId="53" xfId="0" applyFont="1" applyFill="1" applyBorder="1" applyAlignment="1" applyProtection="1">
      <alignment horizontal="center" vertical="center"/>
    </xf>
    <xf numFmtId="0" fontId="0" fillId="0" borderId="0" xfId="0" applyBorder="1" applyAlignment="1">
      <alignment horizontal="left"/>
    </xf>
    <xf numFmtId="0" fontId="66" fillId="0" borderId="0" xfId="0" applyFont="1" applyBorder="1" applyAlignment="1" applyProtection="1"/>
    <xf numFmtId="0" fontId="14" fillId="0" borderId="0" xfId="0" applyFont="1" applyFill="1" applyBorder="1" applyAlignment="1">
      <alignment horizontal="left" vertical="center"/>
    </xf>
    <xf numFmtId="0" fontId="80" fillId="0" borderId="0" xfId="0" applyFont="1" applyFill="1" applyBorder="1" applyAlignment="1">
      <alignment horizontal="center" vertical="center"/>
    </xf>
    <xf numFmtId="0" fontId="12" fillId="0" borderId="0" xfId="0" applyFont="1" applyFill="1" applyBorder="1" applyAlignment="1" applyProtection="1">
      <alignment horizontal="center" vertical="top" wrapText="1"/>
    </xf>
    <xf numFmtId="0" fontId="0" fillId="0" borderId="0" xfId="0" applyFill="1" applyBorder="1"/>
    <xf numFmtId="0" fontId="12" fillId="0" borderId="0"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12" fillId="0" borderId="54" xfId="0" applyFont="1" applyFill="1" applyBorder="1" applyAlignment="1" applyProtection="1">
      <alignment horizontal="center" vertical="center" wrapText="1"/>
    </xf>
    <xf numFmtId="0" fontId="12" fillId="0" borderId="55" xfId="0" applyNumberFormat="1" applyFont="1" applyFill="1" applyBorder="1" applyAlignment="1" applyProtection="1">
      <alignment horizontal="center" vertical="center" wrapText="1"/>
    </xf>
    <xf numFmtId="0" fontId="12" fillId="0" borderId="56" xfId="0" applyFont="1" applyFill="1" applyBorder="1" applyAlignment="1" applyProtection="1">
      <alignment horizontal="center" vertical="center" wrapText="1"/>
    </xf>
    <xf numFmtId="0" fontId="12" fillId="0" borderId="57" xfId="0" applyNumberFormat="1" applyFont="1" applyFill="1" applyBorder="1" applyAlignment="1" applyProtection="1">
      <alignment horizontal="center" vertical="center" wrapText="1"/>
    </xf>
    <xf numFmtId="0" fontId="12" fillId="0" borderId="58" xfId="0" applyFont="1" applyFill="1" applyBorder="1" applyAlignment="1" applyProtection="1">
      <alignment horizontal="center" vertical="center" wrapText="1"/>
    </xf>
    <xf numFmtId="0" fontId="12" fillId="0" borderId="59" xfId="0" applyNumberFormat="1" applyFont="1" applyFill="1" applyBorder="1" applyAlignment="1" applyProtection="1">
      <alignment horizontal="center" vertical="center" wrapText="1"/>
    </xf>
    <xf numFmtId="0" fontId="80" fillId="38" borderId="29" xfId="0" applyFont="1" applyFill="1" applyBorder="1" applyAlignment="1">
      <alignment horizontal="center" vertical="center"/>
    </xf>
    <xf numFmtId="0" fontId="80" fillId="38" borderId="28" xfId="0" applyFont="1" applyFill="1" applyBorder="1" applyAlignment="1">
      <alignment horizontal="center" vertical="center"/>
    </xf>
    <xf numFmtId="0" fontId="80" fillId="28" borderId="20" xfId="0" applyFont="1" applyFill="1" applyBorder="1" applyAlignment="1">
      <alignment horizontal="center" vertical="center" wrapText="1"/>
    </xf>
    <xf numFmtId="0" fontId="80" fillId="29" borderId="20" xfId="0" applyFont="1" applyFill="1" applyBorder="1" applyAlignment="1">
      <alignment horizontal="center" vertical="center" wrapText="1"/>
    </xf>
    <xf numFmtId="0" fontId="80" fillId="29" borderId="28" xfId="0" applyFont="1" applyFill="1" applyBorder="1" applyAlignment="1">
      <alignment horizontal="center" vertical="center"/>
    </xf>
    <xf numFmtId="0" fontId="80" fillId="29" borderId="29" xfId="0" applyFont="1" applyFill="1" applyBorder="1" applyAlignment="1">
      <alignment horizontal="center" vertical="center"/>
    </xf>
    <xf numFmtId="0" fontId="12" fillId="38" borderId="28" xfId="0" applyNumberFormat="1" applyFont="1" applyFill="1" applyBorder="1" applyAlignment="1" applyProtection="1">
      <alignment horizontal="center" vertical="center" wrapText="1"/>
    </xf>
    <xf numFmtId="0" fontId="12" fillId="38" borderId="34" xfId="0" applyNumberFormat="1" applyFont="1" applyFill="1" applyBorder="1" applyAlignment="1" applyProtection="1">
      <alignment horizontal="center" vertical="center" wrapText="1"/>
    </xf>
    <xf numFmtId="0" fontId="80" fillId="38" borderId="34" xfId="0" applyFont="1" applyFill="1" applyBorder="1" applyAlignment="1">
      <alignment horizontal="center" vertical="center"/>
    </xf>
    <xf numFmtId="0" fontId="6" fillId="0" borderId="60" xfId="0" quotePrefix="1" applyFont="1" applyFill="1" applyBorder="1" applyAlignment="1" applyProtection="1">
      <alignment horizontal="left" vertical="center" wrapText="1"/>
    </xf>
    <xf numFmtId="0" fontId="6" fillId="0" borderId="23" xfId="0" quotePrefix="1" applyFont="1" applyFill="1" applyBorder="1" applyAlignment="1" applyProtection="1">
      <alignment horizontal="left" vertical="center" wrapText="1"/>
    </xf>
    <xf numFmtId="0" fontId="80" fillId="0" borderId="60" xfId="0" applyFont="1" applyFill="1" applyBorder="1" applyAlignment="1">
      <alignment horizontal="left" vertical="center"/>
    </xf>
    <xf numFmtId="0" fontId="80" fillId="0" borderId="23" xfId="0" applyFont="1" applyFill="1" applyBorder="1" applyAlignment="1">
      <alignment horizontal="left" vertical="center"/>
    </xf>
    <xf numFmtId="0" fontId="80" fillId="0" borderId="61" xfId="0" applyFont="1" applyFill="1" applyBorder="1" applyAlignment="1">
      <alignment horizontal="left" vertical="center"/>
    </xf>
    <xf numFmtId="0" fontId="6" fillId="0" borderId="60" xfId="0" applyFont="1" applyFill="1" applyBorder="1" applyAlignment="1" applyProtection="1">
      <alignment horizontal="left" vertical="center" wrapText="1"/>
    </xf>
    <xf numFmtId="0" fontId="6" fillId="0" borderId="23" xfId="0" applyFont="1" applyFill="1" applyBorder="1" applyAlignment="1" applyProtection="1">
      <alignment horizontal="left" vertical="center" wrapText="1"/>
    </xf>
    <xf numFmtId="0" fontId="7" fillId="0" borderId="0" xfId="0" applyFont="1" applyFill="1" applyBorder="1" applyAlignment="1" applyProtection="1">
      <alignment horizontal="center"/>
    </xf>
    <xf numFmtId="0" fontId="24" fillId="0" borderId="0" xfId="0" applyFont="1" applyFill="1" applyBorder="1" applyAlignment="1" applyProtection="1">
      <alignment horizontal="left" vertical="center"/>
    </xf>
    <xf numFmtId="0" fontId="14" fillId="0" borderId="18" xfId="0" applyFont="1" applyBorder="1" applyAlignment="1" applyProtection="1">
      <alignment wrapText="1"/>
    </xf>
    <xf numFmtId="0" fontId="73" fillId="0" borderId="18" xfId="0" applyFont="1" applyBorder="1" applyAlignment="1">
      <alignment horizontal="center" vertical="center"/>
    </xf>
    <xf numFmtId="0" fontId="81" fillId="0" borderId="18" xfId="0" applyFont="1" applyBorder="1" applyAlignment="1">
      <alignment horizontal="center" vertical="center" wrapText="1"/>
    </xf>
    <xf numFmtId="0" fontId="81" fillId="0" borderId="18" xfId="0" applyFont="1" applyBorder="1" applyAlignment="1">
      <alignment horizontal="left" vertical="center" wrapText="1"/>
    </xf>
    <xf numFmtId="0" fontId="81" fillId="0" borderId="18" xfId="0" applyFont="1" applyBorder="1" applyAlignment="1">
      <alignment horizontal="left" vertical="center"/>
    </xf>
    <xf numFmtId="0" fontId="0" fillId="0" borderId="0" xfId="0" applyAlignment="1">
      <alignment vertical="center"/>
    </xf>
    <xf numFmtId="0" fontId="6" fillId="0" borderId="55" xfId="0" quotePrefix="1" applyFont="1" applyFill="1" applyBorder="1" applyAlignment="1" applyProtection="1">
      <alignment horizontal="center" vertical="center" wrapText="1"/>
    </xf>
    <xf numFmtId="0" fontId="6" fillId="0" borderId="57" xfId="0" quotePrefix="1" applyFont="1" applyFill="1" applyBorder="1" applyAlignment="1" applyProtection="1">
      <alignment horizontal="center" vertical="center" wrapText="1"/>
    </xf>
    <xf numFmtId="0" fontId="6" fillId="0" borderId="47" xfId="0" quotePrefix="1" applyFont="1" applyFill="1" applyBorder="1" applyAlignment="1" applyProtection="1">
      <alignment horizontal="center" vertical="center" wrapText="1"/>
    </xf>
    <xf numFmtId="0" fontId="12" fillId="0" borderId="64" xfId="0" applyNumberFormat="1" applyFont="1" applyFill="1" applyBorder="1" applyAlignment="1" applyProtection="1">
      <alignment horizontal="center" vertical="center" wrapText="1"/>
    </xf>
    <xf numFmtId="0" fontId="80" fillId="0" borderId="24" xfId="0" applyFont="1" applyFill="1" applyBorder="1" applyAlignment="1">
      <alignment horizontal="center" vertical="center"/>
    </xf>
    <xf numFmtId="0" fontId="6" fillId="0" borderId="24" xfId="0" applyFont="1" applyFill="1" applyBorder="1" applyAlignment="1" applyProtection="1">
      <alignment horizontal="center" vertical="center" wrapText="1"/>
    </xf>
    <xf numFmtId="0" fontId="80" fillId="0" borderId="21" xfId="0" applyFont="1" applyFill="1" applyBorder="1" applyAlignment="1">
      <alignment horizontal="left" vertical="center"/>
    </xf>
    <xf numFmtId="0" fontId="6" fillId="0" borderId="65" xfId="0" quotePrefix="1" applyFont="1" applyFill="1" applyBorder="1" applyAlignment="1" applyProtection="1">
      <alignment horizontal="center" vertical="center" wrapText="1"/>
    </xf>
    <xf numFmtId="0" fontId="12" fillId="0" borderId="54" xfId="0" applyNumberFormat="1" applyFont="1" applyFill="1" applyBorder="1" applyAlignment="1" applyProtection="1">
      <alignment horizontal="center" vertical="center" wrapText="1"/>
    </xf>
    <xf numFmtId="0" fontId="12" fillId="0" borderId="56" xfId="0" applyNumberFormat="1" applyFont="1" applyFill="1" applyBorder="1" applyAlignment="1" applyProtection="1">
      <alignment horizontal="center" vertical="center" wrapText="1"/>
    </xf>
    <xf numFmtId="0" fontId="12" fillId="0" borderId="58" xfId="0" applyNumberFormat="1" applyFont="1" applyFill="1" applyBorder="1" applyAlignment="1" applyProtection="1">
      <alignment horizontal="center" vertical="center" wrapText="1"/>
    </xf>
    <xf numFmtId="0" fontId="81" fillId="0" borderId="0" xfId="0" applyFont="1" applyBorder="1" applyAlignment="1">
      <alignment horizontal="center" vertical="center"/>
    </xf>
    <xf numFmtId="0" fontId="81" fillId="0" borderId="0" xfId="0" applyFont="1" applyBorder="1" applyAlignment="1">
      <alignment vertical="center" wrapText="1"/>
    </xf>
    <xf numFmtId="0" fontId="20" fillId="0" borderId="18" xfId="0" applyFont="1" applyBorder="1" applyAlignment="1" applyProtection="1">
      <alignment horizontal="left" vertical="center" wrapText="1"/>
    </xf>
    <xf numFmtId="0" fontId="0" fillId="0" borderId="18" xfId="0" applyNumberFormat="1" applyBorder="1" applyAlignment="1">
      <alignment horizontal="left" vertical="center" wrapText="1"/>
    </xf>
    <xf numFmtId="0" fontId="0" fillId="0" borderId="18" xfId="0" applyNumberFormat="1" applyBorder="1" applyAlignment="1" applyProtection="1">
      <alignment horizontal="left" vertical="center" wrapText="1"/>
    </xf>
    <xf numFmtId="14" fontId="2" fillId="0" borderId="0" xfId="516" applyNumberFormat="1" applyFont="1" applyFill="1" applyBorder="1" applyAlignment="1" applyProtection="1">
      <alignment horizontal="center" vertical="center"/>
    </xf>
    <xf numFmtId="4" fontId="6" fillId="0" borderId="18" xfId="0" applyNumberFormat="1" applyFont="1" applyBorder="1" applyAlignment="1" applyProtection="1">
      <alignment horizontal="center" vertical="center" wrapText="1"/>
    </xf>
    <xf numFmtId="0" fontId="81" fillId="0" borderId="18" xfId="0" applyFont="1" applyBorder="1" applyAlignment="1" applyProtection="1">
      <alignment horizontal="center" vertical="center" wrapText="1"/>
    </xf>
    <xf numFmtId="0" fontId="14" fillId="38" borderId="18" xfId="0" applyFont="1" applyFill="1" applyBorder="1" applyAlignment="1" applyProtection="1">
      <alignment horizontal="right"/>
    </xf>
    <xf numFmtId="0" fontId="82" fillId="38" borderId="18" xfId="0" applyFont="1" applyFill="1" applyBorder="1" applyAlignment="1">
      <alignment horizontal="center" vertical="center"/>
    </xf>
    <xf numFmtId="0" fontId="14" fillId="38" borderId="18" xfId="0" applyFont="1" applyFill="1" applyBorder="1" applyAlignment="1">
      <alignment horizontal="right" vertical="center"/>
    </xf>
    <xf numFmtId="0" fontId="14" fillId="38" borderId="18" xfId="0" applyFont="1" applyFill="1" applyBorder="1" applyAlignment="1" applyProtection="1">
      <alignment horizontal="center" vertical="center"/>
    </xf>
    <xf numFmtId="0" fontId="14" fillId="31" borderId="18" xfId="0" applyFont="1" applyFill="1" applyBorder="1" applyAlignment="1">
      <alignment horizontal="right" vertical="center"/>
    </xf>
    <xf numFmtId="0" fontId="14" fillId="31" borderId="18" xfId="0" applyFont="1" applyFill="1" applyBorder="1" applyAlignment="1" applyProtection="1">
      <alignment horizontal="center" vertical="center"/>
    </xf>
    <xf numFmtId="0" fontId="14" fillId="28" borderId="18" xfId="0" applyFont="1" applyFill="1" applyBorder="1" applyAlignment="1">
      <alignment horizontal="right" vertical="center"/>
    </xf>
    <xf numFmtId="0" fontId="14" fillId="28" borderId="18" xfId="0" applyFont="1" applyFill="1" applyBorder="1" applyAlignment="1" applyProtection="1">
      <alignment horizontal="center" vertical="center"/>
    </xf>
    <xf numFmtId="0" fontId="65" fillId="31" borderId="19" xfId="0" applyFont="1" applyFill="1" applyBorder="1" applyAlignment="1" applyProtection="1">
      <alignment horizontal="center" vertical="center"/>
    </xf>
    <xf numFmtId="0" fontId="12" fillId="0" borderId="18" xfId="0" applyFont="1" applyBorder="1" applyAlignment="1">
      <alignment horizontal="left" vertical="center"/>
    </xf>
    <xf numFmtId="0" fontId="12" fillId="0" borderId="18" xfId="0" quotePrefix="1" applyFont="1" applyFill="1" applyBorder="1" applyAlignment="1">
      <alignment horizontal="center" vertical="center"/>
    </xf>
    <xf numFmtId="0" fontId="20" fillId="0" borderId="0" xfId="0" applyFont="1" applyBorder="1" applyAlignment="1">
      <alignment horizontal="center" vertical="center"/>
    </xf>
    <xf numFmtId="0" fontId="83" fillId="0" borderId="0" xfId="0" applyFont="1" applyAlignment="1">
      <alignment horizontal="center" vertical="center"/>
    </xf>
    <xf numFmtId="0" fontId="12" fillId="0" borderId="24" xfId="0" applyFont="1" applyBorder="1" applyAlignment="1">
      <alignment horizontal="center" vertical="center"/>
    </xf>
    <xf numFmtId="0" fontId="12" fillId="0" borderId="24" xfId="0" applyFont="1" applyBorder="1" applyAlignment="1">
      <alignment horizontal="left" vertical="center"/>
    </xf>
    <xf numFmtId="14" fontId="12" fillId="0" borderId="24" xfId="0" applyNumberFormat="1" applyFont="1" applyBorder="1" applyAlignment="1">
      <alignment horizontal="center" vertical="center"/>
    </xf>
    <xf numFmtId="0" fontId="12" fillId="0" borderId="18" xfId="0" applyFont="1" applyBorder="1" applyAlignment="1">
      <alignment horizontal="center" vertical="center"/>
    </xf>
    <xf numFmtId="14" fontId="12" fillId="0" borderId="18" xfId="0" applyNumberFormat="1" applyFont="1" applyBorder="1" applyAlignment="1">
      <alignment horizontal="center" vertical="center"/>
    </xf>
    <xf numFmtId="14" fontId="12" fillId="0" borderId="18" xfId="0" quotePrefix="1" applyNumberFormat="1" applyFont="1" applyFill="1" applyBorder="1" applyAlignment="1">
      <alignment horizontal="center" vertical="center"/>
    </xf>
    <xf numFmtId="14" fontId="12" fillId="0" borderId="18" xfId="0" applyNumberFormat="1" applyFont="1" applyFill="1" applyBorder="1" applyAlignment="1">
      <alignment horizontal="center" vertical="center"/>
    </xf>
    <xf numFmtId="0" fontId="83" fillId="0" borderId="0" xfId="0" applyFont="1" applyFill="1" applyAlignment="1">
      <alignment horizontal="center" vertical="center"/>
    </xf>
    <xf numFmtId="0" fontId="83" fillId="0" borderId="0" xfId="0" applyFont="1" applyAlignment="1">
      <alignment vertical="center"/>
    </xf>
    <xf numFmtId="0" fontId="15" fillId="0" borderId="0" xfId="548" applyFont="1" applyAlignment="1">
      <alignment vertical="center"/>
    </xf>
    <xf numFmtId="0" fontId="15" fillId="0" borderId="0" xfId="548" applyFont="1" applyBorder="1" applyAlignment="1">
      <alignment vertical="center"/>
    </xf>
    <xf numFmtId="0" fontId="7" fillId="0" borderId="64" xfId="0" applyFont="1" applyBorder="1" applyAlignment="1">
      <alignment vertical="center"/>
    </xf>
    <xf numFmtId="0" fontId="7" fillId="0" borderId="24" xfId="0" applyFont="1" applyBorder="1" applyAlignment="1">
      <alignment vertical="center"/>
    </xf>
    <xf numFmtId="0" fontId="7" fillId="0" borderId="21" xfId="0" applyFont="1" applyBorder="1" applyAlignment="1">
      <alignment vertical="center"/>
    </xf>
    <xf numFmtId="0" fontId="6" fillId="0" borderId="26" xfId="0" applyFont="1" applyBorder="1" applyAlignment="1">
      <alignment vertical="center"/>
    </xf>
    <xf numFmtId="0" fontId="6" fillId="0" borderId="18" xfId="0" applyFont="1" applyBorder="1" applyAlignment="1">
      <alignment vertical="center"/>
    </xf>
    <xf numFmtId="0" fontId="6" fillId="0" borderId="23" xfId="0" applyFont="1" applyBorder="1" applyAlignment="1">
      <alignment vertical="center"/>
    </xf>
    <xf numFmtId="0" fontId="9" fillId="0" borderId="0" xfId="0" applyFont="1" applyBorder="1" applyAlignment="1">
      <alignment vertical="center"/>
    </xf>
    <xf numFmtId="0" fontId="83" fillId="0" borderId="0" xfId="0" applyFont="1" applyBorder="1" applyAlignment="1">
      <alignment vertical="center"/>
    </xf>
    <xf numFmtId="0" fontId="80" fillId="0" borderId="18" xfId="0" applyFont="1" applyBorder="1" applyAlignment="1">
      <alignment vertical="center"/>
    </xf>
    <xf numFmtId="0" fontId="6" fillId="0" borderId="0" xfId="0" applyFont="1" applyBorder="1" applyAlignment="1">
      <alignment vertical="center"/>
    </xf>
    <xf numFmtId="0" fontId="12" fillId="0" borderId="0" xfId="0" applyFont="1" applyBorder="1" applyAlignment="1">
      <alignment vertical="center"/>
    </xf>
    <xf numFmtId="0" fontId="16" fillId="0" borderId="0" xfId="0" applyFont="1" applyBorder="1" applyAlignment="1">
      <alignment vertical="center"/>
    </xf>
    <xf numFmtId="0" fontId="80" fillId="0" borderId="23" xfId="0" applyFont="1" applyBorder="1" applyAlignment="1">
      <alignment vertical="center"/>
    </xf>
    <xf numFmtId="0" fontId="6" fillId="0" borderId="63" xfId="0" applyFont="1" applyBorder="1" applyAlignment="1">
      <alignment vertical="center"/>
    </xf>
    <xf numFmtId="0" fontId="80" fillId="0" borderId="22" xfId="0" applyFont="1" applyBorder="1" applyAlignment="1">
      <alignment vertical="center"/>
    </xf>
    <xf numFmtId="0" fontId="80" fillId="0" borderId="19" xfId="0" applyFont="1" applyBorder="1" applyAlignment="1">
      <alignment vertical="center"/>
    </xf>
    <xf numFmtId="0" fontId="15" fillId="0" borderId="0" xfId="0" applyFont="1" applyBorder="1" applyAlignment="1">
      <alignment vertical="center"/>
    </xf>
    <xf numFmtId="0" fontId="20" fillId="0" borderId="0" xfId="0" applyFont="1" applyAlignment="1">
      <alignment vertical="center"/>
    </xf>
    <xf numFmtId="0" fontId="15" fillId="0" borderId="0" xfId="0" applyFont="1" applyFill="1" applyBorder="1" applyAlignment="1">
      <alignment vertical="center" wrapText="1"/>
    </xf>
    <xf numFmtId="0" fontId="9" fillId="39" borderId="23" xfId="0" applyFont="1" applyFill="1" applyBorder="1" applyAlignment="1">
      <alignment vertical="center" wrapText="1"/>
    </xf>
    <xf numFmtId="0" fontId="15" fillId="0" borderId="18" xfId="0" applyFont="1" applyFill="1" applyBorder="1" applyAlignment="1">
      <alignment vertical="center" wrapText="1"/>
    </xf>
    <xf numFmtId="0" fontId="83" fillId="0" borderId="0" xfId="0" applyFont="1" applyFill="1" applyAlignment="1">
      <alignment vertical="center"/>
    </xf>
    <xf numFmtId="14" fontId="12" fillId="0" borderId="0" xfId="0" applyNumberFormat="1" applyFont="1" applyFill="1" applyAlignment="1">
      <alignment vertical="center"/>
    </xf>
    <xf numFmtId="14" fontId="12" fillId="0" borderId="0" xfId="0" applyNumberFormat="1" applyFont="1" applyFill="1" applyAlignment="1">
      <alignment horizontal="center" vertical="center"/>
    </xf>
    <xf numFmtId="0" fontId="27" fillId="38" borderId="20" xfId="0" applyFont="1" applyFill="1" applyBorder="1" applyAlignment="1">
      <alignment horizontal="center" vertical="center"/>
    </xf>
    <xf numFmtId="0" fontId="9" fillId="38" borderId="20" xfId="0" applyFont="1" applyFill="1" applyBorder="1" applyAlignment="1">
      <alignment horizontal="center" vertical="center"/>
    </xf>
    <xf numFmtId="0" fontId="81" fillId="38" borderId="20" xfId="0" applyFont="1" applyFill="1" applyBorder="1" applyAlignment="1">
      <alignment horizontal="center" vertical="center"/>
    </xf>
    <xf numFmtId="14" fontId="81" fillId="38" borderId="20" xfId="0" applyNumberFormat="1" applyFont="1" applyFill="1" applyBorder="1" applyAlignment="1">
      <alignment horizontal="center" vertical="center"/>
    </xf>
    <xf numFmtId="0" fontId="0" fillId="0" borderId="0" xfId="0" applyBorder="1" applyAlignment="1"/>
    <xf numFmtId="14" fontId="27" fillId="0" borderId="0" xfId="0" applyNumberFormat="1" applyFont="1" applyFill="1" applyBorder="1" applyAlignment="1" applyProtection="1">
      <alignment horizontal="center" vertical="center"/>
    </xf>
    <xf numFmtId="0" fontId="80" fillId="0" borderId="0" xfId="0" applyNumberFormat="1" applyFont="1" applyAlignment="1">
      <alignment vertical="center"/>
    </xf>
    <xf numFmtId="0" fontId="12" fillId="0" borderId="18" xfId="0" applyNumberFormat="1" applyFont="1" applyBorder="1" applyAlignment="1">
      <alignment horizontal="left" vertical="center" wrapText="1"/>
    </xf>
    <xf numFmtId="10" fontId="24" fillId="27" borderId="20" xfId="428" applyNumberFormat="1" applyFont="1" applyFill="1" applyBorder="1" applyAlignment="1" applyProtection="1">
      <alignment horizontal="center" vertical="center" wrapText="1"/>
    </xf>
    <xf numFmtId="10" fontId="24" fillId="27" borderId="28" xfId="428" applyNumberFormat="1" applyFont="1" applyFill="1" applyBorder="1" applyAlignment="1" applyProtection="1">
      <alignment horizontal="center" vertical="center" wrapText="1"/>
    </xf>
    <xf numFmtId="0" fontId="12" fillId="0" borderId="21" xfId="0" applyNumberFormat="1" applyFont="1" applyBorder="1" applyAlignment="1">
      <alignment horizontal="left" vertical="center" wrapText="1"/>
    </xf>
    <xf numFmtId="0" fontId="12" fillId="0" borderId="18" xfId="0" applyNumberFormat="1" applyFont="1" applyBorder="1" applyAlignment="1">
      <alignment horizontal="center" vertical="center" wrapText="1"/>
    </xf>
    <xf numFmtId="10" fontId="12" fillId="0" borderId="18" xfId="0" applyNumberFormat="1" applyFont="1" applyBorder="1" applyAlignment="1">
      <alignment horizontal="center" vertical="center" wrapText="1"/>
    </xf>
    <xf numFmtId="0" fontId="12" fillId="31" borderId="18" xfId="0" applyNumberFormat="1" applyFont="1" applyFill="1" applyBorder="1" applyAlignment="1" applyProtection="1">
      <alignment horizontal="center" vertical="center" wrapText="1"/>
    </xf>
    <xf numFmtId="0" fontId="80" fillId="0" borderId="18" xfId="0" applyNumberFormat="1" applyFont="1" applyBorder="1" applyAlignment="1">
      <alignment vertical="center"/>
    </xf>
    <xf numFmtId="0" fontId="84" fillId="0" borderId="18" xfId="0" applyNumberFormat="1" applyFont="1" applyBorder="1" applyAlignment="1">
      <alignment horizontal="center" vertical="center" wrapText="1"/>
    </xf>
    <xf numFmtId="0" fontId="12" fillId="0" borderId="23" xfId="0" applyNumberFormat="1" applyFont="1" applyBorder="1" applyAlignment="1">
      <alignment horizontal="center" vertical="center" wrapText="1"/>
    </xf>
    <xf numFmtId="0" fontId="80" fillId="0" borderId="0" xfId="0" applyNumberFormat="1" applyFont="1" applyAlignment="1">
      <alignment horizontal="center" vertical="center"/>
    </xf>
    <xf numFmtId="0" fontId="80" fillId="0" borderId="0" xfId="0" applyNumberFormat="1" applyFont="1" applyAlignment="1">
      <alignment vertical="center" wrapText="1"/>
    </xf>
    <xf numFmtId="0" fontId="80" fillId="0" borderId="18" xfId="0" applyNumberFormat="1" applyFont="1" applyBorder="1" applyAlignment="1">
      <alignment horizontal="center" vertical="center"/>
    </xf>
    <xf numFmtId="0" fontId="84" fillId="0" borderId="0" xfId="0" applyNumberFormat="1" applyFont="1" applyAlignment="1">
      <alignment horizontal="left" vertical="center"/>
    </xf>
    <xf numFmtId="10" fontId="80" fillId="0" borderId="18" xfId="0" applyNumberFormat="1" applyFont="1" applyBorder="1" applyAlignment="1">
      <alignment horizontal="center" vertical="center"/>
    </xf>
    <xf numFmtId="9" fontId="80" fillId="0" borderId="18" xfId="0" applyNumberFormat="1" applyFont="1" applyBorder="1" applyAlignment="1">
      <alignment horizontal="center" vertical="center" wrapText="1"/>
    </xf>
    <xf numFmtId="0" fontId="84" fillId="39" borderId="18" xfId="0" applyNumberFormat="1" applyFont="1" applyFill="1" applyBorder="1" applyAlignment="1">
      <alignment vertical="center"/>
    </xf>
    <xf numFmtId="9" fontId="12" fillId="0" borderId="18" xfId="0" applyNumberFormat="1" applyFont="1" applyBorder="1" applyAlignment="1">
      <alignment horizontal="center" vertical="center" wrapText="1"/>
    </xf>
    <xf numFmtId="0" fontId="80" fillId="0" borderId="18" xfId="0" applyNumberFormat="1" applyFont="1" applyBorder="1" applyAlignment="1">
      <alignment vertical="center" wrapText="1"/>
    </xf>
    <xf numFmtId="0" fontId="12" fillId="0" borderId="0" xfId="0" applyNumberFormat="1" applyFont="1" applyBorder="1" applyAlignment="1">
      <alignment horizontal="left" vertical="center" wrapText="1"/>
    </xf>
    <xf numFmtId="0" fontId="12" fillId="0" borderId="0" xfId="0" applyNumberFormat="1" applyFont="1" applyBorder="1" applyAlignment="1">
      <alignment horizontal="center" vertical="center" wrapText="1"/>
    </xf>
    <xf numFmtId="0" fontId="12" fillId="0" borderId="0" xfId="0" applyNumberFormat="1" applyFont="1" applyBorder="1" applyAlignment="1">
      <alignment vertical="center" wrapText="1"/>
    </xf>
    <xf numFmtId="0" fontId="84" fillId="0" borderId="22" xfId="0" applyFont="1" applyBorder="1" applyAlignment="1">
      <alignment horizontal="center" vertical="center" wrapText="1"/>
    </xf>
    <xf numFmtId="0" fontId="80" fillId="0" borderId="22" xfId="0" applyFont="1" applyBorder="1" applyAlignment="1">
      <alignment horizontal="center" vertical="center" wrapText="1"/>
    </xf>
    <xf numFmtId="0" fontId="0" fillId="0" borderId="0" xfId="0" applyFill="1" applyAlignment="1">
      <alignment vertical="center"/>
    </xf>
    <xf numFmtId="0" fontId="3" fillId="0" borderId="0" xfId="516" applyFont="1" applyAlignment="1" applyProtection="1">
      <alignment vertical="center"/>
    </xf>
    <xf numFmtId="0" fontId="13" fillId="0" borderId="0" xfId="0" applyFont="1" applyAlignment="1" applyProtection="1">
      <alignment vertical="center"/>
    </xf>
    <xf numFmtId="0" fontId="22" fillId="0" borderId="0" xfId="0" applyFont="1" applyAlignment="1" applyProtection="1">
      <alignment vertical="center"/>
    </xf>
    <xf numFmtId="14" fontId="27" fillId="30" borderId="18" xfId="0" applyNumberFormat="1" applyFont="1" applyFill="1" applyBorder="1" applyAlignment="1" applyProtection="1">
      <alignment horizontal="center" vertical="center"/>
    </xf>
    <xf numFmtId="0" fontId="12" fillId="0" borderId="0" xfId="0" applyFont="1" applyAlignment="1" applyProtection="1">
      <alignment vertical="center"/>
    </xf>
    <xf numFmtId="0" fontId="14" fillId="0" borderId="0" xfId="0" applyFont="1" applyAlignment="1" applyProtection="1">
      <alignment horizontal="center" vertical="center"/>
    </xf>
    <xf numFmtId="0" fontId="20" fillId="39" borderId="18" xfId="0" applyFont="1" applyFill="1" applyBorder="1" applyAlignment="1" applyProtection="1">
      <alignment horizontal="center" vertical="center"/>
    </xf>
    <xf numFmtId="9" fontId="12" fillId="0" borderId="0" xfId="0" applyNumberFormat="1" applyFont="1" applyBorder="1" applyAlignment="1">
      <alignment horizontal="center" vertical="center" wrapText="1"/>
    </xf>
    <xf numFmtId="0" fontId="0" fillId="39" borderId="0" xfId="0" applyFill="1" applyAlignment="1">
      <alignment horizontal="center" vertical="center"/>
    </xf>
    <xf numFmtId="10" fontId="12" fillId="0" borderId="0" xfId="0" applyNumberFormat="1" applyFont="1" applyBorder="1" applyAlignment="1">
      <alignment horizontal="center" vertical="center" wrapText="1"/>
    </xf>
    <xf numFmtId="0" fontId="20" fillId="0" borderId="0" xfId="0" applyFont="1" applyAlignment="1" applyProtection="1">
      <alignment horizontal="left"/>
    </xf>
    <xf numFmtId="10" fontId="20" fillId="0" borderId="20" xfId="0" applyNumberFormat="1" applyFont="1" applyFill="1" applyBorder="1" applyAlignment="1" applyProtection="1">
      <alignment horizontal="center" vertical="center"/>
    </xf>
    <xf numFmtId="0" fontId="24" fillId="0" borderId="20" xfId="0" applyFont="1" applyBorder="1" applyAlignment="1" applyProtection="1">
      <alignment horizontal="center" vertical="center" wrapText="1"/>
    </xf>
    <xf numFmtId="2" fontId="65" fillId="0" borderId="18" xfId="0" applyNumberFormat="1" applyFont="1" applyBorder="1" applyAlignment="1" applyProtection="1">
      <alignment horizontal="center" vertical="center"/>
    </xf>
    <xf numFmtId="2" fontId="65" fillId="27" borderId="18" xfId="0" applyNumberFormat="1" applyFont="1" applyFill="1" applyBorder="1" applyAlignment="1" applyProtection="1">
      <alignment horizontal="center" vertical="center"/>
    </xf>
    <xf numFmtId="0" fontId="15" fillId="0" borderId="0" xfId="516" applyFont="1" applyFill="1" applyAlignment="1" applyProtection="1">
      <alignment horizontal="left" vertical="center"/>
    </xf>
    <xf numFmtId="0" fontId="15" fillId="0" borderId="0" xfId="516" applyFont="1" applyFill="1" applyAlignment="1" applyProtection="1">
      <alignment horizontal="left"/>
    </xf>
    <xf numFmtId="0" fontId="84" fillId="0" borderId="19" xfId="0" applyFont="1" applyBorder="1" applyAlignment="1">
      <alignment horizontal="center" vertical="center" wrapText="1"/>
    </xf>
    <xf numFmtId="166" fontId="66" fillId="0" borderId="18" xfId="0" applyNumberFormat="1" applyFont="1" applyBorder="1" applyAlignment="1" applyProtection="1">
      <alignment horizontal="center"/>
    </xf>
    <xf numFmtId="166" fontId="66" fillId="0" borderId="18" xfId="428" applyNumberFormat="1" applyFont="1" applyFill="1" applyBorder="1" applyAlignment="1" applyProtection="1">
      <alignment horizontal="center"/>
    </xf>
    <xf numFmtId="166" fontId="66" fillId="0" borderId="18" xfId="428" applyNumberFormat="1" applyFont="1" applyBorder="1" applyAlignment="1" applyProtection="1">
      <alignment horizontal="center"/>
    </xf>
    <xf numFmtId="0" fontId="12" fillId="0" borderId="50" xfId="0" applyNumberFormat="1" applyFont="1" applyFill="1" applyBorder="1" applyAlignment="1" applyProtection="1">
      <alignment horizontal="center" vertical="center"/>
    </xf>
    <xf numFmtId="0" fontId="55" fillId="0" borderId="0" xfId="0" applyFont="1" applyAlignment="1"/>
    <xf numFmtId="0" fontId="86" fillId="0" borderId="0" xfId="0" applyFont="1" applyFill="1" applyProtection="1"/>
    <xf numFmtId="0" fontId="84" fillId="0" borderId="26" xfId="0" applyFont="1" applyBorder="1" applyAlignment="1">
      <alignment vertical="center" wrapText="1"/>
    </xf>
    <xf numFmtId="0" fontId="84" fillId="0" borderId="23" xfId="0" applyFont="1" applyBorder="1" applyAlignment="1">
      <alignment horizontal="right" vertical="center" wrapText="1"/>
    </xf>
    <xf numFmtId="0" fontId="19" fillId="0" borderId="0" xfId="0" applyFont="1" applyAlignment="1" applyProtection="1">
      <alignment horizontal="left" vertical="center"/>
    </xf>
    <xf numFmtId="0" fontId="14" fillId="39" borderId="0" xfId="0" applyFont="1" applyFill="1" applyAlignment="1">
      <alignment vertical="center"/>
    </xf>
    <xf numFmtId="0" fontId="9" fillId="0" borderId="23" xfId="548" applyFont="1" applyFill="1" applyBorder="1" applyAlignment="1">
      <alignment vertical="center"/>
    </xf>
    <xf numFmtId="0" fontId="14" fillId="0" borderId="0" xfId="0" applyFont="1" applyFill="1" applyAlignment="1" applyProtection="1">
      <alignment vertical="top"/>
    </xf>
    <xf numFmtId="0" fontId="6" fillId="72" borderId="18" xfId="0" applyFont="1" applyFill="1" applyBorder="1" applyAlignment="1">
      <alignment vertical="center"/>
    </xf>
    <xf numFmtId="0" fontId="12" fillId="72" borderId="18" xfId="0" applyFont="1" applyFill="1" applyBorder="1" applyAlignment="1">
      <alignment horizontal="left" vertical="center"/>
    </xf>
    <xf numFmtId="0" fontId="9" fillId="72" borderId="0" xfId="516" applyFont="1" applyFill="1" applyBorder="1" applyAlignment="1" applyProtection="1">
      <alignment horizontal="left" vertical="center"/>
    </xf>
    <xf numFmtId="0" fontId="16" fillId="0" borderId="0" xfId="0" applyFont="1" applyFill="1" applyBorder="1" applyAlignment="1" applyProtection="1">
      <alignment horizontal="center"/>
    </xf>
    <xf numFmtId="0" fontId="6" fillId="0" borderId="20" xfId="0" applyFont="1" applyBorder="1" applyAlignment="1" applyProtection="1">
      <alignment vertical="center" wrapText="1"/>
    </xf>
    <xf numFmtId="10" fontId="7" fillId="27" borderId="20" xfId="428" applyNumberFormat="1" applyFont="1" applyFill="1" applyBorder="1" applyAlignment="1" applyProtection="1">
      <alignment horizontal="center" vertical="center" wrapText="1"/>
    </xf>
    <xf numFmtId="1" fontId="65" fillId="74" borderId="18" xfId="0" applyNumberFormat="1" applyFont="1" applyFill="1" applyBorder="1" applyAlignment="1" applyProtection="1">
      <alignment horizontal="center" vertical="center"/>
    </xf>
    <xf numFmtId="1" fontId="7" fillId="33" borderId="20" xfId="0" applyNumberFormat="1" applyFont="1" applyFill="1" applyBorder="1" applyAlignment="1" applyProtection="1">
      <alignment horizontal="center" vertical="center"/>
      <protection locked="0"/>
    </xf>
    <xf numFmtId="0" fontId="6" fillId="73" borderId="0" xfId="548" applyFont="1" applyFill="1" applyAlignment="1">
      <alignment vertical="center"/>
    </xf>
    <xf numFmtId="1" fontId="7" fillId="40" borderId="20" xfId="0" applyNumberFormat="1" applyFont="1" applyFill="1" applyBorder="1" applyAlignment="1" applyProtection="1">
      <alignment horizontal="center" vertical="center" wrapText="1"/>
      <protection locked="0"/>
    </xf>
    <xf numFmtId="0" fontId="20" fillId="74" borderId="18" xfId="0" applyFont="1" applyFill="1" applyBorder="1" applyAlignment="1" applyProtection="1">
      <alignment horizontal="center" vertical="center"/>
    </xf>
    <xf numFmtId="9" fontId="20" fillId="74" borderId="18" xfId="0" applyNumberFormat="1" applyFont="1" applyFill="1" applyBorder="1" applyAlignment="1" applyProtection="1">
      <alignment horizontal="center" vertical="center"/>
    </xf>
    <xf numFmtId="0" fontId="24" fillId="75" borderId="20" xfId="428" applyNumberFormat="1" applyFont="1" applyFill="1" applyBorder="1" applyAlignment="1" applyProtection="1">
      <alignment horizontal="center" vertical="center" wrapText="1"/>
      <protection locked="0"/>
    </xf>
    <xf numFmtId="0" fontId="14" fillId="73" borderId="25" xfId="0" applyFont="1" applyFill="1" applyBorder="1" applyAlignment="1" applyProtection="1"/>
    <xf numFmtId="0" fontId="66" fillId="73" borderId="25" xfId="0" applyFont="1" applyFill="1" applyBorder="1" applyAlignment="1" applyProtection="1"/>
    <xf numFmtId="0" fontId="14" fillId="73" borderId="25" xfId="0" applyFont="1" applyFill="1" applyBorder="1" applyAlignment="1">
      <alignment horizontal="left" vertical="center"/>
    </xf>
    <xf numFmtId="0" fontId="12" fillId="73" borderId="25" xfId="0" applyFont="1" applyFill="1" applyBorder="1" applyAlignment="1">
      <alignment horizontal="left" vertical="center"/>
    </xf>
    <xf numFmtId="0" fontId="12" fillId="0" borderId="24" xfId="0" applyFont="1" applyBorder="1" applyAlignment="1">
      <alignment vertical="center"/>
    </xf>
    <xf numFmtId="0" fontId="6" fillId="0" borderId="18" xfId="0" applyFont="1" applyFill="1" applyBorder="1" applyAlignment="1">
      <alignment vertical="center"/>
    </xf>
    <xf numFmtId="0" fontId="2" fillId="0" borderId="0" xfId="516" applyFont="1" applyFill="1" applyBorder="1" applyAlignment="1" applyProtection="1">
      <alignment vertical="center"/>
    </xf>
    <xf numFmtId="0" fontId="14" fillId="0" borderId="0" xfId="0" applyFont="1" applyFill="1" applyAlignment="1" applyProtection="1"/>
    <xf numFmtId="0" fontId="14" fillId="0" borderId="0" xfId="0" applyFont="1" applyFill="1" applyBorder="1" applyAlignment="1" applyProtection="1"/>
    <xf numFmtId="14" fontId="14" fillId="0" borderId="0" xfId="0" applyNumberFormat="1" applyFont="1" applyFill="1" applyBorder="1" applyAlignment="1" applyProtection="1">
      <alignment vertical="center"/>
    </xf>
    <xf numFmtId="14" fontId="14" fillId="0" borderId="66" xfId="0" applyNumberFormat="1" applyFont="1" applyFill="1" applyBorder="1" applyAlignment="1" applyProtection="1">
      <alignment vertical="center"/>
    </xf>
    <xf numFmtId="0" fontId="2" fillId="0" borderId="0" xfId="516" applyNumberFormat="1" applyFont="1" applyFill="1" applyBorder="1" applyAlignment="1" applyProtection="1">
      <alignment vertical="center"/>
    </xf>
    <xf numFmtId="0" fontId="2" fillId="0" borderId="66" xfId="516" applyNumberFormat="1" applyFont="1" applyFill="1" applyBorder="1" applyAlignment="1" applyProtection="1">
      <alignment vertical="center"/>
    </xf>
    <xf numFmtId="0" fontId="2" fillId="0" borderId="0" xfId="0" applyFont="1" applyBorder="1" applyAlignment="1" applyProtection="1"/>
    <xf numFmtId="0" fontId="90" fillId="0" borderId="21" xfId="0" applyFont="1" applyBorder="1" applyAlignment="1">
      <alignment vertical="center"/>
    </xf>
    <xf numFmtId="1" fontId="20" fillId="0" borderId="0" xfId="0" applyNumberFormat="1" applyFont="1" applyBorder="1" applyAlignment="1">
      <alignment vertical="center"/>
    </xf>
    <xf numFmtId="0" fontId="15" fillId="0" borderId="0" xfId="0" applyFont="1" applyFill="1" applyBorder="1" applyAlignment="1">
      <alignment vertical="center"/>
    </xf>
    <xf numFmtId="14" fontId="2" fillId="0" borderId="0" xfId="516" applyNumberFormat="1" applyFont="1" applyFill="1" applyBorder="1" applyAlignment="1" applyProtection="1">
      <alignment vertical="center"/>
    </xf>
    <xf numFmtId="14" fontId="2" fillId="0" borderId="66" xfId="516" applyNumberFormat="1" applyFont="1" applyFill="1" applyBorder="1" applyAlignment="1" applyProtection="1">
      <alignment vertical="center"/>
    </xf>
    <xf numFmtId="0" fontId="20" fillId="0" borderId="0" xfId="0" quotePrefix="1" applyFont="1" applyProtection="1"/>
    <xf numFmtId="0" fontId="27" fillId="0" borderId="18" xfId="528" applyFont="1" applyFill="1" applyBorder="1" applyAlignment="1">
      <alignment vertical="center"/>
    </xf>
    <xf numFmtId="0" fontId="11" fillId="0" borderId="18" xfId="526" applyFont="1" applyBorder="1"/>
    <xf numFmtId="0" fontId="11" fillId="0" borderId="18" xfId="526" applyFont="1" applyFill="1" applyBorder="1"/>
    <xf numFmtId="0" fontId="0" fillId="0" borderId="18" xfId="0" applyBorder="1"/>
    <xf numFmtId="0" fontId="0" fillId="0" borderId="18" xfId="0" applyFill="1" applyBorder="1"/>
    <xf numFmtId="0" fontId="6" fillId="0" borderId="20" xfId="0" applyFont="1" applyFill="1" applyBorder="1" applyAlignment="1" applyProtection="1">
      <alignment vertical="center" wrapText="1"/>
    </xf>
    <xf numFmtId="0" fontId="14" fillId="0" borderId="23" xfId="0" applyFont="1" applyBorder="1" applyAlignment="1" applyProtection="1"/>
    <xf numFmtId="0" fontId="14" fillId="0" borderId="23" xfId="0" applyFont="1" applyFill="1" applyBorder="1" applyAlignment="1" applyProtection="1"/>
    <xf numFmtId="0" fontId="20" fillId="0" borderId="18" xfId="0" applyFont="1" applyBorder="1" applyAlignment="1">
      <alignment vertical="center"/>
    </xf>
    <xf numFmtId="0" fontId="12" fillId="0" borderId="18" xfId="0" applyFont="1" applyFill="1" applyBorder="1" applyAlignment="1">
      <alignment horizontal="center" vertical="center"/>
    </xf>
    <xf numFmtId="0" fontId="12" fillId="0" borderId="24" xfId="0" applyFont="1" applyFill="1" applyBorder="1" applyAlignment="1">
      <alignment horizontal="left" vertical="center"/>
    </xf>
    <xf numFmtId="0" fontId="20" fillId="74" borderId="18" xfId="0" applyNumberFormat="1" applyFont="1" applyFill="1" applyBorder="1" applyAlignment="1" applyProtection="1">
      <alignment horizontal="center" vertical="center"/>
    </xf>
    <xf numFmtId="0" fontId="20" fillId="27" borderId="18" xfId="0" applyNumberFormat="1"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36" xfId="0" applyFont="1" applyFill="1" applyBorder="1" applyAlignment="1" applyProtection="1">
      <alignment vertical="center"/>
    </xf>
    <xf numFmtId="0" fontId="15" fillId="33" borderId="18" xfId="0" applyFont="1" applyFill="1" applyBorder="1" applyAlignment="1" applyProtection="1">
      <alignment horizontal="center" vertical="center"/>
      <protection locked="0"/>
    </xf>
    <xf numFmtId="0" fontId="9" fillId="0" borderId="0" xfId="516" applyFont="1" applyFill="1" applyBorder="1" applyAlignment="1" applyProtection="1">
      <alignment vertical="center" wrapText="1"/>
    </xf>
    <xf numFmtId="0" fontId="15" fillId="33" borderId="18" xfId="0" applyFont="1" applyFill="1" applyBorder="1" applyAlignment="1" applyProtection="1">
      <alignment horizontal="center" vertical="center" wrapText="1"/>
      <protection locked="0"/>
    </xf>
    <xf numFmtId="0" fontId="113" fillId="77" borderId="18" xfId="0" applyFont="1" applyFill="1" applyBorder="1" applyAlignment="1" applyProtection="1">
      <alignment horizontal="center" vertical="center"/>
      <protection locked="0"/>
    </xf>
    <xf numFmtId="0" fontId="113" fillId="77" borderId="18" xfId="0" applyFont="1" applyFill="1" applyBorder="1" applyAlignment="1" applyProtection="1">
      <alignment horizontal="center" vertical="center" wrapText="1"/>
      <protection locked="0"/>
    </xf>
    <xf numFmtId="0" fontId="2" fillId="0" borderId="0" xfId="516" applyFont="1" applyFill="1" applyBorder="1" applyAlignment="1" applyProtection="1">
      <alignment vertical="center" wrapText="1"/>
    </xf>
    <xf numFmtId="1" fontId="24" fillId="33" borderId="29" xfId="0" applyNumberFormat="1" applyFont="1" applyFill="1" applyBorder="1" applyAlignment="1" applyProtection="1">
      <alignment horizontal="center" vertical="center"/>
      <protection locked="0"/>
    </xf>
    <xf numFmtId="0" fontId="88" fillId="0" borderId="69" xfId="0" quotePrefix="1" applyFont="1" applyBorder="1" applyAlignment="1" applyProtection="1">
      <alignment vertical="center" wrapText="1"/>
    </xf>
    <xf numFmtId="0" fontId="88" fillId="0" borderId="0" xfId="0" quotePrefix="1" applyFont="1" applyAlignment="1" applyProtection="1">
      <alignment vertical="center" wrapText="1"/>
    </xf>
    <xf numFmtId="0" fontId="15" fillId="0" borderId="18" xfId="516" applyFont="1" applyFill="1" applyBorder="1" applyAlignment="1" applyProtection="1">
      <alignment horizontal="center" vertical="center" wrapText="1"/>
    </xf>
    <xf numFmtId="0" fontId="113" fillId="77" borderId="18" xfId="0" applyFont="1" applyFill="1" applyBorder="1" applyAlignment="1" applyProtection="1">
      <alignment horizontal="center" vertical="center"/>
    </xf>
    <xf numFmtId="164" fontId="2" fillId="72" borderId="0" xfId="516" applyNumberFormat="1" applyFont="1" applyFill="1" applyBorder="1" applyAlignment="1" applyProtection="1">
      <alignment vertical="center"/>
    </xf>
    <xf numFmtId="0" fontId="15" fillId="0" borderId="0" xfId="0" applyFont="1" applyFill="1" applyBorder="1" applyAlignment="1" applyProtection="1">
      <alignment horizontal="center" vertical="center"/>
    </xf>
    <xf numFmtId="0" fontId="12" fillId="0" borderId="0" xfId="0" applyFont="1" applyFill="1" applyAlignment="1" applyProtection="1">
      <alignment vertical="center" wrapText="1"/>
    </xf>
    <xf numFmtId="0" fontId="16" fillId="0" borderId="0" xfId="0" quotePrefix="1" applyFont="1" applyFill="1" applyAlignment="1" applyProtection="1">
      <alignment horizontal="center" vertical="center"/>
    </xf>
    <xf numFmtId="0" fontId="12" fillId="0" borderId="18" xfId="0" applyFont="1" applyFill="1" applyBorder="1" applyAlignment="1">
      <alignment horizontal="center" vertical="center"/>
    </xf>
    <xf numFmtId="166" fontId="14" fillId="34" borderId="18" xfId="437" applyNumberFormat="1" applyFont="1" applyFill="1" applyBorder="1" applyAlignment="1" applyProtection="1">
      <alignment horizontal="center" vertical="center" wrapText="1"/>
    </xf>
    <xf numFmtId="166" fontId="66" fillId="0" borderId="0" xfId="428" applyNumberFormat="1" applyFont="1" applyFill="1" applyBorder="1" applyAlignment="1" applyProtection="1">
      <alignment horizontal="center" vertical="center" wrapText="1"/>
    </xf>
    <xf numFmtId="0" fontId="127" fillId="0" borderId="0" xfId="516" applyFont="1" applyFill="1" applyBorder="1" applyAlignment="1" applyProtection="1">
      <alignment horizontal="left" vertical="center" wrapText="1"/>
    </xf>
    <xf numFmtId="0" fontId="16" fillId="0" borderId="0" xfId="0" applyFont="1" applyProtection="1"/>
    <xf numFmtId="0" fontId="20" fillId="0" borderId="0" xfId="0" applyFont="1" applyProtection="1"/>
    <xf numFmtId="0" fontId="13" fillId="0" borderId="0" xfId="0" applyFont="1" applyProtection="1"/>
    <xf numFmtId="0" fontId="14" fillId="0" borderId="0" xfId="0" applyFont="1" applyProtection="1"/>
    <xf numFmtId="0" fontId="9" fillId="0" borderId="0" xfId="516" applyFont="1" applyFill="1" applyBorder="1" applyAlignment="1" applyProtection="1">
      <alignment horizontal="left" vertical="center" wrapText="1"/>
    </xf>
    <xf numFmtId="0" fontId="14" fillId="0" borderId="0" xfId="0" applyFont="1" applyFill="1" applyProtection="1"/>
    <xf numFmtId="0" fontId="15" fillId="33" borderId="18" xfId="0" applyFont="1" applyFill="1" applyBorder="1" applyAlignment="1" applyProtection="1">
      <alignment horizontal="center" vertical="center"/>
      <protection locked="0"/>
    </xf>
    <xf numFmtId="0" fontId="9" fillId="0" borderId="0" xfId="516" applyFont="1" applyFill="1" applyBorder="1" applyAlignment="1" applyProtection="1">
      <alignment vertical="center" wrapText="1"/>
    </xf>
    <xf numFmtId="0" fontId="113" fillId="77" borderId="18" xfId="0" applyFont="1" applyFill="1" applyBorder="1" applyAlignment="1" applyProtection="1">
      <alignment horizontal="center" vertical="center"/>
      <protection locked="0"/>
    </xf>
    <xf numFmtId="0" fontId="2" fillId="0" borderId="0" xfId="516" applyFont="1" applyFill="1" applyBorder="1" applyAlignment="1" applyProtection="1">
      <alignment vertical="center" wrapText="1"/>
    </xf>
    <xf numFmtId="164" fontId="2" fillId="72" borderId="0" xfId="516" applyNumberFormat="1" applyFont="1" applyFill="1" applyBorder="1" applyAlignment="1" applyProtection="1">
      <alignment vertical="center"/>
    </xf>
    <xf numFmtId="0" fontId="12" fillId="0" borderId="0" xfId="0" applyFont="1" applyFill="1" applyAlignment="1" applyProtection="1">
      <alignment vertical="center" wrapText="1"/>
    </xf>
    <xf numFmtId="0" fontId="120" fillId="0" borderId="18" xfId="0" applyFont="1" applyFill="1" applyBorder="1" applyAlignment="1" applyProtection="1">
      <alignment horizontal="center" vertical="center"/>
    </xf>
    <xf numFmtId="0" fontId="120" fillId="0" borderId="18" xfId="0" applyFont="1" applyBorder="1" applyAlignment="1" applyProtection="1">
      <alignment horizontal="center" vertical="center" wrapText="1"/>
    </xf>
    <xf numFmtId="0" fontId="120" fillId="0" borderId="18" xfId="0" applyFont="1" applyBorder="1" applyAlignment="1" applyProtection="1">
      <alignment horizontal="center" vertical="center"/>
    </xf>
    <xf numFmtId="0" fontId="120" fillId="0" borderId="26" xfId="0" applyFont="1" applyFill="1" applyBorder="1" applyAlignment="1" applyProtection="1">
      <alignment horizontal="center" vertical="center"/>
    </xf>
    <xf numFmtId="0" fontId="120" fillId="0" borderId="23" xfId="0" applyFont="1" applyBorder="1" applyAlignment="1" applyProtection="1">
      <alignment horizontal="center" vertical="center" wrapText="1"/>
    </xf>
    <xf numFmtId="0" fontId="16" fillId="0" borderId="0" xfId="0" applyFont="1" applyProtection="1"/>
    <xf numFmtId="0" fontId="20" fillId="0" borderId="18" xfId="0" applyFont="1" applyFill="1" applyBorder="1" applyAlignment="1" applyProtection="1">
      <alignment horizontal="center" vertical="center"/>
    </xf>
    <xf numFmtId="0" fontId="15" fillId="0" borderId="18" xfId="516" applyFont="1" applyFill="1" applyBorder="1" applyAlignment="1" applyProtection="1">
      <alignment horizontal="center" vertical="center" wrapText="1"/>
    </xf>
    <xf numFmtId="0" fontId="0" fillId="0" borderId="0" xfId="0"/>
    <xf numFmtId="0" fontId="20" fillId="0" borderId="0" xfId="0" applyFont="1" applyProtection="1"/>
    <xf numFmtId="0" fontId="20" fillId="0" borderId="0" xfId="0" applyFont="1" applyFill="1" applyProtection="1"/>
    <xf numFmtId="0" fontId="20" fillId="0" borderId="18" xfId="0" applyFont="1" applyFill="1" applyBorder="1" applyAlignment="1" applyProtection="1">
      <alignment horizontal="center" vertical="center"/>
    </xf>
    <xf numFmtId="0" fontId="20" fillId="0" borderId="0" xfId="0" applyFont="1" applyFill="1" applyAlignment="1" applyProtection="1">
      <alignment vertical="top"/>
    </xf>
    <xf numFmtId="0" fontId="112" fillId="0" borderId="0" xfId="0" applyFont="1" applyFill="1" applyAlignment="1" applyProtection="1">
      <alignment vertical="center" wrapText="1"/>
    </xf>
    <xf numFmtId="0" fontId="16" fillId="0" borderId="0" xfId="0" applyFont="1" applyAlignment="1" applyProtection="1">
      <alignment vertical="top"/>
    </xf>
    <xf numFmtId="0" fontId="6" fillId="0" borderId="0" xfId="0" applyFont="1" applyFill="1" applyAlignment="1" applyProtection="1">
      <alignment vertical="center" wrapText="1"/>
    </xf>
    <xf numFmtId="0" fontId="126" fillId="0" borderId="0" xfId="0" applyFont="1"/>
    <xf numFmtId="0" fontId="109" fillId="0" borderId="0" xfId="0" applyFont="1" applyAlignment="1">
      <alignment vertical="center"/>
    </xf>
    <xf numFmtId="0" fontId="12" fillId="0" borderId="0" xfId="0" applyFont="1" applyFill="1" applyAlignment="1">
      <alignment vertical="center"/>
    </xf>
    <xf numFmtId="0" fontId="12" fillId="0" borderId="18" xfId="0" applyFont="1" applyFill="1" applyBorder="1" applyAlignment="1">
      <alignment horizontal="left" vertical="center"/>
    </xf>
    <xf numFmtId="0" fontId="12" fillId="0" borderId="18" xfId="0" applyFont="1" applyFill="1" applyBorder="1" applyAlignment="1">
      <alignment horizontal="center" vertical="center"/>
    </xf>
    <xf numFmtId="14" fontId="12" fillId="0" borderId="18" xfId="0" applyNumberFormat="1" applyFont="1" applyFill="1" applyBorder="1" applyAlignment="1">
      <alignment horizontal="center" vertical="center"/>
    </xf>
    <xf numFmtId="0" fontId="15" fillId="0" borderId="0" xfId="548" applyFont="1" applyAlignment="1">
      <alignment vertical="center"/>
    </xf>
    <xf numFmtId="14" fontId="12" fillId="0" borderId="0" xfId="0" applyNumberFormat="1" applyFont="1" applyFill="1" applyAlignment="1">
      <alignment vertical="center"/>
    </xf>
    <xf numFmtId="0" fontId="6" fillId="72" borderId="18" xfId="0" applyFont="1" applyFill="1" applyBorder="1" applyAlignment="1">
      <alignment vertical="center"/>
    </xf>
    <xf numFmtId="0" fontId="15" fillId="0" borderId="18" xfId="0" applyFont="1" applyFill="1" applyBorder="1" applyAlignment="1" applyProtection="1">
      <alignment horizontal="center" vertical="center"/>
    </xf>
    <xf numFmtId="0" fontId="27" fillId="0" borderId="18" xfId="0" applyFont="1" applyFill="1" applyBorder="1" applyAlignment="1" applyProtection="1">
      <alignment horizontal="left" vertical="center" wrapText="1"/>
    </xf>
    <xf numFmtId="0" fontId="27" fillId="0" borderId="18" xfId="0" applyFont="1" applyFill="1" applyBorder="1" applyAlignment="1" applyProtection="1">
      <alignment horizontal="center" vertical="center" wrapText="1"/>
    </xf>
    <xf numFmtId="0" fontId="9" fillId="0" borderId="18" xfId="0" applyFont="1" applyFill="1" applyBorder="1" applyAlignment="1" applyProtection="1">
      <alignment horizontal="left" vertical="center" wrapText="1"/>
    </xf>
    <xf numFmtId="0" fontId="15" fillId="0" borderId="20" xfId="0" applyFont="1" applyFill="1" applyBorder="1" applyAlignment="1" applyProtection="1">
      <alignment textRotation="90" wrapText="1"/>
    </xf>
    <xf numFmtId="0" fontId="16" fillId="79" borderId="0" xfId="0" applyFont="1" applyFill="1" applyProtection="1"/>
    <xf numFmtId="0" fontId="20" fillId="0" borderId="18" xfId="0" applyFont="1" applyFill="1" applyBorder="1" applyAlignment="1" applyProtection="1">
      <alignment horizontal="center" vertical="center"/>
    </xf>
    <xf numFmtId="0" fontId="20" fillId="0" borderId="18" xfId="0" applyFont="1" applyBorder="1" applyAlignment="1" applyProtection="1">
      <alignment horizontal="center" vertical="center"/>
    </xf>
    <xf numFmtId="9" fontId="20" fillId="0" borderId="18" xfId="429" applyFont="1" applyBorder="1" applyAlignment="1" applyProtection="1">
      <alignment horizontal="center" vertical="center"/>
    </xf>
    <xf numFmtId="0" fontId="20" fillId="0" borderId="18" xfId="0" applyNumberFormat="1" applyFont="1" applyBorder="1" applyAlignment="1" applyProtection="1">
      <alignment horizontal="center" vertical="center"/>
    </xf>
    <xf numFmtId="0" fontId="20" fillId="0" borderId="18" xfId="429" applyNumberFormat="1" applyFont="1" applyBorder="1" applyAlignment="1" applyProtection="1">
      <alignment horizontal="center" vertical="center"/>
    </xf>
    <xf numFmtId="0" fontId="20" fillId="34" borderId="18" xfId="0" applyNumberFormat="1" applyFont="1" applyFill="1" applyBorder="1" applyAlignment="1" applyProtection="1">
      <alignment horizontal="center" vertical="center"/>
    </xf>
    <xf numFmtId="9" fontId="20" fillId="34" borderId="18" xfId="429" applyFont="1" applyFill="1" applyBorder="1" applyAlignment="1" applyProtection="1">
      <alignment horizontal="center" vertical="center"/>
    </xf>
    <xf numFmtId="0" fontId="20" fillId="34" borderId="18" xfId="429" applyNumberFormat="1" applyFont="1" applyFill="1" applyBorder="1" applyAlignment="1" applyProtection="1">
      <alignment horizontal="center" vertical="center"/>
    </xf>
    <xf numFmtId="0" fontId="20" fillId="34" borderId="18" xfId="0" applyFont="1" applyFill="1" applyBorder="1" applyAlignment="1" applyProtection="1">
      <alignment horizontal="center" vertical="center"/>
    </xf>
    <xf numFmtId="9" fontId="20" fillId="0" borderId="18" xfId="429" applyFont="1" applyFill="1" applyBorder="1" applyAlignment="1" applyProtection="1">
      <alignment horizontal="center" vertical="center"/>
    </xf>
    <xf numFmtId="9" fontId="20" fillId="34" borderId="18" xfId="429" applyNumberFormat="1" applyFont="1" applyFill="1" applyBorder="1" applyAlignment="1" applyProtection="1">
      <alignment horizontal="center" vertical="center"/>
    </xf>
    <xf numFmtId="0" fontId="20" fillId="74" borderId="18" xfId="0" applyFont="1" applyFill="1" applyBorder="1" applyAlignment="1" applyProtection="1">
      <alignment horizontal="center" vertical="center"/>
    </xf>
    <xf numFmtId="9" fontId="20" fillId="74" borderId="18" xfId="429" applyFont="1" applyFill="1" applyBorder="1" applyAlignment="1" applyProtection="1">
      <alignment horizontal="center" vertical="center"/>
    </xf>
    <xf numFmtId="0" fontId="15" fillId="33" borderId="32" xfId="0" applyNumberFormat="1" applyFont="1" applyFill="1" applyBorder="1" applyAlignment="1" applyProtection="1">
      <alignment horizontal="center" vertical="center"/>
      <protection locked="0"/>
    </xf>
    <xf numFmtId="10" fontId="15" fillId="0" borderId="35" xfId="0" applyNumberFormat="1" applyFont="1" applyFill="1" applyBorder="1" applyAlignment="1" applyProtection="1">
      <alignment horizontal="center" vertical="center"/>
    </xf>
    <xf numFmtId="0" fontId="15" fillId="33" borderId="29" xfId="0" applyNumberFormat="1" applyFont="1" applyFill="1" applyBorder="1" applyAlignment="1" applyProtection="1">
      <alignment horizontal="center" vertical="center"/>
      <protection locked="0"/>
    </xf>
    <xf numFmtId="0" fontId="15" fillId="0" borderId="20" xfId="0" applyFont="1" applyFill="1" applyBorder="1" applyAlignment="1" applyProtection="1">
      <alignment horizontal="center" textRotation="90" wrapText="1"/>
    </xf>
    <xf numFmtId="0" fontId="27" fillId="0" borderId="18" xfId="0" applyFont="1" applyFill="1" applyBorder="1" applyAlignment="1" applyProtection="1">
      <alignment vertical="center" wrapText="1"/>
    </xf>
    <xf numFmtId="14" fontId="12" fillId="0" borderId="18" xfId="0" applyNumberFormat="1" applyFont="1" applyFill="1" applyBorder="1" applyAlignment="1">
      <alignment horizontal="left"/>
    </xf>
    <xf numFmtId="0" fontId="12" fillId="0" borderId="18" xfId="0" applyFont="1" applyFill="1" applyBorder="1" applyAlignment="1">
      <alignment horizontal="center" vertical="center"/>
    </xf>
    <xf numFmtId="0" fontId="2" fillId="0" borderId="0" xfId="0" applyFont="1" applyFill="1" applyBorder="1" applyAlignment="1" applyProtection="1">
      <alignment horizontal="center" vertical="center" wrapText="1"/>
    </xf>
    <xf numFmtId="0" fontId="14" fillId="0" borderId="0" xfId="0" applyFont="1" applyFill="1" applyAlignment="1" applyProtection="1">
      <alignment vertical="center"/>
    </xf>
    <xf numFmtId="10" fontId="2" fillId="0" borderId="0" xfId="441" applyNumberFormat="1" applyFont="1" applyFill="1" applyBorder="1" applyAlignment="1" applyProtection="1">
      <alignment horizontal="center" vertical="center" wrapText="1"/>
    </xf>
    <xf numFmtId="164" fontId="2" fillId="0" borderId="0" xfId="441" applyNumberFormat="1" applyFont="1" applyFill="1" applyBorder="1" applyAlignment="1" applyProtection="1">
      <alignment horizontal="center" vertical="center" wrapText="1"/>
    </xf>
    <xf numFmtId="10" fontId="14" fillId="0" borderId="0" xfId="0" applyNumberFormat="1" applyFont="1" applyFill="1" applyAlignment="1" applyProtection="1">
      <alignment vertical="center"/>
    </xf>
    <xf numFmtId="0" fontId="12" fillId="0" borderId="18" xfId="0" applyFont="1" applyFill="1" applyBorder="1" applyAlignment="1">
      <alignment horizontal="center" vertical="center"/>
    </xf>
    <xf numFmtId="0" fontId="15" fillId="0" borderId="30" xfId="0" applyFont="1" applyFill="1" applyBorder="1" applyAlignment="1" applyProtection="1">
      <alignment horizontal="center" vertical="center" wrapText="1"/>
    </xf>
    <xf numFmtId="0" fontId="130" fillId="0" borderId="0" xfId="0" applyFont="1" applyFill="1" applyProtection="1"/>
    <xf numFmtId="0" fontId="20" fillId="0" borderId="18" xfId="0" quotePrefix="1" applyFont="1" applyFill="1" applyBorder="1" applyAlignment="1" applyProtection="1">
      <alignment horizontal="center" vertical="center"/>
    </xf>
    <xf numFmtId="0" fontId="16" fillId="0" borderId="0" xfId="0" applyFont="1" applyProtection="1"/>
    <xf numFmtId="0" fontId="16" fillId="0" borderId="0" xfId="0" applyFont="1" applyFill="1" applyProtection="1"/>
    <xf numFmtId="0" fontId="20" fillId="0" borderId="18" xfId="0" applyFont="1" applyFill="1" applyBorder="1" applyAlignment="1" applyProtection="1">
      <alignment horizontal="center" vertical="center"/>
    </xf>
    <xf numFmtId="0" fontId="29" fillId="0" borderId="0" xfId="0" applyFont="1" applyProtection="1"/>
    <xf numFmtId="0" fontId="20" fillId="0" borderId="18" xfId="0" applyNumberFormat="1" applyFont="1" applyFill="1" applyBorder="1" applyAlignment="1" applyProtection="1">
      <alignment horizontal="center" vertical="center"/>
    </xf>
    <xf numFmtId="1" fontId="24" fillId="35" borderId="20" xfId="0" applyNumberFormat="1" applyFont="1" applyFill="1" applyBorder="1" applyAlignment="1" applyProtection="1">
      <alignment horizontal="center" vertical="center"/>
    </xf>
    <xf numFmtId="9" fontId="20" fillId="0" borderId="18" xfId="0" applyNumberFormat="1" applyFont="1" applyFill="1" applyBorder="1" applyAlignment="1" applyProtection="1">
      <alignment horizontal="center" vertical="center"/>
    </xf>
    <xf numFmtId="0" fontId="0" fillId="0" borderId="18" xfId="0" applyNumberFormat="1" applyBorder="1" applyAlignment="1">
      <alignment horizontal="left" vertical="center"/>
    </xf>
    <xf numFmtId="0" fontId="0" fillId="0" borderId="18" xfId="0" applyNumberFormat="1" applyBorder="1" applyAlignment="1" applyProtection="1">
      <alignment horizontal="left" vertical="center"/>
    </xf>
    <xf numFmtId="0" fontId="0" fillId="0" borderId="18" xfId="0" applyNumberFormat="1" applyBorder="1" applyAlignment="1" applyProtection="1">
      <alignment horizontal="left" vertical="center" wrapText="1"/>
    </xf>
    <xf numFmtId="0" fontId="20" fillId="27" borderId="18" xfId="0" applyNumberFormat="1" applyFont="1" applyFill="1" applyBorder="1" applyAlignment="1" applyProtection="1">
      <alignment horizontal="center" vertical="center"/>
    </xf>
    <xf numFmtId="0" fontId="20" fillId="78" borderId="18" xfId="0" applyNumberFormat="1" applyFont="1" applyFill="1" applyBorder="1" applyAlignment="1" applyProtection="1">
      <alignment horizontal="center" vertical="center"/>
    </xf>
    <xf numFmtId="0" fontId="20" fillId="78" borderId="18" xfId="0" applyFont="1" applyFill="1" applyBorder="1" applyAlignment="1" applyProtection="1">
      <alignment horizontal="center" vertical="center"/>
    </xf>
    <xf numFmtId="9" fontId="20" fillId="78" borderId="18" xfId="0" applyNumberFormat="1" applyFont="1" applyFill="1" applyBorder="1" applyAlignment="1" applyProtection="1">
      <alignment horizontal="center" vertical="center"/>
    </xf>
    <xf numFmtId="0" fontId="20" fillId="78" borderId="18" xfId="0" quotePrefix="1" applyFont="1" applyFill="1" applyBorder="1" applyAlignment="1" applyProtection="1">
      <alignment horizontal="center" vertical="center"/>
    </xf>
    <xf numFmtId="9" fontId="20" fillId="0" borderId="18" xfId="429" applyFont="1" applyFill="1" applyBorder="1" applyAlignment="1" applyProtection="1">
      <alignment horizontal="center" vertical="center"/>
    </xf>
    <xf numFmtId="9" fontId="20" fillId="78" borderId="18" xfId="429" applyFont="1" applyFill="1" applyBorder="1" applyAlignment="1" applyProtection="1">
      <alignment horizontal="center" vertical="center"/>
    </xf>
    <xf numFmtId="0" fontId="55" fillId="0" borderId="0" xfId="0" applyFont="1" applyProtection="1"/>
    <xf numFmtId="0" fontId="15" fillId="34" borderId="93" xfId="0" applyFont="1" applyFill="1" applyBorder="1" applyAlignment="1" applyProtection="1">
      <alignment horizontal="center" vertical="center" wrapText="1"/>
    </xf>
    <xf numFmtId="0" fontId="15" fillId="34" borderId="93" xfId="0" applyFont="1" applyFill="1" applyBorder="1" applyAlignment="1" applyProtection="1">
      <alignment horizontal="center" vertical="top" wrapText="1"/>
    </xf>
    <xf numFmtId="0" fontId="61" fillId="0" borderId="0" xfId="0" applyFont="1" applyAlignment="1" applyProtection="1"/>
    <xf numFmtId="0" fontId="80" fillId="29" borderId="34" xfId="0" applyFont="1" applyFill="1" applyBorder="1" applyAlignment="1">
      <alignment horizontal="center" vertical="center" wrapText="1"/>
    </xf>
    <xf numFmtId="0" fontId="12" fillId="38" borderId="34" xfId="0" applyNumberFormat="1" applyFont="1" applyFill="1" applyBorder="1" applyAlignment="1" applyProtection="1">
      <alignment horizontal="center" vertical="center" wrapText="1"/>
    </xf>
    <xf numFmtId="0" fontId="80" fillId="38" borderId="34" xfId="0" applyFont="1" applyFill="1" applyBorder="1" applyAlignment="1">
      <alignment horizontal="center" vertical="center" wrapText="1"/>
    </xf>
    <xf numFmtId="0" fontId="15" fillId="0" borderId="69" xfId="0" applyNumberFormat="1" applyFont="1" applyFill="1" applyBorder="1" applyAlignment="1" applyProtection="1">
      <alignment horizontal="center" vertical="center"/>
    </xf>
    <xf numFmtId="0" fontId="15" fillId="0" borderId="46" xfId="0" applyNumberFormat="1" applyFont="1" applyFill="1" applyBorder="1" applyAlignment="1" applyProtection="1">
      <alignment horizontal="center" vertical="center"/>
    </xf>
    <xf numFmtId="0" fontId="12" fillId="0" borderId="98" xfId="0" applyFont="1" applyFill="1" applyBorder="1" applyAlignment="1" applyProtection="1">
      <alignment horizontal="center" vertical="center" wrapText="1"/>
    </xf>
    <xf numFmtId="0" fontId="12" fillId="0" borderId="62" xfId="0" applyNumberFormat="1" applyFont="1" applyFill="1" applyBorder="1" applyAlignment="1" applyProtection="1">
      <alignment horizontal="center" vertical="center" wrapText="1"/>
    </xf>
    <xf numFmtId="0" fontId="12" fillId="0" borderId="18" xfId="0" applyFont="1" applyFill="1" applyBorder="1" applyAlignment="1">
      <alignment horizontal="center" vertical="center"/>
    </xf>
    <xf numFmtId="1" fontId="12" fillId="0" borderId="0" xfId="0" quotePrefix="1" applyNumberFormat="1" applyFont="1" applyAlignment="1">
      <alignment vertical="center"/>
    </xf>
    <xf numFmtId="1" fontId="12" fillId="0" borderId="0" xfId="0" applyNumberFormat="1" applyFont="1" applyAlignment="1">
      <alignment vertical="center"/>
    </xf>
    <xf numFmtId="0" fontId="6" fillId="82" borderId="18" xfId="0" applyFont="1" applyFill="1" applyBorder="1" applyAlignment="1">
      <alignment vertical="center"/>
    </xf>
    <xf numFmtId="0" fontId="6" fillId="83" borderId="18" xfId="0" applyFont="1" applyFill="1" applyBorder="1" applyAlignment="1">
      <alignment vertical="center"/>
    </xf>
    <xf numFmtId="0" fontId="106" fillId="0" borderId="0" xfId="0" applyFont="1" applyAlignment="1">
      <alignment horizontal="left" vertical="center"/>
    </xf>
    <xf numFmtId="0" fontId="12" fillId="83" borderId="18" xfId="0" applyFont="1" applyFill="1" applyBorder="1"/>
    <xf numFmtId="0" fontId="6" fillId="80" borderId="18" xfId="0" applyFont="1" applyFill="1" applyBorder="1" applyAlignment="1">
      <alignment vertical="center"/>
    </xf>
    <xf numFmtId="0" fontId="12" fillId="0" borderId="0" xfId="0" applyFont="1" applyAlignment="1">
      <alignment vertical="center"/>
    </xf>
    <xf numFmtId="0" fontId="12" fillId="83" borderId="0" xfId="0" applyFont="1" applyFill="1"/>
    <xf numFmtId="0" fontId="12" fillId="0" borderId="0" xfId="0" applyFont="1"/>
    <xf numFmtId="0" fontId="12" fillId="0" borderId="18" xfId="0" applyFont="1" applyBorder="1"/>
    <xf numFmtId="1" fontId="12" fillId="0" borderId="0" xfId="0" applyNumberFormat="1" applyFont="1"/>
    <xf numFmtId="0" fontId="12" fillId="82" borderId="18" xfId="0" applyFont="1" applyFill="1" applyBorder="1"/>
    <xf numFmtId="0" fontId="15" fillId="81" borderId="20" xfId="0" applyNumberFormat="1" applyFont="1" applyFill="1" applyBorder="1" applyAlignment="1" applyProtection="1">
      <alignment horizontal="center" vertical="center"/>
    </xf>
    <xf numFmtId="10" fontId="15" fillId="0" borderId="49" xfId="0" applyNumberFormat="1" applyFont="1" applyFill="1" applyBorder="1" applyAlignment="1" applyProtection="1">
      <alignment horizontal="center" vertical="center"/>
    </xf>
    <xf numFmtId="10" fontId="15" fillId="0" borderId="97" xfId="0" applyNumberFormat="1" applyFont="1" applyFill="1" applyBorder="1" applyAlignment="1" applyProtection="1">
      <alignment horizontal="center" vertical="center"/>
    </xf>
    <xf numFmtId="2" fontId="65" fillId="78" borderId="18" xfId="0" applyNumberFormat="1" applyFont="1" applyFill="1" applyBorder="1" applyAlignment="1" applyProtection="1">
      <alignment horizontal="center" vertical="center"/>
    </xf>
    <xf numFmtId="0" fontId="12" fillId="0" borderId="18" xfId="0" applyFont="1" applyFill="1" applyBorder="1" applyAlignment="1">
      <alignment horizontal="center" vertical="center"/>
    </xf>
    <xf numFmtId="0" fontId="16" fillId="73" borderId="0" xfId="0" applyFont="1" applyFill="1" applyAlignment="1">
      <alignment vertical="center"/>
    </xf>
    <xf numFmtId="1" fontId="7" fillId="30" borderId="20" xfId="0" applyNumberFormat="1" applyFont="1" applyFill="1" applyBorder="1" applyAlignment="1" applyProtection="1">
      <alignment horizontal="center" vertical="center" wrapText="1"/>
    </xf>
    <xf numFmtId="0" fontId="20" fillId="0" borderId="18" xfId="429" applyNumberFormat="1" applyFont="1" applyFill="1" applyBorder="1" applyAlignment="1" applyProtection="1">
      <alignment horizontal="center" vertical="center"/>
    </xf>
    <xf numFmtId="49" fontId="20" fillId="78" borderId="18" xfId="0" applyNumberFormat="1" applyFont="1" applyFill="1" applyBorder="1" applyAlignment="1" applyProtection="1">
      <alignment horizontal="center" vertical="center"/>
    </xf>
    <xf numFmtId="1" fontId="65" fillId="78" borderId="18" xfId="0" applyNumberFormat="1" applyFont="1" applyFill="1" applyBorder="1" applyAlignment="1" applyProtection="1">
      <alignment horizontal="center" vertical="center"/>
    </xf>
    <xf numFmtId="0" fontId="20" fillId="78" borderId="18" xfId="429" applyNumberFormat="1" applyFont="1" applyFill="1" applyBorder="1" applyAlignment="1" applyProtection="1">
      <alignment horizontal="center" vertical="center"/>
    </xf>
    <xf numFmtId="0" fontId="12" fillId="0" borderId="18" xfId="0" applyFont="1" applyFill="1" applyBorder="1" applyAlignment="1">
      <alignment horizontal="center" vertical="center"/>
    </xf>
    <xf numFmtId="0" fontId="65" fillId="0" borderId="18" xfId="0" applyFont="1" applyFill="1" applyBorder="1" applyAlignment="1" applyProtection="1">
      <alignment horizontal="left" vertical="center"/>
    </xf>
    <xf numFmtId="164" fontId="6" fillId="0" borderId="29" xfId="429" applyNumberFormat="1" applyFont="1" applyFill="1" applyBorder="1" applyAlignment="1" applyProtection="1">
      <alignment horizontal="center" vertical="top" wrapText="1"/>
    </xf>
    <xf numFmtId="164" fontId="6" fillId="0" borderId="0" xfId="429" applyNumberFormat="1" applyFont="1" applyFill="1" applyBorder="1" applyAlignment="1" applyProtection="1">
      <alignment horizontal="center" vertical="center"/>
    </xf>
    <xf numFmtId="0" fontId="16" fillId="0" borderId="0" xfId="0" applyFont="1" applyProtection="1"/>
    <xf numFmtId="0" fontId="16" fillId="0" borderId="0" xfId="0" applyFont="1" applyFill="1" applyProtection="1"/>
    <xf numFmtId="0" fontId="16" fillId="0" borderId="0" xfId="0" applyFont="1" applyAlignment="1" applyProtection="1">
      <alignment horizontal="center" vertical="center"/>
    </xf>
    <xf numFmtId="0" fontId="16" fillId="0" borderId="0" xfId="0" applyFont="1" applyFill="1" applyAlignment="1" applyProtection="1">
      <alignment horizontal="center" vertical="center"/>
    </xf>
    <xf numFmtId="164" fontId="6" fillId="84" borderId="27" xfId="429" applyNumberFormat="1" applyFont="1" applyFill="1" applyBorder="1" applyAlignment="1" applyProtection="1">
      <alignment horizontal="center" vertical="center"/>
    </xf>
    <xf numFmtId="9" fontId="6" fillId="84" borderId="20" xfId="429" applyFont="1" applyFill="1" applyBorder="1" applyAlignment="1" applyProtection="1">
      <alignment horizontal="center" vertical="center"/>
    </xf>
    <xf numFmtId="164" fontId="6" fillId="85" borderId="70" xfId="429" applyNumberFormat="1" applyFont="1" applyFill="1" applyBorder="1" applyAlignment="1" applyProtection="1">
      <alignment horizontal="center" vertical="center"/>
    </xf>
    <xf numFmtId="164" fontId="6" fillId="85" borderId="28" xfId="429" applyNumberFormat="1" applyFont="1" applyFill="1" applyBorder="1" applyAlignment="1" applyProtection="1">
      <alignment horizontal="center" vertical="center"/>
    </xf>
    <xf numFmtId="164" fontId="6" fillId="0" borderId="27" xfId="429" applyNumberFormat="1" applyFont="1" applyFill="1" applyBorder="1" applyAlignment="1" applyProtection="1">
      <alignment horizontal="center" vertical="center"/>
    </xf>
    <xf numFmtId="164" fontId="6" fillId="87" borderId="32" xfId="429" applyNumberFormat="1" applyFont="1" applyFill="1" applyBorder="1" applyAlignment="1" applyProtection="1">
      <alignment horizontal="center" vertical="center"/>
    </xf>
    <xf numFmtId="164" fontId="6" fillId="87" borderId="29" xfId="429" applyNumberFormat="1" applyFont="1" applyFill="1" applyBorder="1" applyAlignment="1" applyProtection="1">
      <alignment horizontal="center" vertical="center"/>
    </xf>
    <xf numFmtId="164" fontId="6" fillId="87" borderId="27" xfId="429" applyNumberFormat="1" applyFont="1" applyFill="1" applyBorder="1" applyAlignment="1" applyProtection="1">
      <alignment horizontal="center" vertical="center"/>
    </xf>
    <xf numFmtId="164" fontId="6" fillId="87" borderId="20" xfId="429" applyNumberFormat="1" applyFont="1" applyFill="1" applyBorder="1" applyAlignment="1" applyProtection="1">
      <alignment horizontal="center" vertical="center"/>
    </xf>
    <xf numFmtId="0" fontId="19" fillId="0" borderId="0" xfId="0" applyFont="1" applyAlignment="1" applyProtection="1">
      <alignment vertical="center"/>
    </xf>
    <xf numFmtId="0" fontId="12" fillId="0" borderId="18" xfId="0" applyFont="1" applyFill="1" applyBorder="1" applyAlignment="1">
      <alignment horizontal="center" vertical="center"/>
    </xf>
    <xf numFmtId="0" fontId="12" fillId="0" borderId="23" xfId="0" applyFont="1" applyBorder="1" applyAlignment="1">
      <alignment horizontal="left" vertical="center"/>
    </xf>
    <xf numFmtId="0" fontId="12" fillId="0" borderId="26" xfId="0" applyFont="1" applyFill="1" applyBorder="1" applyAlignment="1">
      <alignment horizontal="left" vertical="center"/>
    </xf>
    <xf numFmtId="0" fontId="12" fillId="72" borderId="23" xfId="0" applyFont="1" applyFill="1" applyBorder="1" applyAlignment="1">
      <alignment horizontal="left" vertical="center"/>
    </xf>
    <xf numFmtId="0" fontId="12" fillId="0" borderId="23" xfId="0" applyFont="1" applyFill="1" applyBorder="1" applyAlignment="1">
      <alignment horizontal="left" vertical="center"/>
    </xf>
    <xf numFmtId="2" fontId="65" fillId="0" borderId="18" xfId="0" applyNumberFormat="1" applyFont="1" applyFill="1" applyBorder="1" applyAlignment="1" applyProtection="1">
      <alignment horizontal="center" vertical="center"/>
    </xf>
    <xf numFmtId="0" fontId="20" fillId="74" borderId="18" xfId="0" quotePrefix="1" applyFont="1" applyFill="1" applyBorder="1" applyAlignment="1" applyProtection="1">
      <alignment horizontal="center" vertical="center"/>
    </xf>
    <xf numFmtId="0" fontId="20" fillId="88" borderId="18" xfId="0" applyNumberFormat="1" applyFont="1" applyFill="1" applyBorder="1" applyAlignment="1" applyProtection="1">
      <alignment horizontal="center" vertical="center"/>
    </xf>
    <xf numFmtId="0" fontId="9" fillId="0" borderId="18" xfId="0" applyFont="1" applyFill="1" applyBorder="1" applyAlignment="1" applyProtection="1">
      <alignment horizontal="left" vertical="center" wrapText="1"/>
    </xf>
    <xf numFmtId="0" fontId="123" fillId="77" borderId="18" xfId="0" applyFont="1" applyFill="1" applyBorder="1" applyAlignment="1" applyProtection="1">
      <alignment horizontal="left" vertical="center" wrapText="1"/>
    </xf>
    <xf numFmtId="0" fontId="9" fillId="0" borderId="18" xfId="516" applyFont="1" applyFill="1" applyBorder="1" applyAlignment="1" applyProtection="1">
      <alignment horizontal="left" vertical="center" wrapText="1"/>
    </xf>
    <xf numFmtId="0" fontId="9" fillId="0" borderId="23" xfId="516" applyFont="1" applyFill="1" applyBorder="1" applyAlignment="1" applyProtection="1">
      <alignment horizontal="left" vertical="center" wrapText="1"/>
    </xf>
    <xf numFmtId="0" fontId="2" fillId="33" borderId="23" xfId="516" applyFont="1" applyFill="1" applyBorder="1" applyAlignment="1" applyProtection="1">
      <alignment horizontal="center" vertical="center"/>
      <protection locked="0"/>
    </xf>
    <xf numFmtId="0" fontId="2" fillId="33" borderId="25" xfId="516" applyFont="1" applyFill="1" applyBorder="1" applyAlignment="1" applyProtection="1">
      <alignment horizontal="center" vertical="center"/>
      <protection locked="0"/>
    </xf>
    <xf numFmtId="0" fontId="2" fillId="33" borderId="26" xfId="516" applyFont="1" applyFill="1" applyBorder="1" applyAlignment="1" applyProtection="1">
      <alignment horizontal="center" vertical="center"/>
      <protection locked="0"/>
    </xf>
    <xf numFmtId="0" fontId="112" fillId="0" borderId="72" xfId="0" applyFont="1" applyBorder="1" applyAlignment="1" applyProtection="1">
      <alignment horizontal="left" vertical="center" wrapText="1"/>
    </xf>
    <xf numFmtId="0" fontId="112" fillId="0" borderId="72" xfId="0" applyFont="1" applyBorder="1" applyAlignment="1" applyProtection="1">
      <alignment horizontal="left" vertical="center"/>
    </xf>
    <xf numFmtId="0" fontId="9" fillId="0" borderId="23"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26" xfId="0" applyFont="1" applyBorder="1" applyAlignment="1" applyProtection="1">
      <alignment horizontal="center" vertical="center"/>
    </xf>
    <xf numFmtId="0" fontId="13" fillId="0" borderId="19" xfId="0" applyFont="1" applyFill="1" applyBorder="1" applyAlignment="1" applyProtection="1">
      <alignment horizontal="center" vertical="center" wrapText="1"/>
    </xf>
    <xf numFmtId="0" fontId="13" fillId="0" borderId="63" xfId="0" applyFont="1" applyFill="1" applyBorder="1" applyAlignment="1" applyProtection="1">
      <alignment horizontal="center" vertical="center" wrapText="1"/>
    </xf>
    <xf numFmtId="0" fontId="13" fillId="0" borderId="48" xfId="0" applyFont="1" applyFill="1" applyBorder="1" applyAlignment="1" applyProtection="1">
      <alignment horizontal="center" vertical="center" wrapText="1"/>
    </xf>
    <xf numFmtId="0" fontId="13" fillId="0" borderId="66" xfId="0" applyFont="1" applyFill="1" applyBorder="1" applyAlignment="1" applyProtection="1">
      <alignment horizontal="center" vertical="center" wrapText="1"/>
    </xf>
    <xf numFmtId="0" fontId="13" fillId="0" borderId="21" xfId="0" applyFont="1" applyFill="1" applyBorder="1" applyAlignment="1" applyProtection="1">
      <alignment horizontal="center" vertical="center" wrapText="1"/>
    </xf>
    <xf numFmtId="0" fontId="13" fillId="0" borderId="64" xfId="0" applyFont="1" applyFill="1" applyBorder="1" applyAlignment="1" applyProtection="1">
      <alignment horizontal="center" vertical="center" wrapText="1"/>
    </xf>
    <xf numFmtId="0" fontId="9" fillId="0" borderId="18" xfId="0" applyFont="1" applyBorder="1" applyAlignment="1" applyProtection="1">
      <alignment horizontal="center" vertical="center"/>
    </xf>
    <xf numFmtId="0" fontId="120" fillId="0" borderId="18" xfId="0" applyFont="1" applyBorder="1" applyAlignment="1" applyProtection="1">
      <alignment horizontal="center" vertical="center" wrapText="1"/>
    </xf>
    <xf numFmtId="0" fontId="114" fillId="0" borderId="18" xfId="0" applyFont="1" applyBorder="1" applyAlignment="1" applyProtection="1">
      <alignment horizontal="center" vertical="center" wrapText="1"/>
    </xf>
    <xf numFmtId="0" fontId="62" fillId="0" borderId="0" xfId="0" applyFont="1" applyFill="1" applyAlignment="1" applyProtection="1">
      <alignment horizontal="left" vertical="center" indent="8"/>
    </xf>
    <xf numFmtId="49" fontId="14" fillId="33" borderId="23" xfId="0" applyNumberFormat="1" applyFont="1" applyFill="1" applyBorder="1" applyAlignment="1" applyProtection="1">
      <alignment horizontal="left" vertical="center"/>
      <protection locked="0"/>
    </xf>
    <xf numFmtId="49" fontId="14" fillId="33" borderId="25" xfId="0" applyNumberFormat="1" applyFont="1" applyFill="1" applyBorder="1" applyAlignment="1" applyProtection="1">
      <alignment horizontal="left" vertical="center"/>
      <protection locked="0"/>
    </xf>
    <xf numFmtId="49" fontId="14" fillId="33" borderId="26" xfId="0" applyNumberFormat="1" applyFont="1" applyFill="1" applyBorder="1" applyAlignment="1" applyProtection="1">
      <alignment horizontal="left" vertical="center"/>
      <protection locked="0"/>
    </xf>
    <xf numFmtId="0" fontId="2" fillId="33" borderId="23" xfId="516" applyFont="1" applyFill="1" applyBorder="1" applyAlignment="1" applyProtection="1">
      <alignment vertical="center"/>
      <protection locked="0"/>
    </xf>
    <xf numFmtId="0" fontId="2" fillId="33" borderId="25" xfId="516" applyFont="1" applyFill="1" applyBorder="1" applyAlignment="1" applyProtection="1">
      <alignment vertical="center"/>
      <protection locked="0"/>
    </xf>
    <xf numFmtId="0" fontId="2" fillId="33" borderId="26" xfId="516" applyFont="1" applyFill="1" applyBorder="1" applyAlignment="1" applyProtection="1">
      <alignment vertical="center"/>
      <protection locked="0"/>
    </xf>
    <xf numFmtId="0" fontId="2" fillId="27" borderId="23" xfId="516" applyFont="1" applyFill="1" applyBorder="1" applyAlignment="1" applyProtection="1">
      <alignment horizontal="center" vertical="center"/>
    </xf>
    <xf numFmtId="0" fontId="2" fillId="27" borderId="25" xfId="516" applyFont="1" applyFill="1" applyBorder="1" applyAlignment="1" applyProtection="1">
      <alignment horizontal="center" vertical="center"/>
    </xf>
    <xf numFmtId="0" fontId="2" fillId="27" borderId="26" xfId="516" applyFont="1" applyFill="1" applyBorder="1" applyAlignment="1" applyProtection="1">
      <alignment horizontal="center" vertical="center"/>
    </xf>
    <xf numFmtId="0" fontId="2" fillId="0" borderId="23" xfId="516" applyFont="1" applyFill="1" applyBorder="1" applyAlignment="1" applyProtection="1">
      <alignment horizontal="center" vertical="center" wrapText="1"/>
    </xf>
    <xf numFmtId="0" fontId="2" fillId="0" borderId="25" xfId="516" applyFont="1" applyFill="1" applyBorder="1" applyAlignment="1" applyProtection="1">
      <alignment horizontal="center" vertical="center" wrapText="1"/>
    </xf>
    <xf numFmtId="0" fontId="2" fillId="0" borderId="26" xfId="516" applyFont="1" applyFill="1" applyBorder="1" applyAlignment="1" applyProtection="1">
      <alignment horizontal="center" vertical="center" wrapText="1"/>
    </xf>
    <xf numFmtId="0" fontId="2" fillId="0" borderId="23" xfId="516" applyFont="1" applyBorder="1" applyAlignment="1" applyProtection="1">
      <alignment horizontal="center" vertical="center"/>
    </xf>
    <xf numFmtId="0" fontId="2" fillId="0" borderId="25" xfId="516" applyFont="1" applyBorder="1" applyAlignment="1" applyProtection="1">
      <alignment horizontal="center" vertical="center"/>
    </xf>
    <xf numFmtId="0" fontId="2" fillId="0" borderId="26" xfId="516" applyFont="1" applyBorder="1" applyAlignment="1" applyProtection="1">
      <alignment horizontal="center" vertical="center"/>
    </xf>
    <xf numFmtId="164" fontId="2" fillId="33" borderId="23" xfId="516" applyNumberFormat="1" applyFont="1" applyFill="1" applyBorder="1" applyAlignment="1" applyProtection="1">
      <alignment horizontal="center" vertical="center"/>
      <protection locked="0"/>
    </xf>
    <xf numFmtId="164" fontId="2" fillId="33" borderId="25" xfId="516" applyNumberFormat="1" applyFont="1" applyFill="1" applyBorder="1" applyAlignment="1" applyProtection="1">
      <alignment horizontal="center" vertical="center"/>
      <protection locked="0"/>
    </xf>
    <xf numFmtId="164" fontId="2" fillId="33" borderId="26" xfId="516" applyNumberFormat="1" applyFont="1" applyFill="1" applyBorder="1" applyAlignment="1" applyProtection="1">
      <alignment horizontal="center" vertical="center"/>
      <protection locked="0"/>
    </xf>
    <xf numFmtId="0" fontId="2" fillId="0" borderId="23" xfId="516" applyFont="1" applyFill="1" applyBorder="1" applyAlignment="1" applyProtection="1">
      <alignment horizontal="left" vertical="center"/>
    </xf>
    <xf numFmtId="0" fontId="2" fillId="0" borderId="25" xfId="516" applyFont="1" applyFill="1" applyBorder="1" applyAlignment="1" applyProtection="1">
      <alignment horizontal="left" vertical="center"/>
    </xf>
    <xf numFmtId="0" fontId="2" fillId="0" borderId="26" xfId="516" applyFont="1" applyFill="1" applyBorder="1" applyAlignment="1" applyProtection="1">
      <alignment horizontal="left" vertical="center"/>
    </xf>
    <xf numFmtId="14" fontId="2" fillId="33" borderId="25" xfId="516" applyNumberFormat="1" applyFont="1" applyFill="1" applyBorder="1" applyAlignment="1" applyProtection="1">
      <alignment horizontal="center" vertical="center"/>
      <protection locked="0"/>
    </xf>
    <xf numFmtId="14" fontId="2" fillId="33" borderId="26" xfId="516" applyNumberFormat="1" applyFont="1" applyFill="1" applyBorder="1" applyAlignment="1" applyProtection="1">
      <alignment horizontal="center" vertical="center"/>
      <protection locked="0"/>
    </xf>
    <xf numFmtId="14" fontId="14" fillId="0" borderId="25" xfId="0" applyNumberFormat="1" applyFont="1" applyFill="1" applyBorder="1" applyAlignment="1" applyProtection="1">
      <alignment horizontal="center" vertical="center"/>
    </xf>
    <xf numFmtId="14" fontId="14" fillId="0" borderId="26" xfId="0" applyNumberFormat="1" applyFont="1" applyFill="1" applyBorder="1" applyAlignment="1" applyProtection="1">
      <alignment horizontal="center" vertical="center"/>
    </xf>
    <xf numFmtId="0" fontId="2" fillId="0" borderId="23" xfId="516" applyNumberFormat="1" applyFont="1" applyFill="1" applyBorder="1" applyAlignment="1" applyProtection="1">
      <alignment horizontal="center" vertical="center"/>
    </xf>
    <xf numFmtId="0" fontId="2" fillId="0" borderId="25" xfId="516" applyNumberFormat="1" applyFont="1" applyFill="1" applyBorder="1" applyAlignment="1" applyProtection="1">
      <alignment horizontal="center" vertical="center"/>
    </xf>
    <xf numFmtId="0" fontId="2" fillId="0" borderId="26" xfId="516" applyNumberFormat="1" applyFont="1" applyFill="1" applyBorder="1" applyAlignment="1" applyProtection="1">
      <alignment horizontal="center" vertical="center"/>
    </xf>
    <xf numFmtId="0" fontId="14" fillId="27" borderId="23" xfId="0" applyFont="1" applyFill="1" applyBorder="1" applyAlignment="1" applyProtection="1">
      <alignment horizontal="center" vertical="center"/>
    </xf>
    <xf numFmtId="0" fontId="14" fillId="27" borderId="25" xfId="0" applyFont="1" applyFill="1" applyBorder="1" applyAlignment="1" applyProtection="1">
      <alignment horizontal="center" vertical="center"/>
    </xf>
    <xf numFmtId="0" fontId="14" fillId="27" borderId="26" xfId="0" applyFont="1" applyFill="1" applyBorder="1" applyAlignment="1" applyProtection="1">
      <alignment horizontal="center" vertical="center"/>
    </xf>
    <xf numFmtId="0" fontId="6" fillId="0" borderId="0" xfId="0" applyFont="1" applyFill="1" applyAlignment="1" applyProtection="1">
      <alignment horizontal="justify" vertical="top" wrapText="1"/>
    </xf>
    <xf numFmtId="0" fontId="128" fillId="0" borderId="0" xfId="583" applyFont="1" applyFill="1" applyAlignment="1" applyProtection="1">
      <alignment horizontal="left" vertical="top" wrapText="1"/>
      <protection locked="0"/>
    </xf>
    <xf numFmtId="0" fontId="116" fillId="0" borderId="0" xfId="583" applyFont="1" applyFill="1" applyAlignment="1" applyProtection="1">
      <alignment horizontal="left" vertical="center" wrapText="1"/>
      <protection locked="0"/>
    </xf>
    <xf numFmtId="0" fontId="9" fillId="0" borderId="18" xfId="0" applyFont="1" applyBorder="1" applyAlignment="1" applyProtection="1">
      <alignment horizontal="left" vertical="center"/>
    </xf>
    <xf numFmtId="0" fontId="122" fillId="0" borderId="18" xfId="0" applyFont="1" applyBorder="1" applyAlignment="1">
      <alignment horizontal="left" vertical="center"/>
    </xf>
    <xf numFmtId="0" fontId="9" fillId="0" borderId="18" xfId="0" applyFont="1" applyBorder="1" applyAlignment="1" applyProtection="1">
      <alignment horizontal="left" vertical="center" wrapText="1"/>
    </xf>
    <xf numFmtId="0" fontId="9" fillId="0" borderId="94" xfId="516" applyFont="1" applyFill="1" applyBorder="1" applyAlignment="1" applyProtection="1">
      <alignment horizontal="left" vertical="center" wrapText="1"/>
    </xf>
    <xf numFmtId="0" fontId="9" fillId="0" borderId="47" xfId="516" applyFont="1" applyFill="1" applyBorder="1" applyAlignment="1" applyProtection="1">
      <alignment horizontal="left" vertical="center" wrapText="1"/>
    </xf>
    <xf numFmtId="0" fontId="15" fillId="33" borderId="18" xfId="0" applyFont="1" applyFill="1" applyBorder="1" applyAlignment="1" applyProtection="1">
      <alignment horizontal="center" vertical="center"/>
      <protection locked="0"/>
    </xf>
    <xf numFmtId="0" fontId="15" fillId="0" borderId="94" xfId="0" applyFont="1" applyFill="1" applyBorder="1" applyAlignment="1" applyProtection="1">
      <alignment horizontal="center" vertical="center"/>
    </xf>
    <xf numFmtId="0" fontId="15" fillId="0" borderId="31" xfId="0" applyFont="1" applyFill="1" applyBorder="1" applyAlignment="1" applyProtection="1">
      <alignment horizontal="center" vertical="center"/>
    </xf>
    <xf numFmtId="0" fontId="15" fillId="0" borderId="47" xfId="0" applyFont="1" applyFill="1" applyBorder="1" applyAlignment="1" applyProtection="1">
      <alignment horizontal="center" vertical="center"/>
    </xf>
    <xf numFmtId="0" fontId="9" fillId="0" borderId="23" xfId="516" applyFont="1" applyFill="1" applyBorder="1" applyAlignment="1" applyProtection="1">
      <alignment horizontal="center" vertical="center" wrapText="1"/>
    </xf>
    <xf numFmtId="0" fontId="9" fillId="0" borderId="25" xfId="516" applyFont="1" applyFill="1" applyBorder="1" applyAlignment="1" applyProtection="1">
      <alignment horizontal="center" vertical="center" wrapText="1"/>
    </xf>
    <xf numFmtId="0" fontId="9" fillId="0" borderId="26" xfId="516" applyFont="1" applyFill="1" applyBorder="1" applyAlignment="1" applyProtection="1">
      <alignment horizontal="center" vertical="center" wrapText="1"/>
    </xf>
    <xf numFmtId="0" fontId="6" fillId="0" borderId="0" xfId="0" applyFont="1" applyFill="1" applyAlignment="1" applyProtection="1">
      <alignment horizontal="left" wrapText="1"/>
    </xf>
    <xf numFmtId="0" fontId="15" fillId="0" borderId="0" xfId="516" applyFont="1" applyFill="1" applyBorder="1" applyAlignment="1" applyProtection="1">
      <alignment horizontal="left" vertical="center" wrapText="1"/>
    </xf>
    <xf numFmtId="0" fontId="9" fillId="0" borderId="25" xfId="516" applyFont="1" applyFill="1" applyBorder="1" applyAlignment="1" applyProtection="1">
      <alignment horizontal="left" vertical="center" wrapText="1"/>
    </xf>
    <xf numFmtId="0" fontId="9" fillId="0" borderId="26" xfId="516" applyFont="1" applyFill="1" applyBorder="1" applyAlignment="1" applyProtection="1">
      <alignment horizontal="left" vertical="center" wrapText="1"/>
    </xf>
    <xf numFmtId="0" fontId="12" fillId="0" borderId="0" xfId="0" applyFont="1" applyAlignment="1" applyProtection="1">
      <alignment horizontal="left" wrapText="1"/>
    </xf>
    <xf numFmtId="0" fontId="12" fillId="0" borderId="0" xfId="0" applyFont="1" applyFill="1" applyAlignment="1" applyProtection="1">
      <alignment horizontal="left" vertical="top" wrapText="1"/>
    </xf>
    <xf numFmtId="0" fontId="12" fillId="0" borderId="0" xfId="0" applyFont="1" applyFill="1" applyAlignment="1" applyProtection="1">
      <alignment horizontal="left" vertical="top"/>
    </xf>
    <xf numFmtId="0" fontId="55" fillId="0" borderId="0" xfId="0" applyFont="1" applyAlignment="1" applyProtection="1">
      <alignment horizontal="left" vertical="center" wrapText="1"/>
    </xf>
    <xf numFmtId="164" fontId="6" fillId="87" borderId="33" xfId="429" applyNumberFormat="1" applyFont="1" applyFill="1" applyBorder="1" applyAlignment="1" applyProtection="1">
      <alignment horizontal="center" vertical="center"/>
    </xf>
    <xf numFmtId="164" fontId="6" fillId="87" borderId="70" xfId="429" applyNumberFormat="1" applyFont="1" applyFill="1" applyBorder="1" applyAlignment="1" applyProtection="1">
      <alignment horizontal="center" vertical="center"/>
    </xf>
    <xf numFmtId="164" fontId="6" fillId="87" borderId="71" xfId="429" applyNumberFormat="1" applyFont="1" applyFill="1" applyBorder="1" applyAlignment="1" applyProtection="1">
      <alignment horizontal="center" vertical="center"/>
    </xf>
    <xf numFmtId="164" fontId="6" fillId="87" borderId="32" xfId="429" applyNumberFormat="1" applyFont="1" applyFill="1" applyBorder="1" applyAlignment="1" applyProtection="1">
      <alignment horizontal="center" vertical="center"/>
    </xf>
    <xf numFmtId="164" fontId="6" fillId="0" borderId="20" xfId="429" applyNumberFormat="1" applyFont="1" applyFill="1" applyBorder="1" applyAlignment="1" applyProtection="1">
      <alignment horizontal="center" vertical="center"/>
    </xf>
    <xf numFmtId="164" fontId="6" fillId="84" borderId="33" xfId="429" applyNumberFormat="1" applyFont="1" applyFill="1" applyBorder="1" applyAlignment="1" applyProtection="1">
      <alignment horizontal="center" vertical="center"/>
    </xf>
    <xf numFmtId="164" fontId="6" fillId="84" borderId="70" xfId="429" applyNumberFormat="1" applyFont="1" applyFill="1" applyBorder="1" applyAlignment="1" applyProtection="1">
      <alignment horizontal="center" vertical="center"/>
    </xf>
    <xf numFmtId="164" fontId="6" fillId="84" borderId="69" xfId="429" applyNumberFormat="1" applyFont="1" applyFill="1" applyBorder="1" applyAlignment="1" applyProtection="1">
      <alignment horizontal="center" vertical="center"/>
    </xf>
    <xf numFmtId="164" fontId="6" fillId="84" borderId="36" xfId="429" applyNumberFormat="1" applyFont="1" applyFill="1" applyBorder="1" applyAlignment="1" applyProtection="1">
      <alignment horizontal="center" vertical="center"/>
    </xf>
    <xf numFmtId="164" fontId="6" fillId="86" borderId="68" xfId="429" applyNumberFormat="1" applyFont="1" applyFill="1" applyBorder="1" applyAlignment="1" applyProtection="1">
      <alignment horizontal="left" vertical="center" wrapText="1"/>
    </xf>
    <xf numFmtId="164" fontId="6" fillId="86" borderId="30" xfId="429" applyNumberFormat="1" applyFont="1" applyFill="1" applyBorder="1" applyAlignment="1" applyProtection="1">
      <alignment horizontal="left" vertical="center" wrapText="1"/>
    </xf>
    <xf numFmtId="164" fontId="6" fillId="86" borderId="27" xfId="429" applyNumberFormat="1" applyFont="1" applyFill="1" applyBorder="1" applyAlignment="1" applyProtection="1">
      <alignment horizontal="left" vertical="center" wrapText="1"/>
    </xf>
    <xf numFmtId="164" fontId="6" fillId="0" borderId="28" xfId="429" applyNumberFormat="1" applyFont="1" applyFill="1" applyBorder="1" applyAlignment="1" applyProtection="1">
      <alignment horizontal="center" wrapText="1"/>
    </xf>
    <xf numFmtId="164" fontId="6" fillId="0" borderId="34" xfId="429" applyNumberFormat="1" applyFont="1" applyFill="1" applyBorder="1" applyAlignment="1" applyProtection="1">
      <alignment horizontal="center" wrapText="1"/>
    </xf>
    <xf numFmtId="49" fontId="12" fillId="0" borderId="33" xfId="0" applyNumberFormat="1" applyFont="1" applyBorder="1" applyAlignment="1" applyProtection="1">
      <alignment horizontal="center" vertical="center" wrapText="1" readingOrder="1"/>
    </xf>
    <xf numFmtId="49" fontId="12" fillId="0" borderId="70" xfId="0" applyNumberFormat="1" applyFont="1" applyBorder="1" applyAlignment="1" applyProtection="1">
      <alignment horizontal="center" vertical="center" wrapText="1" readingOrder="1"/>
    </xf>
    <xf numFmtId="49" fontId="12" fillId="0" borderId="69" xfId="0" applyNumberFormat="1" applyFont="1" applyBorder="1" applyAlignment="1" applyProtection="1">
      <alignment horizontal="center" vertical="center" wrapText="1" readingOrder="1"/>
    </xf>
    <xf numFmtId="49" fontId="12" fillId="0" borderId="36" xfId="0" applyNumberFormat="1" applyFont="1" applyBorder="1" applyAlignment="1" applyProtection="1">
      <alignment horizontal="center" vertical="center" wrapText="1" readingOrder="1"/>
    </xf>
    <xf numFmtId="49" fontId="12" fillId="0" borderId="71" xfId="0" applyNumberFormat="1" applyFont="1" applyBorder="1" applyAlignment="1" applyProtection="1">
      <alignment horizontal="center" vertical="center" wrapText="1" readingOrder="1"/>
    </xf>
    <xf numFmtId="49" fontId="12" fillId="0" borderId="32" xfId="0" applyNumberFormat="1" applyFont="1" applyBorder="1" applyAlignment="1" applyProtection="1">
      <alignment horizontal="center" vertical="center" wrapText="1" readingOrder="1"/>
    </xf>
    <xf numFmtId="49" fontId="70" fillId="0" borderId="28" xfId="0" applyNumberFormat="1" applyFont="1" applyBorder="1" applyAlignment="1" applyProtection="1">
      <alignment horizontal="left" vertical="center" wrapText="1" readingOrder="1"/>
    </xf>
    <xf numFmtId="49" fontId="70" fillId="0" borderId="34" xfId="0" applyNumberFormat="1" applyFont="1" applyBorder="1" applyAlignment="1" applyProtection="1">
      <alignment horizontal="left" vertical="center" wrapText="1" readingOrder="1"/>
    </xf>
    <xf numFmtId="49" fontId="70" fillId="0" borderId="29" xfId="0" applyNumberFormat="1" applyFont="1" applyBorder="1" applyAlignment="1" applyProtection="1">
      <alignment horizontal="left" vertical="center" wrapText="1" readingOrder="1"/>
    </xf>
    <xf numFmtId="0" fontId="6" fillId="0" borderId="28" xfId="0" applyFont="1" applyBorder="1" applyAlignment="1" applyProtection="1">
      <alignment horizontal="left" vertical="center" wrapText="1" readingOrder="1"/>
    </xf>
    <xf numFmtId="0" fontId="6" fillId="0" borderId="34" xfId="0" applyFont="1" applyBorder="1" applyAlignment="1" applyProtection="1">
      <alignment horizontal="left" vertical="center" wrapText="1" readingOrder="1"/>
    </xf>
    <xf numFmtId="0" fontId="6" fillId="0" borderId="29" xfId="0" applyFont="1" applyBorder="1" applyAlignment="1" applyProtection="1">
      <alignment horizontal="left" vertical="center" wrapText="1" readingOrder="1"/>
    </xf>
    <xf numFmtId="0" fontId="12" fillId="0" borderId="33" xfId="0" quotePrefix="1" applyFont="1" applyBorder="1" applyAlignment="1" applyProtection="1">
      <alignment horizontal="left" vertical="center" wrapText="1" readingOrder="1"/>
    </xf>
    <xf numFmtId="0" fontId="12" fillId="0" borderId="70" xfId="0" applyFont="1" applyBorder="1" applyAlignment="1" applyProtection="1">
      <alignment horizontal="left" vertical="center" wrapText="1" readingOrder="1"/>
    </xf>
    <xf numFmtId="0" fontId="12" fillId="0" borderId="69" xfId="0" applyFont="1" applyBorder="1" applyAlignment="1" applyProtection="1">
      <alignment horizontal="left" vertical="center" wrapText="1" readingOrder="1"/>
    </xf>
    <xf numFmtId="0" fontId="12" fillId="0" borderId="36" xfId="0" applyFont="1" applyBorder="1" applyAlignment="1" applyProtection="1">
      <alignment horizontal="left" vertical="center" wrapText="1" readingOrder="1"/>
    </xf>
    <xf numFmtId="0" fontId="12" fillId="0" borderId="71" xfId="0" applyFont="1" applyBorder="1" applyAlignment="1" applyProtection="1">
      <alignment horizontal="left" vertical="center" wrapText="1" readingOrder="1"/>
    </xf>
    <xf numFmtId="0" fontId="12" fillId="0" borderId="32" xfId="0" applyFont="1" applyBorder="1" applyAlignment="1" applyProtection="1">
      <alignment horizontal="left" vertical="center" wrapText="1" readingOrder="1"/>
    </xf>
    <xf numFmtId="0" fontId="12" fillId="0" borderId="33" xfId="0" applyFont="1" applyBorder="1" applyAlignment="1" applyProtection="1">
      <alignment horizontal="left" vertical="center" wrapText="1" readingOrder="1"/>
    </xf>
    <xf numFmtId="0" fontId="70" fillId="0" borderId="28" xfId="0" applyFont="1" applyBorder="1" applyAlignment="1">
      <alignment horizontal="center" vertical="center" wrapText="1" readingOrder="1"/>
    </xf>
    <xf numFmtId="0" fontId="70" fillId="0" borderId="34" xfId="0" applyFont="1" applyBorder="1" applyAlignment="1">
      <alignment horizontal="center" vertical="center" wrapText="1" readingOrder="1"/>
    </xf>
    <xf numFmtId="0" fontId="70" fillId="0" borderId="29" xfId="0" applyFont="1" applyBorder="1" applyAlignment="1">
      <alignment horizontal="center" vertical="center" wrapText="1" readingOrder="1"/>
    </xf>
    <xf numFmtId="0" fontId="70" fillId="0" borderId="33" xfId="0" applyFont="1" applyBorder="1" applyAlignment="1" applyProtection="1">
      <alignment horizontal="center" vertical="center" wrapText="1" readingOrder="1"/>
    </xf>
    <xf numFmtId="0" fontId="70" fillId="0" borderId="70" xfId="0" applyFont="1" applyBorder="1" applyAlignment="1" applyProtection="1">
      <alignment horizontal="center" vertical="center" wrapText="1" readingOrder="1"/>
    </xf>
    <xf numFmtId="0" fontId="70" fillId="0" borderId="69" xfId="0" applyFont="1" applyBorder="1" applyAlignment="1" applyProtection="1">
      <alignment horizontal="center" vertical="center" wrapText="1" readingOrder="1"/>
    </xf>
    <xf numFmtId="0" fontId="70" fillId="0" borderId="36" xfId="0" applyFont="1" applyBorder="1" applyAlignment="1" applyProtection="1">
      <alignment horizontal="center" vertical="center" wrapText="1" readingOrder="1"/>
    </xf>
    <xf numFmtId="0" fontId="70" fillId="0" borderId="71" xfId="0" applyFont="1" applyBorder="1" applyAlignment="1" applyProtection="1">
      <alignment horizontal="center" vertical="center" wrapText="1" readingOrder="1"/>
    </xf>
    <xf numFmtId="0" fontId="70" fillId="0" borderId="32" xfId="0" applyFont="1" applyBorder="1" applyAlignment="1" applyProtection="1">
      <alignment horizontal="center" vertical="center" wrapText="1" readingOrder="1"/>
    </xf>
    <xf numFmtId="0" fontId="12" fillId="0" borderId="34" xfId="0" applyFont="1" applyBorder="1" applyAlignment="1" applyProtection="1">
      <alignment horizontal="left" vertical="center" wrapText="1" readingOrder="1"/>
    </xf>
    <xf numFmtId="0" fontId="12" fillId="0" borderId="29" xfId="0" applyFont="1" applyBorder="1" applyAlignment="1" applyProtection="1">
      <alignment horizontal="left" vertical="center" wrapText="1" readingOrder="1"/>
    </xf>
    <xf numFmtId="0" fontId="23" fillId="31" borderId="28" xfId="0" applyFont="1" applyFill="1" applyBorder="1" applyAlignment="1" applyProtection="1">
      <alignment horizontal="center" vertical="center" wrapText="1"/>
    </xf>
    <xf numFmtId="0" fontId="23" fillId="31" borderId="34" xfId="0" applyFont="1" applyFill="1" applyBorder="1" applyAlignment="1" applyProtection="1">
      <alignment horizontal="center" vertical="center" wrapText="1"/>
    </xf>
    <xf numFmtId="0" fontId="23" fillId="31" borderId="29" xfId="0" applyFont="1" applyFill="1" applyBorder="1" applyAlignment="1" applyProtection="1">
      <alignment horizontal="center" vertical="center" wrapText="1"/>
    </xf>
    <xf numFmtId="0" fontId="12" fillId="0" borderId="28" xfId="0" applyFont="1" applyFill="1" applyBorder="1" applyAlignment="1" applyProtection="1">
      <alignment horizontal="center" vertical="center" wrapText="1"/>
    </xf>
    <xf numFmtId="0" fontId="12" fillId="0" borderId="34" xfId="0" applyFont="1" applyFill="1" applyBorder="1" applyAlignment="1" applyProtection="1">
      <alignment horizontal="center" vertical="center" wrapText="1"/>
    </xf>
    <xf numFmtId="0" fontId="12" fillId="0" borderId="29" xfId="0" applyFont="1" applyFill="1" applyBorder="1" applyAlignment="1" applyProtection="1">
      <alignment horizontal="center" vertical="center" wrapText="1"/>
    </xf>
    <xf numFmtId="0" fontId="6" fillId="33" borderId="28" xfId="0" applyNumberFormat="1" applyFont="1" applyFill="1" applyBorder="1" applyAlignment="1" applyProtection="1">
      <alignment horizontal="left" vertical="center" wrapText="1"/>
      <protection locked="0"/>
    </xf>
    <xf numFmtId="0" fontId="7" fillId="33" borderId="20" xfId="0" applyFont="1" applyFill="1" applyBorder="1" applyAlignment="1" applyProtection="1">
      <alignment horizontal="left" vertical="center" wrapText="1"/>
      <protection locked="0"/>
    </xf>
    <xf numFmtId="0" fontId="6" fillId="33" borderId="28" xfId="0" quotePrefix="1" applyNumberFormat="1" applyFont="1" applyFill="1" applyBorder="1" applyAlignment="1" applyProtection="1">
      <alignment horizontal="left" vertical="center" wrapText="1"/>
      <protection locked="0"/>
    </xf>
    <xf numFmtId="1" fontId="24" fillId="33" borderId="28" xfId="0" applyNumberFormat="1" applyFont="1" applyFill="1" applyBorder="1" applyAlignment="1" applyProtection="1">
      <alignment horizontal="center" vertical="center"/>
      <protection locked="0"/>
    </xf>
    <xf numFmtId="1" fontId="24" fillId="33" borderId="34" xfId="0" applyNumberFormat="1" applyFont="1" applyFill="1" applyBorder="1" applyAlignment="1" applyProtection="1">
      <alignment horizontal="center" vertical="center"/>
      <protection locked="0"/>
    </xf>
    <xf numFmtId="1" fontId="24" fillId="33" borderId="29" xfId="0" applyNumberFormat="1" applyFont="1" applyFill="1" applyBorder="1" applyAlignment="1" applyProtection="1">
      <alignment horizontal="center" vertical="center"/>
      <protection locked="0"/>
    </xf>
    <xf numFmtId="0" fontId="70" fillId="0" borderId="28" xfId="0" applyFont="1" applyBorder="1" applyAlignment="1" applyProtection="1">
      <alignment horizontal="center" vertical="center" wrapText="1" readingOrder="1"/>
    </xf>
    <xf numFmtId="0" fontId="70" fillId="0" borderId="34" xfId="0" applyFont="1" applyBorder="1" applyAlignment="1" applyProtection="1">
      <alignment horizontal="center" vertical="center" wrapText="1" readingOrder="1"/>
    </xf>
    <xf numFmtId="0" fontId="70" fillId="0" borderId="29" xfId="0" applyFont="1" applyBorder="1" applyAlignment="1" applyProtection="1">
      <alignment horizontal="center" vertical="center" wrapText="1" readingOrder="1"/>
    </xf>
    <xf numFmtId="0" fontId="12" fillId="0" borderId="28" xfId="0" applyFont="1" applyBorder="1" applyAlignment="1" applyProtection="1">
      <alignment horizontal="left" vertical="center" wrapText="1" readingOrder="1"/>
    </xf>
    <xf numFmtId="0" fontId="12" fillId="0" borderId="20" xfId="0" quotePrefix="1" applyFont="1" applyBorder="1" applyAlignment="1" applyProtection="1">
      <alignment horizontal="left" vertical="center" wrapText="1" readingOrder="1"/>
    </xf>
    <xf numFmtId="0" fontId="0" fillId="0" borderId="20" xfId="0" applyFont="1" applyBorder="1" applyAlignment="1">
      <alignment horizontal="left" vertical="center" wrapText="1" readingOrder="1"/>
    </xf>
    <xf numFmtId="0" fontId="12" fillId="0" borderId="20" xfId="0" applyFont="1" applyBorder="1" applyAlignment="1" applyProtection="1">
      <alignment horizontal="left" vertical="center" wrapText="1" readingOrder="1"/>
    </xf>
    <xf numFmtId="0" fontId="70" fillId="0" borderId="33" xfId="0" applyFont="1" applyFill="1" applyBorder="1" applyAlignment="1" applyProtection="1">
      <alignment horizontal="center" vertical="center" wrapText="1" readingOrder="1"/>
    </xf>
    <xf numFmtId="0" fontId="70" fillId="0" borderId="70" xfId="0" applyFont="1" applyFill="1" applyBorder="1" applyAlignment="1" applyProtection="1">
      <alignment horizontal="center" vertical="center" wrapText="1" readingOrder="1"/>
    </xf>
    <xf numFmtId="0" fontId="70" fillId="0" borderId="69" xfId="0" applyFont="1" applyFill="1" applyBorder="1" applyAlignment="1" applyProtection="1">
      <alignment horizontal="center" vertical="center" wrapText="1" readingOrder="1"/>
    </xf>
    <xf numFmtId="0" fontId="70" fillId="0" borderId="36" xfId="0" applyFont="1" applyFill="1" applyBorder="1" applyAlignment="1" applyProtection="1">
      <alignment horizontal="center" vertical="center" wrapText="1" readingOrder="1"/>
    </xf>
    <xf numFmtId="0" fontId="70" fillId="0" borderId="71" xfId="0" applyFont="1" applyFill="1" applyBorder="1" applyAlignment="1" applyProtection="1">
      <alignment horizontal="center" vertical="center" wrapText="1" readingOrder="1"/>
    </xf>
    <xf numFmtId="0" fontId="70" fillId="0" borderId="32" xfId="0" applyFont="1" applyFill="1" applyBorder="1" applyAlignment="1" applyProtection="1">
      <alignment horizontal="center" vertical="center" wrapText="1" readingOrder="1"/>
    </xf>
    <xf numFmtId="0" fontId="70" fillId="0" borderId="28" xfId="0" applyFont="1" applyFill="1" applyBorder="1" applyAlignment="1" applyProtection="1">
      <alignment horizontal="center" vertical="center" wrapText="1" readingOrder="1"/>
    </xf>
    <xf numFmtId="0" fontId="70" fillId="0" borderId="34" xfId="0" applyFont="1" applyFill="1" applyBorder="1" applyAlignment="1" applyProtection="1">
      <alignment horizontal="center" vertical="center" wrapText="1" readingOrder="1"/>
    </xf>
    <xf numFmtId="0" fontId="70" fillId="0" borderId="29" xfId="0" applyFont="1" applyFill="1" applyBorder="1" applyAlignment="1" applyProtection="1">
      <alignment horizontal="center" vertical="center" wrapText="1" readingOrder="1"/>
    </xf>
    <xf numFmtId="0" fontId="12" fillId="0" borderId="33" xfId="0" applyNumberFormat="1" applyFont="1" applyBorder="1" applyAlignment="1" applyProtection="1">
      <alignment horizontal="center" vertical="center" wrapText="1" readingOrder="1"/>
    </xf>
    <xf numFmtId="0" fontId="109" fillId="0" borderId="20" xfId="0" applyFont="1" applyBorder="1" applyAlignment="1" applyProtection="1">
      <alignment horizontal="left" vertical="center" wrapText="1" readingOrder="1"/>
    </xf>
    <xf numFmtId="0" fontId="110" fillId="0" borderId="20" xfId="0" applyFont="1" applyBorder="1" applyAlignment="1">
      <alignment horizontal="left" vertical="center" wrapText="1" readingOrder="1"/>
    </xf>
    <xf numFmtId="0" fontId="6" fillId="0" borderId="20" xfId="0" applyFont="1" applyBorder="1" applyAlignment="1" applyProtection="1">
      <alignment horizontal="left" vertical="center" wrapText="1" readingOrder="1"/>
    </xf>
    <xf numFmtId="0" fontId="87" fillId="0" borderId="20" xfId="0" applyFont="1" applyBorder="1" applyAlignment="1">
      <alignment horizontal="left" vertical="center" wrapText="1" readingOrder="1"/>
    </xf>
    <xf numFmtId="9" fontId="89" fillId="0" borderId="20" xfId="0" applyNumberFormat="1" applyFont="1" applyFill="1" applyBorder="1" applyAlignment="1" applyProtection="1">
      <alignment horizontal="center" vertical="center" wrapText="1" readingOrder="1"/>
    </xf>
    <xf numFmtId="0" fontId="89" fillId="0" borderId="20" xfId="0" applyFont="1" applyFill="1" applyBorder="1" applyAlignment="1">
      <alignment horizontal="center" vertical="center" wrapText="1" readingOrder="1"/>
    </xf>
    <xf numFmtId="0" fontId="89" fillId="0" borderId="20" xfId="0" applyFont="1" applyFill="1" applyBorder="1" applyAlignment="1" applyProtection="1">
      <alignment horizontal="center" vertical="center" wrapText="1" readingOrder="1"/>
    </xf>
    <xf numFmtId="0" fontId="12" fillId="0" borderId="33" xfId="0" applyFont="1" applyFill="1" applyBorder="1" applyAlignment="1" applyProtection="1">
      <alignment horizontal="left" vertical="center" wrapText="1" readingOrder="1"/>
    </xf>
    <xf numFmtId="0" fontId="12" fillId="0" borderId="70" xfId="0" applyFont="1" applyFill="1" applyBorder="1" applyAlignment="1" applyProtection="1">
      <alignment horizontal="left" vertical="center" wrapText="1" readingOrder="1"/>
    </xf>
    <xf numFmtId="0" fontId="12" fillId="0" borderId="69" xfId="0" applyFont="1" applyFill="1" applyBorder="1" applyAlignment="1" applyProtection="1">
      <alignment horizontal="left" vertical="center" wrapText="1" readingOrder="1"/>
    </xf>
    <xf numFmtId="0" fontId="12" fillId="0" borderId="36" xfId="0" applyFont="1" applyFill="1" applyBorder="1" applyAlignment="1" applyProtection="1">
      <alignment horizontal="left" vertical="center" wrapText="1" readingOrder="1"/>
    </xf>
    <xf numFmtId="0" fontId="12" fillId="0" borderId="71" xfId="0" applyFont="1" applyFill="1" applyBorder="1" applyAlignment="1" applyProtection="1">
      <alignment horizontal="left" vertical="center" wrapText="1" readingOrder="1"/>
    </xf>
    <xf numFmtId="0" fontId="12" fillId="0" borderId="32" xfId="0" applyFont="1" applyFill="1" applyBorder="1" applyAlignment="1" applyProtection="1">
      <alignment horizontal="left" vertical="center" wrapText="1" readingOrder="1"/>
    </xf>
    <xf numFmtId="0" fontId="111" fillId="0" borderId="20" xfId="0" applyFont="1" applyBorder="1" applyAlignment="1">
      <alignment horizontal="left" vertical="center" wrapText="1" readingOrder="1"/>
    </xf>
    <xf numFmtId="1" fontId="24" fillId="35" borderId="28" xfId="0" applyNumberFormat="1" applyFont="1" applyFill="1" applyBorder="1" applyAlignment="1" applyProtection="1">
      <alignment horizontal="center" vertical="center"/>
    </xf>
    <xf numFmtId="1" fontId="0" fillId="35" borderId="34" xfId="0" applyNumberFormat="1" applyFill="1" applyBorder="1" applyAlignment="1" applyProtection="1">
      <alignment horizontal="center" vertical="center"/>
    </xf>
    <xf numFmtId="1" fontId="0" fillId="35" borderId="29" xfId="0" applyNumberFormat="1" applyFill="1" applyBorder="1" applyAlignment="1" applyProtection="1">
      <alignment horizontal="center" vertical="center"/>
    </xf>
    <xf numFmtId="0" fontId="6" fillId="33" borderId="28" xfId="0" applyFont="1" applyFill="1" applyBorder="1" applyAlignment="1" applyProtection="1">
      <alignment horizontal="left" vertical="center" wrapText="1"/>
      <protection locked="0"/>
    </xf>
    <xf numFmtId="0" fontId="6" fillId="33" borderId="34" xfId="0" applyFont="1" applyFill="1" applyBorder="1" applyAlignment="1" applyProtection="1">
      <alignment horizontal="left" vertical="center" wrapText="1"/>
      <protection locked="0"/>
    </xf>
    <xf numFmtId="0" fontId="6" fillId="33" borderId="29" xfId="0" applyFont="1" applyFill="1" applyBorder="1" applyAlignment="1" applyProtection="1">
      <alignment horizontal="left" vertical="center" wrapText="1"/>
      <protection locked="0"/>
    </xf>
    <xf numFmtId="0" fontId="12" fillId="0" borderId="28" xfId="0" applyFont="1" applyBorder="1" applyAlignment="1" applyProtection="1">
      <alignment horizontal="center" vertical="center" wrapText="1"/>
    </xf>
    <xf numFmtId="0" fontId="12" fillId="0" borderId="34" xfId="0" applyFont="1" applyBorder="1" applyAlignment="1" applyProtection="1">
      <alignment horizontal="center" vertical="center" wrapText="1"/>
    </xf>
    <xf numFmtId="0" fontId="12" fillId="0" borderId="29" xfId="0" applyFont="1" applyBorder="1" applyAlignment="1" applyProtection="1">
      <alignment horizontal="center" vertical="center" wrapText="1"/>
    </xf>
    <xf numFmtId="0" fontId="23" fillId="31" borderId="28" xfId="0" quotePrefix="1" applyFont="1" applyFill="1" applyBorder="1" applyAlignment="1" applyProtection="1">
      <alignment horizontal="center" vertical="center" wrapText="1"/>
    </xf>
    <xf numFmtId="0" fontId="6" fillId="33" borderId="34" xfId="0" applyNumberFormat="1" applyFont="1" applyFill="1" applyBorder="1" applyAlignment="1" applyProtection="1">
      <alignment horizontal="left" vertical="center" wrapText="1"/>
      <protection locked="0"/>
    </xf>
    <xf numFmtId="0" fontId="6" fillId="33" borderId="29" xfId="0" applyNumberFormat="1" applyFont="1" applyFill="1" applyBorder="1" applyAlignment="1" applyProtection="1">
      <alignment horizontal="left" vertical="center" wrapText="1"/>
      <protection locked="0"/>
    </xf>
    <xf numFmtId="49" fontId="70" fillId="0" borderId="28" xfId="0" applyNumberFormat="1" applyFont="1" applyBorder="1" applyAlignment="1" applyProtection="1">
      <alignment horizontal="center" vertical="center" wrapText="1" readingOrder="1"/>
    </xf>
    <xf numFmtId="49" fontId="70" fillId="0" borderId="34" xfId="0" applyNumberFormat="1" applyFont="1" applyBorder="1" applyAlignment="1" applyProtection="1">
      <alignment horizontal="center" vertical="center" wrapText="1" readingOrder="1"/>
    </xf>
    <xf numFmtId="49" fontId="70" fillId="0" borderId="29" xfId="0" applyNumberFormat="1" applyFont="1" applyBorder="1" applyAlignment="1" applyProtection="1">
      <alignment horizontal="center" vertical="center" wrapText="1" readingOrder="1"/>
    </xf>
    <xf numFmtId="0" fontId="70" fillId="0" borderId="20" xfId="0" applyFont="1" applyBorder="1" applyAlignment="1" applyProtection="1">
      <alignment horizontal="center" vertical="center" wrapText="1" readingOrder="1"/>
    </xf>
    <xf numFmtId="0" fontId="70" fillId="0" borderId="20" xfId="0" applyFont="1" applyBorder="1" applyAlignment="1">
      <alignment horizontal="center" vertical="center" wrapText="1" readingOrder="1"/>
    </xf>
    <xf numFmtId="0" fontId="27" fillId="0" borderId="33" xfId="0" applyFont="1" applyBorder="1" applyAlignment="1" applyProtection="1">
      <alignment horizontal="center" vertical="center" wrapText="1"/>
    </xf>
    <xf numFmtId="0" fontId="27" fillId="0" borderId="70" xfId="0" applyFont="1" applyBorder="1" applyAlignment="1" applyProtection="1">
      <alignment horizontal="center" vertical="center" wrapText="1"/>
    </xf>
    <xf numFmtId="0" fontId="27" fillId="0" borderId="71" xfId="0" applyFont="1" applyBorder="1" applyAlignment="1" applyProtection="1">
      <alignment horizontal="center" vertical="center" wrapText="1"/>
    </xf>
    <xf numFmtId="0" fontId="27" fillId="0" borderId="32" xfId="0" applyFont="1" applyBorder="1" applyAlignment="1" applyProtection="1">
      <alignment horizontal="center" vertical="center" wrapText="1"/>
    </xf>
    <xf numFmtId="0" fontId="12" fillId="0" borderId="20" xfId="0" applyFont="1" applyBorder="1" applyAlignment="1" applyProtection="1">
      <alignment vertical="center" wrapText="1"/>
    </xf>
    <xf numFmtId="0" fontId="27" fillId="0" borderId="28" xfId="0" applyFont="1" applyBorder="1" applyAlignment="1" applyProtection="1">
      <alignment horizontal="center" vertical="center" wrapText="1"/>
    </xf>
    <xf numFmtId="0" fontId="27" fillId="0" borderId="29" xfId="0" applyFont="1" applyBorder="1" applyAlignment="1" applyProtection="1">
      <alignment horizontal="center" vertical="center" wrapText="1"/>
    </xf>
    <xf numFmtId="0" fontId="85" fillId="0" borderId="28" xfId="0" applyFont="1" applyBorder="1" applyAlignment="1">
      <alignment horizontal="center" vertical="center" wrapText="1"/>
    </xf>
    <xf numFmtId="0" fontId="85" fillId="0" borderId="29" xfId="0" applyFont="1" applyBorder="1" applyAlignment="1">
      <alignment horizontal="center" vertical="center" wrapText="1"/>
    </xf>
    <xf numFmtId="0" fontId="0" fillId="0" borderId="70" xfId="0" applyFont="1" applyBorder="1" applyAlignment="1">
      <alignment horizontal="left" vertical="center" wrapText="1" readingOrder="1"/>
    </xf>
    <xf numFmtId="0" fontId="0" fillId="0" borderId="36" xfId="0" applyFont="1" applyBorder="1" applyAlignment="1">
      <alignment horizontal="left" vertical="center" wrapText="1" readingOrder="1"/>
    </xf>
    <xf numFmtId="0" fontId="0" fillId="0" borderId="32" xfId="0" applyFont="1" applyBorder="1" applyAlignment="1">
      <alignment horizontal="left" vertical="center" wrapText="1" readingOrder="1"/>
    </xf>
    <xf numFmtId="0" fontId="27" fillId="0" borderId="20" xfId="0" applyFont="1" applyBorder="1" applyAlignment="1" applyProtection="1">
      <alignment horizontal="center" vertical="center" wrapText="1"/>
    </xf>
    <xf numFmtId="0" fontId="0" fillId="0" borderId="20" xfId="0" applyBorder="1" applyAlignment="1">
      <alignment horizontal="center" vertical="center" wrapText="1"/>
    </xf>
    <xf numFmtId="0" fontId="20" fillId="0" borderId="20" xfId="0" applyFont="1" applyBorder="1" applyAlignment="1" applyProtection="1">
      <alignment horizontal="center" vertical="center" wrapText="1"/>
    </xf>
    <xf numFmtId="0" fontId="72" fillId="0" borderId="20" xfId="0" applyFont="1" applyBorder="1" applyAlignment="1" applyProtection="1">
      <alignment horizontal="center" vertical="center" wrapText="1"/>
    </xf>
    <xf numFmtId="0" fontId="85" fillId="0" borderId="20" xfId="0" applyFont="1" applyBorder="1" applyAlignment="1">
      <alignment horizontal="center" vertical="center" wrapText="1"/>
    </xf>
    <xf numFmtId="0" fontId="9" fillId="30" borderId="23" xfId="516" applyFont="1" applyFill="1" applyBorder="1" applyAlignment="1" applyProtection="1">
      <alignment vertical="center"/>
    </xf>
    <xf numFmtId="0" fontId="9" fillId="30" borderId="25" xfId="516" applyFont="1" applyFill="1" applyBorder="1" applyAlignment="1" applyProtection="1">
      <alignment vertical="center"/>
    </xf>
    <xf numFmtId="0" fontId="27" fillId="30" borderId="25" xfId="0" applyFont="1" applyFill="1" applyBorder="1" applyAlignment="1" applyProtection="1"/>
    <xf numFmtId="0" fontId="0" fillId="0" borderId="26" xfId="0" applyBorder="1" applyAlignment="1"/>
    <xf numFmtId="0" fontId="0" fillId="0" borderId="26" xfId="0" applyBorder="1" applyAlignment="1">
      <alignment vertical="center"/>
    </xf>
    <xf numFmtId="14" fontId="27" fillId="30" borderId="23" xfId="0" applyNumberFormat="1" applyFont="1" applyFill="1" applyBorder="1" applyAlignment="1" applyProtection="1">
      <alignment horizontal="center" vertical="center"/>
    </xf>
    <xf numFmtId="14" fontId="27" fillId="30" borderId="25" xfId="0" applyNumberFormat="1" applyFont="1" applyFill="1" applyBorder="1" applyAlignment="1" applyProtection="1">
      <alignment horizontal="center" vertical="center"/>
    </xf>
    <xf numFmtId="14" fontId="27" fillId="30" borderId="26" xfId="0" applyNumberFormat="1" applyFont="1" applyFill="1" applyBorder="1" applyAlignment="1" applyProtection="1">
      <alignment horizontal="center" vertical="center"/>
    </xf>
    <xf numFmtId="0" fontId="27" fillId="0" borderId="28" xfId="0" applyFont="1" applyFill="1" applyBorder="1" applyAlignment="1" applyProtection="1">
      <alignment horizontal="center" vertical="center" wrapText="1"/>
    </xf>
    <xf numFmtId="0" fontId="20" fillId="0" borderId="29" xfId="0" applyFont="1" applyFill="1" applyBorder="1" applyAlignment="1" applyProtection="1">
      <alignment horizontal="center" vertical="center" wrapText="1"/>
    </xf>
    <xf numFmtId="0" fontId="20" fillId="0" borderId="70" xfId="0" applyFont="1" applyBorder="1" applyAlignment="1" applyProtection="1">
      <alignment horizontal="center" vertical="center" wrapText="1"/>
    </xf>
    <xf numFmtId="0" fontId="20" fillId="0" borderId="71" xfId="0" applyFont="1" applyBorder="1" applyAlignment="1" applyProtection="1">
      <alignment horizontal="center" vertical="center" wrapText="1"/>
    </xf>
    <xf numFmtId="0" fontId="20" fillId="0" borderId="32" xfId="0" applyFont="1" applyBorder="1" applyAlignment="1" applyProtection="1">
      <alignment horizontal="center" vertical="center" wrapText="1"/>
    </xf>
    <xf numFmtId="0" fontId="27" fillId="0" borderId="68" xfId="0" applyFont="1" applyBorder="1" applyAlignment="1" applyProtection="1">
      <alignment horizontal="center" vertical="center"/>
    </xf>
    <xf numFmtId="0" fontId="27" fillId="0" borderId="27" xfId="0" applyFont="1" applyBorder="1" applyAlignment="1" applyProtection="1">
      <alignment horizontal="center" vertical="center"/>
    </xf>
    <xf numFmtId="0" fontId="131" fillId="0" borderId="28" xfId="0" applyFont="1" applyFill="1" applyBorder="1" applyAlignment="1" applyProtection="1">
      <alignment horizontal="center" vertical="center" wrapText="1"/>
    </xf>
    <xf numFmtId="0" fontId="131" fillId="0" borderId="34" xfId="0" applyFont="1" applyFill="1" applyBorder="1" applyAlignment="1" applyProtection="1">
      <alignment horizontal="center" vertical="center" wrapText="1"/>
    </xf>
    <xf numFmtId="0" fontId="131" fillId="0" borderId="29" xfId="0" applyFont="1" applyFill="1" applyBorder="1" applyAlignment="1" applyProtection="1">
      <alignment horizontal="center" vertical="center" wrapText="1"/>
    </xf>
    <xf numFmtId="0" fontId="6" fillId="33" borderId="28" xfId="0" quotePrefix="1" applyFont="1" applyFill="1" applyBorder="1" applyAlignment="1" applyProtection="1">
      <alignment horizontal="left" vertical="center" wrapText="1"/>
      <protection locked="0"/>
    </xf>
    <xf numFmtId="0" fontId="6" fillId="0" borderId="33" xfId="0" applyNumberFormat="1" applyFont="1" applyBorder="1" applyAlignment="1" applyProtection="1">
      <alignment horizontal="center" vertical="center" wrapText="1" readingOrder="1"/>
    </xf>
    <xf numFmtId="0" fontId="6" fillId="0" borderId="70" xfId="0" applyNumberFormat="1" applyFont="1" applyBorder="1" applyAlignment="1" applyProtection="1">
      <alignment horizontal="center" vertical="center" wrapText="1" readingOrder="1"/>
    </xf>
    <xf numFmtId="0" fontId="6" fillId="0" borderId="69" xfId="0" applyNumberFormat="1" applyFont="1" applyBorder="1" applyAlignment="1" applyProtection="1">
      <alignment horizontal="center" vertical="center" wrapText="1" readingOrder="1"/>
    </xf>
    <xf numFmtId="0" fontId="6" fillId="0" borderId="36" xfId="0" applyNumberFormat="1" applyFont="1" applyBorder="1" applyAlignment="1" applyProtection="1">
      <alignment horizontal="center" vertical="center" wrapText="1" readingOrder="1"/>
    </xf>
    <xf numFmtId="0" fontId="6" fillId="0" borderId="71" xfId="0" applyNumberFormat="1" applyFont="1" applyBorder="1" applyAlignment="1" applyProtection="1">
      <alignment horizontal="center" vertical="center" wrapText="1" readingOrder="1"/>
    </xf>
    <xf numFmtId="0" fontId="6" fillId="0" borderId="32" xfId="0" applyNumberFormat="1" applyFont="1" applyBorder="1" applyAlignment="1" applyProtection="1">
      <alignment horizontal="center" vertical="center" wrapText="1" readingOrder="1"/>
    </xf>
    <xf numFmtId="49" fontId="89" fillId="0" borderId="28" xfId="0" applyNumberFormat="1" applyFont="1" applyBorder="1" applyAlignment="1" applyProtection="1">
      <alignment horizontal="center" vertical="center" wrapText="1" readingOrder="1"/>
    </xf>
    <xf numFmtId="49" fontId="89" fillId="0" borderId="34" xfId="0" applyNumberFormat="1" applyFont="1" applyBorder="1" applyAlignment="1" applyProtection="1">
      <alignment horizontal="center" vertical="center" wrapText="1" readingOrder="1"/>
    </xf>
    <xf numFmtId="49" fontId="89" fillId="0" borderId="29" xfId="0" applyNumberFormat="1" applyFont="1" applyBorder="1" applyAlignment="1" applyProtection="1">
      <alignment horizontal="center" vertical="center" wrapText="1" readingOrder="1"/>
    </xf>
    <xf numFmtId="0" fontId="6" fillId="0" borderId="33" xfId="0" applyFont="1" applyBorder="1" applyAlignment="1" applyProtection="1">
      <alignment horizontal="left" vertical="center" wrapText="1" readingOrder="1"/>
    </xf>
    <xf numFmtId="0" fontId="6" fillId="0" borderId="70" xfId="0" applyFont="1" applyBorder="1" applyAlignment="1" applyProtection="1">
      <alignment horizontal="left" vertical="center" wrapText="1" readingOrder="1"/>
    </xf>
    <xf numFmtId="0" fontId="6" fillId="0" borderId="69" xfId="0" applyFont="1" applyBorder="1" applyAlignment="1" applyProtection="1">
      <alignment horizontal="left" vertical="center" wrapText="1" readingOrder="1"/>
    </xf>
    <xf numFmtId="0" fontId="6" fillId="0" borderId="36" xfId="0" applyFont="1" applyBorder="1" applyAlignment="1" applyProtection="1">
      <alignment horizontal="left" vertical="center" wrapText="1" readingOrder="1"/>
    </xf>
    <xf numFmtId="0" fontId="6" fillId="0" borderId="71" xfId="0" applyFont="1" applyBorder="1" applyAlignment="1" applyProtection="1">
      <alignment horizontal="left" vertical="center" wrapText="1" readingOrder="1"/>
    </xf>
    <xf numFmtId="0" fontId="6" fillId="0" borderId="32" xfId="0" applyFont="1" applyBorder="1" applyAlignment="1" applyProtection="1">
      <alignment horizontal="left" vertical="center" wrapText="1" readingOrder="1"/>
    </xf>
    <xf numFmtId="0" fontId="89" fillId="0" borderId="28" xfId="0" applyFont="1" applyBorder="1" applyAlignment="1">
      <alignment horizontal="center" vertical="center" wrapText="1" readingOrder="1"/>
    </xf>
    <xf numFmtId="0" fontId="89" fillId="0" borderId="34" xfId="0" applyFont="1" applyBorder="1" applyAlignment="1">
      <alignment horizontal="center" vertical="center" wrapText="1" readingOrder="1"/>
    </xf>
    <xf numFmtId="0" fontId="89" fillId="0" borderId="29" xfId="0" applyFont="1" applyBorder="1" applyAlignment="1">
      <alignment horizontal="center" vertical="center" wrapText="1" readingOrder="1"/>
    </xf>
    <xf numFmtId="0" fontId="89" fillId="0" borderId="33" xfId="0" applyFont="1" applyFill="1" applyBorder="1" applyAlignment="1" applyProtection="1">
      <alignment horizontal="center" vertical="center" wrapText="1" readingOrder="1"/>
    </xf>
    <xf numFmtId="0" fontId="89" fillId="0" borderId="70" xfId="0" applyFont="1" applyFill="1" applyBorder="1" applyAlignment="1" applyProtection="1">
      <alignment horizontal="center" vertical="center" wrapText="1" readingOrder="1"/>
    </xf>
    <xf numFmtId="0" fontId="89" fillId="0" borderId="69" xfId="0" applyFont="1" applyFill="1" applyBorder="1" applyAlignment="1" applyProtection="1">
      <alignment horizontal="center" vertical="center" wrapText="1" readingOrder="1"/>
    </xf>
    <xf numFmtId="0" fontId="89" fillId="0" borderId="36" xfId="0" applyFont="1" applyFill="1" applyBorder="1" applyAlignment="1" applyProtection="1">
      <alignment horizontal="center" vertical="center" wrapText="1" readingOrder="1"/>
    </xf>
    <xf numFmtId="0" fontId="89" fillId="0" borderId="71" xfId="0" applyFont="1" applyFill="1" applyBorder="1" applyAlignment="1" applyProtection="1">
      <alignment horizontal="center" vertical="center" wrapText="1" readingOrder="1"/>
    </xf>
    <xf numFmtId="0" fontId="89" fillId="0" borderId="32" xfId="0" applyFont="1" applyFill="1" applyBorder="1" applyAlignment="1" applyProtection="1">
      <alignment horizontal="center" vertical="center" wrapText="1" readingOrder="1"/>
    </xf>
    <xf numFmtId="0" fontId="6" fillId="0" borderId="33" xfId="0" applyFont="1" applyFill="1" applyBorder="1" applyAlignment="1" applyProtection="1">
      <alignment horizontal="left" vertical="center" wrapText="1" readingOrder="1"/>
    </xf>
    <xf numFmtId="0" fontId="6" fillId="0" borderId="70" xfId="0" applyFont="1" applyFill="1" applyBorder="1" applyAlignment="1" applyProtection="1">
      <alignment horizontal="left" vertical="center" wrapText="1" readingOrder="1"/>
    </xf>
    <xf numFmtId="0" fontId="6" fillId="0" borderId="69" xfId="0" applyFont="1" applyFill="1" applyBorder="1" applyAlignment="1" applyProtection="1">
      <alignment horizontal="left" vertical="center" wrapText="1" readingOrder="1"/>
    </xf>
    <xf numFmtId="0" fontId="6" fillId="0" borderId="36" xfId="0" applyFont="1" applyFill="1" applyBorder="1" applyAlignment="1" applyProtection="1">
      <alignment horizontal="left" vertical="center" wrapText="1" readingOrder="1"/>
    </xf>
    <xf numFmtId="0" fontId="6" fillId="0" borderId="71" xfId="0" applyFont="1" applyFill="1" applyBorder="1" applyAlignment="1" applyProtection="1">
      <alignment horizontal="left" vertical="center" wrapText="1" readingOrder="1"/>
    </xf>
    <xf numFmtId="0" fontId="6" fillId="0" borderId="32" xfId="0" applyFont="1" applyFill="1" applyBorder="1" applyAlignment="1" applyProtection="1">
      <alignment horizontal="left" vertical="center" wrapText="1" readingOrder="1"/>
    </xf>
    <xf numFmtId="0" fontId="70" fillId="0" borderId="20" xfId="0" applyFont="1" applyFill="1" applyBorder="1" applyAlignment="1" applyProtection="1">
      <alignment horizontal="center" vertical="center" wrapText="1" readingOrder="1"/>
    </xf>
    <xf numFmtId="0" fontId="70" fillId="0" borderId="20" xfId="0" applyFont="1" applyFill="1" applyBorder="1" applyAlignment="1">
      <alignment horizontal="center" vertical="center" wrapText="1" readingOrder="1"/>
    </xf>
    <xf numFmtId="9" fontId="70" fillId="0" borderId="29" xfId="0" applyNumberFormat="1" applyFont="1" applyBorder="1" applyAlignment="1" applyProtection="1">
      <alignment horizontal="center" vertical="center" wrapText="1" readingOrder="1"/>
    </xf>
    <xf numFmtId="0" fontId="6" fillId="0" borderId="20" xfId="0" applyFont="1" applyFill="1" applyBorder="1" applyAlignment="1" applyProtection="1">
      <alignment horizontal="left" vertical="center" wrapText="1" readingOrder="1"/>
    </xf>
    <xf numFmtId="0" fontId="12" fillId="0" borderId="20" xfId="0" applyFont="1" applyFill="1" applyBorder="1" applyAlignment="1" applyProtection="1">
      <alignment horizontal="left" vertical="center" wrapText="1" readingOrder="1"/>
    </xf>
    <xf numFmtId="0" fontId="12" fillId="0" borderId="0" xfId="0" applyFont="1" applyAlignment="1" applyProtection="1">
      <alignment horizontal="justify" vertical="center" wrapText="1"/>
    </xf>
    <xf numFmtId="0" fontId="12" fillId="0" borderId="0" xfId="0" applyFont="1" applyAlignment="1" applyProtection="1">
      <alignment horizontal="justify" vertical="center"/>
    </xf>
    <xf numFmtId="0" fontId="71" fillId="0" borderId="28" xfId="0" applyFont="1" applyBorder="1" applyAlignment="1">
      <alignment horizontal="center" vertical="center" wrapText="1" readingOrder="1"/>
    </xf>
    <xf numFmtId="0" fontId="71" fillId="0" borderId="34" xfId="0" applyFont="1" applyBorder="1" applyAlignment="1">
      <alignment horizontal="center" vertical="center" wrapText="1" readingOrder="1"/>
    </xf>
    <xf numFmtId="0" fontId="71" fillId="0" borderId="29" xfId="0" applyFont="1" applyBorder="1" applyAlignment="1">
      <alignment horizontal="center" vertical="center" wrapText="1" readingOrder="1"/>
    </xf>
    <xf numFmtId="49" fontId="6" fillId="0" borderId="33" xfId="0" applyNumberFormat="1" applyFont="1" applyBorder="1" applyAlignment="1" applyProtection="1">
      <alignment horizontal="center" vertical="center" wrapText="1" readingOrder="1"/>
    </xf>
    <xf numFmtId="49" fontId="6" fillId="0" borderId="70" xfId="0" applyNumberFormat="1" applyFont="1" applyBorder="1" applyAlignment="1" applyProtection="1">
      <alignment horizontal="center" vertical="center" wrapText="1" readingOrder="1"/>
    </xf>
    <xf numFmtId="49" fontId="6" fillId="0" borderId="69" xfId="0" applyNumberFormat="1" applyFont="1" applyBorder="1" applyAlignment="1" applyProtection="1">
      <alignment horizontal="center" vertical="center" wrapText="1" readingOrder="1"/>
    </xf>
    <xf numFmtId="49" fontId="6" fillId="0" borderId="36" xfId="0" applyNumberFormat="1" applyFont="1" applyBorder="1" applyAlignment="1" applyProtection="1">
      <alignment horizontal="center" vertical="center" wrapText="1" readingOrder="1"/>
    </xf>
    <xf numFmtId="49" fontId="6" fillId="0" borderId="71" xfId="0" applyNumberFormat="1" applyFont="1" applyBorder="1" applyAlignment="1" applyProtection="1">
      <alignment horizontal="center" vertical="center" wrapText="1" readingOrder="1"/>
    </xf>
    <xf numFmtId="49" fontId="6" fillId="0" borderId="32" xfId="0" applyNumberFormat="1" applyFont="1" applyBorder="1" applyAlignment="1" applyProtection="1">
      <alignment horizontal="center" vertical="center" wrapText="1" readingOrder="1"/>
    </xf>
    <xf numFmtId="0" fontId="9" fillId="30" borderId="23" xfId="516" applyFont="1" applyFill="1" applyBorder="1" applyAlignment="1" applyProtection="1">
      <alignment horizontal="left" vertical="center"/>
    </xf>
    <xf numFmtId="0" fontId="9" fillId="30" borderId="25" xfId="516" applyFont="1" applyFill="1" applyBorder="1" applyAlignment="1" applyProtection="1">
      <alignment horizontal="left" vertical="center"/>
    </xf>
    <xf numFmtId="0" fontId="9" fillId="30" borderId="26" xfId="516" applyFont="1" applyFill="1" applyBorder="1" applyAlignment="1" applyProtection="1">
      <alignment horizontal="left" vertical="center"/>
    </xf>
    <xf numFmtId="0" fontId="84" fillId="0" borderId="22" xfId="0" applyFont="1" applyBorder="1" applyAlignment="1">
      <alignment horizontal="center" vertical="center" wrapText="1"/>
    </xf>
    <xf numFmtId="0" fontId="84" fillId="0" borderId="67" xfId="0" applyFont="1" applyBorder="1" applyAlignment="1">
      <alignment horizontal="center" vertical="center" wrapText="1"/>
    </xf>
    <xf numFmtId="0" fontId="84" fillId="0" borderId="23" xfId="0" applyFont="1" applyBorder="1" applyAlignment="1">
      <alignment horizontal="center" vertical="center" wrapText="1"/>
    </xf>
    <xf numFmtId="0" fontId="84" fillId="0" borderId="25" xfId="0" applyFont="1" applyBorder="1" applyAlignment="1">
      <alignment horizontal="center" vertical="center" wrapText="1"/>
    </xf>
    <xf numFmtId="0" fontId="84" fillId="0" borderId="26" xfId="0" applyFont="1" applyBorder="1" applyAlignment="1">
      <alignment horizontal="center" vertical="center" wrapText="1"/>
    </xf>
    <xf numFmtId="0" fontId="61" fillId="0" borderId="0" xfId="0" applyFont="1" applyAlignment="1" applyProtection="1"/>
    <xf numFmtId="0" fontId="12" fillId="28" borderId="26" xfId="0" applyFont="1" applyFill="1" applyBorder="1" applyAlignment="1" applyProtection="1">
      <alignment horizontal="center" vertical="center" wrapText="1"/>
    </xf>
    <xf numFmtId="0" fontId="12" fillId="28" borderId="18" xfId="0" applyFont="1" applyFill="1" applyBorder="1" applyAlignment="1" applyProtection="1">
      <alignment horizontal="center" vertical="center" wrapText="1"/>
    </xf>
    <xf numFmtId="0" fontId="12" fillId="29" borderId="26" xfId="0" applyFont="1" applyFill="1" applyBorder="1" applyAlignment="1" applyProtection="1">
      <alignment horizontal="center" vertical="center" wrapText="1"/>
    </xf>
    <xf numFmtId="0" fontId="12" fillId="29" borderId="18" xfId="0" applyFont="1" applyFill="1" applyBorder="1" applyAlignment="1" applyProtection="1">
      <alignment horizontal="center" vertical="center" wrapText="1"/>
    </xf>
    <xf numFmtId="0" fontId="12" fillId="0" borderId="23" xfId="0" applyFont="1" applyFill="1" applyBorder="1" applyAlignment="1">
      <alignment horizontal="justify" vertical="center" wrapText="1"/>
    </xf>
    <xf numFmtId="0" fontId="0" fillId="0" borderId="25" xfId="0" applyFill="1" applyBorder="1" applyAlignment="1">
      <alignment horizontal="justify" vertical="center" wrapText="1"/>
    </xf>
    <xf numFmtId="0" fontId="0" fillId="0" borderId="26" xfId="0" applyFill="1" applyBorder="1" applyAlignment="1">
      <alignment horizontal="justify" vertical="center" wrapText="1"/>
    </xf>
    <xf numFmtId="0" fontId="12" fillId="0" borderId="26"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18" xfId="0" quotePrefix="1" applyFont="1" applyFill="1" applyBorder="1" applyAlignment="1">
      <alignment horizontal="center" vertical="center"/>
    </xf>
    <xf numFmtId="0" fontId="12" fillId="0" borderId="18"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6" xfId="0" applyFont="1" applyFill="1" applyBorder="1" applyAlignment="1">
      <alignment horizontal="center" vertical="center"/>
    </xf>
    <xf numFmtId="0" fontId="12" fillId="32" borderId="23" xfId="0" applyFont="1" applyFill="1" applyBorder="1" applyAlignment="1" applyProtection="1">
      <alignment horizontal="center" vertical="center" wrapText="1"/>
    </xf>
    <xf numFmtId="0" fontId="12" fillId="32" borderId="25" xfId="0" applyFont="1" applyFill="1" applyBorder="1" applyAlignment="1" applyProtection="1">
      <alignment horizontal="center" vertical="center" wrapText="1"/>
    </xf>
    <xf numFmtId="0" fontId="12" fillId="32" borderId="26" xfId="0" applyFont="1" applyFill="1" applyBorder="1" applyAlignment="1" applyProtection="1">
      <alignment horizontal="center" vertical="center" wrapText="1"/>
    </xf>
    <xf numFmtId="0" fontId="12" fillId="0" borderId="19" xfId="0" applyFont="1" applyFill="1" applyBorder="1" applyAlignment="1">
      <alignment horizontal="center" vertical="center" wrapText="1"/>
    </xf>
    <xf numFmtId="0" fontId="12" fillId="0" borderId="63" xfId="0" applyFont="1" applyFill="1" applyBorder="1" applyAlignment="1">
      <alignment horizontal="center" vertical="center"/>
    </xf>
    <xf numFmtId="0" fontId="12" fillId="32" borderId="18" xfId="0" applyFont="1" applyFill="1" applyBorder="1" applyAlignment="1" applyProtection="1">
      <alignment horizontal="center" vertical="center" wrapText="1"/>
    </xf>
    <xf numFmtId="0" fontId="12" fillId="0" borderId="23" xfId="0" applyFont="1" applyFill="1" applyBorder="1" applyAlignment="1">
      <alignment horizontal="justify" vertical="center"/>
    </xf>
    <xf numFmtId="0" fontId="12" fillId="0" borderId="25" xfId="0" applyFont="1" applyFill="1" applyBorder="1" applyAlignment="1">
      <alignment horizontal="justify" vertical="center"/>
    </xf>
    <xf numFmtId="0" fontId="12" fillId="0" borderId="26" xfId="0" applyFont="1" applyFill="1" applyBorder="1" applyAlignment="1">
      <alignment horizontal="justify" vertical="center"/>
    </xf>
    <xf numFmtId="0" fontId="20" fillId="0" borderId="0" xfId="0" applyFont="1" applyFill="1" applyBorder="1" applyAlignment="1" applyProtection="1">
      <alignment horizontal="left"/>
    </xf>
    <xf numFmtId="0" fontId="20" fillId="0" borderId="0" xfId="0" applyFont="1" applyFill="1" applyAlignment="1" applyProtection="1">
      <alignment horizontal="left"/>
    </xf>
    <xf numFmtId="0" fontId="20" fillId="0" borderId="66" xfId="0" applyFont="1" applyFill="1" applyBorder="1" applyAlignment="1" applyProtection="1">
      <alignment horizontal="left"/>
    </xf>
    <xf numFmtId="0" fontId="20" fillId="29" borderId="19" xfId="0" applyFont="1" applyFill="1" applyBorder="1" applyAlignment="1" applyProtection="1">
      <alignment horizontal="center" vertical="center"/>
    </xf>
    <xf numFmtId="0" fontId="20" fillId="29" borderId="75" xfId="0" applyFont="1" applyFill="1" applyBorder="1" applyAlignment="1" applyProtection="1">
      <alignment horizontal="center" vertical="center"/>
    </xf>
    <xf numFmtId="0" fontId="20" fillId="29" borderId="63" xfId="0" applyFont="1" applyFill="1" applyBorder="1" applyAlignment="1" applyProtection="1">
      <alignment horizontal="center" vertical="center"/>
    </xf>
    <xf numFmtId="0" fontId="20" fillId="32" borderId="19" xfId="0" applyFont="1" applyFill="1" applyBorder="1" applyAlignment="1" applyProtection="1">
      <alignment horizontal="center" vertical="center"/>
    </xf>
    <xf numFmtId="0" fontId="20" fillId="32" borderId="75" xfId="0" applyFont="1" applyFill="1" applyBorder="1" applyAlignment="1" applyProtection="1">
      <alignment horizontal="center" vertical="center"/>
    </xf>
    <xf numFmtId="0" fontId="20" fillId="32" borderId="63" xfId="0" applyFont="1" applyFill="1" applyBorder="1" applyAlignment="1" applyProtection="1">
      <alignment horizontal="center" vertical="center"/>
    </xf>
    <xf numFmtId="0" fontId="15" fillId="34" borderId="38" xfId="0" applyFont="1" applyFill="1" applyBorder="1" applyAlignment="1" applyProtection="1">
      <alignment horizontal="center" vertical="center" wrapText="1"/>
    </xf>
    <xf numFmtId="0" fontId="15" fillId="34" borderId="34" xfId="0" applyFont="1" applyFill="1" applyBorder="1" applyAlignment="1" applyProtection="1">
      <alignment horizontal="center" vertical="center" wrapText="1"/>
    </xf>
    <xf numFmtId="0" fontId="118" fillId="0" borderId="0" xfId="0" applyFont="1" applyFill="1" applyAlignment="1" applyProtection="1">
      <alignment horizontal="left" vertical="center"/>
    </xf>
    <xf numFmtId="0" fontId="119" fillId="0" borderId="0" xfId="0" applyFont="1" applyFill="1" applyAlignment="1" applyProtection="1">
      <alignment horizontal="left" vertical="center"/>
    </xf>
    <xf numFmtId="0" fontId="20" fillId="31" borderId="19" xfId="0" applyFont="1" applyFill="1" applyBorder="1" applyAlignment="1" applyProtection="1">
      <alignment horizontal="center" vertical="center"/>
    </xf>
    <xf numFmtId="0" fontId="20" fillId="31" borderId="75" xfId="0" applyFont="1" applyFill="1" applyBorder="1" applyAlignment="1" applyProtection="1">
      <alignment horizontal="center" vertical="center"/>
    </xf>
    <xf numFmtId="0" fontId="20" fillId="31" borderId="63" xfId="0" applyFont="1" applyFill="1" applyBorder="1" applyAlignment="1" applyProtection="1">
      <alignment horizontal="center" vertical="center"/>
    </xf>
    <xf numFmtId="0" fontId="20" fillId="28" borderId="21" xfId="0" applyFont="1" applyFill="1" applyBorder="1" applyAlignment="1" applyProtection="1">
      <alignment horizontal="center" vertical="center" wrapText="1"/>
    </xf>
    <xf numFmtId="0" fontId="20" fillId="28" borderId="72" xfId="0" applyFont="1" applyFill="1" applyBorder="1" applyAlignment="1" applyProtection="1">
      <alignment horizontal="center" vertical="center" wrapText="1"/>
    </xf>
    <xf numFmtId="0" fontId="20" fillId="28" borderId="64" xfId="0" applyFont="1" applyFill="1" applyBorder="1" applyAlignment="1" applyProtection="1">
      <alignment horizontal="center" vertical="center" wrapText="1"/>
    </xf>
    <xf numFmtId="0" fontId="15" fillId="0" borderId="76" xfId="0" applyFont="1" applyFill="1" applyBorder="1" applyAlignment="1" applyProtection="1">
      <alignment horizontal="center" textRotation="90" wrapText="1"/>
    </xf>
    <xf numFmtId="0" fontId="15" fillId="0" borderId="77" xfId="0" applyFont="1" applyFill="1" applyBorder="1" applyAlignment="1" applyProtection="1">
      <alignment horizontal="center" textRotation="90" wrapText="1"/>
    </xf>
    <xf numFmtId="0" fontId="20" fillId="29" borderId="21" xfId="0" applyFont="1" applyFill="1" applyBorder="1" applyAlignment="1" applyProtection="1">
      <alignment horizontal="center" vertical="center" wrapText="1"/>
    </xf>
    <xf numFmtId="0" fontId="20" fillId="29" borderId="72" xfId="0" applyFont="1" applyFill="1" applyBorder="1" applyAlignment="1" applyProtection="1">
      <alignment horizontal="center" vertical="center" wrapText="1"/>
    </xf>
    <xf numFmtId="0" fontId="20" fillId="29" borderId="64" xfId="0" applyFont="1" applyFill="1" applyBorder="1" applyAlignment="1" applyProtection="1">
      <alignment horizontal="center" vertical="center" wrapText="1"/>
    </xf>
    <xf numFmtId="0" fontId="15" fillId="0" borderId="70" xfId="0" applyFont="1" applyFill="1" applyBorder="1" applyAlignment="1" applyProtection="1">
      <alignment horizontal="center" textRotation="90" wrapText="1"/>
    </xf>
    <xf numFmtId="0" fontId="15" fillId="0" borderId="32" xfId="0" applyFont="1" applyFill="1" applyBorder="1" applyAlignment="1" applyProtection="1">
      <alignment horizontal="center" textRotation="90" wrapText="1"/>
    </xf>
    <xf numFmtId="0" fontId="15" fillId="0" borderId="33" xfId="0" applyFont="1" applyFill="1" applyBorder="1" applyAlignment="1" applyProtection="1">
      <alignment horizontal="center" wrapText="1"/>
    </xf>
    <xf numFmtId="0" fontId="15" fillId="0" borderId="70" xfId="0" applyFont="1" applyFill="1" applyBorder="1" applyAlignment="1" applyProtection="1">
      <alignment horizontal="center" wrapText="1"/>
    </xf>
    <xf numFmtId="0" fontId="15" fillId="0" borderId="68" xfId="0" applyFont="1" applyFill="1" applyBorder="1" applyAlignment="1" applyProtection="1">
      <alignment horizontal="center" vertical="center" wrapText="1"/>
    </xf>
    <xf numFmtId="0" fontId="15" fillId="0" borderId="30" xfId="0" applyFont="1" applyFill="1" applyBorder="1" applyAlignment="1" applyProtection="1">
      <alignment horizontal="center" vertical="center" wrapText="1"/>
    </xf>
    <xf numFmtId="0" fontId="15" fillId="0" borderId="27" xfId="0" applyFont="1" applyFill="1" applyBorder="1" applyAlignment="1" applyProtection="1">
      <alignment horizontal="center" vertical="center" wrapText="1"/>
    </xf>
    <xf numFmtId="0" fontId="15" fillId="0" borderId="28" xfId="0" applyFont="1" applyFill="1" applyBorder="1" applyAlignment="1" applyProtection="1">
      <alignment horizontal="center" textRotation="90" wrapText="1"/>
    </xf>
    <xf numFmtId="0" fontId="15" fillId="0" borderId="29" xfId="0" applyFont="1" applyFill="1" applyBorder="1" applyAlignment="1" applyProtection="1">
      <alignment horizontal="center" textRotation="90" wrapText="1"/>
    </xf>
    <xf numFmtId="0" fontId="20" fillId="32" borderId="21" xfId="0" applyFont="1" applyFill="1" applyBorder="1" applyAlignment="1" applyProtection="1">
      <alignment horizontal="center" vertical="center" wrapText="1"/>
    </xf>
    <xf numFmtId="0" fontId="20" fillId="32" borderId="72" xfId="0" applyFont="1" applyFill="1" applyBorder="1" applyAlignment="1" applyProtection="1">
      <alignment horizontal="center" vertical="center" wrapText="1"/>
    </xf>
    <xf numFmtId="0" fontId="20" fillId="32" borderId="64" xfId="0" applyFont="1" applyFill="1" applyBorder="1" applyAlignment="1" applyProtection="1">
      <alignment horizontal="center" vertical="center" wrapText="1"/>
    </xf>
    <xf numFmtId="0" fontId="9" fillId="0" borderId="73" xfId="0" applyFont="1" applyFill="1" applyBorder="1" applyAlignment="1" applyProtection="1">
      <alignment horizontal="center" vertical="center" wrapText="1"/>
    </xf>
    <xf numFmtId="0" fontId="9" fillId="0" borderId="74" xfId="0" applyFont="1" applyFill="1" applyBorder="1" applyAlignment="1" applyProtection="1">
      <alignment horizontal="center" vertical="center" wrapText="1"/>
    </xf>
    <xf numFmtId="0" fontId="12" fillId="0" borderId="25" xfId="0" applyFont="1" applyFill="1" applyBorder="1" applyAlignment="1">
      <alignment horizontal="justify" vertical="center" wrapText="1"/>
    </xf>
    <xf numFmtId="0" fontId="12" fillId="0" borderId="26" xfId="0" applyFont="1" applyFill="1" applyBorder="1" applyAlignment="1">
      <alignment horizontal="justify" vertical="center" wrapText="1"/>
    </xf>
    <xf numFmtId="0" fontId="9" fillId="0" borderId="78" xfId="0" applyFont="1" applyFill="1" applyBorder="1" applyAlignment="1" applyProtection="1">
      <alignment horizontal="center" vertical="center" wrapText="1"/>
    </xf>
    <xf numFmtId="0" fontId="9" fillId="0" borderId="79" xfId="0" applyFont="1" applyFill="1" applyBorder="1" applyAlignment="1" applyProtection="1">
      <alignment horizontal="center" vertical="center" wrapText="1"/>
    </xf>
    <xf numFmtId="0" fontId="9" fillId="0" borderId="80" xfId="0" applyFont="1" applyFill="1" applyBorder="1" applyAlignment="1" applyProtection="1">
      <alignment horizontal="center" vertical="center" wrapText="1"/>
    </xf>
    <xf numFmtId="0" fontId="24" fillId="0" borderId="23"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4" fillId="0" borderId="26" xfId="0" applyFont="1" applyFill="1" applyBorder="1" applyAlignment="1" applyProtection="1">
      <alignment horizontal="center" vertical="center"/>
    </xf>
    <xf numFmtId="0" fontId="12" fillId="0" borderId="18" xfId="0" applyFont="1" applyFill="1" applyBorder="1" applyAlignment="1">
      <alignment horizontal="justify" vertical="center"/>
    </xf>
    <xf numFmtId="0" fontId="9" fillId="0" borderId="49" xfId="0" applyFont="1" applyFill="1" applyBorder="1" applyAlignment="1" applyProtection="1">
      <alignment horizontal="center" textRotation="90" wrapText="1"/>
    </xf>
    <xf numFmtId="0" fontId="9" fillId="0" borderId="81" xfId="0" applyFont="1" applyFill="1" applyBorder="1" applyAlignment="1" applyProtection="1">
      <alignment horizontal="center" textRotation="90" wrapText="1"/>
    </xf>
    <xf numFmtId="0" fontId="15" fillId="34" borderId="28" xfId="0" applyFont="1" applyFill="1" applyBorder="1" applyAlignment="1" applyProtection="1">
      <alignment horizontal="center" vertical="top" wrapText="1"/>
    </xf>
    <xf numFmtId="0" fontId="15" fillId="34" borderId="34" xfId="0" applyFont="1" applyFill="1" applyBorder="1" applyAlignment="1" applyProtection="1">
      <alignment horizontal="center" vertical="top" wrapText="1"/>
    </xf>
    <xf numFmtId="3" fontId="6" fillId="74" borderId="18" xfId="0" applyNumberFormat="1" applyFont="1" applyFill="1" applyBorder="1" applyAlignment="1" applyProtection="1">
      <alignment horizontal="center" vertical="center" wrapText="1"/>
    </xf>
    <xf numFmtId="0" fontId="24" fillId="76" borderId="18"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xf>
    <xf numFmtId="0" fontId="58" fillId="0" borderId="0" xfId="0" applyFont="1" applyFill="1" applyAlignment="1" applyProtection="1">
      <alignment horizontal="justify" vertical="justify" wrapText="1"/>
    </xf>
    <xf numFmtId="0" fontId="24" fillId="0" borderId="18" xfId="0" applyFont="1" applyFill="1" applyBorder="1" applyAlignment="1">
      <alignment horizontal="left" vertical="center" wrapText="1"/>
    </xf>
    <xf numFmtId="0" fontId="0" fillId="0" borderId="18" xfId="0" applyBorder="1" applyAlignment="1">
      <alignment horizontal="left" vertical="center" wrapText="1"/>
    </xf>
    <xf numFmtId="10" fontId="15" fillId="0" borderId="68" xfId="0" applyNumberFormat="1" applyFont="1" applyFill="1" applyBorder="1" applyAlignment="1" applyProtection="1">
      <alignment horizontal="center" vertical="center"/>
    </xf>
    <xf numFmtId="10" fontId="15" fillId="0" borderId="30" xfId="0" applyNumberFormat="1" applyFont="1" applyFill="1" applyBorder="1" applyAlignment="1" applyProtection="1">
      <alignment horizontal="center" vertical="center"/>
    </xf>
    <xf numFmtId="10" fontId="15" fillId="0" borderId="27" xfId="0" applyNumberFormat="1" applyFont="1" applyFill="1" applyBorder="1" applyAlignment="1" applyProtection="1">
      <alignment horizontal="center" vertical="center"/>
    </xf>
    <xf numFmtId="10" fontId="15" fillId="0" borderId="46" xfId="0" applyNumberFormat="1" applyFont="1" applyFill="1" applyBorder="1" applyAlignment="1" applyProtection="1">
      <alignment horizontal="center" vertical="center"/>
    </xf>
    <xf numFmtId="10" fontId="15" fillId="0" borderId="95" xfId="0" applyNumberFormat="1" applyFont="1" applyFill="1" applyBorder="1" applyAlignment="1" applyProtection="1">
      <alignment horizontal="center" vertical="center"/>
    </xf>
    <xf numFmtId="10" fontId="15" fillId="0" borderId="96" xfId="0" applyNumberFormat="1" applyFont="1" applyFill="1" applyBorder="1" applyAlignment="1" applyProtection="1">
      <alignment horizontal="center" vertical="center"/>
    </xf>
    <xf numFmtId="0" fontId="15" fillId="0" borderId="68" xfId="0" applyNumberFormat="1" applyFont="1" applyFill="1" applyBorder="1" applyAlignment="1" applyProtection="1">
      <alignment horizontal="center" vertical="center"/>
    </xf>
    <xf numFmtId="0" fontId="15" fillId="0" borderId="27" xfId="0" applyNumberFormat="1" applyFont="1" applyFill="1" applyBorder="1" applyAlignment="1" applyProtection="1">
      <alignment horizontal="center" vertical="center"/>
    </xf>
    <xf numFmtId="0" fontId="15" fillId="0" borderId="46" xfId="0" applyNumberFormat="1" applyFont="1" applyFill="1" applyBorder="1" applyAlignment="1" applyProtection="1">
      <alignment horizontal="center" vertical="center"/>
    </xf>
    <xf numFmtId="0" fontId="15" fillId="0" borderId="96" xfId="0" applyNumberFormat="1" applyFont="1" applyFill="1" applyBorder="1" applyAlignment="1" applyProtection="1">
      <alignment horizontal="center" vertical="center"/>
    </xf>
    <xf numFmtId="0" fontId="9" fillId="36" borderId="23" xfId="516" applyFont="1" applyFill="1" applyBorder="1" applyAlignment="1" applyProtection="1">
      <alignment vertical="center"/>
    </xf>
    <xf numFmtId="0" fontId="9" fillId="36" borderId="25" xfId="516" applyFont="1" applyFill="1" applyBorder="1" applyAlignment="1" applyProtection="1">
      <alignment vertical="center"/>
    </xf>
    <xf numFmtId="0" fontId="9" fillId="36" borderId="26" xfId="516" applyFont="1" applyFill="1" applyBorder="1" applyAlignment="1" applyProtection="1">
      <alignment vertical="center"/>
    </xf>
    <xf numFmtId="0" fontId="9" fillId="0" borderId="33" xfId="0" applyFont="1" applyFill="1" applyBorder="1" applyAlignment="1" applyProtection="1">
      <alignment horizontal="center" textRotation="90" wrapText="1"/>
    </xf>
    <xf numFmtId="0" fontId="9" fillId="0" borderId="71" xfId="0" applyFont="1" applyFill="1" applyBorder="1" applyAlignment="1" applyProtection="1">
      <alignment horizontal="center" textRotation="90" wrapText="1"/>
    </xf>
    <xf numFmtId="14" fontId="27" fillId="36" borderId="23" xfId="0" applyNumberFormat="1" applyFont="1" applyFill="1" applyBorder="1" applyAlignment="1" applyProtection="1">
      <alignment horizontal="center" vertical="center"/>
    </xf>
    <xf numFmtId="14" fontId="27" fillId="36" borderId="25" xfId="0" applyNumberFormat="1" applyFont="1" applyFill="1" applyBorder="1" applyAlignment="1" applyProtection="1">
      <alignment horizontal="center" vertical="center"/>
    </xf>
    <xf numFmtId="14" fontId="27" fillId="36" borderId="26" xfId="0" applyNumberFormat="1" applyFont="1" applyFill="1" applyBorder="1" applyAlignment="1" applyProtection="1">
      <alignment horizontal="center" vertical="center"/>
    </xf>
    <xf numFmtId="0" fontId="20" fillId="28" borderId="19" xfId="0" applyFont="1" applyFill="1" applyBorder="1" applyAlignment="1" applyProtection="1">
      <alignment horizontal="center" vertical="center"/>
    </xf>
    <xf numFmtId="0" fontId="20" fillId="28" borderId="75" xfId="0" applyFont="1" applyFill="1" applyBorder="1" applyAlignment="1" applyProtection="1">
      <alignment horizontal="center" vertical="center"/>
    </xf>
    <xf numFmtId="0" fontId="20" fillId="28" borderId="63" xfId="0" applyFont="1" applyFill="1" applyBorder="1" applyAlignment="1" applyProtection="1">
      <alignment horizontal="center" vertical="center"/>
    </xf>
    <xf numFmtId="0" fontId="15" fillId="0" borderId="82" xfId="0" applyFont="1" applyFill="1" applyBorder="1" applyAlignment="1" applyProtection="1">
      <alignment horizontal="center" textRotation="90" wrapText="1"/>
    </xf>
    <xf numFmtId="0" fontId="15" fillId="0" borderId="83" xfId="0" applyFont="1" applyFill="1" applyBorder="1" applyAlignment="1" applyProtection="1">
      <alignment horizontal="center" textRotation="90" wrapText="1"/>
    </xf>
    <xf numFmtId="0" fontId="9" fillId="36" borderId="23" xfId="516" applyFont="1" applyFill="1" applyBorder="1" applyAlignment="1" applyProtection="1">
      <alignment horizontal="left" vertical="center"/>
    </xf>
    <xf numFmtId="0" fontId="9" fillId="36" borderId="25" xfId="516" applyFont="1" applyFill="1" applyBorder="1" applyAlignment="1" applyProtection="1">
      <alignment horizontal="left" vertical="center"/>
    </xf>
    <xf numFmtId="0" fontId="9" fillId="36" borderId="26" xfId="516" applyFont="1" applyFill="1" applyBorder="1" applyAlignment="1" applyProtection="1">
      <alignment horizontal="left" vertical="center"/>
    </xf>
    <xf numFmtId="0" fontId="23" fillId="31" borderId="21" xfId="0" applyFont="1" applyFill="1" applyBorder="1" applyAlignment="1" applyProtection="1">
      <alignment horizontal="center" vertical="center" wrapText="1"/>
    </xf>
    <xf numFmtId="0" fontId="23" fillId="31" borderId="72" xfId="0" applyFont="1" applyFill="1" applyBorder="1" applyAlignment="1" applyProtection="1">
      <alignment horizontal="center" vertical="center" wrapText="1"/>
    </xf>
    <xf numFmtId="0" fontId="12" fillId="0" borderId="0" xfId="0" applyFont="1" applyFill="1" applyAlignment="1">
      <alignment horizontal="left" vertical="center" wrapText="1"/>
    </xf>
    <xf numFmtId="0" fontId="24" fillId="0" borderId="23" xfId="0" applyFont="1" applyFill="1" applyBorder="1" applyAlignment="1">
      <alignment horizontal="center" vertical="center"/>
    </xf>
    <xf numFmtId="0" fontId="24" fillId="0" borderId="26" xfId="0" applyFont="1" applyFill="1" applyBorder="1" applyAlignment="1">
      <alignment horizontal="center" vertical="center"/>
    </xf>
    <xf numFmtId="0" fontId="27" fillId="0" borderId="18" xfId="0" applyFont="1" applyBorder="1" applyAlignment="1" applyProtection="1">
      <alignment horizontal="center" vertical="center"/>
    </xf>
    <xf numFmtId="0" fontId="11" fillId="0" borderId="18" xfId="0" applyFont="1" applyBorder="1" applyAlignment="1">
      <alignment horizontal="center" vertical="center"/>
    </xf>
    <xf numFmtId="0" fontId="27" fillId="0" borderId="19" xfId="0" applyFont="1" applyBorder="1" applyAlignment="1" applyProtection="1">
      <alignment horizontal="center" vertical="center" wrapText="1"/>
    </xf>
    <xf numFmtId="0" fontId="11" fillId="0" borderId="21" xfId="0" applyFont="1" applyBorder="1" applyAlignment="1">
      <alignment horizontal="center" vertical="center"/>
    </xf>
    <xf numFmtId="0" fontId="27" fillId="0" borderId="22" xfId="0" applyFont="1" applyBorder="1" applyAlignment="1" applyProtection="1">
      <alignment horizontal="center" vertical="center" wrapText="1"/>
    </xf>
    <xf numFmtId="0" fontId="27" fillId="0" borderId="24" xfId="0" applyFont="1" applyBorder="1" applyAlignment="1" applyProtection="1">
      <alignment horizontal="center" vertical="center" wrapText="1"/>
    </xf>
    <xf numFmtId="0" fontId="27" fillId="0" borderId="18" xfId="0" applyFont="1" applyBorder="1" applyAlignment="1" applyProtection="1">
      <alignment horizontal="center" vertical="center" wrapText="1"/>
    </xf>
    <xf numFmtId="0" fontId="12" fillId="29" borderId="34" xfId="0" applyFont="1" applyFill="1" applyBorder="1" applyAlignment="1">
      <alignment horizontal="center" vertical="center" wrapText="1"/>
    </xf>
    <xf numFmtId="0" fontId="80" fillId="29" borderId="34" xfId="0" applyFont="1" applyFill="1" applyBorder="1" applyAlignment="1">
      <alignment horizontal="center" vertical="center" wrapText="1"/>
    </xf>
    <xf numFmtId="0" fontId="12" fillId="38" borderId="34" xfId="0" applyNumberFormat="1" applyFont="1" applyFill="1" applyBorder="1" applyAlignment="1" applyProtection="1">
      <alignment horizontal="center" vertical="center" wrapText="1"/>
    </xf>
    <xf numFmtId="0" fontId="12" fillId="38" borderId="34" xfId="0" applyFont="1" applyFill="1" applyBorder="1" applyAlignment="1">
      <alignment horizontal="center" vertical="center" wrapText="1"/>
    </xf>
    <xf numFmtId="0" fontId="80" fillId="38" borderId="34" xfId="0" applyFont="1" applyFill="1" applyBorder="1" applyAlignment="1">
      <alignment horizontal="center" vertical="center" wrapText="1"/>
    </xf>
    <xf numFmtId="0" fontId="20" fillId="0" borderId="18" xfId="0" applyFont="1" applyFill="1" applyBorder="1" applyAlignment="1" applyProtection="1">
      <alignment horizontal="left" vertical="center" wrapText="1"/>
      <protection locked="0"/>
    </xf>
    <xf numFmtId="0" fontId="65" fillId="0" borderId="18" xfId="0" applyFont="1" applyFill="1" applyBorder="1" applyAlignment="1" applyProtection="1">
      <alignment horizontal="left" vertical="center"/>
      <protection locked="0"/>
    </xf>
    <xf numFmtId="0" fontId="27" fillId="0" borderId="19" xfId="0" applyFont="1" applyFill="1" applyBorder="1" applyAlignment="1" applyProtection="1">
      <alignment horizontal="center" vertical="center" wrapText="1"/>
    </xf>
    <xf numFmtId="0" fontId="11" fillId="0" borderId="21" xfId="0" applyFont="1" applyFill="1" applyBorder="1" applyAlignment="1" applyProtection="1">
      <alignment horizontal="center" vertical="center"/>
    </xf>
    <xf numFmtId="0" fontId="27" fillId="0" borderId="19" xfId="0" applyFont="1" applyFill="1" applyBorder="1" applyAlignment="1" applyProtection="1">
      <alignment horizontal="center" vertical="center"/>
    </xf>
    <xf numFmtId="0" fontId="27" fillId="0" borderId="18" xfId="0" applyFont="1" applyFill="1" applyBorder="1" applyAlignment="1" applyProtection="1">
      <alignment horizontal="left" vertical="center" wrapText="1"/>
    </xf>
    <xf numFmtId="0" fontId="11" fillId="0" borderId="18" xfId="0" applyFont="1" applyFill="1" applyBorder="1" applyAlignment="1" applyProtection="1">
      <alignment horizontal="left" vertical="center"/>
    </xf>
  </cellXfs>
  <cellStyles count="584">
    <cellStyle name="20 % - Akzent1 2" xfId="1"/>
    <cellStyle name="20 % - Akzent1 2 2" xfId="2"/>
    <cellStyle name="20 % - Akzent1 2 3" xfId="3"/>
    <cellStyle name="20 % - Akzent1 2 3 2" xfId="4"/>
    <cellStyle name="20 % - Akzent1 2 3 2 2" xfId="5"/>
    <cellStyle name="20 % - Akzent1 2 3 2 3" xfId="6"/>
    <cellStyle name="20 % - Akzent1 2 3 3" xfId="7"/>
    <cellStyle name="20 % - Akzent1 2 4" xfId="8"/>
    <cellStyle name="20 % - Akzent1 3" xfId="9"/>
    <cellStyle name="20 % - Akzent1 3 2" xfId="10"/>
    <cellStyle name="20 % - Akzent1 3 3" xfId="11"/>
    <cellStyle name="20 % - Akzent1 4" xfId="12"/>
    <cellStyle name="20 % - Akzent1 4 2" xfId="13"/>
    <cellStyle name="20 % - Akzent1 4 3" xfId="14"/>
    <cellStyle name="20 % - Akzent1 5" xfId="15"/>
    <cellStyle name="20 % - Akzent1 6" xfId="16"/>
    <cellStyle name="20 % - Akzent1 7" xfId="17"/>
    <cellStyle name="20 % - Akzent2 2" xfId="18"/>
    <cellStyle name="20 % - Akzent2 2 2" xfId="19"/>
    <cellStyle name="20 % - Akzent2 2 3" xfId="20"/>
    <cellStyle name="20 % - Akzent2 2 3 2" xfId="21"/>
    <cellStyle name="20 % - Akzent2 2 3 2 2" xfId="22"/>
    <cellStyle name="20 % - Akzent2 2 3 2 3" xfId="23"/>
    <cellStyle name="20 % - Akzent2 2 3 3" xfId="24"/>
    <cellStyle name="20 % - Akzent2 2 4" xfId="25"/>
    <cellStyle name="20 % - Akzent2 3" xfId="26"/>
    <cellStyle name="20 % - Akzent2 3 2" xfId="27"/>
    <cellStyle name="20 % - Akzent2 3 3" xfId="28"/>
    <cellStyle name="20 % - Akzent2 4" xfId="29"/>
    <cellStyle name="20 % - Akzent2 4 2" xfId="30"/>
    <cellStyle name="20 % - Akzent2 4 3" xfId="31"/>
    <cellStyle name="20 % - Akzent2 5" xfId="32"/>
    <cellStyle name="20 % - Akzent2 6" xfId="33"/>
    <cellStyle name="20 % - Akzent2 7" xfId="34"/>
    <cellStyle name="20 % - Akzent3 2" xfId="35"/>
    <cellStyle name="20 % - Akzent3 2 2" xfId="36"/>
    <cellStyle name="20 % - Akzent3 2 3" xfId="37"/>
    <cellStyle name="20 % - Akzent3 2 3 2" xfId="38"/>
    <cellStyle name="20 % - Akzent3 2 3 2 2" xfId="39"/>
    <cellStyle name="20 % - Akzent3 2 3 2 3" xfId="40"/>
    <cellStyle name="20 % - Akzent3 2 3 3" xfId="41"/>
    <cellStyle name="20 % - Akzent3 2 4" xfId="42"/>
    <cellStyle name="20 % - Akzent3 3" xfId="43"/>
    <cellStyle name="20 % - Akzent3 3 2" xfId="44"/>
    <cellStyle name="20 % - Akzent3 3 3" xfId="45"/>
    <cellStyle name="20 % - Akzent3 4" xfId="46"/>
    <cellStyle name="20 % - Akzent3 4 2" xfId="47"/>
    <cellStyle name="20 % - Akzent3 4 3" xfId="48"/>
    <cellStyle name="20 % - Akzent3 5" xfId="49"/>
    <cellStyle name="20 % - Akzent3 6" xfId="50"/>
    <cellStyle name="20 % - Akzent3 7" xfId="51"/>
    <cellStyle name="20 % - Akzent4 2" xfId="52"/>
    <cellStyle name="20 % - Akzent4 2 2" xfId="53"/>
    <cellStyle name="20 % - Akzent4 2 3" xfId="54"/>
    <cellStyle name="20 % - Akzent4 2 3 2" xfId="55"/>
    <cellStyle name="20 % - Akzent4 2 3 2 2" xfId="56"/>
    <cellStyle name="20 % - Akzent4 2 3 2 3" xfId="57"/>
    <cellStyle name="20 % - Akzent4 2 3 3" xfId="58"/>
    <cellStyle name="20 % - Akzent4 2 4" xfId="59"/>
    <cellStyle name="20 % - Akzent4 3" xfId="60"/>
    <cellStyle name="20 % - Akzent4 3 2" xfId="61"/>
    <cellStyle name="20 % - Akzent4 3 3" xfId="62"/>
    <cellStyle name="20 % - Akzent4 4" xfId="63"/>
    <cellStyle name="20 % - Akzent4 4 2" xfId="64"/>
    <cellStyle name="20 % - Akzent4 4 3" xfId="65"/>
    <cellStyle name="20 % - Akzent4 5" xfId="66"/>
    <cellStyle name="20 % - Akzent4 6" xfId="67"/>
    <cellStyle name="20 % - Akzent4 7" xfId="68"/>
    <cellStyle name="20 % - Akzent5 2" xfId="69"/>
    <cellStyle name="20 % - Akzent5 2 2" xfId="70"/>
    <cellStyle name="20 % - Akzent5 2 2 2" xfId="71"/>
    <cellStyle name="20 % - Akzent5 2 2 3" xfId="72"/>
    <cellStyle name="20 % - Akzent5 2 3" xfId="73"/>
    <cellStyle name="20 % - Akzent5 3" xfId="74"/>
    <cellStyle name="20 % - Akzent5 3 2" xfId="75"/>
    <cellStyle name="20 % - Akzent5 3 3" xfId="76"/>
    <cellStyle name="20 % - Akzent5 4" xfId="77"/>
    <cellStyle name="20 % - Akzent5 4 2" xfId="78"/>
    <cellStyle name="20 % - Akzent5 4 3" xfId="79"/>
    <cellStyle name="20 % - Akzent5 5" xfId="80"/>
    <cellStyle name="20 % - Akzent5 6" xfId="81"/>
    <cellStyle name="20 % - Akzent5 7" xfId="82"/>
    <cellStyle name="20 % - Akzent6 2" xfId="83"/>
    <cellStyle name="20 % - Akzent6 3" xfId="84"/>
    <cellStyle name="20 % - Akzent6 3 2" xfId="85"/>
    <cellStyle name="20 % - Akzent6 3 3" xfId="86"/>
    <cellStyle name="20 % - Akzent6 4" xfId="87"/>
    <cellStyle name="20 % - Akzent6 4 2" xfId="88"/>
    <cellStyle name="20 % - Akzent6 4 3" xfId="89"/>
    <cellStyle name="20 % - Akzent6 5" xfId="90"/>
    <cellStyle name="20 % - Akzent6 6" xfId="91"/>
    <cellStyle name="20 % - Akzent6 7" xfId="92"/>
    <cellStyle name="40 % - Akzent1 2" xfId="93"/>
    <cellStyle name="40 % - Akzent1 2 2" xfId="94"/>
    <cellStyle name="40 % - Akzent1 2 3" xfId="95"/>
    <cellStyle name="40 % - Akzent1 3" xfId="96"/>
    <cellStyle name="40 % - Akzent1 3 2" xfId="97"/>
    <cellStyle name="40 % - Akzent1 3 3" xfId="98"/>
    <cellStyle name="40 % - Akzent1 4" xfId="99"/>
    <cellStyle name="40 % - Akzent1 4 2" xfId="100"/>
    <cellStyle name="40 % - Akzent1 4 3" xfId="101"/>
    <cellStyle name="40 % - Akzent1 5" xfId="102"/>
    <cellStyle name="40 % - Akzent1 6" xfId="103"/>
    <cellStyle name="40 % - Akzent1 7" xfId="104"/>
    <cellStyle name="40 % - Akzent2 2" xfId="105"/>
    <cellStyle name="40 % - Akzent2 3" xfId="106"/>
    <cellStyle name="40 % - Akzent2 3 2" xfId="107"/>
    <cellStyle name="40 % - Akzent2 3 3" xfId="108"/>
    <cellStyle name="40 % - Akzent2 4" xfId="109"/>
    <cellStyle name="40 % - Akzent2 4 2" xfId="110"/>
    <cellStyle name="40 % - Akzent2 4 3" xfId="111"/>
    <cellStyle name="40 % - Akzent2 5" xfId="112"/>
    <cellStyle name="40 % - Akzent2 6" xfId="113"/>
    <cellStyle name="40 % - Akzent2 7" xfId="114"/>
    <cellStyle name="40 % - Akzent3 2" xfId="115"/>
    <cellStyle name="40 % - Akzent3 2 2" xfId="116"/>
    <cellStyle name="40 % - Akzent3 2 3" xfId="117"/>
    <cellStyle name="40 % - Akzent3 2 3 2" xfId="118"/>
    <cellStyle name="40 % - Akzent3 2 3 2 2" xfId="119"/>
    <cellStyle name="40 % - Akzent3 2 3 2 3" xfId="120"/>
    <cellStyle name="40 % - Akzent3 2 3 3" xfId="121"/>
    <cellStyle name="40 % - Akzent3 2 4" xfId="122"/>
    <cellStyle name="40 % - Akzent3 3" xfId="123"/>
    <cellStyle name="40 % - Akzent3 3 2" xfId="124"/>
    <cellStyle name="40 % - Akzent3 3 3" xfId="125"/>
    <cellStyle name="40 % - Akzent3 4" xfId="126"/>
    <cellStyle name="40 % - Akzent3 4 2" xfId="127"/>
    <cellStyle name="40 % - Akzent3 4 3" xfId="128"/>
    <cellStyle name="40 % - Akzent3 5" xfId="129"/>
    <cellStyle name="40 % - Akzent3 6" xfId="130"/>
    <cellStyle name="40 % - Akzent3 7" xfId="131"/>
    <cellStyle name="40 % - Akzent4 2" xfId="132"/>
    <cellStyle name="40 % - Akzent4 2 2" xfId="133"/>
    <cellStyle name="40 % - Akzent4 2 2 2" xfId="134"/>
    <cellStyle name="40 % - Akzent4 2 2 3" xfId="135"/>
    <cellStyle name="40 % - Akzent4 2 3" xfId="136"/>
    <cellStyle name="40 % - Akzent4 3" xfId="137"/>
    <cellStyle name="40 % - Akzent4 3 2" xfId="138"/>
    <cellStyle name="40 % - Akzent4 3 3" xfId="139"/>
    <cellStyle name="40 % - Akzent4 4" xfId="140"/>
    <cellStyle name="40 % - Akzent4 4 2" xfId="141"/>
    <cellStyle name="40 % - Akzent4 4 3" xfId="142"/>
    <cellStyle name="40 % - Akzent4 5" xfId="143"/>
    <cellStyle name="40 % - Akzent4 6" xfId="144"/>
    <cellStyle name="40 % - Akzent4 7" xfId="145"/>
    <cellStyle name="40 % - Akzent5 2" xfId="146"/>
    <cellStyle name="40 % - Akzent5 2 2" xfId="147"/>
    <cellStyle name="40 % - Akzent5 2 3" xfId="148"/>
    <cellStyle name="40 % - Akzent5 3" xfId="149"/>
    <cellStyle name="40 % - Akzent5 3 2" xfId="150"/>
    <cellStyle name="40 % - Akzent5 3 3" xfId="151"/>
    <cellStyle name="40 % - Akzent5 4" xfId="152"/>
    <cellStyle name="40 % - Akzent5 4 2" xfId="153"/>
    <cellStyle name="40 % - Akzent5 4 3" xfId="154"/>
    <cellStyle name="40 % - Akzent5 5" xfId="155"/>
    <cellStyle name="40 % - Akzent5 6" xfId="156"/>
    <cellStyle name="40 % - Akzent5 7" xfId="157"/>
    <cellStyle name="40 % - Akzent6 2" xfId="158"/>
    <cellStyle name="40 % - Akzent6 2 2" xfId="159"/>
    <cellStyle name="40 % - Akzent6 2 2 2" xfId="160"/>
    <cellStyle name="40 % - Akzent6 2 2 3" xfId="161"/>
    <cellStyle name="40 % - Akzent6 2 3" xfId="162"/>
    <cellStyle name="40 % - Akzent6 3" xfId="163"/>
    <cellStyle name="40 % - Akzent6 3 2" xfId="164"/>
    <cellStyle name="40 % - Akzent6 3 3" xfId="165"/>
    <cellStyle name="40 % - Akzent6 4" xfId="166"/>
    <cellStyle name="40 % - Akzent6 4 2" xfId="167"/>
    <cellStyle name="40 % - Akzent6 4 3" xfId="168"/>
    <cellStyle name="40 % - Akzent6 5" xfId="169"/>
    <cellStyle name="40 % - Akzent6 6" xfId="170"/>
    <cellStyle name="40 % - Akzent6 7" xfId="171"/>
    <cellStyle name="60 % - Akzent1 2" xfId="172"/>
    <cellStyle name="60 % - Akzent1 2 2" xfId="173"/>
    <cellStyle name="60 % - Akzent1 2 2 2" xfId="174"/>
    <cellStyle name="60 % - Akzent1 2 2 3" xfId="175"/>
    <cellStyle name="60 % - Akzent1 2 3" xfId="176"/>
    <cellStyle name="60 % - Akzent1 3" xfId="177"/>
    <cellStyle name="60 % - Akzent1 4" xfId="178"/>
    <cellStyle name="60 % - Akzent1 5" xfId="179"/>
    <cellStyle name="60 % - Akzent1 6" xfId="180"/>
    <cellStyle name="60 % - Akzent2 2" xfId="181"/>
    <cellStyle name="60 % - Akzent2 3" xfId="182"/>
    <cellStyle name="60 % - Akzent2 4" xfId="183"/>
    <cellStyle name="60 % - Akzent2 5" xfId="184"/>
    <cellStyle name="60 % - Akzent2 6" xfId="185"/>
    <cellStyle name="60 % - Akzent3 2" xfId="186"/>
    <cellStyle name="60 % - Akzent3 3" xfId="187"/>
    <cellStyle name="60 % - Akzent3 4" xfId="188"/>
    <cellStyle name="60 % - Akzent3 5" xfId="189"/>
    <cellStyle name="60 % - Akzent3 6" xfId="190"/>
    <cellStyle name="60 % - Akzent4 2" xfId="191"/>
    <cellStyle name="60 % - Akzent4 2 2" xfId="192"/>
    <cellStyle name="60 % - Akzent4 2 3" xfId="193"/>
    <cellStyle name="60 % - Akzent4 2 3 2" xfId="194"/>
    <cellStyle name="60 % - Akzent4 2 3 2 2" xfId="195"/>
    <cellStyle name="60 % - Akzent4 2 3 2 3" xfId="196"/>
    <cellStyle name="60 % - Akzent4 2 3 3" xfId="197"/>
    <cellStyle name="60 % - Akzent4 2 4" xfId="198"/>
    <cellStyle name="60 % - Akzent4 3" xfId="199"/>
    <cellStyle name="60 % - Akzent4 4" xfId="200"/>
    <cellStyle name="60 % - Akzent4 5" xfId="201"/>
    <cellStyle name="60 % - Akzent4 6" xfId="202"/>
    <cellStyle name="60 % - Akzent5 2" xfId="203"/>
    <cellStyle name="60 % - Akzent5 2 2" xfId="204"/>
    <cellStyle name="60 % - Akzent5 2 2 2" xfId="205"/>
    <cellStyle name="60 % - Akzent5 2 2 3" xfId="206"/>
    <cellStyle name="60 % - Akzent5 2 3" xfId="207"/>
    <cellStyle name="60 % - Akzent5 3" xfId="208"/>
    <cellStyle name="60 % - Akzent5 4" xfId="209"/>
    <cellStyle name="60 % - Akzent5 5" xfId="210"/>
    <cellStyle name="60 % - Akzent5 6" xfId="211"/>
    <cellStyle name="60 % - Akzent6 2" xfId="212"/>
    <cellStyle name="60 % - Akzent6 2 2" xfId="213"/>
    <cellStyle name="60 % - Akzent6 2 3" xfId="214"/>
    <cellStyle name="60 % - Akzent6 2 3 2" xfId="215"/>
    <cellStyle name="60 % - Akzent6 2 3 2 2" xfId="216"/>
    <cellStyle name="60 % - Akzent6 2 3 2 3" xfId="217"/>
    <cellStyle name="60 % - Akzent6 2 3 3" xfId="218"/>
    <cellStyle name="60 % - Akzent6 2 4" xfId="219"/>
    <cellStyle name="60 % - Akzent6 3" xfId="220"/>
    <cellStyle name="60 % - Akzent6 4" xfId="221"/>
    <cellStyle name="60 % - Akzent6 5" xfId="222"/>
    <cellStyle name="60 % - Akzent6 6" xfId="223"/>
    <cellStyle name="Accent1" xfId="224"/>
    <cellStyle name="Accent1 2" xfId="225"/>
    <cellStyle name="Accent1 3" xfId="226"/>
    <cellStyle name="Accent1 3 2" xfId="227"/>
    <cellStyle name="Accent1 3 3" xfId="228"/>
    <cellStyle name="Accent1 4" xfId="229"/>
    <cellStyle name="Accent1 5" xfId="230"/>
    <cellStyle name="Accent2" xfId="231"/>
    <cellStyle name="Accent2 2" xfId="232"/>
    <cellStyle name="Accent2 3" xfId="233"/>
    <cellStyle name="Accent2 4" xfId="234"/>
    <cellStyle name="Accent3" xfId="252"/>
    <cellStyle name="Accent3 2" xfId="235"/>
    <cellStyle name="Accent3 3" xfId="236"/>
    <cellStyle name="Accent4" xfId="237"/>
    <cellStyle name="Accent4 2" xfId="238"/>
    <cellStyle name="Accent4 3" xfId="239"/>
    <cellStyle name="Accent4 3 2" xfId="240"/>
    <cellStyle name="Accent4 3 3" xfId="241"/>
    <cellStyle name="Accent4 4" xfId="242"/>
    <cellStyle name="Accent4 5" xfId="243"/>
    <cellStyle name="Accent5" xfId="257"/>
    <cellStyle name="Accent5 2" xfId="244"/>
    <cellStyle name="Accent5 3" xfId="245"/>
    <cellStyle name="Accent6" xfId="260"/>
    <cellStyle name="Accent6 2" xfId="246"/>
    <cellStyle name="Accent6 3" xfId="247"/>
    <cellStyle name="Akzent1 2" xfId="248"/>
    <cellStyle name="Akzent1 3" xfId="249"/>
    <cellStyle name="Akzent2 2" xfId="250"/>
    <cellStyle name="Akzent2 3" xfId="251"/>
    <cellStyle name="Akzent3 2" xfId="253"/>
    <cellStyle name="Akzent3 3" xfId="254"/>
    <cellStyle name="Akzent4 2" xfId="255"/>
    <cellStyle name="Akzent4 3" xfId="256"/>
    <cellStyle name="Akzent5 2" xfId="258"/>
    <cellStyle name="Akzent5 3" xfId="259"/>
    <cellStyle name="Akzent6 2" xfId="261"/>
    <cellStyle name="Akzent6 3" xfId="262"/>
    <cellStyle name="Ausgabe 2" xfId="263"/>
    <cellStyle name="Ausgabe 2 2" xfId="264"/>
    <cellStyle name="Ausgabe 2 2 2" xfId="265"/>
    <cellStyle name="Ausgabe 2 2 3" xfId="266"/>
    <cellStyle name="Ausgabe 2 3" xfId="267"/>
    <cellStyle name="Ausgabe 2 3 2" xfId="268"/>
    <cellStyle name="Ausgabe 2 3 2 2" xfId="269"/>
    <cellStyle name="Ausgabe 2 3 2 3" xfId="270"/>
    <cellStyle name="Ausgabe 2 3 3" xfId="271"/>
    <cellStyle name="Ausgabe 2 4" xfId="272"/>
    <cellStyle name="Ausgabe 2 5" xfId="273"/>
    <cellStyle name="Ausgabe 3" xfId="274"/>
    <cellStyle name="Ausgabe 3 2" xfId="275"/>
    <cellStyle name="Ausgabe 3 3" xfId="276"/>
    <cellStyle name="Ausgabe 4" xfId="277"/>
    <cellStyle name="Ausgabe 5" xfId="278"/>
    <cellStyle name="Ausgabe 6" xfId="279"/>
    <cellStyle name="Ausgabe 7" xfId="280"/>
    <cellStyle name="Ausgabe 7 2" xfId="281"/>
    <cellStyle name="Ausgabe 7 3" xfId="282"/>
    <cellStyle name="Ausgabe 7 3 2" xfId="283"/>
    <cellStyle name="Ausgabe 7 3 3" xfId="284"/>
    <cellStyle name="Ausgabe 7 4" xfId="285"/>
    <cellStyle name="Ausgabe 8" xfId="286"/>
    <cellStyle name="Ausgabe 8 2" xfId="287"/>
    <cellStyle name="Ausgabe 8 3" xfId="288"/>
    <cellStyle name="Bad" xfId="513"/>
    <cellStyle name="Bad 2" xfId="289"/>
    <cellStyle name="Bad 3" xfId="290"/>
    <cellStyle name="Berechnung 2" xfId="291"/>
    <cellStyle name="Berechnung 2 2" xfId="292"/>
    <cellStyle name="Berechnung 2 3" xfId="293"/>
    <cellStyle name="Berechnung 2 3 2" xfId="294"/>
    <cellStyle name="Berechnung 2 3 2 2" xfId="295"/>
    <cellStyle name="Berechnung 2 3 2 3" xfId="296"/>
    <cellStyle name="Berechnung 2 3 3" xfId="297"/>
    <cellStyle name="Berechnung 2 4" xfId="298"/>
    <cellStyle name="Berechnung 3" xfId="299"/>
    <cellStyle name="Berechnung 4" xfId="300"/>
    <cellStyle name="Berechnung 5" xfId="301"/>
    <cellStyle name="Berechnung 6" xfId="302"/>
    <cellStyle name="Berechnung 7" xfId="303"/>
    <cellStyle name="Berechnung 7 2" xfId="304"/>
    <cellStyle name="Berechnung 7 3" xfId="305"/>
    <cellStyle name="Berechnung 8" xfId="306"/>
    <cellStyle name="Calculation 2" xfId="307"/>
    <cellStyle name="Check Cell" xfId="577"/>
    <cellStyle name="Check Cell 2" xfId="308"/>
    <cellStyle name="Check Cell 3" xfId="309"/>
    <cellStyle name="Check Cell 4" xfId="310"/>
    <cellStyle name="Eingabe 2" xfId="311"/>
    <cellStyle name="Eingabe 3" xfId="312"/>
    <cellStyle name="Eingabe 4" xfId="313"/>
    <cellStyle name="Eingabe 5" xfId="314"/>
    <cellStyle name="Eingabe 6" xfId="315"/>
    <cellStyle name="Eingabe 7" xfId="316"/>
    <cellStyle name="Ergebnis 2" xfId="317"/>
    <cellStyle name="Ergebnis 2 2" xfId="318"/>
    <cellStyle name="Ergebnis 2 2 2" xfId="319"/>
    <cellStyle name="Ergebnis 2 3" xfId="320"/>
    <cellStyle name="Ergebnis 2 4" xfId="321"/>
    <cellStyle name="Ergebnis 2 4 2" xfId="322"/>
    <cellStyle name="Ergebnis 2 4 2 2" xfId="323"/>
    <cellStyle name="Ergebnis 2 4 2 3" xfId="324"/>
    <cellStyle name="Ergebnis 2 4 3" xfId="325"/>
    <cellStyle name="Ergebnis 2 5" xfId="326"/>
    <cellStyle name="Ergebnis 3" xfId="327"/>
    <cellStyle name="Ergebnis 3 2" xfId="328"/>
    <cellStyle name="Ergebnis 4" xfId="329"/>
    <cellStyle name="Ergebnis 4 2" xfId="330"/>
    <cellStyle name="Ergebnis 5" xfId="331"/>
    <cellStyle name="Ergebnis 6" xfId="332"/>
    <cellStyle name="Ergebnis 7" xfId="333"/>
    <cellStyle name="Ergebnis 8" xfId="334"/>
    <cellStyle name="Ergebnis 8 2" xfId="335"/>
    <cellStyle name="Ergebnis 8 3" xfId="336"/>
    <cellStyle name="Ergebnis 9" xfId="337"/>
    <cellStyle name="Erklärender Text 2" xfId="338"/>
    <cellStyle name="Erklärender Text 3" xfId="339"/>
    <cellStyle name="Erklärender Text 4" xfId="340"/>
    <cellStyle name="Erklärender Text 5" xfId="341"/>
    <cellStyle name="Erklärender Text 6" xfId="342"/>
    <cellStyle name="Good" xfId="345"/>
    <cellStyle name="Good 2" xfId="343"/>
    <cellStyle name="Good 3" xfId="344"/>
    <cellStyle name="Gut 2" xfId="346"/>
    <cellStyle name="Gut 3" xfId="347"/>
    <cellStyle name="Heading 1" xfId="348"/>
    <cellStyle name="Heading 1 2" xfId="349"/>
    <cellStyle name="Heading 1 2 2" xfId="350"/>
    <cellStyle name="Heading 1 2 3" xfId="351"/>
    <cellStyle name="Heading 1 3" xfId="352"/>
    <cellStyle name="Heading 1 4" xfId="353"/>
    <cellStyle name="Heading 2" xfId="354"/>
    <cellStyle name="Heading 2 2" xfId="355"/>
    <cellStyle name="Heading 2 2 2" xfId="356"/>
    <cellStyle name="Heading 2 2 3" xfId="357"/>
    <cellStyle name="Heading 2 3" xfId="358"/>
    <cellStyle name="Heading 2 4" xfId="359"/>
    <cellStyle name="Heading 3" xfId="360"/>
    <cellStyle name="Heading 3 2" xfId="361"/>
    <cellStyle name="Heading 3 2 2" xfId="362"/>
    <cellStyle name="Heading 3 2 3" xfId="363"/>
    <cellStyle name="Heading 3 3" xfId="364"/>
    <cellStyle name="Heading 3 4" xfId="365"/>
    <cellStyle name="Heading 4" xfId="366"/>
    <cellStyle name="Heading 4 2" xfId="367"/>
    <cellStyle name="Heading 4 2 2" xfId="368"/>
    <cellStyle name="Heading 4 2 3" xfId="369"/>
    <cellStyle name="Heading 4 3" xfId="370"/>
    <cellStyle name="Heading 4 4" xfId="371"/>
    <cellStyle name="Hyperlink" xfId="583" builtinId="8"/>
    <cellStyle name="Input 2" xfId="372"/>
    <cellStyle name="Linked Cell" xfId="566"/>
    <cellStyle name="Linked Cell 2" xfId="373"/>
    <cellStyle name="Linked Cell 3" xfId="374"/>
    <cellStyle name="Neutral" xfId="375" builtinId="28" customBuiltin="1"/>
    <cellStyle name="Normal 2" xfId="376"/>
    <cellStyle name="Note" xfId="377"/>
    <cellStyle name="Note 2" xfId="378"/>
    <cellStyle name="Note 2 2" xfId="379"/>
    <cellStyle name="Note 3" xfId="380"/>
    <cellStyle name="Note 4" xfId="381"/>
    <cellStyle name="Note 5" xfId="382"/>
    <cellStyle name="Notiz 2" xfId="383"/>
    <cellStyle name="Notiz 2 2" xfId="384"/>
    <cellStyle name="Notiz 2 2 2" xfId="385"/>
    <cellStyle name="Notiz 2 2 2 2" xfId="386"/>
    <cellStyle name="Notiz 2 2 2 2 2" xfId="387"/>
    <cellStyle name="Notiz 2 2 2 3" xfId="388"/>
    <cellStyle name="Notiz 2 2 3" xfId="389"/>
    <cellStyle name="Notiz 2 2 3 2" xfId="390"/>
    <cellStyle name="Notiz 2 2 4" xfId="391"/>
    <cellStyle name="Notiz 2 2 4 2" xfId="392"/>
    <cellStyle name="Notiz 2 2 4 3" xfId="393"/>
    <cellStyle name="Notiz 2 2 4 3 2" xfId="394"/>
    <cellStyle name="Notiz 2 2 4 4" xfId="395"/>
    <cellStyle name="Notiz 2 2 5" xfId="396"/>
    <cellStyle name="Notiz 2 2 5 2" xfId="397"/>
    <cellStyle name="Notiz 2 2 5 3" xfId="398"/>
    <cellStyle name="Notiz 2 2 5 4" xfId="399"/>
    <cellStyle name="Notiz 2 3" xfId="400"/>
    <cellStyle name="Notiz 2 3 2" xfId="401"/>
    <cellStyle name="Notiz 2 3 2 2" xfId="402"/>
    <cellStyle name="Notiz 2 3 3" xfId="403"/>
    <cellStyle name="Notiz 2 4" xfId="404"/>
    <cellStyle name="Notiz 2 4 2" xfId="405"/>
    <cellStyle name="Notiz 2 5" xfId="406"/>
    <cellStyle name="Notiz 3" xfId="407"/>
    <cellStyle name="Notiz 3 2" xfId="408"/>
    <cellStyle name="Notiz 3 2 2" xfId="409"/>
    <cellStyle name="Notiz 3 2 2 2" xfId="410"/>
    <cellStyle name="Notiz 3 2 3" xfId="411"/>
    <cellStyle name="Notiz 3 3" xfId="412"/>
    <cellStyle name="Notiz 3 3 2" xfId="413"/>
    <cellStyle name="Notiz 3 4" xfId="414"/>
    <cellStyle name="Notiz 4" xfId="415"/>
    <cellStyle name="Notiz 4 2" xfId="416"/>
    <cellStyle name="Notiz 4 2 2" xfId="417"/>
    <cellStyle name="Notiz 4 3" xfId="418"/>
    <cellStyle name="Notiz 5" xfId="419"/>
    <cellStyle name="Notiz 5 2" xfId="420"/>
    <cellStyle name="Notiz 5 2 2" xfId="421"/>
    <cellStyle name="Notiz 5 3" xfId="422"/>
    <cellStyle name="Notiz 6" xfId="423"/>
    <cellStyle name="Notiz 6 2" xfId="424"/>
    <cellStyle name="Notiz 7" xfId="425"/>
    <cellStyle name="Notiz 8" xfId="426"/>
    <cellStyle name="Output 2" xfId="427"/>
    <cellStyle name="Percent 2" xfId="429"/>
    <cellStyle name="Prozent" xfId="428" builtinId="5"/>
    <cellStyle name="Prozent 10" xfId="430"/>
    <cellStyle name="Prozent 10 2" xfId="431"/>
    <cellStyle name="Prozent 10 3" xfId="432"/>
    <cellStyle name="Prozent 10 4" xfId="433"/>
    <cellStyle name="Prozent 11" xfId="434"/>
    <cellStyle name="Prozent 12" xfId="435"/>
    <cellStyle name="Prozent 2" xfId="436"/>
    <cellStyle name="Prozent 3" xfId="437"/>
    <cellStyle name="Prozent 3 2" xfId="438"/>
    <cellStyle name="Prozent 3 2 2" xfId="439"/>
    <cellStyle name="Prozent 3 2 2 2" xfId="440"/>
    <cellStyle name="Prozent 3 2 2 2 2" xfId="441"/>
    <cellStyle name="Prozent 3 2 2 3" xfId="442"/>
    <cellStyle name="Prozent 3 2 3" xfId="443"/>
    <cellStyle name="Prozent 3 2 3 2" xfId="444"/>
    <cellStyle name="Prozent 3 2 4" xfId="445"/>
    <cellStyle name="Prozent 3 2 4 2" xfId="446"/>
    <cellStyle name="Prozent 3 2 4 3" xfId="447"/>
    <cellStyle name="Prozent 3 2 5" xfId="448"/>
    <cellStyle name="Prozent 3 3" xfId="449"/>
    <cellStyle name="Prozent 3 3 2" xfId="450"/>
    <cellStyle name="Prozent 3 3 2 2" xfId="451"/>
    <cellStyle name="Prozent 3 3 3" xfId="452"/>
    <cellStyle name="Prozent 3 4" xfId="453"/>
    <cellStyle name="Prozent 3 4 2" xfId="454"/>
    <cellStyle name="Prozent 3 5" xfId="455"/>
    <cellStyle name="Prozent 4" xfId="456"/>
    <cellStyle name="Prozent 4 2" xfId="457"/>
    <cellStyle name="Prozent 4 2 2" xfId="458"/>
    <cellStyle name="Prozent 4 2 2 2" xfId="459"/>
    <cellStyle name="Prozent 4 2 2 2 2" xfId="460"/>
    <cellStyle name="Prozent 4 2 2 3" xfId="461"/>
    <cellStyle name="Prozent 4 2 3" xfId="462"/>
    <cellStyle name="Prozent 4 2 3 2" xfId="463"/>
    <cellStyle name="Prozent 4 2 4" xfId="464"/>
    <cellStyle name="Prozent 4 3" xfId="465"/>
    <cellStyle name="Prozent 4 3 2" xfId="466"/>
    <cellStyle name="Prozent 4 3 2 2" xfId="467"/>
    <cellStyle name="Prozent 4 3 3" xfId="468"/>
    <cellStyle name="Prozent 4 3 3 2" xfId="469"/>
    <cellStyle name="Prozent 4 3 4" xfId="470"/>
    <cellStyle name="Prozent 4 3 4 2" xfId="471"/>
    <cellStyle name="Prozent 4 3 4 3" xfId="472"/>
    <cellStyle name="Prozent 4 3 4 4" xfId="473"/>
    <cellStyle name="Prozent 4 4" xfId="474"/>
    <cellStyle name="Prozent 4 4 2" xfId="475"/>
    <cellStyle name="Prozent 4 5" xfId="476"/>
    <cellStyle name="Prozent 5" xfId="477"/>
    <cellStyle name="Prozent 5 2" xfId="478"/>
    <cellStyle name="Prozent 5 2 2" xfId="479"/>
    <cellStyle name="Prozent 5 2 2 2" xfId="480"/>
    <cellStyle name="Prozent 5 2 3" xfId="481"/>
    <cellStyle name="Prozent 5 3" xfId="482"/>
    <cellStyle name="Prozent 5 3 2" xfId="483"/>
    <cellStyle name="Prozent 5 4" xfId="484"/>
    <cellStyle name="Prozent 5 4 2" xfId="485"/>
    <cellStyle name="Prozent 5 4 3" xfId="486"/>
    <cellStyle name="Prozent 5 4 3 2" xfId="487"/>
    <cellStyle name="Prozent 5 4 4" xfId="488"/>
    <cellStyle name="Prozent 5 5" xfId="489"/>
    <cellStyle name="Prozent 5 5 2" xfId="490"/>
    <cellStyle name="Prozent 5 5 3" xfId="491"/>
    <cellStyle name="Prozent 5 5 4" xfId="492"/>
    <cellStyle name="Prozent 6" xfId="493"/>
    <cellStyle name="Prozent 6 2" xfId="494"/>
    <cellStyle name="Prozent 6 2 2" xfId="495"/>
    <cellStyle name="Prozent 6 3" xfId="496"/>
    <cellStyle name="Prozent 7" xfId="497"/>
    <cellStyle name="Prozent 7 2" xfId="498"/>
    <cellStyle name="Prozent 7 2 2" xfId="499"/>
    <cellStyle name="Prozent 7 3" xfId="500"/>
    <cellStyle name="Prozent 8" xfId="501"/>
    <cellStyle name="Prozent 8 2" xfId="502"/>
    <cellStyle name="Prozent 8 2 2" xfId="503"/>
    <cellStyle name="Prozent 8 2 3" xfId="504"/>
    <cellStyle name="Prozent 8 3" xfId="505"/>
    <cellStyle name="Prozent 8 3 2" xfId="506"/>
    <cellStyle name="Prozent 8 3 2 2" xfId="507"/>
    <cellStyle name="Prozent 8 3 2 3" xfId="508"/>
    <cellStyle name="Prozent 8 3 3" xfId="509"/>
    <cellStyle name="Prozent 8 3 3 2" xfId="510"/>
    <cellStyle name="Prozent 8 3 3 3" xfId="511"/>
    <cellStyle name="Prozent 9" xfId="512"/>
    <cellStyle name="Schlecht 2" xfId="514"/>
    <cellStyle name="Schlecht 3" xfId="515"/>
    <cellStyle name="Standard" xfId="0" builtinId="0"/>
    <cellStyle name="Standard 2" xfId="516"/>
    <cellStyle name="Standard 2 2" xfId="517"/>
    <cellStyle name="Standard 2 2 2" xfId="518"/>
    <cellStyle name="Standard 2 2 3" xfId="519"/>
    <cellStyle name="Standard 2 3" xfId="520"/>
    <cellStyle name="Standard 2 4" xfId="521"/>
    <cellStyle name="Standard 2 5" xfId="522"/>
    <cellStyle name="Standard 2 6" xfId="523"/>
    <cellStyle name="Standard 3" xfId="524"/>
    <cellStyle name="Standard 3 2" xfId="525"/>
    <cellStyle name="Standard 3 2 2" xfId="526"/>
    <cellStyle name="Standard 3 2 2 2" xfId="527"/>
    <cellStyle name="Standard 3 2 2 2 2" xfId="528"/>
    <cellStyle name="Standard 3 2 2 3" xfId="529"/>
    <cellStyle name="Standard 3 2 3" xfId="530"/>
    <cellStyle name="Standard 3 2 3 2" xfId="531"/>
    <cellStyle name="Standard 3 2 4" xfId="532"/>
    <cellStyle name="Standard 3 2 4 2" xfId="533"/>
    <cellStyle name="Standard 3 2 4 3" xfId="534"/>
    <cellStyle name="Standard 3 2 5" xfId="535"/>
    <cellStyle name="Standard 3 2 6" xfId="536"/>
    <cellStyle name="Standard 3 3" xfId="537"/>
    <cellStyle name="Standard 3 3 2" xfId="538"/>
    <cellStyle name="Standard 3 3 2 2" xfId="539"/>
    <cellStyle name="Standard 3 3 3" xfId="540"/>
    <cellStyle name="Standard 3 4" xfId="541"/>
    <cellStyle name="Standard 3 4 2" xfId="542"/>
    <cellStyle name="Standard 3 5" xfId="543"/>
    <cellStyle name="Standard 3 6" xfId="544"/>
    <cellStyle name="Standard 4" xfId="545"/>
    <cellStyle name="Standard 5" xfId="546"/>
    <cellStyle name="Standard 5 2" xfId="547"/>
    <cellStyle name="Standard_Werte" xfId="548"/>
    <cellStyle name="Title" xfId="549"/>
    <cellStyle name="Title 2" xfId="550"/>
    <cellStyle name="Title 2 2" xfId="551"/>
    <cellStyle name="Title 2 3" xfId="552"/>
    <cellStyle name="Title 3" xfId="553"/>
    <cellStyle name="Title 4" xfId="554"/>
    <cellStyle name="Total 2" xfId="555"/>
    <cellStyle name="Überschrift 1 2" xfId="556"/>
    <cellStyle name="Überschrift 1 3" xfId="557"/>
    <cellStyle name="Überschrift 2 2" xfId="558"/>
    <cellStyle name="Überschrift 2 3" xfId="559"/>
    <cellStyle name="Überschrift 3 2" xfId="560"/>
    <cellStyle name="Überschrift 3 3" xfId="561"/>
    <cellStyle name="Überschrift 4 2" xfId="562"/>
    <cellStyle name="Überschrift 4 3" xfId="563"/>
    <cellStyle name="Überschrift 5" xfId="564"/>
    <cellStyle name="Überschrift 6" xfId="565"/>
    <cellStyle name="Verknüpfte Zelle 2" xfId="567"/>
    <cellStyle name="Verknüpfte Zelle 3" xfId="568"/>
    <cellStyle name="Warnender Text 2" xfId="569"/>
    <cellStyle name="Warnender Text 2 2" xfId="570"/>
    <cellStyle name="Warnender Text 2 3" xfId="571"/>
    <cellStyle name="Warnender Text 2 3 2" xfId="572"/>
    <cellStyle name="Warnender Text 3" xfId="573"/>
    <cellStyle name="Warnender Text 4" xfId="574"/>
    <cellStyle name="Warnender Text 5" xfId="575"/>
    <cellStyle name="Warnender Text 6" xfId="576"/>
    <cellStyle name="Zelle überprüfen 2" xfId="578"/>
    <cellStyle name="Zelle überprüfen 2 2" xfId="579"/>
    <cellStyle name="Zelle überprüfen 2 3" xfId="580"/>
    <cellStyle name="Zelle überprüfen 3" xfId="581"/>
    <cellStyle name="Zelle überprüfen 4" xfId="582"/>
  </cellStyles>
  <dxfs count="317">
    <dxf>
      <fill>
        <patternFill>
          <bgColor rgb="FFFF7C80"/>
        </patternFill>
      </fill>
    </dxf>
    <dxf>
      <fill>
        <patternFill>
          <bgColor theme="1" tint="0.34998626667073579"/>
        </patternFill>
      </fill>
    </dxf>
    <dxf>
      <fill>
        <patternFill>
          <bgColor rgb="FFFF7C80"/>
        </patternFill>
      </fill>
    </dxf>
    <dxf>
      <fill>
        <patternFill>
          <bgColor rgb="FFFF7C80"/>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rgb="FFFF7C80"/>
        </patternFill>
      </fill>
    </dxf>
    <dxf>
      <fill>
        <patternFill>
          <bgColor rgb="FFFFFF99"/>
        </patternFill>
      </fill>
    </dxf>
    <dxf>
      <fill>
        <patternFill>
          <bgColor rgb="FFCCFFCC"/>
        </patternFill>
      </fill>
    </dxf>
    <dxf>
      <fill>
        <patternFill>
          <bgColor rgb="FFFF7C80"/>
        </patternFill>
      </fill>
    </dxf>
    <dxf>
      <fill>
        <patternFill>
          <bgColor theme="0" tint="-0.24994659260841701"/>
        </patternFill>
      </fill>
    </dxf>
    <dxf>
      <fill>
        <patternFill>
          <bgColor theme="4" tint="0.79998168889431442"/>
        </patternFill>
      </fill>
    </dxf>
    <dxf>
      <fill>
        <patternFill>
          <bgColor rgb="FFBFBFBF"/>
        </patternFill>
      </fill>
    </dxf>
    <dxf>
      <fill>
        <patternFill>
          <bgColor theme="4" tint="0.79998168889431442"/>
        </patternFill>
      </fill>
    </dxf>
    <dxf>
      <fill>
        <patternFill>
          <bgColor rgb="FFFF7C8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0C0C0"/>
        </patternFill>
      </fill>
    </dxf>
    <dxf>
      <fill>
        <patternFill>
          <bgColor theme="1" tint="0.499984740745262"/>
        </patternFill>
      </fill>
    </dxf>
    <dxf>
      <fill>
        <patternFill>
          <bgColor rgb="FFC0C0C0"/>
        </patternFill>
      </fill>
    </dxf>
    <dxf>
      <fill>
        <patternFill>
          <bgColor theme="1" tint="0.499984740745262"/>
        </patternFill>
      </fill>
    </dxf>
    <dxf>
      <fill>
        <patternFill>
          <bgColor rgb="FFCCFFCC"/>
        </patternFill>
      </fill>
    </dxf>
    <dxf>
      <fill>
        <patternFill>
          <bgColor theme="0"/>
        </patternFill>
      </fill>
    </dxf>
    <dxf>
      <fill>
        <patternFill>
          <bgColor theme="1" tint="0.499984740745262"/>
        </patternFill>
      </fill>
    </dxf>
    <dxf>
      <fill>
        <patternFill>
          <bgColor rgb="FFCCFFCC"/>
        </patternFill>
      </fill>
    </dxf>
    <dxf>
      <fill>
        <patternFill>
          <bgColor theme="0" tint="-0.2499465926084170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theme="1" tint="0.499984740745262"/>
        </patternFill>
      </fill>
    </dxf>
    <dxf>
      <fill>
        <patternFill>
          <bgColor theme="0"/>
        </patternFill>
      </fill>
    </dxf>
    <dxf>
      <fill>
        <patternFill>
          <bgColor theme="1" tint="0.499984740745262"/>
        </patternFill>
      </fill>
    </dxf>
    <dxf>
      <fill>
        <patternFill>
          <bgColor rgb="FFFF7C80"/>
        </patternFill>
      </fill>
    </dxf>
    <dxf>
      <fill>
        <patternFill>
          <bgColor rgb="FFFF7C8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C0C0C0"/>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C0C0C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CCFFCC"/>
        </patternFill>
      </fill>
    </dxf>
    <dxf>
      <fill>
        <patternFill>
          <bgColor rgb="FFFFFF99"/>
        </patternFill>
      </fill>
    </dxf>
    <dxf>
      <fill>
        <patternFill>
          <bgColor theme="0"/>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C0C0C0"/>
        </patternFill>
      </fill>
    </dxf>
    <dxf>
      <fill>
        <patternFill>
          <bgColor theme="1" tint="0.499984740745262"/>
        </patternFill>
      </fill>
    </dxf>
    <dxf>
      <fill>
        <patternFill>
          <bgColor rgb="FFC0C0C0"/>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theme="0" tint="-0.24994659260841701"/>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rgb="FFFF7C80"/>
        </patternFill>
      </fill>
    </dxf>
    <dxf>
      <fill>
        <patternFill>
          <bgColor rgb="FFC0C0C0"/>
        </patternFill>
      </fill>
    </dxf>
    <dxf>
      <fill>
        <patternFill>
          <bgColor theme="1" tint="0.499984740745262"/>
        </patternFill>
      </fill>
    </dxf>
    <dxf>
      <fill>
        <patternFill>
          <bgColor indexed="9"/>
        </patternFill>
      </fill>
    </dxf>
    <dxf>
      <fill>
        <patternFill>
          <bgColor rgb="FF8080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C0C0C0"/>
        </patternFill>
      </fill>
    </dxf>
    <dxf>
      <fill>
        <patternFill>
          <bgColor rgb="FFDCE6F1"/>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7C80"/>
        </patternFill>
      </fill>
    </dxf>
    <dxf>
      <fill>
        <patternFill>
          <bgColor rgb="FFC0C0C0"/>
        </patternFill>
      </fill>
    </dxf>
    <dxf>
      <fill>
        <patternFill>
          <bgColor rgb="FFDCE6F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right style="thin">
          <color indexed="64"/>
        </right>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
      <fill>
        <patternFill>
          <bgColor rgb="FFC0C0C0"/>
        </patternFill>
      </fill>
    </dxf>
    <dxf>
      <fill>
        <patternFill>
          <bgColor rgb="FFC0C0C0"/>
        </patternFill>
      </fill>
    </dxf>
    <dxf>
      <fill>
        <patternFill>
          <bgColor rgb="FFC0C0C0"/>
        </patternFill>
      </fill>
    </dxf>
    <dxf>
      <fill>
        <patternFill>
          <bgColor rgb="FFC0C0C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C0C0C0"/>
      <color rgb="FFFF7C80"/>
      <color rgb="FFDCE6F1"/>
      <color rgb="FFFFFF99"/>
      <color rgb="FF99FF66"/>
      <color rgb="FFCCFFCC"/>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5</xdr:col>
      <xdr:colOff>295275</xdr:colOff>
      <xdr:row>5</xdr:row>
      <xdr:rowOff>9525</xdr:rowOff>
    </xdr:from>
    <xdr:to>
      <xdr:col>6</xdr:col>
      <xdr:colOff>9524</xdr:colOff>
      <xdr:row>5</xdr:row>
      <xdr:rowOff>114300</xdr:rowOff>
    </xdr:to>
    <xdr:pic>
      <xdr:nvPicPr>
        <xdr:cNvPr id="123612" name="Grafik 18">
          <a:extLst>
            <a:ext uri="{FF2B5EF4-FFF2-40B4-BE49-F238E27FC236}">
              <a16:creationId xmlns:a16="http://schemas.microsoft.com/office/drawing/2014/main" xmlns="" id="{00000000-0008-0000-0000-0000DC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81450" y="847725"/>
          <a:ext cx="11429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5</xdr:row>
      <xdr:rowOff>0</xdr:rowOff>
    </xdr:from>
    <xdr:to>
      <xdr:col>18</xdr:col>
      <xdr:colOff>0</xdr:colOff>
      <xdr:row>5</xdr:row>
      <xdr:rowOff>104775</xdr:rowOff>
    </xdr:to>
    <xdr:pic>
      <xdr:nvPicPr>
        <xdr:cNvPr id="123613" name="Grafik 18">
          <a:extLst>
            <a:ext uri="{FF2B5EF4-FFF2-40B4-BE49-F238E27FC236}">
              <a16:creationId xmlns:a16="http://schemas.microsoft.com/office/drawing/2014/main" xmlns="" id="{00000000-0008-0000-0000-0000DD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8382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19</xdr:row>
      <xdr:rowOff>9525</xdr:rowOff>
    </xdr:from>
    <xdr:to>
      <xdr:col>18</xdr:col>
      <xdr:colOff>0</xdr:colOff>
      <xdr:row>19</xdr:row>
      <xdr:rowOff>114300</xdr:rowOff>
    </xdr:to>
    <xdr:pic>
      <xdr:nvPicPr>
        <xdr:cNvPr id="123615" name="Grafik 18">
          <a:extLst>
            <a:ext uri="{FF2B5EF4-FFF2-40B4-BE49-F238E27FC236}">
              <a16:creationId xmlns:a16="http://schemas.microsoft.com/office/drawing/2014/main" xmlns="" id="{00000000-0008-0000-0000-0000DF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3105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11</xdr:row>
      <xdr:rowOff>9525</xdr:rowOff>
    </xdr:from>
    <xdr:to>
      <xdr:col>18</xdr:col>
      <xdr:colOff>0</xdr:colOff>
      <xdr:row>11</xdr:row>
      <xdr:rowOff>114300</xdr:rowOff>
    </xdr:to>
    <xdr:pic>
      <xdr:nvPicPr>
        <xdr:cNvPr id="123616" name="Grafik 18">
          <a:extLst>
            <a:ext uri="{FF2B5EF4-FFF2-40B4-BE49-F238E27FC236}">
              <a16:creationId xmlns:a16="http://schemas.microsoft.com/office/drawing/2014/main" xmlns="" id="{00000000-0008-0000-0000-0000E0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1704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209550</xdr:colOff>
      <xdr:row>1</xdr:row>
      <xdr:rowOff>57150</xdr:rowOff>
    </xdr:from>
    <xdr:to>
      <xdr:col>14</xdr:col>
      <xdr:colOff>272694</xdr:colOff>
      <xdr:row>3</xdr:row>
      <xdr:rowOff>47625</xdr:rowOff>
    </xdr:to>
    <xdr:pic>
      <xdr:nvPicPr>
        <xdr:cNvPr id="123617" name="Picture 3">
          <a:extLst>
            <a:ext uri="{FF2B5EF4-FFF2-40B4-BE49-F238E27FC236}">
              <a16:creationId xmlns:a16="http://schemas.microsoft.com/office/drawing/2014/main" xmlns="" id="{00000000-0008-0000-0000-0000E1E2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19750" y="180975"/>
          <a:ext cx="1381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5</xdr:col>
      <xdr:colOff>285750</xdr:colOff>
      <xdr:row>41</xdr:row>
      <xdr:rowOff>9525</xdr:rowOff>
    </xdr:from>
    <xdr:to>
      <xdr:col>6</xdr:col>
      <xdr:colOff>0</xdr:colOff>
      <xdr:row>41</xdr:row>
      <xdr:rowOff>114300</xdr:rowOff>
    </xdr:to>
    <xdr:pic>
      <xdr:nvPicPr>
        <xdr:cNvPr id="123624" name="Grafik 18">
          <a:extLst>
            <a:ext uri="{FF2B5EF4-FFF2-40B4-BE49-F238E27FC236}">
              <a16:creationId xmlns:a16="http://schemas.microsoft.com/office/drawing/2014/main" xmlns="" id="{00000000-0008-0000-0000-0000E8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10658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42</xdr:row>
      <xdr:rowOff>9525</xdr:rowOff>
    </xdr:from>
    <xdr:to>
      <xdr:col>6</xdr:col>
      <xdr:colOff>0</xdr:colOff>
      <xdr:row>42</xdr:row>
      <xdr:rowOff>114300</xdr:rowOff>
    </xdr:to>
    <xdr:pic>
      <xdr:nvPicPr>
        <xdr:cNvPr id="123625" name="Grafik 18">
          <a:extLst>
            <a:ext uri="{FF2B5EF4-FFF2-40B4-BE49-F238E27FC236}">
              <a16:creationId xmlns:a16="http://schemas.microsoft.com/office/drawing/2014/main" xmlns="" id="{00000000-0008-0000-0000-0000E9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10963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13</xdr:row>
      <xdr:rowOff>9525</xdr:rowOff>
    </xdr:from>
    <xdr:to>
      <xdr:col>18</xdr:col>
      <xdr:colOff>0</xdr:colOff>
      <xdr:row>13</xdr:row>
      <xdr:rowOff>114300</xdr:rowOff>
    </xdr:to>
    <xdr:pic>
      <xdr:nvPicPr>
        <xdr:cNvPr id="123628" name="Grafik 18">
          <a:extLst>
            <a:ext uri="{FF2B5EF4-FFF2-40B4-BE49-F238E27FC236}">
              <a16:creationId xmlns:a16="http://schemas.microsoft.com/office/drawing/2014/main" xmlns="" id="{00000000-0008-0000-0000-0000EC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1990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22</xdr:row>
      <xdr:rowOff>9525</xdr:rowOff>
    </xdr:from>
    <xdr:to>
      <xdr:col>18</xdr:col>
      <xdr:colOff>0</xdr:colOff>
      <xdr:row>22</xdr:row>
      <xdr:rowOff>114300</xdr:rowOff>
    </xdr:to>
    <xdr:pic>
      <xdr:nvPicPr>
        <xdr:cNvPr id="123629" name="Grafik 18">
          <a:extLst>
            <a:ext uri="{FF2B5EF4-FFF2-40B4-BE49-F238E27FC236}">
              <a16:creationId xmlns:a16="http://schemas.microsoft.com/office/drawing/2014/main" xmlns="" id="{00000000-0008-0000-0000-0000ED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35909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1171575</xdr:colOff>
      <xdr:row>26</xdr:row>
      <xdr:rowOff>9525</xdr:rowOff>
    </xdr:from>
    <xdr:to>
      <xdr:col>2</xdr:col>
      <xdr:colOff>1283842</xdr:colOff>
      <xdr:row>26</xdr:row>
      <xdr:rowOff>114300</xdr:rowOff>
    </xdr:to>
    <xdr:pic>
      <xdr:nvPicPr>
        <xdr:cNvPr id="123630" name="Grafik 18">
          <a:extLst>
            <a:ext uri="{FF2B5EF4-FFF2-40B4-BE49-F238E27FC236}">
              <a16:creationId xmlns:a16="http://schemas.microsoft.com/office/drawing/2014/main" xmlns="" id="{00000000-0008-0000-0000-0000EE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1775" y="4657725"/>
          <a:ext cx="11226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457200</xdr:colOff>
      <xdr:row>0</xdr:row>
      <xdr:rowOff>114300</xdr:rowOff>
    </xdr:from>
    <xdr:to>
      <xdr:col>19</xdr:col>
      <xdr:colOff>28575</xdr:colOff>
      <xdr:row>4</xdr:row>
      <xdr:rowOff>76307</xdr:rowOff>
    </xdr:to>
    <xdr:pic>
      <xdr:nvPicPr>
        <xdr:cNvPr id="123631" name="Grafik 1">
          <a:extLst>
            <a:ext uri="{FF2B5EF4-FFF2-40B4-BE49-F238E27FC236}">
              <a16:creationId xmlns:a16="http://schemas.microsoft.com/office/drawing/2014/main" xmlns="" id="{00000000-0008-0000-0000-0000EFE2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72325" y="114300"/>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285750</xdr:colOff>
      <xdr:row>11</xdr:row>
      <xdr:rowOff>9525</xdr:rowOff>
    </xdr:from>
    <xdr:to>
      <xdr:col>6</xdr:col>
      <xdr:colOff>1819</xdr:colOff>
      <xdr:row>11</xdr:row>
      <xdr:rowOff>114300</xdr:rowOff>
    </xdr:to>
    <xdr:pic>
      <xdr:nvPicPr>
        <xdr:cNvPr id="123634" name="Grafik 18">
          <a:extLst>
            <a:ext uri="{FF2B5EF4-FFF2-40B4-BE49-F238E27FC236}">
              <a16:creationId xmlns:a16="http://schemas.microsoft.com/office/drawing/2014/main" xmlns="" id="{00000000-0008-0000-0000-0000F2E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71925" y="1704975"/>
          <a:ext cx="1161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352425</xdr:colOff>
      <xdr:row>36</xdr:row>
      <xdr:rowOff>9525</xdr:rowOff>
    </xdr:from>
    <xdr:to>
      <xdr:col>18</xdr:col>
      <xdr:colOff>0</xdr:colOff>
      <xdr:row>36</xdr:row>
      <xdr:rowOff>114300</xdr:rowOff>
    </xdr:to>
    <xdr:pic>
      <xdr:nvPicPr>
        <xdr:cNvPr id="24" name="Grafik 18">
          <a:extLst>
            <a:ext uri="{FF2B5EF4-FFF2-40B4-BE49-F238E27FC236}">
              <a16:creationId xmlns:a16="http://schemas.microsoft.com/office/drawing/2014/main" xmlns=""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7775" y="9439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666750</xdr:colOff>
      <xdr:row>26</xdr:row>
      <xdr:rowOff>9525</xdr:rowOff>
    </xdr:from>
    <xdr:to>
      <xdr:col>15</xdr:col>
      <xdr:colOff>779017</xdr:colOff>
      <xdr:row>26</xdr:row>
      <xdr:rowOff>114300</xdr:rowOff>
    </xdr:to>
    <xdr:pic>
      <xdr:nvPicPr>
        <xdr:cNvPr id="15" name="Grafik 18">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81975" y="4486275"/>
          <a:ext cx="11226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352425</xdr:colOff>
      <xdr:row>19</xdr:row>
      <xdr:rowOff>9525</xdr:rowOff>
    </xdr:from>
    <xdr:ext cx="114300" cy="104775"/>
    <xdr:pic>
      <xdr:nvPicPr>
        <xdr:cNvPr id="17" name="Grafik 18">
          <a:extLst>
            <a:ext uri="{FF2B5EF4-FFF2-40B4-BE49-F238E27FC236}">
              <a16:creationId xmlns:a16="http://schemas.microsoft.com/office/drawing/2014/main" xmlns="" id="{00000000-0008-0000-00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39225" y="2619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0</xdr:colOff>
      <xdr:row>49</xdr:row>
      <xdr:rowOff>0</xdr:rowOff>
    </xdr:from>
    <xdr:to>
      <xdr:col>5</xdr:col>
      <xdr:colOff>279780</xdr:colOff>
      <xdr:row>50</xdr:row>
      <xdr:rowOff>133350</xdr:rowOff>
    </xdr:to>
    <xdr:pic>
      <xdr:nvPicPr>
        <xdr:cNvPr id="18" name="Grafik 1">
          <a:extLst>
            <a:ext uri="{FF2B5EF4-FFF2-40B4-BE49-F238E27FC236}">
              <a16:creationId xmlns:a16="http://schemas.microsoft.com/office/drawing/2014/main" xmlns="" id="{AC401C38-3FB7-4D2E-85A3-3B95AA44907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 y="12144375"/>
          <a:ext cx="3908805" cy="2876550"/>
        </a:xfrm>
        <a:prstGeom prst="rect">
          <a:avLst/>
        </a:prstGeom>
      </xdr:spPr>
    </xdr:pic>
    <xdr:clientData/>
  </xdr:twoCellAnchor>
  <xdr:twoCellAnchor editAs="oneCell">
    <xdr:from>
      <xdr:col>17</xdr:col>
      <xdr:colOff>352425</xdr:colOff>
      <xdr:row>33</xdr:row>
      <xdr:rowOff>9525</xdr:rowOff>
    </xdr:from>
    <xdr:to>
      <xdr:col>18</xdr:col>
      <xdr:colOff>0</xdr:colOff>
      <xdr:row>33</xdr:row>
      <xdr:rowOff>114300</xdr:rowOff>
    </xdr:to>
    <xdr:pic>
      <xdr:nvPicPr>
        <xdr:cNvPr id="19" name="Grafik 18">
          <a:extLst>
            <a:ext uri="{FF2B5EF4-FFF2-40B4-BE49-F238E27FC236}">
              <a16:creationId xmlns:a16="http://schemas.microsoft.com/office/drawing/2014/main" xmlns="" id="{4BD90C9B-D7F1-4C7B-BCDB-F6A470D2AE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44050" y="68199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666750</xdr:colOff>
      <xdr:row>36</xdr:row>
      <xdr:rowOff>9525</xdr:rowOff>
    </xdr:from>
    <xdr:to>
      <xdr:col>16</xdr:col>
      <xdr:colOff>0</xdr:colOff>
      <xdr:row>36</xdr:row>
      <xdr:rowOff>114300</xdr:rowOff>
    </xdr:to>
    <xdr:pic>
      <xdr:nvPicPr>
        <xdr:cNvPr id="20" name="Grafik 18">
          <a:extLst>
            <a:ext uri="{FF2B5EF4-FFF2-40B4-BE49-F238E27FC236}">
              <a16:creationId xmlns:a16="http://schemas.microsoft.com/office/drawing/2014/main" xmlns="" id="{1D3ACEE0-687A-438D-BD49-F0007C6182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3917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285750</xdr:colOff>
      <xdr:row>33</xdr:row>
      <xdr:rowOff>9525</xdr:rowOff>
    </xdr:from>
    <xdr:to>
      <xdr:col>13</xdr:col>
      <xdr:colOff>0</xdr:colOff>
      <xdr:row>33</xdr:row>
      <xdr:rowOff>114300</xdr:rowOff>
    </xdr:to>
    <xdr:pic>
      <xdr:nvPicPr>
        <xdr:cNvPr id="21" name="Grafik 18">
          <a:extLst>
            <a:ext uri="{FF2B5EF4-FFF2-40B4-BE49-F238E27FC236}">
              <a16:creationId xmlns:a16="http://schemas.microsoft.com/office/drawing/2014/main" xmlns="" id="{817C8421-F1F4-4AAE-B183-03302EA3A5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2275" y="68199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457200</xdr:colOff>
      <xdr:row>33</xdr:row>
      <xdr:rowOff>9525</xdr:rowOff>
    </xdr:from>
    <xdr:to>
      <xdr:col>15</xdr:col>
      <xdr:colOff>0</xdr:colOff>
      <xdr:row>33</xdr:row>
      <xdr:rowOff>114300</xdr:rowOff>
    </xdr:to>
    <xdr:pic>
      <xdr:nvPicPr>
        <xdr:cNvPr id="22" name="Grafik 18">
          <a:extLst>
            <a:ext uri="{FF2B5EF4-FFF2-40B4-BE49-F238E27FC236}">
              <a16:creationId xmlns:a16="http://schemas.microsoft.com/office/drawing/2014/main" xmlns="" id="{A535579B-28DD-4449-B9D1-775419BCD2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58125" y="68199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285750</xdr:colOff>
      <xdr:row>36</xdr:row>
      <xdr:rowOff>9525</xdr:rowOff>
    </xdr:from>
    <xdr:to>
      <xdr:col>9</xdr:col>
      <xdr:colOff>0</xdr:colOff>
      <xdr:row>36</xdr:row>
      <xdr:rowOff>114300</xdr:rowOff>
    </xdr:to>
    <xdr:pic>
      <xdr:nvPicPr>
        <xdr:cNvPr id="23" name="Grafik 18">
          <a:extLst>
            <a:ext uri="{FF2B5EF4-FFF2-40B4-BE49-F238E27FC236}">
              <a16:creationId xmlns:a16="http://schemas.microsoft.com/office/drawing/2014/main" xmlns="" id="{631F6754-27FC-4A17-A099-75C63360CB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7207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285750</xdr:colOff>
      <xdr:row>36</xdr:row>
      <xdr:rowOff>9525</xdr:rowOff>
    </xdr:from>
    <xdr:to>
      <xdr:col>10</xdr:col>
      <xdr:colOff>0</xdr:colOff>
      <xdr:row>36</xdr:row>
      <xdr:rowOff>114300</xdr:rowOff>
    </xdr:to>
    <xdr:pic>
      <xdr:nvPicPr>
        <xdr:cNvPr id="25" name="Grafik 18">
          <a:extLst>
            <a:ext uri="{FF2B5EF4-FFF2-40B4-BE49-F238E27FC236}">
              <a16:creationId xmlns:a16="http://schemas.microsoft.com/office/drawing/2014/main" xmlns="" id="{9EFB4DCF-FDD7-4423-A7F7-BF5A4B753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285750</xdr:colOff>
      <xdr:row>36</xdr:row>
      <xdr:rowOff>9525</xdr:rowOff>
    </xdr:from>
    <xdr:to>
      <xdr:col>11</xdr:col>
      <xdr:colOff>0</xdr:colOff>
      <xdr:row>36</xdr:row>
      <xdr:rowOff>114300</xdr:rowOff>
    </xdr:to>
    <xdr:pic>
      <xdr:nvPicPr>
        <xdr:cNvPr id="26" name="Grafik 18">
          <a:extLst>
            <a:ext uri="{FF2B5EF4-FFF2-40B4-BE49-F238E27FC236}">
              <a16:creationId xmlns:a16="http://schemas.microsoft.com/office/drawing/2014/main" xmlns="" id="{C7DCE304-2B6F-49F6-A677-B72BA73A72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7217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285750</xdr:colOff>
      <xdr:row>36</xdr:row>
      <xdr:rowOff>9525</xdr:rowOff>
    </xdr:from>
    <xdr:to>
      <xdr:col>12</xdr:col>
      <xdr:colOff>0</xdr:colOff>
      <xdr:row>36</xdr:row>
      <xdr:rowOff>114300</xdr:rowOff>
    </xdr:to>
    <xdr:pic>
      <xdr:nvPicPr>
        <xdr:cNvPr id="27" name="Grafik 18">
          <a:extLst>
            <a:ext uri="{FF2B5EF4-FFF2-40B4-BE49-F238E27FC236}">
              <a16:creationId xmlns:a16="http://schemas.microsoft.com/office/drawing/2014/main" xmlns="" id="{F3466A8B-0469-4AC2-8DA5-276A7AAA59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222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285750</xdr:colOff>
      <xdr:row>36</xdr:row>
      <xdr:rowOff>9525</xdr:rowOff>
    </xdr:from>
    <xdr:to>
      <xdr:col>13</xdr:col>
      <xdr:colOff>0</xdr:colOff>
      <xdr:row>36</xdr:row>
      <xdr:rowOff>114300</xdr:rowOff>
    </xdr:to>
    <xdr:pic>
      <xdr:nvPicPr>
        <xdr:cNvPr id="28" name="Grafik 18">
          <a:extLst>
            <a:ext uri="{FF2B5EF4-FFF2-40B4-BE49-F238E27FC236}">
              <a16:creationId xmlns:a16="http://schemas.microsoft.com/office/drawing/2014/main" xmlns="" id="{3A9D6ACA-2109-4A76-90F4-C7C9562130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7227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400050</xdr:colOff>
      <xdr:row>36</xdr:row>
      <xdr:rowOff>9525</xdr:rowOff>
    </xdr:from>
    <xdr:to>
      <xdr:col>14</xdr:col>
      <xdr:colOff>0</xdr:colOff>
      <xdr:row>36</xdr:row>
      <xdr:rowOff>114300</xdr:rowOff>
    </xdr:to>
    <xdr:pic>
      <xdr:nvPicPr>
        <xdr:cNvPr id="29" name="Grafik 18">
          <a:extLst>
            <a:ext uri="{FF2B5EF4-FFF2-40B4-BE49-F238E27FC236}">
              <a16:creationId xmlns:a16="http://schemas.microsoft.com/office/drawing/2014/main" xmlns="" id="{510EC033-2AF9-4990-AAAB-866081A68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662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457200</xdr:colOff>
      <xdr:row>36</xdr:row>
      <xdr:rowOff>9525</xdr:rowOff>
    </xdr:from>
    <xdr:to>
      <xdr:col>15</xdr:col>
      <xdr:colOff>0</xdr:colOff>
      <xdr:row>36</xdr:row>
      <xdr:rowOff>114300</xdr:rowOff>
    </xdr:to>
    <xdr:pic>
      <xdr:nvPicPr>
        <xdr:cNvPr id="30" name="Grafik 18">
          <a:extLst>
            <a:ext uri="{FF2B5EF4-FFF2-40B4-BE49-F238E27FC236}">
              <a16:creationId xmlns:a16="http://schemas.microsoft.com/office/drawing/2014/main" xmlns="" id="{99C383D8-92D5-49D8-984B-8D0EAF2C9F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58125" y="89725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0</xdr:colOff>
      <xdr:row>0</xdr:row>
      <xdr:rowOff>104775</xdr:rowOff>
    </xdr:to>
    <xdr:pic>
      <xdr:nvPicPr>
        <xdr:cNvPr id="119044" name="Grafik 15">
          <a:extLst>
            <a:ext uri="{FF2B5EF4-FFF2-40B4-BE49-F238E27FC236}">
              <a16:creationId xmlns:a16="http://schemas.microsoft.com/office/drawing/2014/main" xmlns="" id="{00000000-0008-0000-0200-000004D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7475" y="76200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352425</xdr:colOff>
      <xdr:row>0</xdr:row>
      <xdr:rowOff>0</xdr:rowOff>
    </xdr:from>
    <xdr:to>
      <xdr:col>7</xdr:col>
      <xdr:colOff>352425</xdr:colOff>
      <xdr:row>0</xdr:row>
      <xdr:rowOff>104775</xdr:rowOff>
    </xdr:to>
    <xdr:pic>
      <xdr:nvPicPr>
        <xdr:cNvPr id="119046" name="Grafik 18">
          <a:extLst>
            <a:ext uri="{FF2B5EF4-FFF2-40B4-BE49-F238E27FC236}">
              <a16:creationId xmlns:a16="http://schemas.microsoft.com/office/drawing/2014/main" xmlns="" id="{00000000-0008-0000-0200-000006D1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7715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200025</xdr:colOff>
      <xdr:row>5</xdr:row>
      <xdr:rowOff>9525</xdr:rowOff>
    </xdr:from>
    <xdr:to>
      <xdr:col>14</xdr:col>
      <xdr:colOff>0</xdr:colOff>
      <xdr:row>5</xdr:row>
      <xdr:rowOff>114300</xdr:rowOff>
    </xdr:to>
    <xdr:pic>
      <xdr:nvPicPr>
        <xdr:cNvPr id="125113" name="Grafik 2">
          <a:extLst>
            <a:ext uri="{FF2B5EF4-FFF2-40B4-BE49-F238E27FC236}">
              <a16:creationId xmlns:a16="http://schemas.microsoft.com/office/drawing/2014/main" xmlns="" id="{00000000-0008-0000-0400-0000B9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1875" y="781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200025</xdr:colOff>
      <xdr:row>7</xdr:row>
      <xdr:rowOff>9525</xdr:rowOff>
    </xdr:from>
    <xdr:to>
      <xdr:col>14</xdr:col>
      <xdr:colOff>0</xdr:colOff>
      <xdr:row>7</xdr:row>
      <xdr:rowOff>114300</xdr:rowOff>
    </xdr:to>
    <xdr:pic>
      <xdr:nvPicPr>
        <xdr:cNvPr id="125114" name="Grafik 3">
          <a:extLst>
            <a:ext uri="{FF2B5EF4-FFF2-40B4-BE49-F238E27FC236}">
              <a16:creationId xmlns:a16="http://schemas.microsoft.com/office/drawing/2014/main" xmlns="" id="{00000000-0008-0000-0400-0000BA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1875" y="1057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790575</xdr:colOff>
      <xdr:row>7</xdr:row>
      <xdr:rowOff>9525</xdr:rowOff>
    </xdr:from>
    <xdr:to>
      <xdr:col>7</xdr:col>
      <xdr:colOff>0</xdr:colOff>
      <xdr:row>7</xdr:row>
      <xdr:rowOff>114300</xdr:rowOff>
    </xdr:to>
    <xdr:pic>
      <xdr:nvPicPr>
        <xdr:cNvPr id="125115" name="Grafik 4">
          <a:extLst>
            <a:ext uri="{FF2B5EF4-FFF2-40B4-BE49-F238E27FC236}">
              <a16:creationId xmlns:a16="http://schemas.microsoft.com/office/drawing/2014/main" xmlns="" id="{00000000-0008-0000-0400-0000BB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43300" y="10572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9</xdr:row>
      <xdr:rowOff>9525</xdr:rowOff>
    </xdr:from>
    <xdr:to>
      <xdr:col>2</xdr:col>
      <xdr:colOff>209550</xdr:colOff>
      <xdr:row>9</xdr:row>
      <xdr:rowOff>114300</xdr:rowOff>
    </xdr:to>
    <xdr:pic>
      <xdr:nvPicPr>
        <xdr:cNvPr id="125116" name="Grafik 5">
          <a:extLst>
            <a:ext uri="{FF2B5EF4-FFF2-40B4-BE49-F238E27FC236}">
              <a16:creationId xmlns:a16="http://schemas.microsoft.com/office/drawing/2014/main" xmlns="" id="{00000000-0008-0000-0400-0000BC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3343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4448175</xdr:colOff>
      <xdr:row>10</xdr:row>
      <xdr:rowOff>9525</xdr:rowOff>
    </xdr:from>
    <xdr:to>
      <xdr:col>18</xdr:col>
      <xdr:colOff>4562475</xdr:colOff>
      <xdr:row>10</xdr:row>
      <xdr:rowOff>104775</xdr:rowOff>
    </xdr:to>
    <xdr:pic>
      <xdr:nvPicPr>
        <xdr:cNvPr id="125117" name="Grafik 6">
          <a:extLst>
            <a:ext uri="{FF2B5EF4-FFF2-40B4-BE49-F238E27FC236}">
              <a16:creationId xmlns:a16="http://schemas.microsoft.com/office/drawing/2014/main" xmlns="" id="{00000000-0008-0000-0400-0000BD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20775" y="36576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11</xdr:row>
      <xdr:rowOff>9525</xdr:rowOff>
    </xdr:from>
    <xdr:to>
      <xdr:col>16</xdr:col>
      <xdr:colOff>552450</xdr:colOff>
      <xdr:row>11</xdr:row>
      <xdr:rowOff>114300</xdr:rowOff>
    </xdr:to>
    <xdr:pic>
      <xdr:nvPicPr>
        <xdr:cNvPr id="125118" name="Grafik 12">
          <a:extLst>
            <a:ext uri="{FF2B5EF4-FFF2-40B4-BE49-F238E27FC236}">
              <a16:creationId xmlns:a16="http://schemas.microsoft.com/office/drawing/2014/main" xmlns="" id="{00000000-0008-0000-0400-0000BE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3943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54</xdr:row>
      <xdr:rowOff>9525</xdr:rowOff>
    </xdr:from>
    <xdr:to>
      <xdr:col>16</xdr:col>
      <xdr:colOff>552450</xdr:colOff>
      <xdr:row>54</xdr:row>
      <xdr:rowOff>114300</xdr:rowOff>
    </xdr:to>
    <xdr:pic>
      <xdr:nvPicPr>
        <xdr:cNvPr id="125119" name="Grafik 13">
          <a:extLst>
            <a:ext uri="{FF2B5EF4-FFF2-40B4-BE49-F238E27FC236}">
              <a16:creationId xmlns:a16="http://schemas.microsoft.com/office/drawing/2014/main" xmlns="" id="{00000000-0008-0000-0400-0000BF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18754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48</xdr:row>
      <xdr:rowOff>9525</xdr:rowOff>
    </xdr:from>
    <xdr:to>
      <xdr:col>16</xdr:col>
      <xdr:colOff>552450</xdr:colOff>
      <xdr:row>48</xdr:row>
      <xdr:rowOff>114300</xdr:rowOff>
    </xdr:to>
    <xdr:pic>
      <xdr:nvPicPr>
        <xdr:cNvPr id="125120" name="Grafik 23">
          <a:extLst>
            <a:ext uri="{FF2B5EF4-FFF2-40B4-BE49-F238E27FC236}">
              <a16:creationId xmlns:a16="http://schemas.microsoft.com/office/drawing/2014/main" xmlns="" id="{00000000-0008-0000-0400-0000C0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16468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30</xdr:row>
      <xdr:rowOff>9525</xdr:rowOff>
    </xdr:from>
    <xdr:to>
      <xdr:col>16</xdr:col>
      <xdr:colOff>552450</xdr:colOff>
      <xdr:row>30</xdr:row>
      <xdr:rowOff>114300</xdr:rowOff>
    </xdr:to>
    <xdr:pic>
      <xdr:nvPicPr>
        <xdr:cNvPr id="125121" name="Grafik 12">
          <a:extLst>
            <a:ext uri="{FF2B5EF4-FFF2-40B4-BE49-F238E27FC236}">
              <a16:creationId xmlns:a16="http://schemas.microsoft.com/office/drawing/2014/main" xmlns="" id="{00000000-0008-0000-0400-0000C1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9525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33</xdr:row>
      <xdr:rowOff>9525</xdr:rowOff>
    </xdr:from>
    <xdr:to>
      <xdr:col>16</xdr:col>
      <xdr:colOff>552450</xdr:colOff>
      <xdr:row>33</xdr:row>
      <xdr:rowOff>114300</xdr:rowOff>
    </xdr:to>
    <xdr:pic>
      <xdr:nvPicPr>
        <xdr:cNvPr id="125122" name="Grafik 12">
          <a:extLst>
            <a:ext uri="{FF2B5EF4-FFF2-40B4-BE49-F238E27FC236}">
              <a16:creationId xmlns:a16="http://schemas.microsoft.com/office/drawing/2014/main" xmlns="" id="{00000000-0008-0000-0400-0000C2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10668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9</xdr:row>
      <xdr:rowOff>9525</xdr:rowOff>
    </xdr:from>
    <xdr:to>
      <xdr:col>16</xdr:col>
      <xdr:colOff>552450</xdr:colOff>
      <xdr:row>9</xdr:row>
      <xdr:rowOff>114300</xdr:rowOff>
    </xdr:to>
    <xdr:pic>
      <xdr:nvPicPr>
        <xdr:cNvPr id="125123" name="Grafik 12">
          <a:extLst>
            <a:ext uri="{FF2B5EF4-FFF2-40B4-BE49-F238E27FC236}">
              <a16:creationId xmlns:a16="http://schemas.microsoft.com/office/drawing/2014/main" xmlns="" id="{00000000-0008-0000-0400-0000C3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3486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323850</xdr:colOff>
      <xdr:row>9</xdr:row>
      <xdr:rowOff>9525</xdr:rowOff>
    </xdr:from>
    <xdr:to>
      <xdr:col>3</xdr:col>
      <xdr:colOff>438150</xdr:colOff>
      <xdr:row>9</xdr:row>
      <xdr:rowOff>114300</xdr:rowOff>
    </xdr:to>
    <xdr:pic>
      <xdr:nvPicPr>
        <xdr:cNvPr id="125124" name="Grafik 5">
          <a:extLst>
            <a:ext uri="{FF2B5EF4-FFF2-40B4-BE49-F238E27FC236}">
              <a16:creationId xmlns:a16="http://schemas.microsoft.com/office/drawing/2014/main" xmlns="" id="{00000000-0008-0000-0400-0000C4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4861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14</xdr:row>
      <xdr:rowOff>9525</xdr:rowOff>
    </xdr:from>
    <xdr:to>
      <xdr:col>16</xdr:col>
      <xdr:colOff>552450</xdr:colOff>
      <xdr:row>14</xdr:row>
      <xdr:rowOff>114300</xdr:rowOff>
    </xdr:to>
    <xdr:pic>
      <xdr:nvPicPr>
        <xdr:cNvPr id="125125" name="Grafik 12">
          <a:extLst>
            <a:ext uri="{FF2B5EF4-FFF2-40B4-BE49-F238E27FC236}">
              <a16:creationId xmlns:a16="http://schemas.microsoft.com/office/drawing/2014/main" xmlns="" id="{00000000-0008-0000-0400-0000C5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4914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17</xdr:row>
      <xdr:rowOff>9525</xdr:rowOff>
    </xdr:from>
    <xdr:to>
      <xdr:col>16</xdr:col>
      <xdr:colOff>552450</xdr:colOff>
      <xdr:row>17</xdr:row>
      <xdr:rowOff>114300</xdr:rowOff>
    </xdr:to>
    <xdr:pic>
      <xdr:nvPicPr>
        <xdr:cNvPr id="125126" name="Grafik 12">
          <a:extLst>
            <a:ext uri="{FF2B5EF4-FFF2-40B4-BE49-F238E27FC236}">
              <a16:creationId xmlns:a16="http://schemas.microsoft.com/office/drawing/2014/main" xmlns="" id="{00000000-0008-0000-0400-0000C6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5886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27</xdr:row>
      <xdr:rowOff>9525</xdr:rowOff>
    </xdr:from>
    <xdr:to>
      <xdr:col>16</xdr:col>
      <xdr:colOff>552450</xdr:colOff>
      <xdr:row>27</xdr:row>
      <xdr:rowOff>114300</xdr:rowOff>
    </xdr:to>
    <xdr:pic>
      <xdr:nvPicPr>
        <xdr:cNvPr id="125127" name="Grafik 12">
          <a:extLst>
            <a:ext uri="{FF2B5EF4-FFF2-40B4-BE49-F238E27FC236}">
              <a16:creationId xmlns:a16="http://schemas.microsoft.com/office/drawing/2014/main" xmlns="" id="{00000000-0008-0000-0400-0000C7E8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8225" y="8382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514350</xdr:colOff>
      <xdr:row>1</xdr:row>
      <xdr:rowOff>9525</xdr:rowOff>
    </xdr:from>
    <xdr:to>
      <xdr:col>15</xdr:col>
      <xdr:colOff>219075</xdr:colOff>
      <xdr:row>3</xdr:row>
      <xdr:rowOff>38100</xdr:rowOff>
    </xdr:to>
    <xdr:pic>
      <xdr:nvPicPr>
        <xdr:cNvPr id="125128" name="Picture 3">
          <a:extLst>
            <a:ext uri="{FF2B5EF4-FFF2-40B4-BE49-F238E27FC236}">
              <a16:creationId xmlns:a16="http://schemas.microsoft.com/office/drawing/2014/main" xmlns="" id="{00000000-0008-0000-0400-0000C8E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48425" y="133350"/>
          <a:ext cx="1581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15</xdr:col>
      <xdr:colOff>285750</xdr:colOff>
      <xdr:row>0</xdr:row>
      <xdr:rowOff>104775</xdr:rowOff>
    </xdr:from>
    <xdr:to>
      <xdr:col>18</xdr:col>
      <xdr:colOff>19050</xdr:colOff>
      <xdr:row>5</xdr:row>
      <xdr:rowOff>0</xdr:rowOff>
    </xdr:to>
    <xdr:pic>
      <xdr:nvPicPr>
        <xdr:cNvPr id="125129" name="Grafik 1">
          <a:extLst>
            <a:ext uri="{FF2B5EF4-FFF2-40B4-BE49-F238E27FC236}">
              <a16:creationId xmlns:a16="http://schemas.microsoft.com/office/drawing/2014/main" xmlns="" id="{00000000-0008-0000-0400-0000C9E8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96250" y="10477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457200</xdr:colOff>
      <xdr:row>35</xdr:row>
      <xdr:rowOff>9525</xdr:rowOff>
    </xdr:from>
    <xdr:to>
      <xdr:col>16</xdr:col>
      <xdr:colOff>552450</xdr:colOff>
      <xdr:row>35</xdr:row>
      <xdr:rowOff>114300</xdr:rowOff>
    </xdr:to>
    <xdr:pic>
      <xdr:nvPicPr>
        <xdr:cNvPr id="25" name="Grafik 29">
          <a:extLst>
            <a:ext uri="{FF2B5EF4-FFF2-40B4-BE49-F238E27FC236}">
              <a16:creationId xmlns:a16="http://schemas.microsoft.com/office/drawing/2014/main" xmlns="" id="{00000000-0008-0000-0400-000019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667750" y="114300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457200</xdr:colOff>
      <xdr:row>39</xdr:row>
      <xdr:rowOff>9525</xdr:rowOff>
    </xdr:from>
    <xdr:to>
      <xdr:col>16</xdr:col>
      <xdr:colOff>552450</xdr:colOff>
      <xdr:row>39</xdr:row>
      <xdr:rowOff>114300</xdr:rowOff>
    </xdr:to>
    <xdr:pic>
      <xdr:nvPicPr>
        <xdr:cNvPr id="26" name="Grafik 29">
          <a:extLst>
            <a:ext uri="{FF2B5EF4-FFF2-40B4-BE49-F238E27FC236}">
              <a16:creationId xmlns:a16="http://schemas.microsoft.com/office/drawing/2014/main" xmlns="" id="{00000000-0008-0000-0400-00001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667750" y="130873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24</xdr:row>
      <xdr:rowOff>9525</xdr:rowOff>
    </xdr:from>
    <xdr:to>
      <xdr:col>16</xdr:col>
      <xdr:colOff>552450</xdr:colOff>
      <xdr:row>24</xdr:row>
      <xdr:rowOff>114300</xdr:rowOff>
    </xdr:to>
    <xdr:pic>
      <xdr:nvPicPr>
        <xdr:cNvPr id="24" name="Grafik 12">
          <a:extLst>
            <a:ext uri="{FF2B5EF4-FFF2-40B4-BE49-F238E27FC236}">
              <a16:creationId xmlns:a16="http://schemas.microsoft.com/office/drawing/2014/main" xmlns="" id="{F33A2AC5-E333-4A90-9863-0EF7BFAA71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6810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69</xdr:row>
      <xdr:rowOff>9525</xdr:rowOff>
    </xdr:from>
    <xdr:to>
      <xdr:col>16</xdr:col>
      <xdr:colOff>552450</xdr:colOff>
      <xdr:row>69</xdr:row>
      <xdr:rowOff>114300</xdr:rowOff>
    </xdr:to>
    <xdr:pic>
      <xdr:nvPicPr>
        <xdr:cNvPr id="30" name="Grafik 13">
          <a:extLst>
            <a:ext uri="{FF2B5EF4-FFF2-40B4-BE49-F238E27FC236}">
              <a16:creationId xmlns:a16="http://schemas.microsoft.com/office/drawing/2014/main" xmlns="" id="{539CD259-944E-4965-96E9-2ADDB4A428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2482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72</xdr:row>
      <xdr:rowOff>9525</xdr:rowOff>
    </xdr:from>
    <xdr:to>
      <xdr:col>16</xdr:col>
      <xdr:colOff>552450</xdr:colOff>
      <xdr:row>72</xdr:row>
      <xdr:rowOff>114300</xdr:rowOff>
    </xdr:to>
    <xdr:pic>
      <xdr:nvPicPr>
        <xdr:cNvPr id="31" name="Grafik 13">
          <a:extLst>
            <a:ext uri="{FF2B5EF4-FFF2-40B4-BE49-F238E27FC236}">
              <a16:creationId xmlns:a16="http://schemas.microsoft.com/office/drawing/2014/main" xmlns="" id="{DBA73A90-0D7D-45E7-9ED8-34EC1568A8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25965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447675</xdr:colOff>
      <xdr:row>20</xdr:row>
      <xdr:rowOff>9525</xdr:rowOff>
    </xdr:from>
    <xdr:to>
      <xdr:col>16</xdr:col>
      <xdr:colOff>552450</xdr:colOff>
      <xdr:row>20</xdr:row>
      <xdr:rowOff>114300</xdr:rowOff>
    </xdr:to>
    <xdr:pic>
      <xdr:nvPicPr>
        <xdr:cNvPr id="27" name="Grafik 12">
          <a:extLst>
            <a:ext uri="{FF2B5EF4-FFF2-40B4-BE49-F238E27FC236}">
              <a16:creationId xmlns:a16="http://schemas.microsoft.com/office/drawing/2014/main" xmlns="" id="{EAC6BA0C-BBA2-4509-B150-7A8C76431C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6429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333375</xdr:colOff>
      <xdr:row>7</xdr:row>
      <xdr:rowOff>9525</xdr:rowOff>
    </xdr:from>
    <xdr:to>
      <xdr:col>6</xdr:col>
      <xdr:colOff>0</xdr:colOff>
      <xdr:row>7</xdr:row>
      <xdr:rowOff>104775</xdr:rowOff>
    </xdr:to>
    <xdr:pic>
      <xdr:nvPicPr>
        <xdr:cNvPr id="115384" name="Grafik 4">
          <a:extLst>
            <a:ext uri="{FF2B5EF4-FFF2-40B4-BE49-F238E27FC236}">
              <a16:creationId xmlns:a16="http://schemas.microsoft.com/office/drawing/2014/main" xmlns="" id="{00000000-0008-0000-0700-0000B8C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350" y="10191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2143125</xdr:colOff>
      <xdr:row>5</xdr:row>
      <xdr:rowOff>9525</xdr:rowOff>
    </xdr:from>
    <xdr:to>
      <xdr:col>10</xdr:col>
      <xdr:colOff>0</xdr:colOff>
      <xdr:row>5</xdr:row>
      <xdr:rowOff>104775</xdr:rowOff>
    </xdr:to>
    <xdr:pic>
      <xdr:nvPicPr>
        <xdr:cNvPr id="115385" name="Grafik 4">
          <a:extLst>
            <a:ext uri="{FF2B5EF4-FFF2-40B4-BE49-F238E27FC236}">
              <a16:creationId xmlns:a16="http://schemas.microsoft.com/office/drawing/2014/main" xmlns="" id="{00000000-0008-0000-0700-0000B9C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2300" y="74295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2143125</xdr:colOff>
      <xdr:row>7</xdr:row>
      <xdr:rowOff>9525</xdr:rowOff>
    </xdr:from>
    <xdr:to>
      <xdr:col>10</xdr:col>
      <xdr:colOff>0</xdr:colOff>
      <xdr:row>7</xdr:row>
      <xdr:rowOff>104775</xdr:rowOff>
    </xdr:to>
    <xdr:pic>
      <xdr:nvPicPr>
        <xdr:cNvPr id="115386" name="Grafik 4">
          <a:extLst>
            <a:ext uri="{FF2B5EF4-FFF2-40B4-BE49-F238E27FC236}">
              <a16:creationId xmlns:a16="http://schemas.microsoft.com/office/drawing/2014/main" xmlns="" id="{00000000-0008-0000-0700-0000BAC2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72300" y="10191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790575</xdr:colOff>
      <xdr:row>1</xdr:row>
      <xdr:rowOff>133350</xdr:rowOff>
    </xdr:from>
    <xdr:to>
      <xdr:col>10</xdr:col>
      <xdr:colOff>2228850</xdr:colOff>
      <xdr:row>3</xdr:row>
      <xdr:rowOff>0</xdr:rowOff>
    </xdr:to>
    <xdr:pic>
      <xdr:nvPicPr>
        <xdr:cNvPr id="115387" name="Grafik 1">
          <a:extLst>
            <a:ext uri="{FF2B5EF4-FFF2-40B4-BE49-F238E27FC236}">
              <a16:creationId xmlns:a16="http://schemas.microsoft.com/office/drawing/2014/main" xmlns="" id="{00000000-0008-0000-0700-0000BBC2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58125" y="13335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485775</xdr:colOff>
      <xdr:row>5</xdr:row>
      <xdr:rowOff>9525</xdr:rowOff>
    </xdr:from>
    <xdr:to>
      <xdr:col>26</xdr:col>
      <xdr:colOff>9525</xdr:colOff>
      <xdr:row>5</xdr:row>
      <xdr:rowOff>104775</xdr:rowOff>
    </xdr:to>
    <xdr:pic>
      <xdr:nvPicPr>
        <xdr:cNvPr id="120328" name="Grafik 2">
          <a:extLst>
            <a:ext uri="{FF2B5EF4-FFF2-40B4-BE49-F238E27FC236}">
              <a16:creationId xmlns:a16="http://schemas.microsoft.com/office/drawing/2014/main" xmlns="" id="{00000000-0008-0000-0900-000008D6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63025" y="8858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476250</xdr:colOff>
      <xdr:row>7</xdr:row>
      <xdr:rowOff>9525</xdr:rowOff>
    </xdr:from>
    <xdr:to>
      <xdr:col>26</xdr:col>
      <xdr:colOff>0</xdr:colOff>
      <xdr:row>7</xdr:row>
      <xdr:rowOff>104775</xdr:rowOff>
    </xdr:to>
    <xdr:pic>
      <xdr:nvPicPr>
        <xdr:cNvPr id="120329" name="Grafik 3">
          <a:extLst>
            <a:ext uri="{FF2B5EF4-FFF2-40B4-BE49-F238E27FC236}">
              <a16:creationId xmlns:a16="http://schemas.microsoft.com/office/drawing/2014/main" xmlns="" id="{00000000-0008-0000-0900-000009D6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0" y="11620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171450</xdr:colOff>
      <xdr:row>7</xdr:row>
      <xdr:rowOff>9525</xdr:rowOff>
    </xdr:from>
    <xdr:to>
      <xdr:col>5</xdr:col>
      <xdr:colOff>0</xdr:colOff>
      <xdr:row>7</xdr:row>
      <xdr:rowOff>104775</xdr:rowOff>
    </xdr:to>
    <xdr:pic>
      <xdr:nvPicPr>
        <xdr:cNvPr id="120330" name="Grafik 4">
          <a:extLst>
            <a:ext uri="{FF2B5EF4-FFF2-40B4-BE49-F238E27FC236}">
              <a16:creationId xmlns:a16="http://schemas.microsoft.com/office/drawing/2014/main" xmlns="" id="{00000000-0008-0000-0900-00000AD6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0800" y="1162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9525</xdr:colOff>
      <xdr:row>1</xdr:row>
      <xdr:rowOff>47625</xdr:rowOff>
    </xdr:from>
    <xdr:to>
      <xdr:col>24</xdr:col>
      <xdr:colOff>438150</xdr:colOff>
      <xdr:row>3</xdr:row>
      <xdr:rowOff>47625</xdr:rowOff>
    </xdr:to>
    <xdr:pic>
      <xdr:nvPicPr>
        <xdr:cNvPr id="120332" name="Picture 3">
          <a:extLst>
            <a:ext uri="{FF2B5EF4-FFF2-40B4-BE49-F238E27FC236}">
              <a16:creationId xmlns:a16="http://schemas.microsoft.com/office/drawing/2014/main" xmlns="" id="{00000000-0008-0000-0900-00000CD6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34250" y="171450"/>
          <a:ext cx="15811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24</xdr:col>
      <xdr:colOff>590550</xdr:colOff>
      <xdr:row>1</xdr:row>
      <xdr:rowOff>9525</xdr:rowOff>
    </xdr:from>
    <xdr:to>
      <xdr:col>27</xdr:col>
      <xdr:colOff>76200</xdr:colOff>
      <xdr:row>3</xdr:row>
      <xdr:rowOff>142875</xdr:rowOff>
    </xdr:to>
    <xdr:pic>
      <xdr:nvPicPr>
        <xdr:cNvPr id="120333" name="Grafik 1">
          <a:extLst>
            <a:ext uri="{FF2B5EF4-FFF2-40B4-BE49-F238E27FC236}">
              <a16:creationId xmlns:a16="http://schemas.microsoft.com/office/drawing/2014/main" xmlns="" id="{00000000-0008-0000-0900-00000DD60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29700" y="133350"/>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2124075</xdr:colOff>
      <xdr:row>7</xdr:row>
      <xdr:rowOff>9525</xdr:rowOff>
    </xdr:from>
    <xdr:to>
      <xdr:col>3</xdr:col>
      <xdr:colOff>0</xdr:colOff>
      <xdr:row>7</xdr:row>
      <xdr:rowOff>104775</xdr:rowOff>
    </xdr:to>
    <xdr:pic>
      <xdr:nvPicPr>
        <xdr:cNvPr id="123996" name="Grafik 5">
          <a:extLst>
            <a:ext uri="{FF2B5EF4-FFF2-40B4-BE49-F238E27FC236}">
              <a16:creationId xmlns:a16="http://schemas.microsoft.com/office/drawing/2014/main" xmlns="" id="{00000000-0008-0000-0C00-00005C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1350" y="11525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2114550</xdr:colOff>
      <xdr:row>14</xdr:row>
      <xdr:rowOff>9525</xdr:rowOff>
    </xdr:from>
    <xdr:to>
      <xdr:col>3</xdr:col>
      <xdr:colOff>0</xdr:colOff>
      <xdr:row>14</xdr:row>
      <xdr:rowOff>104775</xdr:rowOff>
    </xdr:to>
    <xdr:pic>
      <xdr:nvPicPr>
        <xdr:cNvPr id="123997" name="Grafik 4">
          <a:extLst>
            <a:ext uri="{FF2B5EF4-FFF2-40B4-BE49-F238E27FC236}">
              <a16:creationId xmlns:a16="http://schemas.microsoft.com/office/drawing/2014/main" xmlns="" id="{00000000-0008-0000-0C00-00005D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2400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1381125</xdr:colOff>
      <xdr:row>5</xdr:row>
      <xdr:rowOff>9525</xdr:rowOff>
    </xdr:from>
    <xdr:to>
      <xdr:col>7</xdr:col>
      <xdr:colOff>0</xdr:colOff>
      <xdr:row>5</xdr:row>
      <xdr:rowOff>104775</xdr:rowOff>
    </xdr:to>
    <xdr:pic>
      <xdr:nvPicPr>
        <xdr:cNvPr id="123998" name="Grafik 5">
          <a:extLst>
            <a:ext uri="{FF2B5EF4-FFF2-40B4-BE49-F238E27FC236}">
              <a16:creationId xmlns:a16="http://schemas.microsoft.com/office/drawing/2014/main" xmlns="" id="{00000000-0008-0000-0C00-00005E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8763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1381125</xdr:colOff>
      <xdr:row>7</xdr:row>
      <xdr:rowOff>9525</xdr:rowOff>
    </xdr:from>
    <xdr:to>
      <xdr:col>7</xdr:col>
      <xdr:colOff>0</xdr:colOff>
      <xdr:row>7</xdr:row>
      <xdr:rowOff>104775</xdr:rowOff>
    </xdr:to>
    <xdr:pic>
      <xdr:nvPicPr>
        <xdr:cNvPr id="123999" name="Grafik 5">
          <a:extLst>
            <a:ext uri="{FF2B5EF4-FFF2-40B4-BE49-F238E27FC236}">
              <a16:creationId xmlns:a16="http://schemas.microsoft.com/office/drawing/2014/main" xmlns="" id="{00000000-0008-0000-0C00-00005FE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5450" y="11525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1</xdr:row>
      <xdr:rowOff>28575</xdr:rowOff>
    </xdr:from>
    <xdr:to>
      <xdr:col>6</xdr:col>
      <xdr:colOff>1447800</xdr:colOff>
      <xdr:row>2</xdr:row>
      <xdr:rowOff>152400</xdr:rowOff>
    </xdr:to>
    <xdr:pic>
      <xdr:nvPicPr>
        <xdr:cNvPr id="124000" name="Grafik 1">
          <a:extLst>
            <a:ext uri="{FF2B5EF4-FFF2-40B4-BE49-F238E27FC236}">
              <a16:creationId xmlns:a16="http://schemas.microsoft.com/office/drawing/2014/main" xmlns="" id="{00000000-0008-0000-0C00-000060E4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43850" y="1524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0</xdr:col>
      <xdr:colOff>0</xdr:colOff>
      <xdr:row>8</xdr:row>
      <xdr:rowOff>95250</xdr:rowOff>
    </xdr:to>
    <xdr:pic>
      <xdr:nvPicPr>
        <xdr:cNvPr id="62213" name="Grafik 4">
          <a:extLst>
            <a:ext uri="{FF2B5EF4-FFF2-40B4-BE49-F238E27FC236}">
              <a16:creationId xmlns:a16="http://schemas.microsoft.com/office/drawing/2014/main" xmlns="" id="{00000000-0008-0000-0D00-000005F3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47900"/>
          <a:ext cx="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67:S88" totalsRowShown="0" headerRowDxfId="312" dataDxfId="310" headerRowBorderDxfId="311" tableBorderDxfId="309" totalsRowBorderDxfId="308">
  <tableColumns count="19">
    <tableColumn id="1" name="Baden-Württemberg" dataDxfId="307"/>
    <tableColumn id="2" name="Bayern" dataDxfId="306"/>
    <tableColumn id="3" name="Berlin" dataDxfId="305"/>
    <tableColumn id="4" name="Brandenburg" dataDxfId="304"/>
    <tableColumn id="5" name="Bremen" dataDxfId="303"/>
    <tableColumn id="6" name="Hamburg" dataDxfId="302"/>
    <tableColumn id="7" name="Hessen" dataDxfId="301"/>
    <tableColumn id="8" name="Mecklenburg-Vorpommern" dataDxfId="300"/>
    <tableColumn id="9" name="Niedersachsen" dataDxfId="299"/>
    <tableColumn id="10" name="Nordrhein-Westfalen" dataDxfId="298"/>
    <tableColumn id="11" name="Rheinland-Pfalz" dataDxfId="297"/>
    <tableColumn id="12" name="Saarland" dataDxfId="296"/>
    <tableColumn id="13" name="Sachsen" dataDxfId="295"/>
    <tableColumn id="14" name="Sachsen-Anhalt" dataDxfId="294"/>
    <tableColumn id="15" name="Schleswig-Holstein" dataDxfId="293"/>
    <tableColumn id="16" name="Thüringen" dataDxfId="292"/>
    <tableColumn id="17" name="Schweiz" dataDxfId="291"/>
    <tableColumn id="18" name="Österreich" dataDxfId="290"/>
    <tableColumn id="19" name="Italien" dataDxfId="289"/>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onkozert.de/organ/haut/"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krebsgesellschaft.de/zertdokumente.html"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comments" Target="../comments5.xml"/><Relationship Id="rId5" Type="http://schemas.openxmlformats.org/officeDocument/2006/relationships/vmlDrawing" Target="../drawings/vmlDrawing7.vml"/><Relationship Id="rId4"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Y61"/>
  <sheetViews>
    <sheetView showGridLines="0" tabSelected="1" zoomScaleNormal="100" zoomScaleSheetLayoutView="89" zoomScalePageLayoutView="69" workbookViewId="0">
      <selection activeCell="C6" sqref="C6:F6"/>
    </sheetView>
  </sheetViews>
  <sheetFormatPr baseColWidth="10" defaultColWidth="11.42578125" defaultRowHeight="14.25"/>
  <cols>
    <col min="1" max="1" width="0.85546875" style="4" customWidth="1"/>
    <col min="2" max="2" width="23.140625" style="4" customWidth="1"/>
    <col min="3" max="3" width="19.28515625" style="4" customWidth="1"/>
    <col min="4" max="13" width="6" style="4" customWidth="1"/>
    <col min="14" max="14" width="7.7109375" style="592" customWidth="1"/>
    <col min="15" max="15" width="8.5703125" style="4" customWidth="1"/>
    <col min="16" max="16" width="11.7109375" style="4" customWidth="1"/>
    <col min="17" max="17" width="6.5703125" style="4" customWidth="1"/>
    <col min="18" max="18" width="7" style="4" customWidth="1"/>
    <col min="19" max="19" width="0.5703125" style="4" customWidth="1"/>
    <col min="20" max="16384" width="11.42578125" style="4"/>
  </cols>
  <sheetData>
    <row r="1" spans="1:18" ht="9.9499999999999993" customHeight="1">
      <c r="A1" s="8"/>
    </row>
    <row r="2" spans="1:18" ht="12.95" customHeight="1">
      <c r="A2" s="13"/>
      <c r="B2" s="524" t="s">
        <v>761</v>
      </c>
      <c r="C2" s="146"/>
      <c r="D2" s="9"/>
    </row>
    <row r="3" spans="1:18" ht="16.5" customHeight="1">
      <c r="A3" s="14"/>
      <c r="B3" s="162" t="s">
        <v>175</v>
      </c>
      <c r="C3" s="71"/>
    </row>
    <row r="4" spans="1:18" ht="6.75" customHeight="1">
      <c r="A4" s="50"/>
      <c r="L4" s="28"/>
      <c r="M4" s="28"/>
      <c r="N4" s="594"/>
      <c r="O4" s="28"/>
      <c r="P4" s="28"/>
      <c r="Q4" s="28"/>
    </row>
    <row r="5" spans="1:18" ht="13.5" customHeight="1">
      <c r="A5" s="50"/>
      <c r="L5" s="28"/>
      <c r="M5" s="28"/>
      <c r="N5" s="594"/>
      <c r="O5" s="28"/>
      <c r="P5" s="28"/>
      <c r="Q5" s="28"/>
    </row>
    <row r="6" spans="1:18" ht="15.95" customHeight="1">
      <c r="A6" s="5"/>
      <c r="B6" s="157" t="s">
        <v>80</v>
      </c>
      <c r="C6" s="768"/>
      <c r="D6" s="769"/>
      <c r="E6" s="769"/>
      <c r="F6" s="770"/>
      <c r="G6" s="157"/>
      <c r="H6" s="161"/>
      <c r="I6" s="161"/>
      <c r="J6" s="161"/>
      <c r="K6" s="764" t="s">
        <v>484</v>
      </c>
      <c r="L6" s="764"/>
      <c r="M6" s="764"/>
      <c r="N6" s="764"/>
      <c r="O6" s="764"/>
      <c r="P6" s="764"/>
      <c r="Q6" s="764"/>
      <c r="R6" s="764"/>
    </row>
    <row r="7" spans="1:18" ht="6.95" customHeight="1">
      <c r="A7" s="5"/>
      <c r="B7" s="30"/>
      <c r="C7" s="161"/>
      <c r="D7" s="161"/>
      <c r="E7" s="159"/>
      <c r="F7" s="159"/>
      <c r="G7" s="159"/>
      <c r="H7" s="159"/>
      <c r="I7" s="160"/>
      <c r="J7" s="160"/>
      <c r="K7" s="161"/>
      <c r="L7" s="161"/>
      <c r="M7" s="161"/>
      <c r="N7" s="597"/>
      <c r="O7" s="161"/>
      <c r="P7" s="161"/>
      <c r="Q7" s="161"/>
      <c r="R7" s="161"/>
    </row>
    <row r="8" spans="1:18" s="5" customFormat="1" ht="15.95" customHeight="1">
      <c r="B8" s="155" t="s">
        <v>133</v>
      </c>
      <c r="C8" s="783" t="str">
        <f>IF($C$6="","",Datenquelle!B99)</f>
        <v/>
      </c>
      <c r="D8" s="784"/>
      <c r="E8" s="784"/>
      <c r="F8" s="784"/>
      <c r="G8" s="784"/>
      <c r="H8" s="784"/>
      <c r="I8" s="784"/>
      <c r="J8" s="784"/>
      <c r="K8" s="784"/>
      <c r="L8" s="784"/>
      <c r="M8" s="784"/>
      <c r="N8" s="784"/>
      <c r="O8" s="784"/>
      <c r="P8" s="784"/>
      <c r="Q8" s="784"/>
      <c r="R8" s="785"/>
    </row>
    <row r="9" spans="1:18" s="5" customFormat="1" ht="6.95" customHeight="1">
      <c r="B9" s="26"/>
      <c r="C9" s="160"/>
      <c r="D9" s="160"/>
      <c r="E9" s="160"/>
      <c r="F9" s="160"/>
      <c r="G9" s="160"/>
      <c r="H9" s="161"/>
      <c r="I9" s="161"/>
      <c r="J9" s="161"/>
      <c r="K9" s="161"/>
      <c r="L9" s="161"/>
      <c r="M9" s="161"/>
      <c r="N9" s="597"/>
      <c r="O9" s="161"/>
      <c r="P9" s="161"/>
      <c r="Q9" s="161"/>
      <c r="R9" s="161"/>
    </row>
    <row r="10" spans="1:18" s="5" customFormat="1" ht="15.95" customHeight="1">
      <c r="B10" s="155" t="s">
        <v>134</v>
      </c>
      <c r="C10" s="783" t="str">
        <f>IF($C$6="","",Datenquelle!C99)</f>
        <v/>
      </c>
      <c r="D10" s="784"/>
      <c r="E10" s="784"/>
      <c r="F10" s="784"/>
      <c r="G10" s="784"/>
      <c r="H10" s="784"/>
      <c r="I10" s="784"/>
      <c r="J10" s="784"/>
      <c r="K10" s="784"/>
      <c r="L10" s="784"/>
      <c r="M10" s="784"/>
      <c r="N10" s="784"/>
      <c r="O10" s="784"/>
      <c r="P10" s="784"/>
      <c r="Q10" s="784"/>
      <c r="R10" s="785"/>
    </row>
    <row r="11" spans="1:18" s="5" customFormat="1" ht="6.95" customHeight="1">
      <c r="B11" s="26"/>
      <c r="C11" s="160"/>
      <c r="D11" s="160"/>
      <c r="E11" s="160"/>
      <c r="F11" s="160"/>
      <c r="G11" s="160"/>
      <c r="H11" s="161"/>
      <c r="I11" s="161"/>
      <c r="J11" s="161"/>
      <c r="K11" s="161"/>
      <c r="L11" s="161"/>
      <c r="M11" s="161"/>
      <c r="N11" s="597"/>
      <c r="O11" s="161"/>
      <c r="P11" s="161"/>
      <c r="Q11" s="161"/>
      <c r="R11" s="161"/>
    </row>
    <row r="12" spans="1:18" s="5" customFormat="1" ht="15.95" customHeight="1">
      <c r="B12" s="158" t="s">
        <v>370</v>
      </c>
      <c r="C12" s="765"/>
      <c r="D12" s="766"/>
      <c r="E12" s="766"/>
      <c r="F12" s="767"/>
      <c r="G12" s="545" t="s">
        <v>481</v>
      </c>
      <c r="H12" s="545"/>
      <c r="I12" s="545"/>
      <c r="K12" s="546" t="s">
        <v>77</v>
      </c>
      <c r="L12" s="178"/>
      <c r="M12" s="555"/>
      <c r="N12" s="556"/>
      <c r="O12" s="786"/>
      <c r="P12" s="786"/>
      <c r="Q12" s="786"/>
      <c r="R12" s="787"/>
    </row>
    <row r="13" spans="1:18" s="5" customFormat="1" ht="6.95" customHeight="1">
      <c r="B13" s="30"/>
      <c r="C13" s="161"/>
      <c r="D13" s="161"/>
      <c r="E13" s="159"/>
      <c r="F13" s="159"/>
      <c r="G13" s="159"/>
      <c r="H13" s="159"/>
      <c r="I13" s="160"/>
      <c r="K13" s="160"/>
      <c r="L13" s="161"/>
      <c r="M13" s="161"/>
      <c r="N13" s="161"/>
      <c r="O13" s="161"/>
      <c r="P13" s="161"/>
      <c r="Q13" s="161"/>
      <c r="R13" s="161"/>
    </row>
    <row r="14" spans="1:18" s="5" customFormat="1" ht="15.95" customHeight="1">
      <c r="B14" s="30"/>
      <c r="C14" s="161"/>
      <c r="D14" s="161"/>
      <c r="E14" s="159"/>
      <c r="F14" s="159"/>
      <c r="G14" s="157" t="s">
        <v>482</v>
      </c>
      <c r="H14" s="157"/>
      <c r="I14" s="157"/>
      <c r="K14" s="544" t="s">
        <v>473</v>
      </c>
      <c r="L14" s="143"/>
      <c r="M14" s="547"/>
      <c r="N14" s="548"/>
      <c r="O14" s="788" t="str">
        <f>IF($C$6="","",Datenquelle!G99)</f>
        <v/>
      </c>
      <c r="P14" s="788"/>
      <c r="Q14" s="788"/>
      <c r="R14" s="789"/>
    </row>
    <row r="15" spans="1:18" ht="6.95" customHeight="1">
      <c r="B15" s="30"/>
      <c r="C15" s="30"/>
      <c r="D15" s="30"/>
      <c r="E15" s="30"/>
      <c r="F15" s="30"/>
      <c r="G15" s="30"/>
      <c r="H15" s="30"/>
      <c r="I15" s="30"/>
      <c r="K15" s="30"/>
      <c r="L15" s="30"/>
      <c r="M15" s="30"/>
      <c r="N15" s="30"/>
      <c r="O15" s="30"/>
      <c r="P15" s="30"/>
      <c r="Q15" s="30"/>
      <c r="R15" s="30"/>
    </row>
    <row r="16" spans="1:18" s="5" customFormat="1" ht="15.75" customHeight="1">
      <c r="B16" s="261"/>
      <c r="C16" s="261"/>
      <c r="D16" s="412"/>
      <c r="E16" s="412"/>
      <c r="F16" s="412"/>
      <c r="G16" s="551" t="s">
        <v>481</v>
      </c>
      <c r="H16" s="551"/>
      <c r="I16" s="551"/>
      <c r="K16" s="551" t="s">
        <v>483</v>
      </c>
      <c r="L16" s="143"/>
      <c r="M16" s="549"/>
      <c r="N16" s="550"/>
      <c r="O16" s="790">
        <v>2021</v>
      </c>
      <c r="P16" s="791"/>
      <c r="Q16" s="791"/>
      <c r="R16" s="792"/>
    </row>
    <row r="17" spans="1:22" s="5" customFormat="1" ht="4.5" customHeight="1">
      <c r="B17" s="261"/>
      <c r="C17" s="261"/>
      <c r="D17" s="261"/>
      <c r="E17" s="261"/>
      <c r="F17" s="261"/>
      <c r="G17" s="261"/>
      <c r="H17" s="261"/>
      <c r="I17" s="578"/>
      <c r="J17" s="578"/>
      <c r="K17" s="578"/>
      <c r="L17" s="578"/>
      <c r="M17" s="578"/>
      <c r="N17" s="601"/>
      <c r="O17" s="578"/>
      <c r="P17" s="578"/>
      <c r="Q17" s="578"/>
      <c r="R17" s="578"/>
    </row>
    <row r="18" spans="1:22" s="5" customFormat="1" ht="9" customHeight="1">
      <c r="B18" s="261"/>
      <c r="C18" s="261"/>
      <c r="D18" s="261"/>
      <c r="E18" s="261"/>
      <c r="F18" s="261"/>
      <c r="G18" s="261"/>
      <c r="H18" s="261"/>
      <c r="I18" s="584"/>
      <c r="J18" s="584"/>
      <c r="K18" s="584"/>
      <c r="L18" s="584"/>
      <c r="M18" s="584"/>
      <c r="N18" s="602"/>
      <c r="O18" s="584"/>
      <c r="P18" s="584"/>
      <c r="Q18" s="584"/>
      <c r="R18" s="584"/>
    </row>
    <row r="19" spans="1:22" s="5" customFormat="1" ht="4.5" customHeight="1">
      <c r="B19" s="155"/>
      <c r="C19" s="155"/>
      <c r="D19" s="30"/>
      <c r="E19" s="30"/>
      <c r="F19" s="18"/>
      <c r="G19" s="18"/>
      <c r="H19" s="30"/>
      <c r="I19" s="156"/>
      <c r="J19" s="156"/>
      <c r="K19" s="30"/>
      <c r="L19" s="30"/>
      <c r="M19" s="30"/>
      <c r="N19" s="595"/>
      <c r="O19" s="30"/>
      <c r="P19" s="30"/>
      <c r="Q19" s="30"/>
      <c r="R19" s="30"/>
    </row>
    <row r="20" spans="1:22" s="5" customFormat="1" ht="15.95" customHeight="1">
      <c r="B20" s="777" t="s">
        <v>369</v>
      </c>
      <c r="C20" s="778"/>
      <c r="D20" s="778"/>
      <c r="E20" s="778"/>
      <c r="F20" s="778"/>
      <c r="G20" s="778"/>
      <c r="H20" s="779"/>
      <c r="I20" s="774" t="s">
        <v>521</v>
      </c>
      <c r="J20" s="775"/>
      <c r="K20" s="775"/>
      <c r="L20" s="775"/>
      <c r="M20" s="775"/>
      <c r="N20" s="775"/>
      <c r="O20" s="775"/>
      <c r="P20" s="775"/>
      <c r="Q20" s="775"/>
      <c r="R20" s="776"/>
    </row>
    <row r="21" spans="1:22" s="5" customFormat="1" ht="15.95" customHeight="1">
      <c r="B21" s="777" t="str">
        <f>IF($C$6="","",Datenquelle!F99)</f>
        <v/>
      </c>
      <c r="C21" s="778"/>
      <c r="D21" s="778"/>
      <c r="E21" s="778"/>
      <c r="F21" s="778"/>
      <c r="G21" s="778"/>
      <c r="H21" s="779"/>
      <c r="I21" s="780"/>
      <c r="J21" s="781"/>
      <c r="K21" s="781"/>
      <c r="L21" s="781"/>
      <c r="M21" s="781"/>
      <c r="N21" s="781"/>
      <c r="O21" s="781"/>
      <c r="P21" s="781"/>
      <c r="Q21" s="781"/>
      <c r="R21" s="782"/>
    </row>
    <row r="22" spans="1:22" s="5" customFormat="1" ht="6.95" customHeight="1">
      <c r="B22" s="26"/>
      <c r="C22" s="26"/>
      <c r="D22" s="26"/>
      <c r="E22" s="26"/>
      <c r="F22" s="26"/>
      <c r="G22" s="30"/>
      <c r="H22" s="30"/>
      <c r="I22" s="30"/>
      <c r="J22" s="30"/>
      <c r="K22" s="26"/>
      <c r="L22" s="30"/>
      <c r="M22" s="30"/>
      <c r="N22" s="595"/>
      <c r="O22" s="30"/>
      <c r="P22" s="30"/>
      <c r="Q22" s="30"/>
      <c r="R22" s="30"/>
    </row>
    <row r="23" spans="1:22" s="5" customFormat="1" ht="15.95" customHeight="1">
      <c r="B23" s="774" t="s">
        <v>24</v>
      </c>
      <c r="C23" s="775"/>
      <c r="D23" s="775"/>
      <c r="E23" s="775"/>
      <c r="F23" s="775"/>
      <c r="G23" s="775"/>
      <c r="H23" s="776"/>
      <c r="I23" s="793" t="s">
        <v>486</v>
      </c>
      <c r="J23" s="794"/>
      <c r="K23" s="794"/>
      <c r="L23" s="794"/>
      <c r="M23" s="794"/>
      <c r="N23" s="794"/>
      <c r="O23" s="794"/>
      <c r="P23" s="794"/>
      <c r="Q23" s="794"/>
      <c r="R23" s="795"/>
    </row>
    <row r="24" spans="1:22" s="5" customFormat="1" ht="15.95" customHeight="1">
      <c r="B24" s="747"/>
      <c r="C24" s="748"/>
      <c r="D24" s="748"/>
      <c r="E24" s="748"/>
      <c r="F24" s="748"/>
      <c r="G24" s="748"/>
      <c r="H24" s="749"/>
      <c r="I24" s="771" t="s">
        <v>395</v>
      </c>
      <c r="J24" s="772"/>
      <c r="K24" s="772"/>
      <c r="L24" s="772"/>
      <c r="M24" s="772"/>
      <c r="N24" s="772"/>
      <c r="O24" s="772"/>
      <c r="P24" s="772"/>
      <c r="Q24" s="772"/>
      <c r="R24" s="773"/>
      <c r="U24" s="557"/>
    </row>
    <row r="25" spans="1:22" s="5" customFormat="1" ht="16.5" customHeight="1">
      <c r="H25" s="6"/>
      <c r="N25" s="593"/>
    </row>
    <row r="26" spans="1:22" s="5" customFormat="1" ht="11.25" customHeight="1">
      <c r="B26" s="750"/>
      <c r="C26" s="751"/>
      <c r="D26" s="751"/>
      <c r="E26" s="751"/>
      <c r="F26" s="751"/>
      <c r="G26" s="751"/>
      <c r="H26" s="751"/>
      <c r="I26" s="751"/>
      <c r="J26" s="751"/>
      <c r="K26" s="751"/>
      <c r="L26" s="751"/>
      <c r="M26" s="751"/>
      <c r="N26" s="751"/>
      <c r="O26" s="751"/>
      <c r="P26" s="751"/>
      <c r="Q26" s="751"/>
      <c r="R26" s="751"/>
    </row>
    <row r="27" spans="1:22" s="5" customFormat="1" ht="15" customHeight="1">
      <c r="B27" s="755" t="s">
        <v>509</v>
      </c>
      <c r="C27" s="756"/>
      <c r="D27" s="752" t="s">
        <v>557</v>
      </c>
      <c r="E27" s="753"/>
      <c r="F27" s="753"/>
      <c r="G27" s="753"/>
      <c r="H27" s="753"/>
      <c r="I27" s="753"/>
      <c r="J27" s="753"/>
      <c r="K27" s="753"/>
      <c r="L27" s="753"/>
      <c r="M27" s="753"/>
      <c r="N27" s="753"/>
      <c r="O27" s="754"/>
      <c r="P27" s="762" t="s">
        <v>648</v>
      </c>
      <c r="Q27" s="762" t="s">
        <v>581</v>
      </c>
      <c r="R27" s="763" t="s">
        <v>18</v>
      </c>
    </row>
    <row r="28" spans="1:22" s="5" customFormat="1" ht="15" customHeight="1">
      <c r="A28" s="11"/>
      <c r="B28" s="757"/>
      <c r="C28" s="758"/>
      <c r="D28" s="753" t="s">
        <v>579</v>
      </c>
      <c r="E28" s="753"/>
      <c r="F28" s="753"/>
      <c r="G28" s="753"/>
      <c r="H28" s="753"/>
      <c r="I28" s="753"/>
      <c r="J28" s="753"/>
      <c r="K28" s="753"/>
      <c r="L28" s="753"/>
      <c r="M28" s="753"/>
      <c r="N28" s="761" t="s">
        <v>580</v>
      </c>
      <c r="O28" s="752"/>
      <c r="P28" s="762"/>
      <c r="Q28" s="762"/>
      <c r="R28" s="763"/>
      <c r="S28" s="142"/>
    </row>
    <row r="29" spans="1:22" s="5" customFormat="1" ht="48" customHeight="1">
      <c r="A29" s="11"/>
      <c r="B29" s="759"/>
      <c r="C29" s="760"/>
      <c r="D29" s="607" t="s">
        <v>558</v>
      </c>
      <c r="E29" s="605" t="s">
        <v>559</v>
      </c>
      <c r="F29" s="605" t="s">
        <v>560</v>
      </c>
      <c r="G29" s="606" t="s">
        <v>561</v>
      </c>
      <c r="H29" s="606" t="s">
        <v>562</v>
      </c>
      <c r="I29" s="606" t="s">
        <v>563</v>
      </c>
      <c r="J29" s="604" t="s">
        <v>564</v>
      </c>
      <c r="K29" s="605" t="s">
        <v>565</v>
      </c>
      <c r="L29" s="605" t="s">
        <v>576</v>
      </c>
      <c r="M29" s="605" t="s">
        <v>566</v>
      </c>
      <c r="N29" s="605" t="s">
        <v>577</v>
      </c>
      <c r="O29" s="608" t="s">
        <v>578</v>
      </c>
      <c r="P29" s="762"/>
      <c r="Q29" s="762"/>
      <c r="R29" s="763"/>
      <c r="S29" s="142"/>
    </row>
    <row r="30" spans="1:22" s="5" customFormat="1" ht="27.95" customHeight="1">
      <c r="A30" s="11"/>
      <c r="B30" s="743" t="s">
        <v>567</v>
      </c>
      <c r="C30" s="743"/>
      <c r="D30" s="573"/>
      <c r="E30" s="575"/>
      <c r="F30" s="575"/>
      <c r="G30" s="575"/>
      <c r="H30" s="575"/>
      <c r="I30" s="575"/>
      <c r="J30" s="573"/>
      <c r="K30" s="573"/>
      <c r="L30" s="573"/>
      <c r="M30" s="573"/>
      <c r="N30" s="598"/>
      <c r="O30" s="573"/>
      <c r="P30" s="573"/>
      <c r="Q30" s="573"/>
      <c r="R30" s="61">
        <f t="shared" ref="R30:R36" si="0">IF(AND(D30="",E30="",F30="",G30="",H30="",I30="",J30="",K30="",L30="",M30="",O30="",P30="",Q30=""),0,SUM(D30:Q30))</f>
        <v>0</v>
      </c>
      <c r="V30" s="5" t="s">
        <v>356</v>
      </c>
    </row>
    <row r="31" spans="1:22" s="5" customFormat="1" ht="36.75" customHeight="1">
      <c r="A31" s="11"/>
      <c r="B31" s="743" t="s">
        <v>568</v>
      </c>
      <c r="C31" s="743"/>
      <c r="D31" s="573"/>
      <c r="E31" s="575"/>
      <c r="F31" s="575"/>
      <c r="G31" s="575"/>
      <c r="H31" s="575"/>
      <c r="I31" s="575"/>
      <c r="J31" s="573"/>
      <c r="K31" s="573"/>
      <c r="L31" s="573"/>
      <c r="M31" s="573"/>
      <c r="N31" s="598"/>
      <c r="O31" s="573"/>
      <c r="P31" s="573"/>
      <c r="Q31" s="573"/>
      <c r="R31" s="61">
        <f t="shared" si="0"/>
        <v>0</v>
      </c>
    </row>
    <row r="32" spans="1:22" s="5" customFormat="1" ht="51.75" customHeight="1">
      <c r="A32" s="11"/>
      <c r="B32" s="743" t="s">
        <v>569</v>
      </c>
      <c r="C32" s="743"/>
      <c r="D32" s="573"/>
      <c r="E32" s="575"/>
      <c r="F32" s="575"/>
      <c r="G32" s="575"/>
      <c r="H32" s="575"/>
      <c r="I32" s="575"/>
      <c r="J32" s="573"/>
      <c r="K32" s="573"/>
      <c r="L32" s="573"/>
      <c r="M32" s="573"/>
      <c r="N32" s="598"/>
      <c r="O32" s="573"/>
      <c r="P32" s="573"/>
      <c r="Q32" s="573"/>
      <c r="R32" s="61">
        <f t="shared" si="0"/>
        <v>0</v>
      </c>
    </row>
    <row r="33" spans="1:23" s="5" customFormat="1" ht="39" customHeight="1">
      <c r="A33" s="11"/>
      <c r="B33" s="743" t="s">
        <v>836</v>
      </c>
      <c r="C33" s="743"/>
      <c r="D33" s="573"/>
      <c r="E33" s="575"/>
      <c r="F33" s="575"/>
      <c r="G33" s="575"/>
      <c r="H33" s="575"/>
      <c r="I33" s="575"/>
      <c r="J33" s="573"/>
      <c r="K33" s="573"/>
      <c r="L33" s="573"/>
      <c r="M33" s="573"/>
      <c r="N33" s="598"/>
      <c r="O33" s="573"/>
      <c r="P33" s="573"/>
      <c r="Q33" s="573"/>
      <c r="R33" s="61">
        <f t="shared" si="0"/>
        <v>0</v>
      </c>
    </row>
    <row r="34" spans="1:23" s="5" customFormat="1" ht="49.5" customHeight="1">
      <c r="A34" s="11"/>
      <c r="B34" s="743" t="s">
        <v>743</v>
      </c>
      <c r="C34" s="743"/>
      <c r="D34" s="573"/>
      <c r="E34" s="575"/>
      <c r="F34" s="575"/>
      <c r="G34" s="575"/>
      <c r="H34" s="575"/>
      <c r="I34" s="575"/>
      <c r="J34" s="573"/>
      <c r="K34" s="573"/>
      <c r="L34" s="573"/>
      <c r="M34" s="573"/>
      <c r="N34" s="598"/>
      <c r="O34" s="573"/>
      <c r="P34" s="573"/>
      <c r="Q34" s="573"/>
      <c r="R34" s="61">
        <f t="shared" si="0"/>
        <v>0</v>
      </c>
    </row>
    <row r="35" spans="1:23" s="5" customFormat="1" ht="60.75" customHeight="1">
      <c r="A35" s="11"/>
      <c r="B35" s="744" t="s">
        <v>570</v>
      </c>
      <c r="C35" s="744"/>
      <c r="D35" s="576"/>
      <c r="E35" s="577"/>
      <c r="F35" s="577"/>
      <c r="G35" s="577"/>
      <c r="H35" s="577"/>
      <c r="I35" s="577"/>
      <c r="J35" s="576"/>
      <c r="K35" s="576"/>
      <c r="L35" s="576"/>
      <c r="M35" s="576"/>
      <c r="N35" s="600"/>
      <c r="O35" s="576"/>
      <c r="P35" s="576"/>
      <c r="Q35" s="576"/>
      <c r="R35" s="583">
        <f t="shared" si="0"/>
        <v>0</v>
      </c>
    </row>
    <row r="36" spans="1:23" s="5" customFormat="1" ht="59.25" customHeight="1">
      <c r="A36" s="11"/>
      <c r="B36" s="744" t="s">
        <v>571</v>
      </c>
      <c r="C36" s="744"/>
      <c r="D36" s="576"/>
      <c r="E36" s="577"/>
      <c r="F36" s="577"/>
      <c r="G36" s="577"/>
      <c r="H36" s="577"/>
      <c r="I36" s="577"/>
      <c r="J36" s="576"/>
      <c r="K36" s="576"/>
      <c r="L36" s="576"/>
      <c r="M36" s="576"/>
      <c r="N36" s="600"/>
      <c r="O36" s="576"/>
      <c r="P36" s="576"/>
      <c r="Q36" s="576"/>
      <c r="R36" s="583">
        <f t="shared" si="0"/>
        <v>0</v>
      </c>
    </row>
    <row r="37" spans="1:23" s="5" customFormat="1" ht="18.75" customHeight="1">
      <c r="B37" s="799" t="s">
        <v>803</v>
      </c>
      <c r="C37" s="799"/>
      <c r="D37" s="582">
        <f>IF(AND(D30="",D32=""),0,SUM(D30,D32))</f>
        <v>0</v>
      </c>
      <c r="E37" s="582">
        <f t="shared" ref="E37:O37" si="1">IF(AND(E30="",E32=""),0,SUM(E30,E32))</f>
        <v>0</v>
      </c>
      <c r="F37" s="582">
        <f t="shared" si="1"/>
        <v>0</v>
      </c>
      <c r="G37" s="582">
        <f t="shared" si="1"/>
        <v>0</v>
      </c>
      <c r="H37" s="582">
        <f t="shared" si="1"/>
        <v>0</v>
      </c>
      <c r="I37" s="582">
        <f t="shared" si="1"/>
        <v>0</v>
      </c>
      <c r="J37" s="582">
        <f t="shared" si="1"/>
        <v>0</v>
      </c>
      <c r="K37" s="582">
        <f t="shared" si="1"/>
        <v>0</v>
      </c>
      <c r="L37" s="582">
        <f>IF(AND(L30="",L32=""),0,SUM(L30,L32))</f>
        <v>0</v>
      </c>
      <c r="M37" s="582">
        <f t="shared" si="1"/>
        <v>0</v>
      </c>
      <c r="N37" s="611">
        <f t="shared" ref="N37" si="2">IF(AND(N30="",N32=""),0,SUM(N30,N32))</f>
        <v>0</v>
      </c>
      <c r="O37" s="582">
        <f t="shared" si="1"/>
        <v>0</v>
      </c>
      <c r="P37" s="582">
        <f>IF(AND(P30="",P32=""),0,SUM(P30,P32))</f>
        <v>0</v>
      </c>
      <c r="Q37" s="582">
        <f>IF(AND(Q30="",Q32=""),0,SUM(Q30,Q32))</f>
        <v>0</v>
      </c>
      <c r="R37" s="615">
        <f>IF(AND(D37="",E37="",F37="",G37="",H37="",I37="",J37="",K37="",M37="",N37="",O37="",P37="",Q37=""),0,SUM(D37:Q37))</f>
        <v>0</v>
      </c>
      <c r="S37" s="143"/>
    </row>
    <row r="38" spans="1:23" s="5" customFormat="1" ht="18.75" customHeight="1">
      <c r="B38" s="799" t="s">
        <v>804</v>
      </c>
      <c r="C38" s="800"/>
      <c r="D38" s="582">
        <f>IF(AND(D30="",D32="",D34=""),0,SUM(D30,D32,D34))</f>
        <v>0</v>
      </c>
      <c r="E38" s="582">
        <f t="shared" ref="E38:Q38" si="3">IF(AND(E30="",E32="",E34=""),0,SUM(E30,E32,E34))</f>
        <v>0</v>
      </c>
      <c r="F38" s="582">
        <f t="shared" si="3"/>
        <v>0</v>
      </c>
      <c r="G38" s="582">
        <f t="shared" si="3"/>
        <v>0</v>
      </c>
      <c r="H38" s="582">
        <f t="shared" si="3"/>
        <v>0</v>
      </c>
      <c r="I38" s="582">
        <f t="shared" si="3"/>
        <v>0</v>
      </c>
      <c r="J38" s="582">
        <f t="shared" si="3"/>
        <v>0</v>
      </c>
      <c r="K38" s="582">
        <f t="shared" si="3"/>
        <v>0</v>
      </c>
      <c r="L38" s="582">
        <f>IF(AND(L30="",L32="",L34=""),0,SUM(L30,L32,L34))</f>
        <v>0</v>
      </c>
      <c r="M38" s="582">
        <f t="shared" si="3"/>
        <v>0</v>
      </c>
      <c r="N38" s="611">
        <f t="shared" ref="N38" si="4">IF(AND(N30="",N32="",N34=""),0,SUM(N30,N32,N34))</f>
        <v>0</v>
      </c>
      <c r="O38" s="582">
        <f t="shared" si="3"/>
        <v>0</v>
      </c>
      <c r="P38" s="582">
        <f t="shared" si="3"/>
        <v>0</v>
      </c>
      <c r="Q38" s="582">
        <f t="shared" si="3"/>
        <v>0</v>
      </c>
      <c r="R38" s="61">
        <f>IF(AND(D38="",E38="",F38="",G38="",H38="",I38="",J38="",K38="",M38="",N38="",O38="",P38="",Q38=""),0,SUM(D38:Q38))</f>
        <v>0</v>
      </c>
      <c r="S38" s="143"/>
    </row>
    <row r="39" spans="1:23" s="5" customFormat="1" ht="26.25" customHeight="1">
      <c r="B39" s="801" t="s">
        <v>805</v>
      </c>
      <c r="C39" s="800"/>
      <c r="D39" s="61">
        <f>IF(AND(D30="",D32="",D34="",D35="",D36=""),0,SUM(D30,D32,D34,D35,D36))</f>
        <v>0</v>
      </c>
      <c r="E39" s="61">
        <f>IF(AND(E30="",E32="",E34="",E35="",E36=""),0,SUM(E30,E32,E34,E35,E36))</f>
        <v>0</v>
      </c>
      <c r="F39" s="61">
        <f t="shared" ref="F39:Q39" si="5">IF(AND(F30="",F32="",F34="",F35="",F36=""),0,SUM(F30,F32,F34,F35,F36))</f>
        <v>0</v>
      </c>
      <c r="G39" s="61">
        <f>IF(AND(G30="",G32="",G34="",G35="",G36=""),0,SUM(G30,G32,G34,G35,G36))</f>
        <v>0</v>
      </c>
      <c r="H39" s="61">
        <f t="shared" si="5"/>
        <v>0</v>
      </c>
      <c r="I39" s="61">
        <f t="shared" si="5"/>
        <v>0</v>
      </c>
      <c r="J39" s="61">
        <f t="shared" si="5"/>
        <v>0</v>
      </c>
      <c r="K39" s="61">
        <f t="shared" si="5"/>
        <v>0</v>
      </c>
      <c r="L39" s="61">
        <f t="shared" si="5"/>
        <v>0</v>
      </c>
      <c r="M39" s="61">
        <f t="shared" si="5"/>
        <v>0</v>
      </c>
      <c r="N39" s="610">
        <f t="shared" ref="N39" si="6">IF(AND(N30="",N32="",N34="",N35="",N36=""),0,SUM(N30,N32,N34,N35,N36))</f>
        <v>0</v>
      </c>
      <c r="O39" s="61">
        <f t="shared" si="5"/>
        <v>0</v>
      </c>
      <c r="P39" s="61">
        <f t="shared" si="5"/>
        <v>0</v>
      </c>
      <c r="Q39" s="61">
        <f t="shared" si="5"/>
        <v>0</v>
      </c>
      <c r="R39" s="61">
        <f>IF(AND(D39="",E39="",F39="",G39="",H39="",I39="",J39="",K39="",M39="",N39="",O39="",P39="",Q39=""),0,SUM(D39:Q39))</f>
        <v>0</v>
      </c>
      <c r="S39" s="143"/>
    </row>
    <row r="40" spans="1:23" s="5" customFormat="1" ht="16.5" customHeight="1">
      <c r="B40" s="143"/>
      <c r="C40" s="153"/>
      <c r="D40" s="153"/>
      <c r="E40" s="153"/>
      <c r="F40" s="153"/>
      <c r="G40" s="153"/>
      <c r="H40" s="153"/>
      <c r="I40" s="153"/>
      <c r="J40" s="153"/>
      <c r="K40" s="153"/>
      <c r="L40" s="153"/>
      <c r="M40" s="153"/>
      <c r="N40" s="596"/>
      <c r="O40" s="153"/>
      <c r="P40" s="153"/>
      <c r="Q40" s="153"/>
      <c r="R40" s="585"/>
      <c r="S40" s="143"/>
    </row>
    <row r="41" spans="1:23" s="5" customFormat="1" ht="23.25" customHeight="1">
      <c r="A41" s="178"/>
      <c r="B41" s="153"/>
      <c r="C41" s="153"/>
      <c r="D41" s="808" t="s">
        <v>508</v>
      </c>
      <c r="E41" s="809"/>
      <c r="F41" s="810"/>
      <c r="G41" s="153"/>
      <c r="H41" s="153"/>
      <c r="I41" s="153"/>
      <c r="J41" s="153"/>
      <c r="K41" s="153"/>
      <c r="L41" s="153"/>
      <c r="M41" s="153"/>
      <c r="N41" s="596"/>
      <c r="O41" s="153"/>
      <c r="P41" s="153"/>
      <c r="Q41" s="153"/>
      <c r="R41" s="585"/>
      <c r="S41" s="178"/>
      <c r="T41" s="178"/>
    </row>
    <row r="42" spans="1:23" s="5" customFormat="1" ht="24" customHeight="1">
      <c r="B42" s="745" t="s">
        <v>174</v>
      </c>
      <c r="C42" s="746"/>
      <c r="D42" s="804"/>
      <c r="E42" s="804"/>
      <c r="F42" s="804"/>
      <c r="G42" s="574"/>
      <c r="H42" s="574"/>
      <c r="I42" s="574"/>
      <c r="J42" s="574"/>
      <c r="K42" s="574"/>
      <c r="L42" s="574"/>
      <c r="M42" s="574"/>
      <c r="N42" s="599"/>
      <c r="O42" s="574"/>
      <c r="P42" s="574"/>
      <c r="Q42" s="574"/>
    </row>
    <row r="43" spans="1:23" s="5" customFormat="1" ht="33.75" customHeight="1">
      <c r="B43" s="745" t="s">
        <v>738</v>
      </c>
      <c r="C43" s="745"/>
      <c r="D43" s="804"/>
      <c r="E43" s="804"/>
      <c r="F43" s="804"/>
      <c r="G43" s="574"/>
      <c r="H43" s="574"/>
      <c r="I43" s="574"/>
      <c r="J43" s="574"/>
      <c r="K43" s="574"/>
      <c r="L43" s="574"/>
      <c r="M43" s="574"/>
      <c r="N43" s="599"/>
      <c r="O43" s="574"/>
      <c r="P43" s="574"/>
      <c r="Q43" s="574"/>
    </row>
    <row r="44" spans="1:23" s="178" customFormat="1" ht="23.25" customHeight="1" thickBot="1">
      <c r="B44" s="153"/>
      <c r="C44" s="153"/>
      <c r="D44" s="585"/>
      <c r="E44" s="585"/>
      <c r="F44" s="574"/>
      <c r="G44" s="574"/>
      <c r="H44" s="574"/>
      <c r="I44" s="574"/>
      <c r="J44" s="574"/>
      <c r="K44" s="574"/>
      <c r="L44" s="574"/>
      <c r="M44" s="574"/>
      <c r="N44" s="599"/>
      <c r="O44" s="574"/>
      <c r="P44" s="574"/>
      <c r="Q44" s="574"/>
    </row>
    <row r="45" spans="1:23" s="5" customFormat="1" ht="27.95" customHeight="1" thickBot="1">
      <c r="B45" s="802" t="s">
        <v>147</v>
      </c>
      <c r="C45" s="803"/>
      <c r="D45" s="805">
        <f>IF(AND(R37="",D42="",D43=""),0,SUM(R37,D42,D43))</f>
        <v>0</v>
      </c>
      <c r="E45" s="806"/>
      <c r="F45" s="807"/>
      <c r="G45" s="574"/>
      <c r="H45" s="574"/>
      <c r="I45" s="574"/>
      <c r="J45" s="574"/>
      <c r="K45" s="574"/>
      <c r="L45" s="574"/>
      <c r="M45" s="574"/>
      <c r="N45" s="599"/>
      <c r="O45" s="574"/>
      <c r="P45" s="574"/>
      <c r="Q45" s="574"/>
    </row>
    <row r="46" spans="1:23" s="5" customFormat="1" ht="10.5" customHeight="1">
      <c r="B46" s="153"/>
      <c r="C46" s="153"/>
      <c r="D46" s="153"/>
      <c r="E46" s="153"/>
      <c r="F46" s="153"/>
      <c r="G46" s="153"/>
      <c r="H46" s="153"/>
      <c r="I46" s="153"/>
      <c r="J46" s="153"/>
      <c r="K46" s="153"/>
      <c r="L46" s="153"/>
      <c r="M46" s="153"/>
      <c r="N46" s="596"/>
      <c r="O46" s="153"/>
      <c r="P46" s="153"/>
      <c r="Q46" s="153"/>
      <c r="R46" s="143"/>
    </row>
    <row r="47" spans="1:23" s="613" customFormat="1" ht="24" customHeight="1">
      <c r="B47" s="812" t="s">
        <v>762</v>
      </c>
      <c r="C47" s="812"/>
      <c r="D47" s="812"/>
      <c r="E47" s="812"/>
      <c r="F47" s="812"/>
      <c r="G47" s="812"/>
      <c r="H47" s="812"/>
      <c r="I47" s="812"/>
      <c r="J47" s="812"/>
      <c r="K47" s="812"/>
      <c r="L47" s="812"/>
      <c r="M47" s="812"/>
      <c r="N47" s="812"/>
      <c r="O47" s="812"/>
      <c r="P47" s="812"/>
      <c r="Q47" s="812"/>
      <c r="R47" s="812"/>
    </row>
    <row r="48" spans="1:23" ht="19.5" customHeight="1">
      <c r="A48" s="614"/>
      <c r="B48" s="591" t="s">
        <v>582</v>
      </c>
      <c r="C48" s="612"/>
      <c r="D48" s="612"/>
      <c r="E48" s="612"/>
      <c r="F48" s="612"/>
      <c r="G48" s="612"/>
      <c r="H48" s="612"/>
      <c r="I48" s="612"/>
      <c r="J48" s="612"/>
      <c r="K48" s="612"/>
      <c r="L48" s="612"/>
      <c r="M48" s="612"/>
      <c r="N48" s="612"/>
      <c r="O48" s="612"/>
      <c r="P48" s="612"/>
      <c r="Q48" s="612"/>
      <c r="R48" s="612"/>
      <c r="S48" s="614"/>
      <c r="T48" s="614"/>
      <c r="U48" s="613"/>
      <c r="V48" s="609"/>
      <c r="W48" s="609"/>
    </row>
    <row r="49" spans="1:25" ht="19.5" customHeight="1">
      <c r="A49" s="614"/>
      <c r="B49" s="621" t="s">
        <v>583</v>
      </c>
      <c r="C49" s="620"/>
      <c r="D49" s="620"/>
      <c r="E49" s="620"/>
      <c r="F49" s="620"/>
      <c r="G49" s="620"/>
      <c r="H49" s="620"/>
      <c r="I49" s="620"/>
      <c r="J49" s="620"/>
      <c r="K49" s="620"/>
      <c r="L49" s="620"/>
      <c r="M49" s="620"/>
      <c r="N49" s="620"/>
      <c r="O49" s="620"/>
      <c r="P49" s="620"/>
      <c r="Q49" s="620"/>
      <c r="R49" s="620"/>
      <c r="S49" s="614"/>
      <c r="T49" s="614"/>
      <c r="U49" s="613"/>
      <c r="V49" s="609"/>
      <c r="W49" s="609"/>
    </row>
    <row r="50" spans="1:25" ht="216" customHeight="1">
      <c r="A50" s="609"/>
      <c r="B50" s="621"/>
      <c r="C50" s="620"/>
      <c r="D50" s="620"/>
      <c r="E50" s="620"/>
      <c r="F50" s="620"/>
      <c r="G50" s="620"/>
      <c r="H50" s="620"/>
      <c r="I50" s="620"/>
      <c r="J50" s="620"/>
      <c r="K50" s="620"/>
      <c r="L50" s="620"/>
      <c r="M50" s="620"/>
      <c r="N50" s="620"/>
      <c r="O50" s="620"/>
      <c r="P50" s="620"/>
      <c r="Q50" s="620"/>
      <c r="R50" s="620"/>
      <c r="S50" s="614"/>
      <c r="T50" s="614"/>
      <c r="U50" s="613"/>
      <c r="V50" s="609"/>
      <c r="W50" s="609"/>
    </row>
    <row r="51" spans="1:25" ht="45" customHeight="1">
      <c r="A51" s="609"/>
      <c r="B51" s="796" t="s">
        <v>806</v>
      </c>
      <c r="C51" s="796"/>
      <c r="D51" s="796"/>
      <c r="E51" s="796"/>
      <c r="F51" s="796"/>
      <c r="G51" s="796"/>
      <c r="H51" s="796"/>
      <c r="I51" s="796"/>
      <c r="J51" s="796"/>
      <c r="K51" s="796"/>
      <c r="L51" s="796"/>
      <c r="M51" s="796"/>
      <c r="N51" s="796"/>
      <c r="O51" s="796"/>
      <c r="P51" s="796"/>
      <c r="Q51" s="796"/>
      <c r="R51" s="612"/>
      <c r="S51" s="614"/>
      <c r="T51" s="614"/>
      <c r="U51" s="613"/>
      <c r="V51" s="609"/>
      <c r="W51" s="609"/>
    </row>
    <row r="52" spans="1:25" ht="19.5" customHeight="1">
      <c r="A52" s="609"/>
      <c r="B52" s="811" t="s">
        <v>584</v>
      </c>
      <c r="C52" s="811"/>
      <c r="D52" s="811"/>
      <c r="E52" s="811"/>
      <c r="F52" s="811"/>
      <c r="G52" s="811"/>
      <c r="H52" s="811"/>
      <c r="I52" s="811"/>
      <c r="J52" s="811"/>
      <c r="K52" s="811"/>
      <c r="L52" s="811"/>
      <c r="M52" s="811"/>
      <c r="N52" s="811"/>
      <c r="O52" s="811"/>
      <c r="P52" s="811"/>
      <c r="Q52" s="811"/>
      <c r="R52" s="811"/>
      <c r="S52" s="612"/>
      <c r="T52" s="612"/>
      <c r="U52" s="614"/>
      <c r="V52" s="609"/>
      <c r="W52" s="609"/>
      <c r="Y52" s="10"/>
    </row>
    <row r="53" spans="1:25" ht="19.5" customHeight="1">
      <c r="A53" s="609"/>
      <c r="B53" s="798" t="s">
        <v>646</v>
      </c>
      <c r="C53" s="798"/>
      <c r="D53" s="798"/>
      <c r="E53" s="619" t="s">
        <v>519</v>
      </c>
      <c r="F53" s="617"/>
      <c r="G53" s="617"/>
      <c r="H53" s="617"/>
      <c r="I53" s="617"/>
      <c r="J53" s="617"/>
      <c r="K53" s="617"/>
      <c r="L53" s="617"/>
      <c r="M53" s="617"/>
      <c r="N53" s="617"/>
      <c r="O53" s="617"/>
      <c r="P53" s="617"/>
      <c r="Q53" s="617"/>
      <c r="R53" s="617"/>
      <c r="S53" s="612"/>
      <c r="T53" s="612"/>
      <c r="U53" s="614"/>
      <c r="V53" s="609"/>
      <c r="W53" s="609"/>
    </row>
    <row r="54" spans="1:25" ht="19.5" customHeight="1">
      <c r="A54" s="609"/>
      <c r="B54" s="797" t="s">
        <v>647</v>
      </c>
      <c r="C54" s="797"/>
      <c r="D54" s="797"/>
      <c r="E54" s="797"/>
      <c r="F54" s="797"/>
      <c r="G54" s="797"/>
      <c r="H54" s="797"/>
      <c r="I54" s="797"/>
      <c r="J54" s="797"/>
      <c r="K54" s="797"/>
      <c r="L54" s="797"/>
      <c r="M54" s="797"/>
      <c r="N54" s="797"/>
      <c r="O54" s="797"/>
      <c r="P54" s="797"/>
      <c r="Q54" s="797"/>
      <c r="R54" s="797"/>
      <c r="S54" s="618"/>
      <c r="T54" s="618"/>
      <c r="U54" s="616"/>
      <c r="V54" s="609"/>
      <c r="W54" s="609"/>
    </row>
    <row r="55" spans="1:25" ht="77.25" customHeight="1">
      <c r="A55" s="609"/>
      <c r="B55" s="796" t="s">
        <v>645</v>
      </c>
      <c r="C55" s="796"/>
      <c r="D55" s="796"/>
      <c r="E55" s="796"/>
      <c r="F55" s="796"/>
      <c r="G55" s="796"/>
      <c r="H55" s="796"/>
      <c r="I55" s="796"/>
      <c r="J55" s="796"/>
      <c r="K55" s="796"/>
      <c r="L55" s="796"/>
      <c r="M55" s="796"/>
      <c r="N55" s="796"/>
      <c r="O55" s="796"/>
      <c r="P55" s="796"/>
      <c r="Q55" s="796"/>
      <c r="R55" s="796"/>
      <c r="S55" s="612"/>
      <c r="T55" s="612"/>
      <c r="U55" s="612"/>
      <c r="V55" s="609"/>
      <c r="W55" s="609"/>
    </row>
    <row r="56" spans="1:25" ht="19.5" customHeight="1">
      <c r="B56" s="586"/>
      <c r="C56" s="586"/>
      <c r="D56" s="586"/>
      <c r="E56" s="586"/>
      <c r="F56" s="586"/>
      <c r="G56" s="586"/>
      <c r="H56" s="586"/>
      <c r="I56" s="586"/>
      <c r="J56" s="586"/>
      <c r="K56" s="586"/>
      <c r="L56" s="586"/>
      <c r="M56" s="586"/>
      <c r="N56" s="603"/>
      <c r="O56" s="586"/>
      <c r="P56" s="586"/>
      <c r="Q56" s="586"/>
      <c r="R56" s="586"/>
    </row>
    <row r="57" spans="1:25" ht="19.5" customHeight="1">
      <c r="B57" s="586"/>
      <c r="C57" s="586"/>
      <c r="D57" s="586"/>
      <c r="E57" s="586"/>
      <c r="F57" s="586"/>
      <c r="G57" s="586"/>
      <c r="H57" s="586"/>
      <c r="I57" s="586"/>
      <c r="J57" s="586"/>
      <c r="K57" s="586"/>
      <c r="L57" s="586"/>
      <c r="M57" s="586"/>
      <c r="N57" s="603"/>
      <c r="O57" s="586"/>
      <c r="P57" s="586"/>
      <c r="Q57" s="586"/>
      <c r="R57" s="586"/>
    </row>
    <row r="58" spans="1:25" ht="19.5" customHeight="1">
      <c r="B58" s="586"/>
      <c r="C58" s="586"/>
      <c r="D58" s="586"/>
      <c r="E58" s="586"/>
      <c r="F58" s="586"/>
      <c r="G58" s="586"/>
      <c r="H58" s="586"/>
      <c r="I58" s="586"/>
      <c r="J58" s="586"/>
      <c r="K58" s="586"/>
      <c r="L58" s="586"/>
      <c r="M58" s="586"/>
      <c r="N58" s="603"/>
      <c r="O58" s="586"/>
      <c r="P58" s="586"/>
      <c r="Q58" s="586"/>
      <c r="R58" s="586"/>
    </row>
    <row r="59" spans="1:25" ht="19.5" customHeight="1">
      <c r="B59" s="586"/>
      <c r="C59" s="586"/>
      <c r="D59" s="586"/>
      <c r="E59" s="586"/>
      <c r="F59" s="586"/>
      <c r="G59" s="586"/>
      <c r="H59" s="586"/>
      <c r="I59" s="586"/>
      <c r="J59" s="586"/>
      <c r="K59" s="586"/>
      <c r="L59" s="586"/>
      <c r="M59" s="586"/>
      <c r="N59" s="603"/>
      <c r="O59" s="586"/>
      <c r="P59" s="586"/>
      <c r="Q59" s="586"/>
      <c r="R59" s="586"/>
    </row>
    <row r="60" spans="1:25" ht="19.5" customHeight="1">
      <c r="B60" s="586"/>
      <c r="C60" s="586"/>
      <c r="D60" s="586"/>
      <c r="E60" s="586"/>
      <c r="F60" s="586"/>
      <c r="G60" s="586"/>
      <c r="H60" s="586"/>
      <c r="I60" s="586"/>
      <c r="J60" s="586"/>
      <c r="K60" s="586"/>
      <c r="L60" s="586"/>
      <c r="M60" s="586"/>
      <c r="N60" s="603"/>
      <c r="O60" s="586"/>
      <c r="P60" s="586"/>
      <c r="Q60" s="586"/>
      <c r="R60" s="586"/>
    </row>
    <row r="61" spans="1:25" ht="42.75" customHeight="1">
      <c r="B61" s="586"/>
      <c r="C61" s="586"/>
      <c r="D61" s="586"/>
      <c r="E61" s="586"/>
      <c r="F61" s="586"/>
      <c r="G61" s="586"/>
      <c r="H61" s="586"/>
      <c r="I61" s="586"/>
      <c r="J61" s="586"/>
      <c r="K61" s="586"/>
      <c r="L61" s="586"/>
      <c r="M61" s="586"/>
      <c r="N61" s="603"/>
      <c r="O61" s="586"/>
      <c r="P61" s="586"/>
      <c r="Q61" s="586"/>
      <c r="R61" s="586"/>
    </row>
  </sheetData>
  <sheetProtection algorithmName="SHA-512" hashValue="R4cr1kd39jsHMBf3bN0PASgWIAR6eRgEf0tjNdREECVLw2d8hf8NhzOZbjJSmnKOqL62Ehbj/eGf7lGfrTIpQA==" saltValue="1f+Ahhr9TS/PF88tvQB3qA==" spinCount="100000"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47">
    <mergeCell ref="B55:R55"/>
    <mergeCell ref="B54:R54"/>
    <mergeCell ref="B53:D53"/>
    <mergeCell ref="B51:Q51"/>
    <mergeCell ref="B37:C37"/>
    <mergeCell ref="B38:C38"/>
    <mergeCell ref="B39:C39"/>
    <mergeCell ref="B43:C43"/>
    <mergeCell ref="B45:C45"/>
    <mergeCell ref="D43:F43"/>
    <mergeCell ref="D45:F45"/>
    <mergeCell ref="D41:F41"/>
    <mergeCell ref="D42:F42"/>
    <mergeCell ref="B52:R52"/>
    <mergeCell ref="B47:R47"/>
    <mergeCell ref="K6:R6"/>
    <mergeCell ref="C12:F12"/>
    <mergeCell ref="C6:F6"/>
    <mergeCell ref="I24:R24"/>
    <mergeCell ref="I20:R20"/>
    <mergeCell ref="B20:H20"/>
    <mergeCell ref="I21:R21"/>
    <mergeCell ref="B21:H21"/>
    <mergeCell ref="C8:R8"/>
    <mergeCell ref="C10:R10"/>
    <mergeCell ref="O12:R12"/>
    <mergeCell ref="O14:R14"/>
    <mergeCell ref="O16:R16"/>
    <mergeCell ref="I23:R23"/>
    <mergeCell ref="B23:H23"/>
    <mergeCell ref="B30:C30"/>
    <mergeCell ref="B24:H24"/>
    <mergeCell ref="B31:C31"/>
    <mergeCell ref="B32:C32"/>
    <mergeCell ref="B26:R26"/>
    <mergeCell ref="D27:O27"/>
    <mergeCell ref="B27:C29"/>
    <mergeCell ref="D28:M28"/>
    <mergeCell ref="N28:O28"/>
    <mergeCell ref="P27:P29"/>
    <mergeCell ref="Q27:Q29"/>
    <mergeCell ref="R27:R29"/>
    <mergeCell ref="B33:C33"/>
    <mergeCell ref="B34:C34"/>
    <mergeCell ref="B35:C35"/>
    <mergeCell ref="B36:C36"/>
    <mergeCell ref="B42:C42"/>
  </mergeCells>
  <phoneticPr fontId="41" type="noConversion"/>
  <conditionalFormatting sqref="C6 C12 O12 B24 D30:Q30 D42:D43">
    <cfRule type="expression" dxfId="316" priority="6">
      <formula>LEN(TRIM(B6))=0</formula>
    </cfRule>
  </conditionalFormatting>
  <conditionalFormatting sqref="D31:Q31">
    <cfRule type="expression" dxfId="315" priority="4">
      <formula>LEN(TRIM(D31))=0</formula>
    </cfRule>
  </conditionalFormatting>
  <conditionalFormatting sqref="D32:Q34">
    <cfRule type="expression" dxfId="314" priority="3">
      <formula>LEN(TRIM(D32))=0</formula>
    </cfRule>
  </conditionalFormatting>
  <conditionalFormatting sqref="I21">
    <cfRule type="expression" dxfId="313" priority="1">
      <formula>LEN(TRIM(I21))=0</formula>
    </cfRule>
  </conditionalFormatting>
  <dataValidations xWindow="315" yWindow="383" count="11">
    <dataValidation allowBlank="1" showInputMessage="1" showErrorMessage="1" errorTitle="Eingabefehler" sqref="O16"/>
    <dataValidation type="date" allowBlank="1" showInputMessage="1" showErrorMessage="1" errorTitle="Eingabefehler" error="Erstelldatum: dd.mm.jjjj" sqref="D16">
      <formula1>41275</formula1>
      <formula2>41791</formula2>
    </dataValidation>
    <dataValidation type="list" allowBlank="1" showInputMessage="1" showErrorMessage="1" errorTitle="Hinweis" error="Auswahl treffen über Dropdown-Liste." sqref="C6">
      <formula1>ZentrumRegNr</formula1>
    </dataValidation>
    <dataValidation type="date" errorStyle="information" allowBlank="1" showInputMessage="1" showErrorMessage="1" errorTitle="Kennzahlenjahr" error="Es können nur Kennzahlenjahre von 2012 bis 2014 eingetragen werden." sqref="I19:J19">
      <formula1>2010</formula1>
      <formula2>2012</formula2>
    </dataValidation>
    <dataValidation allowBlank="1" showInputMessage="1" showErrorMessage="1" errorTitle="Hinweis" error="Auswahl treffen über Dropdown-Liste." sqref="I18:R18"/>
    <dataValidation type="list" showInputMessage="1" showErrorMessage="1" errorTitle="Hinweis" error="Auswahl treffen über Dropdown-Liste." sqref="B24">
      <formula1>Tumordokumentation</formula1>
    </dataValidation>
    <dataValidation type="whole" allowBlank="1" showInputMessage="1" showErrorMessage="1" errorTitle="Eingabefehler" error="Ganze Zahl zwischen 0 und 5000 eingeben." sqref="D30:Q36 D42:D44 R40:R41">
      <formula1>0</formula1>
      <formula2>5000</formula2>
    </dataValidation>
    <dataValidation type="date" allowBlank="1" showErrorMessage="1" errorTitle="Eingabefehler" error="Format: tt.mm.jjjj_x000a__x000a_Zeitraum zwischen 01.10.2021 - 31.01.2023 angeben." sqref="O12:R12">
      <formula1>44470</formula1>
      <formula2>44957</formula2>
    </dataValidation>
    <dataValidation type="textLength" allowBlank="1" showErrorMessage="1" errorTitle="Eingabefehler" error="Nur Texteingabe bis 100 Zeichen möglich." prompt="Name, Vorname" sqref="C12:F12">
      <formula1>0</formula1>
      <formula2>100</formula2>
    </dataValidation>
    <dataValidation type="list" allowBlank="1" showInputMessage="1" showErrorMessage="1" errorTitle="Hinweis" error="Auswahl treffen über Dropdown-Liste." sqref="I21:R21">
      <formula1>IF($B$21="Keine Anbindung an Klinisches Krebsregister",Keine_Zusammenarbeit,KrebsregisterZusammenarbeit)</formula1>
    </dataValidation>
    <dataValidation type="date" allowBlank="1" showInputMessage="1" showErrorMessage="1" errorTitle="Eingabefehler" error="Format: dd.mm.jjjj_x000a__x000a_Zeitraum zwischen 01.09.2014 - 01.01.2016 angeben." sqref="M12:N12">
      <formula1>41883</formula1>
      <formula2>42370</formula2>
    </dataValidation>
  </dataValidations>
  <hyperlinks>
    <hyperlink ref="B53:D53" r:id="rId3" display="               https://www.onkozert.de/organ/haut/"/>
    <hyperlink ref="B54:R54" r:id="rId4" display="               https://www.krebsgesellschaft.de/zertdokumente.html"/>
  </hyperlinks>
  <pageMargins left="0.23622047244094491" right="0.23622047244094491" top="0.74803149606299213" bottom="0.74803149606299213" header="0.31496062992125984" footer="0.31496062992125984"/>
  <pageSetup paperSize="9" scale="97" orientation="landscape" r:id="rId5"/>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2" manualBreakCount="2">
    <brk id="32" max="16383" man="1"/>
    <brk id="47" min="1" max="17" man="1"/>
  </rowBreaks>
  <drawing r:id="rId6"/>
  <legacy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6"/>
  <sheetViews>
    <sheetView workbookViewId="0">
      <selection activeCell="B1" sqref="B1"/>
    </sheetView>
  </sheetViews>
  <sheetFormatPr baseColWidth="10" defaultColWidth="11.42578125" defaultRowHeight="15"/>
  <cols>
    <col min="1" max="1" width="25.42578125" customWidth="1"/>
    <col min="2" max="2" width="32.7109375" customWidth="1"/>
    <col min="3" max="3" width="44.7109375" customWidth="1"/>
    <col min="4" max="4" width="20.28515625" customWidth="1"/>
    <col min="5" max="5" width="46.7109375" customWidth="1"/>
    <col min="6" max="6" width="38.28515625" customWidth="1"/>
    <col min="7" max="7" width="42.85546875" customWidth="1"/>
    <col min="8" max="8" width="43.7109375" customWidth="1"/>
    <col min="9" max="9" width="36" customWidth="1"/>
    <col min="10" max="10" width="16.5703125" customWidth="1"/>
    <col min="11" max="11" width="24.140625" customWidth="1"/>
    <col min="12" max="12" width="35" customWidth="1"/>
    <col min="13" max="13" width="28.140625" customWidth="1"/>
    <col min="14" max="14" width="27.7109375" customWidth="1"/>
    <col min="15" max="15" width="30.140625" customWidth="1"/>
    <col min="16" max="16" width="28.140625" customWidth="1"/>
    <col min="17" max="17" width="29.7109375" customWidth="1"/>
    <col min="18" max="18" width="15.28515625" customWidth="1"/>
    <col min="19" max="19" width="17.28515625" customWidth="1"/>
  </cols>
  <sheetData>
    <row r="1" spans="1:4">
      <c r="A1" s="260" t="s">
        <v>370</v>
      </c>
      <c r="B1" s="257" t="str">
        <f>IF(Basisdaten!C12=0,"",Basisdaten!C12)</f>
        <v/>
      </c>
    </row>
    <row r="2" spans="1:4">
      <c r="A2" s="260" t="s">
        <v>77</v>
      </c>
      <c r="B2" s="259" t="str">
        <f>IF(Basisdaten!O12=0,"",Basisdaten!O12)</f>
        <v/>
      </c>
    </row>
    <row r="3" spans="1:4">
      <c r="A3" s="260" t="s">
        <v>473</v>
      </c>
      <c r="B3" s="259" t="str">
        <f>IF(Basisdaten!O14=0,"",Basisdaten!O14)</f>
        <v/>
      </c>
    </row>
    <row r="5" spans="1:4">
      <c r="A5" s="559" t="s">
        <v>21</v>
      </c>
      <c r="B5" s="559" t="s">
        <v>24</v>
      </c>
      <c r="C5" s="560" t="s">
        <v>521</v>
      </c>
      <c r="D5" s="558" t="s">
        <v>511</v>
      </c>
    </row>
    <row r="6" spans="1:4">
      <c r="A6" s="561" t="str">
        <f>IF(Basisdaten!B21=0,"",Basisdaten!B21)</f>
        <v/>
      </c>
      <c r="B6" s="561" t="str">
        <f>IF(Basisdaten!B24=0,"",Basisdaten!B24)</f>
        <v/>
      </c>
      <c r="C6" s="562" t="str">
        <f>IF(Basisdaten!I21=0,"",Basisdaten!I21)</f>
        <v/>
      </c>
      <c r="D6" s="561" t="str">
        <f>IF(Basisdaten!I24=0,"",Basisdaten!I24)</f>
        <v>Noch nicht vorhanden</v>
      </c>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41"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P14"/>
  <sheetViews>
    <sheetView workbookViewId="0">
      <selection activeCell="A5" sqref="A5"/>
    </sheetView>
  </sheetViews>
  <sheetFormatPr baseColWidth="10" defaultColWidth="11.42578125" defaultRowHeight="15"/>
  <cols>
    <col min="1" max="1" width="40.5703125" customWidth="1"/>
    <col min="2" max="12" width="8.28515625" customWidth="1"/>
    <col min="13" max="13" width="11.42578125" customWidth="1"/>
    <col min="14" max="14" width="13.28515625" bestFit="1" customWidth="1"/>
    <col min="15" max="15" width="9.7109375" bestFit="1" customWidth="1"/>
    <col min="16" max="16" width="7.28515625" bestFit="1" customWidth="1"/>
    <col min="17" max="26" width="11.42578125" customWidth="1"/>
    <col min="27" max="27" width="1.7109375" customWidth="1"/>
    <col min="28" max="30" width="8.7109375" customWidth="1"/>
    <col min="31" max="31" width="16.28515625" customWidth="1"/>
  </cols>
  <sheetData>
    <row r="1" spans="1:16" ht="48">
      <c r="A1" s="652" t="s">
        <v>509</v>
      </c>
      <c r="B1" s="631" t="s">
        <v>697</v>
      </c>
      <c r="C1" s="631" t="s">
        <v>698</v>
      </c>
      <c r="D1" s="631" t="s">
        <v>699</v>
      </c>
      <c r="E1" s="631" t="s">
        <v>700</v>
      </c>
      <c r="F1" s="631" t="s">
        <v>701</v>
      </c>
      <c r="G1" s="631" t="s">
        <v>702</v>
      </c>
      <c r="H1" s="631" t="s">
        <v>703</v>
      </c>
      <c r="I1" s="631" t="s">
        <v>704</v>
      </c>
      <c r="J1" s="631" t="s">
        <v>705</v>
      </c>
      <c r="K1" s="631" t="s">
        <v>706</v>
      </c>
      <c r="L1" s="631" t="s">
        <v>608</v>
      </c>
      <c r="M1" s="631" t="s">
        <v>607</v>
      </c>
      <c r="N1" s="652" t="s">
        <v>649</v>
      </c>
      <c r="O1" s="652" t="s">
        <v>606</v>
      </c>
      <c r="P1" s="652" t="s">
        <v>18</v>
      </c>
    </row>
    <row r="2" spans="1:16">
      <c r="A2" s="630" t="s">
        <v>512</v>
      </c>
      <c r="B2" s="629" t="str">
        <f>IF(Basisdaten!D30="","",Basisdaten!D30)</f>
        <v/>
      </c>
      <c r="C2" s="629" t="str">
        <f>IF(Basisdaten!E30="","",Basisdaten!E30)</f>
        <v/>
      </c>
      <c r="D2" s="629" t="str">
        <f>IF(Basisdaten!F30="","",Basisdaten!F30)</f>
        <v/>
      </c>
      <c r="E2" s="629" t="str">
        <f>IF(Basisdaten!G30="","",Basisdaten!G30)</f>
        <v/>
      </c>
      <c r="F2" s="629" t="str">
        <f>IF(Basisdaten!H30="","",Basisdaten!H30)</f>
        <v/>
      </c>
      <c r="G2" s="629" t="str">
        <f>IF(Basisdaten!I30="","",Basisdaten!I30)</f>
        <v/>
      </c>
      <c r="H2" s="629" t="str">
        <f>IF(Basisdaten!J30="","",Basisdaten!J30)</f>
        <v/>
      </c>
      <c r="I2" s="629" t="str">
        <f>IF(Basisdaten!K30="","",Basisdaten!K30)</f>
        <v/>
      </c>
      <c r="J2" s="629" t="str">
        <f>IF(Basisdaten!L30="","",Basisdaten!L30)</f>
        <v/>
      </c>
      <c r="K2" s="629" t="str">
        <f>IF(Basisdaten!M30="","",Basisdaten!M30)</f>
        <v/>
      </c>
      <c r="L2" s="629" t="str">
        <f>IF(Basisdaten!N30="","",Basisdaten!N30)</f>
        <v/>
      </c>
      <c r="M2" s="629" t="str">
        <f>IF(Basisdaten!O30="","",Basisdaten!O30)</f>
        <v/>
      </c>
      <c r="N2" s="629" t="str">
        <f>IF(Basisdaten!P30="","",Basisdaten!P30)</f>
        <v/>
      </c>
      <c r="O2" s="629" t="str">
        <f>IF(Basisdaten!Q30="","",Basisdaten!Q30)</f>
        <v/>
      </c>
      <c r="P2" s="629">
        <f>IF(Basisdaten!R30="","",Basisdaten!R30)</f>
        <v>0</v>
      </c>
    </row>
    <row r="3" spans="1:16">
      <c r="A3" s="630" t="s">
        <v>513</v>
      </c>
      <c r="B3" s="629" t="str">
        <f>IF(Basisdaten!D31="","",Basisdaten!D31)</f>
        <v/>
      </c>
      <c r="C3" s="629" t="str">
        <f>IF(Basisdaten!E31="","",Basisdaten!E31)</f>
        <v/>
      </c>
      <c r="D3" s="629" t="str">
        <f>IF(Basisdaten!F31="","",Basisdaten!F31)</f>
        <v/>
      </c>
      <c r="E3" s="629" t="str">
        <f>IF(Basisdaten!G31="","",Basisdaten!G31)</f>
        <v/>
      </c>
      <c r="F3" s="629" t="str">
        <f>IF(Basisdaten!H31="","",Basisdaten!H31)</f>
        <v/>
      </c>
      <c r="G3" s="629" t="str">
        <f>IF(Basisdaten!I31="","",Basisdaten!I31)</f>
        <v/>
      </c>
      <c r="H3" s="629" t="str">
        <f>IF(Basisdaten!J31="","",Basisdaten!J31)</f>
        <v/>
      </c>
      <c r="I3" s="629" t="str">
        <f>IF(Basisdaten!K31="","",Basisdaten!K31)</f>
        <v/>
      </c>
      <c r="J3" s="629" t="str">
        <f>IF(Basisdaten!L31="","",Basisdaten!L31)</f>
        <v/>
      </c>
      <c r="K3" s="629" t="str">
        <f>IF(Basisdaten!M31="","",Basisdaten!M31)</f>
        <v/>
      </c>
      <c r="L3" s="629" t="str">
        <f>IF(Basisdaten!N31="","",Basisdaten!N31)</f>
        <v/>
      </c>
      <c r="M3" s="629" t="str">
        <f>IF(Basisdaten!O31="","",Basisdaten!O31)</f>
        <v/>
      </c>
      <c r="N3" s="629" t="str">
        <f>IF(Basisdaten!P31="","",Basisdaten!P31)</f>
        <v/>
      </c>
      <c r="O3" s="629" t="str">
        <f>IF(Basisdaten!Q31="","",Basisdaten!Q31)</f>
        <v/>
      </c>
      <c r="P3" s="629">
        <f>IF(Basisdaten!R31="","",Basisdaten!R31)</f>
        <v>0</v>
      </c>
    </row>
    <row r="4" spans="1:16" ht="24">
      <c r="A4" s="630" t="s">
        <v>514</v>
      </c>
      <c r="B4" s="629" t="str">
        <f>IF(Basisdaten!D32="","",Basisdaten!D32)</f>
        <v/>
      </c>
      <c r="C4" s="629" t="str">
        <f>IF(Basisdaten!E32="","",Basisdaten!E32)</f>
        <v/>
      </c>
      <c r="D4" s="629" t="str">
        <f>IF(Basisdaten!F32="","",Basisdaten!F32)</f>
        <v/>
      </c>
      <c r="E4" s="629" t="str">
        <f>IF(Basisdaten!G32="","",Basisdaten!G32)</f>
        <v/>
      </c>
      <c r="F4" s="629" t="str">
        <f>IF(Basisdaten!H32="","",Basisdaten!H32)</f>
        <v/>
      </c>
      <c r="G4" s="629" t="str">
        <f>IF(Basisdaten!I32="","",Basisdaten!I32)</f>
        <v/>
      </c>
      <c r="H4" s="629" t="str">
        <f>IF(Basisdaten!J32="","",Basisdaten!J32)</f>
        <v/>
      </c>
      <c r="I4" s="629" t="str">
        <f>IF(Basisdaten!K32="","",Basisdaten!K32)</f>
        <v/>
      </c>
      <c r="J4" s="629" t="str">
        <f>IF(Basisdaten!L32="","",Basisdaten!L32)</f>
        <v/>
      </c>
      <c r="K4" s="629" t="str">
        <f>IF(Basisdaten!M32="","",Basisdaten!M32)</f>
        <v/>
      </c>
      <c r="L4" s="629" t="str">
        <f>IF(Basisdaten!N32="","",Basisdaten!N32)</f>
        <v/>
      </c>
      <c r="M4" s="629" t="str">
        <f>IF(Basisdaten!O32="","",Basisdaten!O32)</f>
        <v/>
      </c>
      <c r="N4" s="629" t="str">
        <f>IF(Basisdaten!P32="","",Basisdaten!P32)</f>
        <v/>
      </c>
      <c r="O4" s="629" t="str">
        <f>IF(Basisdaten!Q32="","",Basisdaten!Q32)</f>
        <v/>
      </c>
      <c r="P4" s="629">
        <f>IF(Basisdaten!R32="","",Basisdaten!R32)</f>
        <v>0</v>
      </c>
    </row>
    <row r="5" spans="1:16">
      <c r="A5" s="630" t="s">
        <v>515</v>
      </c>
      <c r="B5" s="629" t="str">
        <f>IF(Basisdaten!D33="","",Basisdaten!D33)</f>
        <v/>
      </c>
      <c r="C5" s="629" t="str">
        <f>IF(Basisdaten!E33="","",Basisdaten!E33)</f>
        <v/>
      </c>
      <c r="D5" s="629" t="str">
        <f>IF(Basisdaten!F33="","",Basisdaten!F33)</f>
        <v/>
      </c>
      <c r="E5" s="629" t="str">
        <f>IF(Basisdaten!G33="","",Basisdaten!G33)</f>
        <v/>
      </c>
      <c r="F5" s="629" t="str">
        <f>IF(Basisdaten!H33="","",Basisdaten!H33)</f>
        <v/>
      </c>
      <c r="G5" s="629" t="str">
        <f>IF(Basisdaten!I33="","",Basisdaten!I33)</f>
        <v/>
      </c>
      <c r="H5" s="629" t="str">
        <f>IF(Basisdaten!J33="","",Basisdaten!J33)</f>
        <v/>
      </c>
      <c r="I5" s="629" t="str">
        <f>IF(Basisdaten!K33="","",Basisdaten!K33)</f>
        <v/>
      </c>
      <c r="J5" s="629" t="str">
        <f>IF(Basisdaten!L33="","",Basisdaten!L33)</f>
        <v/>
      </c>
      <c r="K5" s="629" t="str">
        <f>IF(Basisdaten!M33="","",Basisdaten!M33)</f>
        <v/>
      </c>
      <c r="L5" s="629" t="str">
        <f>IF(Basisdaten!N33="","",Basisdaten!N33)</f>
        <v/>
      </c>
      <c r="M5" s="629" t="str">
        <f>IF(Basisdaten!O33="","",Basisdaten!O33)</f>
        <v/>
      </c>
      <c r="N5" s="629" t="str">
        <f>IF(Basisdaten!P33="","",Basisdaten!P33)</f>
        <v/>
      </c>
      <c r="O5" s="629" t="str">
        <f>IF(Basisdaten!Q33="","",Basisdaten!Q33)</f>
        <v/>
      </c>
      <c r="P5" s="629">
        <f>IF(Basisdaten!R33="","",Basisdaten!R33)</f>
        <v>0</v>
      </c>
    </row>
    <row r="6" spans="1:16">
      <c r="A6" s="630" t="s">
        <v>516</v>
      </c>
      <c r="B6" s="629" t="str">
        <f>IF(Basisdaten!D34="","",Basisdaten!D34)</f>
        <v/>
      </c>
      <c r="C6" s="629" t="str">
        <f>IF(Basisdaten!E34="","",Basisdaten!E34)</f>
        <v/>
      </c>
      <c r="D6" s="629" t="str">
        <f>IF(Basisdaten!F34="","",Basisdaten!F34)</f>
        <v/>
      </c>
      <c r="E6" s="629" t="str">
        <f>IF(Basisdaten!G34="","",Basisdaten!G34)</f>
        <v/>
      </c>
      <c r="F6" s="629" t="str">
        <f>IF(Basisdaten!H34="","",Basisdaten!H34)</f>
        <v/>
      </c>
      <c r="G6" s="629" t="str">
        <f>IF(Basisdaten!I34="","",Basisdaten!I34)</f>
        <v/>
      </c>
      <c r="H6" s="629" t="str">
        <f>IF(Basisdaten!J34="","",Basisdaten!J34)</f>
        <v/>
      </c>
      <c r="I6" s="629" t="str">
        <f>IF(Basisdaten!K34="","",Basisdaten!K34)</f>
        <v/>
      </c>
      <c r="J6" s="629" t="str">
        <f>IF(Basisdaten!L34="","",Basisdaten!L34)</f>
        <v/>
      </c>
      <c r="K6" s="629" t="str">
        <f>IF(Basisdaten!M34="","",Basisdaten!M34)</f>
        <v/>
      </c>
      <c r="L6" s="629" t="str">
        <f>IF(Basisdaten!N34="","",Basisdaten!N34)</f>
        <v/>
      </c>
      <c r="M6" s="629" t="str">
        <f>IF(Basisdaten!O34="","",Basisdaten!O34)</f>
        <v/>
      </c>
      <c r="N6" s="629" t="str">
        <f>IF(Basisdaten!P34="","",Basisdaten!P34)</f>
        <v/>
      </c>
      <c r="O6" s="629" t="str">
        <f>IF(Basisdaten!Q34="","",Basisdaten!Q34)</f>
        <v/>
      </c>
      <c r="P6" s="629">
        <f>IF(Basisdaten!R34="","",Basisdaten!R34)</f>
        <v>0</v>
      </c>
    </row>
    <row r="7" spans="1:16">
      <c r="A7" s="630" t="s">
        <v>517</v>
      </c>
      <c r="B7" s="629" t="str">
        <f>IF(Basisdaten!D35="","",Basisdaten!D35)</f>
        <v/>
      </c>
      <c r="C7" s="629" t="str">
        <f>IF(Basisdaten!E35="","",Basisdaten!E35)</f>
        <v/>
      </c>
      <c r="D7" s="629" t="str">
        <f>IF(Basisdaten!F35="","",Basisdaten!F35)</f>
        <v/>
      </c>
      <c r="E7" s="629" t="str">
        <f>IF(Basisdaten!G35="","",Basisdaten!G35)</f>
        <v/>
      </c>
      <c r="F7" s="629" t="str">
        <f>IF(Basisdaten!H35="","",Basisdaten!H35)</f>
        <v/>
      </c>
      <c r="G7" s="629" t="str">
        <f>IF(Basisdaten!I35="","",Basisdaten!I35)</f>
        <v/>
      </c>
      <c r="H7" s="629" t="str">
        <f>IF(Basisdaten!J35="","",Basisdaten!J35)</f>
        <v/>
      </c>
      <c r="I7" s="629" t="str">
        <f>IF(Basisdaten!K35="","",Basisdaten!K35)</f>
        <v/>
      </c>
      <c r="J7" s="629" t="str">
        <f>IF(Basisdaten!L35="","",Basisdaten!L35)</f>
        <v/>
      </c>
      <c r="K7" s="629" t="str">
        <f>IF(Basisdaten!M35="","",Basisdaten!M35)</f>
        <v/>
      </c>
      <c r="L7" s="629" t="str">
        <f>IF(Basisdaten!N35="","",Basisdaten!N35)</f>
        <v/>
      </c>
      <c r="M7" s="629" t="str">
        <f>IF(Basisdaten!O35="","",Basisdaten!O35)</f>
        <v/>
      </c>
      <c r="N7" s="629" t="str">
        <f>IF(Basisdaten!P35="","",Basisdaten!P35)</f>
        <v/>
      </c>
      <c r="O7" s="629" t="str">
        <f>IF(Basisdaten!Q35="","",Basisdaten!Q35)</f>
        <v/>
      </c>
      <c r="P7" s="629">
        <f>IF(Basisdaten!R35="","",Basisdaten!R35)</f>
        <v>0</v>
      </c>
    </row>
    <row r="8" spans="1:16">
      <c r="A8" s="630" t="s">
        <v>518</v>
      </c>
      <c r="B8" s="629" t="str">
        <f>IF(Basisdaten!D36="","",Basisdaten!D36)</f>
        <v/>
      </c>
      <c r="C8" s="629" t="str">
        <f>IF(Basisdaten!E36="","",Basisdaten!E36)</f>
        <v/>
      </c>
      <c r="D8" s="629" t="str">
        <f>IF(Basisdaten!F36="","",Basisdaten!F36)</f>
        <v/>
      </c>
      <c r="E8" s="629" t="str">
        <f>IF(Basisdaten!G36="","",Basisdaten!G36)</f>
        <v/>
      </c>
      <c r="F8" s="629" t="str">
        <f>IF(Basisdaten!H36="","",Basisdaten!H36)</f>
        <v/>
      </c>
      <c r="G8" s="629" t="str">
        <f>IF(Basisdaten!I36="","",Basisdaten!I36)</f>
        <v/>
      </c>
      <c r="H8" s="629" t="str">
        <f>IF(Basisdaten!J36="","",Basisdaten!J36)</f>
        <v/>
      </c>
      <c r="I8" s="629" t="str">
        <f>IF(Basisdaten!K36="","",Basisdaten!K36)</f>
        <v/>
      </c>
      <c r="J8" s="629" t="str">
        <f>IF(Basisdaten!L36="","",Basisdaten!L36)</f>
        <v/>
      </c>
      <c r="K8" s="629" t="str">
        <f>IF(Basisdaten!M36="","",Basisdaten!M36)</f>
        <v/>
      </c>
      <c r="L8" s="629" t="str">
        <f>IF(Basisdaten!N36="","",Basisdaten!N36)</f>
        <v/>
      </c>
      <c r="M8" s="629" t="str">
        <f>IF(Basisdaten!O36="","",Basisdaten!O36)</f>
        <v/>
      </c>
      <c r="N8" s="629" t="str">
        <f>IF(Basisdaten!P36="","",Basisdaten!P36)</f>
        <v/>
      </c>
      <c r="O8" s="629" t="str">
        <f>IF(Basisdaten!Q36="","",Basisdaten!Q36)</f>
        <v/>
      </c>
      <c r="P8" s="629">
        <f>IF(Basisdaten!R36="","",Basisdaten!R36)</f>
        <v>0</v>
      </c>
    </row>
    <row r="9" spans="1:16">
      <c r="A9" s="632" t="s">
        <v>803</v>
      </c>
      <c r="B9" s="629">
        <f>IF(Basisdaten!D37="","",Basisdaten!D37)</f>
        <v>0</v>
      </c>
      <c r="C9" s="629">
        <f>IF(Basisdaten!E37="","",Basisdaten!E37)</f>
        <v>0</v>
      </c>
      <c r="D9" s="629">
        <f>IF(Basisdaten!F37="","",Basisdaten!F37)</f>
        <v>0</v>
      </c>
      <c r="E9" s="629">
        <f>IF(Basisdaten!G37="","",Basisdaten!G37)</f>
        <v>0</v>
      </c>
      <c r="F9" s="629">
        <f>IF(Basisdaten!H37="","",Basisdaten!H37)</f>
        <v>0</v>
      </c>
      <c r="G9" s="629">
        <f>IF(Basisdaten!I37="","",Basisdaten!I37)</f>
        <v>0</v>
      </c>
      <c r="H9" s="629">
        <f>IF(Basisdaten!J37="","",Basisdaten!J37)</f>
        <v>0</v>
      </c>
      <c r="I9" s="629">
        <f>IF(Basisdaten!K37="","",Basisdaten!K37)</f>
        <v>0</v>
      </c>
      <c r="J9" s="629">
        <f>IF(Basisdaten!L37="","",Basisdaten!L37)</f>
        <v>0</v>
      </c>
      <c r="K9" s="629">
        <f>IF(Basisdaten!M37="","",Basisdaten!M37)</f>
        <v>0</v>
      </c>
      <c r="L9" s="629">
        <f>IF(Basisdaten!N37="","",Basisdaten!N37)</f>
        <v>0</v>
      </c>
      <c r="M9" s="629">
        <f>IF(Basisdaten!O37="","",Basisdaten!O37)</f>
        <v>0</v>
      </c>
      <c r="N9" s="629">
        <f>IF(Basisdaten!P37="","",Basisdaten!P37)</f>
        <v>0</v>
      </c>
      <c r="O9" s="629">
        <f>IF(Basisdaten!Q37="","",Basisdaten!Q37)</f>
        <v>0</v>
      </c>
      <c r="P9" s="629">
        <f>IF(Basisdaten!R37="","",Basisdaten!R37)</f>
        <v>0</v>
      </c>
    </row>
    <row r="10" spans="1:16">
      <c r="A10" s="632" t="s">
        <v>804</v>
      </c>
      <c r="B10" s="629">
        <f>IF(Basisdaten!D38="","",Basisdaten!D38)</f>
        <v>0</v>
      </c>
      <c r="C10" s="629">
        <f>IF(Basisdaten!E38="","",Basisdaten!E38)</f>
        <v>0</v>
      </c>
      <c r="D10" s="629">
        <f>IF(Basisdaten!F38="","",Basisdaten!F38)</f>
        <v>0</v>
      </c>
      <c r="E10" s="629">
        <f>IF(Basisdaten!G38="","",Basisdaten!G38)</f>
        <v>0</v>
      </c>
      <c r="F10" s="629">
        <f>IF(Basisdaten!H38="","",Basisdaten!H38)</f>
        <v>0</v>
      </c>
      <c r="G10" s="629">
        <f>IF(Basisdaten!I38="","",Basisdaten!I38)</f>
        <v>0</v>
      </c>
      <c r="H10" s="629">
        <f>IF(Basisdaten!J38="","",Basisdaten!J38)</f>
        <v>0</v>
      </c>
      <c r="I10" s="629">
        <f>IF(Basisdaten!K38="","",Basisdaten!K38)</f>
        <v>0</v>
      </c>
      <c r="J10" s="629">
        <f>IF(Basisdaten!L38="","",Basisdaten!L38)</f>
        <v>0</v>
      </c>
      <c r="K10" s="629">
        <f>IF(Basisdaten!M38="","",Basisdaten!M38)</f>
        <v>0</v>
      </c>
      <c r="L10" s="629">
        <f>IF(Basisdaten!N38="","",Basisdaten!N38)</f>
        <v>0</v>
      </c>
      <c r="M10" s="629">
        <f>IF(Basisdaten!O38="","",Basisdaten!O38)</f>
        <v>0</v>
      </c>
      <c r="N10" s="629">
        <f>IF(Basisdaten!P38="","",Basisdaten!P38)</f>
        <v>0</v>
      </c>
      <c r="O10" s="629">
        <f>IF(Basisdaten!Q38="","",Basisdaten!Q38)</f>
        <v>0</v>
      </c>
      <c r="P10" s="629">
        <f>IF(Basisdaten!R38="","",Basisdaten!R38)</f>
        <v>0</v>
      </c>
    </row>
    <row r="11" spans="1:16" ht="24">
      <c r="A11" s="632" t="s">
        <v>834</v>
      </c>
      <c r="B11" s="629">
        <f>IF(Basisdaten!D39="","",Basisdaten!D39)</f>
        <v>0</v>
      </c>
      <c r="C11" s="629">
        <f>IF(Basisdaten!E39="","",Basisdaten!E39)</f>
        <v>0</v>
      </c>
      <c r="D11" s="629">
        <f>IF(Basisdaten!F39="","",Basisdaten!F39)</f>
        <v>0</v>
      </c>
      <c r="E11" s="629">
        <f>IF(Basisdaten!G39="","",Basisdaten!G39)</f>
        <v>0</v>
      </c>
      <c r="F11" s="629">
        <f>IF(Basisdaten!H39="","",Basisdaten!H39)</f>
        <v>0</v>
      </c>
      <c r="G11" s="629">
        <f>IF(Basisdaten!I39="","",Basisdaten!I39)</f>
        <v>0</v>
      </c>
      <c r="H11" s="629">
        <f>IF(Basisdaten!J39="","",Basisdaten!J39)</f>
        <v>0</v>
      </c>
      <c r="I11" s="629">
        <f>IF(Basisdaten!K39="","",Basisdaten!K39)</f>
        <v>0</v>
      </c>
      <c r="J11" s="629">
        <f>IF(Basisdaten!L39="","",Basisdaten!L39)</f>
        <v>0</v>
      </c>
      <c r="K11" s="629">
        <f>IF(Basisdaten!M39="","",Basisdaten!M39)</f>
        <v>0</v>
      </c>
      <c r="L11" s="629">
        <f>IF(Basisdaten!N39="","",Basisdaten!N39)</f>
        <v>0</v>
      </c>
      <c r="M11" s="629">
        <f>IF(Basisdaten!O39="","",Basisdaten!O39)</f>
        <v>0</v>
      </c>
      <c r="N11" s="629">
        <f>IF(Basisdaten!P39="","",Basisdaten!P39)</f>
        <v>0</v>
      </c>
      <c r="O11" s="629">
        <f>IF(Basisdaten!Q39="","",Basisdaten!Q39)</f>
        <v>0</v>
      </c>
      <c r="P11" s="629">
        <f>IF(Basisdaten!R39="","",Basisdaten!R39)</f>
        <v>0</v>
      </c>
    </row>
    <row r="12" spans="1:16">
      <c r="A12" s="746" t="s">
        <v>174</v>
      </c>
      <c r="B12" s="813"/>
      <c r="C12" s="813"/>
      <c r="D12" s="813"/>
      <c r="E12" s="813"/>
      <c r="F12" s="813"/>
      <c r="G12" s="813"/>
      <c r="H12" s="813"/>
      <c r="I12" s="813"/>
      <c r="J12" s="813"/>
      <c r="K12" s="813"/>
      <c r="L12" s="813"/>
      <c r="M12" s="813"/>
      <c r="N12" s="813"/>
      <c r="O12" s="814"/>
      <c r="P12" s="629" t="str">
        <f>IF(Basisdaten!D42="","",Basisdaten!D42)</f>
        <v/>
      </c>
    </row>
    <row r="13" spans="1:16">
      <c r="A13" s="746" t="s">
        <v>495</v>
      </c>
      <c r="B13" s="813"/>
      <c r="C13" s="813"/>
      <c r="D13" s="813"/>
      <c r="E13" s="813"/>
      <c r="F13" s="813"/>
      <c r="G13" s="813"/>
      <c r="H13" s="813"/>
      <c r="I13" s="813"/>
      <c r="J13" s="813"/>
      <c r="K13" s="813"/>
      <c r="L13" s="813"/>
      <c r="M13" s="813"/>
      <c r="N13" s="813"/>
      <c r="O13" s="814"/>
      <c r="P13" s="629" t="str">
        <f>IF(Basisdaten!D43="","",Basisdaten!D43)</f>
        <v/>
      </c>
    </row>
    <row r="14" spans="1:16">
      <c r="A14" s="746" t="s">
        <v>147</v>
      </c>
      <c r="B14" s="813"/>
      <c r="C14" s="813"/>
      <c r="D14" s="813"/>
      <c r="E14" s="813"/>
      <c r="F14" s="813"/>
      <c r="G14" s="813"/>
      <c r="H14" s="813"/>
      <c r="I14" s="813"/>
      <c r="J14" s="813"/>
      <c r="K14" s="813"/>
      <c r="L14" s="813"/>
      <c r="M14" s="813"/>
      <c r="N14" s="813"/>
      <c r="O14" s="814"/>
      <c r="P14" s="629">
        <f>IF(Basisdaten!D45="","",Basisdaten!D45)</f>
        <v>0</v>
      </c>
    </row>
  </sheetData>
  <mergeCells count="3">
    <mergeCell ref="A12:O12"/>
    <mergeCell ref="A13:O13"/>
    <mergeCell ref="A14:O14"/>
  </mergeCells>
  <phoneticPr fontId="41" type="noConversion"/>
  <dataValidations count="4">
    <dataValidation operator="greaterThan" allowBlank="1" showInputMessage="1" showErrorMessage="1" sqref="G65531"/>
    <dataValidation type="whole" allowBlank="1" showInputMessage="1" showErrorMessage="1" sqref="B65539:F65539">
      <formula1>0</formula1>
      <formula2>5000</formula2>
    </dataValidation>
    <dataValidation type="whole" allowBlank="1" showInputMessage="1" showErrorMessage="1" errorTitle="Eingabefehler" error="Nur positive ganze Zahlen eingeben." sqref="B65533:G65538">
      <formula1>0</formula1>
      <formula2>2500</formula2>
    </dataValidation>
    <dataValidation allowBlank="1" showInputMessage="1" showErrorMessage="1" errorTitle="Eingabefehler" error="Ganze Zahl zwischen 0 und 5000 eingeben." sqref="A10:A12 O2:O12 N2:N11 P2:P11 B1:M11 N1:P1"/>
  </dataValidation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W426"/>
  <sheetViews>
    <sheetView topLeftCell="A60" zoomScaleNormal="100" workbookViewId="0">
      <selection activeCell="C91" sqref="C91"/>
    </sheetView>
  </sheetViews>
  <sheetFormatPr baseColWidth="10" defaultColWidth="11.42578125" defaultRowHeight="14.25"/>
  <cols>
    <col min="1" max="1" width="38.42578125" style="436" customWidth="1"/>
    <col min="2" max="2" width="71.28515625" style="436" customWidth="1"/>
    <col min="3" max="3" width="86.28515625" style="436" customWidth="1"/>
    <col min="4" max="4" width="8.85546875" style="427" customWidth="1"/>
    <col min="5" max="5" width="24.28515625" style="427" customWidth="1"/>
    <col min="6" max="6" width="24.28515625" style="436" customWidth="1"/>
    <col min="7" max="7" width="25" style="436" customWidth="1"/>
    <col min="8" max="8" width="33.85546875" style="436" customWidth="1"/>
    <col min="9" max="9" width="34.85546875" style="436" customWidth="1"/>
    <col min="10" max="12" width="32.7109375" style="436" customWidth="1"/>
    <col min="13" max="14" width="33.85546875" style="436" customWidth="1"/>
    <col min="15" max="15" width="37.28515625" style="436" customWidth="1"/>
    <col min="16" max="16" width="33.85546875" style="436" bestFit="1" customWidth="1"/>
    <col min="17" max="17" width="9.7109375" style="436" customWidth="1"/>
    <col min="18" max="18" width="23" style="436" customWidth="1"/>
    <col min="19" max="19" width="16.85546875" style="436" customWidth="1"/>
    <col min="20" max="20" width="18.5703125" style="436" customWidth="1"/>
    <col min="21" max="21" width="36" style="436" customWidth="1"/>
    <col min="22" max="22" width="16" style="436" customWidth="1"/>
    <col min="23" max="23" width="14.5703125" style="436" customWidth="1"/>
    <col min="24" max="24" width="17.28515625" style="436" customWidth="1"/>
    <col min="25" max="31" width="9.140625" style="436" customWidth="1"/>
    <col min="32" max="32" width="13.5703125" style="436" customWidth="1"/>
    <col min="33" max="44" width="9.140625" style="436" customWidth="1"/>
    <col min="45" max="45" width="16.140625" style="436" customWidth="1"/>
    <col min="46" max="46" width="13.85546875" style="436" customWidth="1"/>
    <col min="47" max="47" width="9.140625" style="436" customWidth="1"/>
    <col min="48" max="48" width="15" style="436" customWidth="1"/>
    <col min="49" max="49" width="19.7109375" style="436" customWidth="1"/>
    <col min="50" max="50" width="15.7109375" style="436" customWidth="1"/>
    <col min="51" max="104" width="9.140625" style="436" customWidth="1"/>
    <col min="105" max="106" width="16.5703125" style="436" customWidth="1"/>
    <col min="107" max="107" width="15.5703125" style="436" customWidth="1"/>
    <col min="108" max="108" width="19" style="436" customWidth="1"/>
    <col min="109" max="16384" width="11.42578125" style="436"/>
  </cols>
  <sheetData>
    <row r="1" spans="1:6" ht="15">
      <c r="A1" s="523" t="s">
        <v>24</v>
      </c>
      <c r="B1" s="525" t="s">
        <v>331</v>
      </c>
      <c r="C1" s="443" t="s">
        <v>331</v>
      </c>
      <c r="D1" s="693"/>
      <c r="E1"/>
      <c r="F1"/>
    </row>
    <row r="2" spans="1:6" ht="15">
      <c r="A2" s="533" t="s">
        <v>833</v>
      </c>
      <c r="B2" s="525" t="s">
        <v>371</v>
      </c>
      <c r="C2" s="443" t="s">
        <v>371</v>
      </c>
      <c r="D2" s="694"/>
      <c r="E2"/>
      <c r="F2"/>
    </row>
    <row r="3" spans="1:6" ht="15">
      <c r="A3" s="437"/>
      <c r="B3" s="525" t="s">
        <v>327</v>
      </c>
      <c r="C3" s="443" t="s">
        <v>327</v>
      </c>
      <c r="D3" s="694"/>
      <c r="E3"/>
      <c r="F3"/>
    </row>
    <row r="4" spans="1:6" ht="15">
      <c r="A4" s="437"/>
      <c r="B4" s="525" t="s">
        <v>629</v>
      </c>
      <c r="C4" s="443" t="s">
        <v>629</v>
      </c>
      <c r="D4" s="694"/>
      <c r="E4"/>
      <c r="F4"/>
    </row>
    <row r="5" spans="1:6" ht="15">
      <c r="A5" s="437"/>
      <c r="B5" s="525" t="s">
        <v>372</v>
      </c>
      <c r="C5" s="443" t="s">
        <v>372</v>
      </c>
      <c r="D5" s="694"/>
      <c r="E5"/>
      <c r="F5"/>
    </row>
    <row r="6" spans="1:6" ht="15">
      <c r="A6" s="437"/>
      <c r="B6" s="525" t="s">
        <v>441</v>
      </c>
      <c r="C6" s="443" t="s">
        <v>441</v>
      </c>
      <c r="D6" s="694"/>
      <c r="E6"/>
      <c r="F6"/>
    </row>
    <row r="7" spans="1:6" ht="15">
      <c r="A7" s="437"/>
      <c r="B7" s="525" t="s">
        <v>373</v>
      </c>
      <c r="C7" s="443" t="s">
        <v>373</v>
      </c>
      <c r="D7" s="694"/>
      <c r="E7"/>
      <c r="F7"/>
    </row>
    <row r="8" spans="1:6" ht="15">
      <c r="A8" s="437"/>
      <c r="B8" s="525" t="s">
        <v>630</v>
      </c>
      <c r="C8" s="443" t="s">
        <v>630</v>
      </c>
      <c r="D8" s="694"/>
      <c r="E8"/>
      <c r="F8"/>
    </row>
    <row r="9" spans="1:6" ht="15">
      <c r="A9" s="437"/>
      <c r="B9" s="525" t="s">
        <v>631</v>
      </c>
      <c r="C9" s="443" t="s">
        <v>631</v>
      </c>
      <c r="D9" s="694"/>
      <c r="E9"/>
      <c r="F9"/>
    </row>
    <row r="10" spans="1:6" ht="15">
      <c r="A10" s="437"/>
      <c r="B10" s="525" t="s">
        <v>328</v>
      </c>
      <c r="C10" s="443" t="s">
        <v>328</v>
      </c>
      <c r="D10" s="694"/>
      <c r="E10"/>
      <c r="F10"/>
    </row>
    <row r="11" spans="1:6" ht="15">
      <c r="A11" s="437"/>
      <c r="B11" s="525" t="s">
        <v>632</v>
      </c>
      <c r="C11" s="695" t="s">
        <v>707</v>
      </c>
      <c r="D11" s="694" t="s">
        <v>708</v>
      </c>
      <c r="E11"/>
      <c r="F11"/>
    </row>
    <row r="12" spans="1:6" ht="15">
      <c r="A12" s="437"/>
      <c r="B12" s="525" t="s">
        <v>329</v>
      </c>
      <c r="C12" s="443" t="s">
        <v>632</v>
      </c>
      <c r="D12" s="694"/>
      <c r="E12"/>
      <c r="F12"/>
    </row>
    <row r="13" spans="1:6" ht="15">
      <c r="A13" s="437"/>
      <c r="B13" s="525" t="s">
        <v>442</v>
      </c>
      <c r="C13" s="443" t="s">
        <v>329</v>
      </c>
      <c r="D13" s="694"/>
      <c r="E13"/>
      <c r="F13"/>
    </row>
    <row r="14" spans="1:6" ht="15">
      <c r="A14" s="437"/>
      <c r="B14" s="525" t="s">
        <v>443</v>
      </c>
      <c r="C14" s="696" t="s">
        <v>635</v>
      </c>
      <c r="D14" s="694" t="s">
        <v>709</v>
      </c>
      <c r="E14"/>
      <c r="F14"/>
    </row>
    <row r="15" spans="1:6" ht="15">
      <c r="A15" s="437"/>
      <c r="B15" s="525" t="s">
        <v>330</v>
      </c>
      <c r="C15" s="443" t="s">
        <v>442</v>
      </c>
      <c r="D15" s="694"/>
      <c r="E15"/>
      <c r="F15"/>
    </row>
    <row r="16" spans="1:6" ht="15">
      <c r="A16" s="437"/>
      <c r="B16" s="525" t="s">
        <v>374</v>
      </c>
      <c r="C16" s="443" t="s">
        <v>443</v>
      </c>
      <c r="D16" s="694"/>
      <c r="E16"/>
      <c r="F16"/>
    </row>
    <row r="17" spans="1:6" ht="15">
      <c r="A17" s="437"/>
      <c r="B17" s="525" t="s">
        <v>430</v>
      </c>
      <c r="C17" s="443" t="s">
        <v>330</v>
      </c>
      <c r="D17" s="694"/>
      <c r="E17"/>
      <c r="F17"/>
    </row>
    <row r="18" spans="1:6" ht="15">
      <c r="A18" s="437"/>
      <c r="B18" s="525" t="s">
        <v>375</v>
      </c>
      <c r="C18" s="443" t="s">
        <v>374</v>
      </c>
      <c r="D18" s="694"/>
      <c r="E18"/>
      <c r="F18"/>
    </row>
    <row r="19" spans="1:6" ht="15">
      <c r="A19" s="437"/>
      <c r="B19" s="525" t="s">
        <v>429</v>
      </c>
      <c r="C19" s="443" t="s">
        <v>430</v>
      </c>
      <c r="D19" s="694"/>
      <c r="E19"/>
      <c r="F19"/>
    </row>
    <row r="20" spans="1:6" ht="15">
      <c r="A20" s="626"/>
      <c r="B20" s="628" t="s">
        <v>332</v>
      </c>
      <c r="C20" s="443" t="s">
        <v>375</v>
      </c>
      <c r="D20" s="697"/>
      <c r="E20"/>
      <c r="F20"/>
    </row>
    <row r="21" spans="1:6" ht="15">
      <c r="A21" s="437"/>
      <c r="B21" s="525" t="s">
        <v>453</v>
      </c>
      <c r="C21" s="443" t="s">
        <v>429</v>
      </c>
      <c r="D21" s="694"/>
      <c r="E21"/>
      <c r="F21"/>
    </row>
    <row r="22" spans="1:6" ht="15">
      <c r="A22" s="437"/>
      <c r="B22" s="543" t="s">
        <v>333</v>
      </c>
      <c r="C22" s="443" t="s">
        <v>332</v>
      </c>
      <c r="D22" s="694"/>
      <c r="E22"/>
      <c r="F22"/>
    </row>
    <row r="23" spans="1:6" ht="15">
      <c r="A23" s="437"/>
      <c r="B23" s="543" t="s">
        <v>601</v>
      </c>
      <c r="C23" s="698" t="s">
        <v>376</v>
      </c>
      <c r="D23" s="694" t="s">
        <v>709</v>
      </c>
      <c r="E23"/>
      <c r="F23"/>
    </row>
    <row r="24" spans="1:6" ht="15">
      <c r="A24" s="437"/>
      <c r="B24" s="525" t="s">
        <v>377</v>
      </c>
      <c r="C24" s="696" t="s">
        <v>636</v>
      </c>
      <c r="D24" s="694" t="s">
        <v>709</v>
      </c>
      <c r="E24"/>
      <c r="F24"/>
    </row>
    <row r="25" spans="1:6" ht="15">
      <c r="A25" s="437"/>
      <c r="B25" s="525" t="s">
        <v>378</v>
      </c>
      <c r="C25" s="443" t="s">
        <v>453</v>
      </c>
      <c r="D25" s="694"/>
      <c r="E25"/>
      <c r="F25"/>
    </row>
    <row r="26" spans="1:6" ht="15">
      <c r="A26" s="437"/>
      <c r="B26" s="525" t="s">
        <v>334</v>
      </c>
      <c r="C26" s="443" t="s">
        <v>333</v>
      </c>
      <c r="D26" s="694"/>
      <c r="E26"/>
      <c r="F26"/>
    </row>
    <row r="27" spans="1:6" ht="15">
      <c r="A27" s="437"/>
      <c r="B27" s="525" t="s">
        <v>633</v>
      </c>
      <c r="C27" s="699" t="s">
        <v>488</v>
      </c>
      <c r="D27" s="694" t="s">
        <v>710</v>
      </c>
      <c r="E27"/>
      <c r="F27"/>
    </row>
    <row r="28" spans="1:6" ht="15">
      <c r="A28" s="437"/>
      <c r="B28" s="525" t="s">
        <v>446</v>
      </c>
      <c r="C28" s="443" t="s">
        <v>601</v>
      </c>
      <c r="D28" s="694"/>
      <c r="E28"/>
      <c r="F28"/>
    </row>
    <row r="29" spans="1:6" ht="15">
      <c r="A29" s="437"/>
      <c r="B29" s="525" t="s">
        <v>379</v>
      </c>
      <c r="C29" s="695" t="s">
        <v>637</v>
      </c>
      <c r="D29" s="694" t="s">
        <v>708</v>
      </c>
      <c r="E29"/>
      <c r="F29"/>
    </row>
    <row r="30" spans="1:6" ht="15">
      <c r="A30" s="437"/>
      <c r="B30" s="525" t="s">
        <v>448</v>
      </c>
      <c r="C30" s="443" t="s">
        <v>377</v>
      </c>
      <c r="D30" s="694"/>
      <c r="E30"/>
      <c r="F30"/>
    </row>
    <row r="31" spans="1:6" ht="15">
      <c r="A31" s="437"/>
      <c r="B31" s="525" t="s">
        <v>380</v>
      </c>
      <c r="C31" s="696" t="s">
        <v>444</v>
      </c>
      <c r="D31" s="694" t="s">
        <v>709</v>
      </c>
      <c r="E31"/>
      <c r="F31"/>
    </row>
    <row r="32" spans="1:6" ht="15">
      <c r="A32" s="437"/>
      <c r="B32" s="525" t="s">
        <v>381</v>
      </c>
      <c r="C32" s="443" t="s">
        <v>378</v>
      </c>
      <c r="D32" s="694"/>
      <c r="E32"/>
      <c r="F32"/>
    </row>
    <row r="33" spans="1:6" ht="15">
      <c r="A33" s="437"/>
      <c r="B33" s="525" t="s">
        <v>382</v>
      </c>
      <c r="C33" s="443" t="s">
        <v>334</v>
      </c>
      <c r="D33" s="694"/>
      <c r="E33"/>
      <c r="F33"/>
    </row>
    <row r="34" spans="1:6" ht="15">
      <c r="A34" s="437"/>
      <c r="B34" s="525" t="s">
        <v>335</v>
      </c>
      <c r="C34" s="443" t="s">
        <v>633</v>
      </c>
      <c r="D34" s="694"/>
      <c r="E34"/>
      <c r="F34"/>
    </row>
    <row r="35" spans="1:6" ht="15">
      <c r="A35" s="437"/>
      <c r="B35" s="525" t="s">
        <v>447</v>
      </c>
      <c r="C35" s="443" t="s">
        <v>446</v>
      </c>
      <c r="D35" s="694"/>
      <c r="E35"/>
      <c r="F35"/>
    </row>
    <row r="36" spans="1:6" ht="15">
      <c r="A36" s="437"/>
      <c r="B36" s="525" t="s">
        <v>383</v>
      </c>
      <c r="C36" s="695" t="s">
        <v>638</v>
      </c>
      <c r="D36" s="694" t="s">
        <v>708</v>
      </c>
      <c r="E36"/>
      <c r="F36"/>
    </row>
    <row r="37" spans="1:6" ht="15">
      <c r="A37" s="437"/>
      <c r="B37" s="525" t="s">
        <v>445</v>
      </c>
      <c r="C37" s="443" t="s">
        <v>379</v>
      </c>
      <c r="D37" s="694"/>
      <c r="E37"/>
      <c r="F37"/>
    </row>
    <row r="38" spans="1:6" ht="15">
      <c r="A38" s="437"/>
      <c r="B38" s="525" t="s">
        <v>423</v>
      </c>
      <c r="C38" s="443" t="s">
        <v>448</v>
      </c>
      <c r="D38" s="694"/>
      <c r="E38"/>
      <c r="F38"/>
    </row>
    <row r="39" spans="1:6" ht="15">
      <c r="A39" s="437"/>
      <c r="B39" s="525" t="s">
        <v>450</v>
      </c>
      <c r="C39" s="443" t="s">
        <v>380</v>
      </c>
      <c r="D39" s="694"/>
      <c r="E39"/>
      <c r="F39"/>
    </row>
    <row r="40" spans="1:6" ht="15">
      <c r="A40" s="437"/>
      <c r="B40" s="525" t="s">
        <v>384</v>
      </c>
      <c r="C40" s="443" t="s">
        <v>381</v>
      </c>
      <c r="D40" s="694"/>
      <c r="E40"/>
      <c r="F40"/>
    </row>
    <row r="41" spans="1:6" ht="15">
      <c r="A41" s="437"/>
      <c r="B41" s="525" t="s">
        <v>452</v>
      </c>
      <c r="C41" s="443" t="s">
        <v>382</v>
      </c>
      <c r="D41" s="694"/>
      <c r="E41"/>
      <c r="F41"/>
    </row>
    <row r="42" spans="1:6" ht="15">
      <c r="A42" s="437"/>
      <c r="B42" s="525" t="s">
        <v>634</v>
      </c>
      <c r="C42" s="443" t="s">
        <v>335</v>
      </c>
      <c r="D42" s="694"/>
      <c r="E42"/>
      <c r="F42"/>
    </row>
    <row r="43" spans="1:6" ht="15">
      <c r="A43" s="437"/>
      <c r="B43" s="628" t="s">
        <v>492</v>
      </c>
      <c r="C43" s="443" t="s">
        <v>447</v>
      </c>
      <c r="D43" s="694"/>
      <c r="E43"/>
      <c r="F43"/>
    </row>
    <row r="44" spans="1:6" ht="15">
      <c r="A44" s="437"/>
      <c r="B44" s="628" t="s">
        <v>284</v>
      </c>
      <c r="C44" s="443" t="s">
        <v>383</v>
      </c>
      <c r="D44" s="694"/>
      <c r="E44"/>
      <c r="F44"/>
    </row>
    <row r="45" spans="1:6" ht="12" customHeight="1">
      <c r="A45" s="437"/>
      <c r="B45" s="628" t="s">
        <v>303</v>
      </c>
      <c r="C45" s="443" t="s">
        <v>445</v>
      </c>
      <c r="D45" s="694"/>
      <c r="E45"/>
      <c r="F45"/>
    </row>
    <row r="46" spans="1:6" ht="15">
      <c r="A46" s="437"/>
      <c r="C46" s="695" t="s">
        <v>639</v>
      </c>
      <c r="D46" s="694" t="s">
        <v>708</v>
      </c>
      <c r="E46"/>
      <c r="F46"/>
    </row>
    <row r="47" spans="1:6" ht="15">
      <c r="A47" s="437"/>
      <c r="C47" s="695" t="s">
        <v>422</v>
      </c>
      <c r="D47" s="694" t="s">
        <v>708</v>
      </c>
      <c r="E47"/>
      <c r="F47"/>
    </row>
    <row r="48" spans="1:6">
      <c r="A48" s="437"/>
      <c r="C48" s="443" t="s">
        <v>423</v>
      </c>
      <c r="D48" s="700"/>
      <c r="E48" s="92"/>
    </row>
    <row r="49" spans="1:6">
      <c r="A49" s="437"/>
      <c r="C49" s="696" t="s">
        <v>449</v>
      </c>
      <c r="D49" s="694" t="s">
        <v>709</v>
      </c>
      <c r="E49" s="92"/>
    </row>
    <row r="50" spans="1:6">
      <c r="A50" s="437"/>
      <c r="C50" s="701" t="s">
        <v>711</v>
      </c>
      <c r="D50" s="702" t="s">
        <v>709</v>
      </c>
      <c r="E50" s="92"/>
    </row>
    <row r="51" spans="1:6">
      <c r="A51" s="437"/>
      <c r="C51" s="443" t="s">
        <v>450</v>
      </c>
      <c r="D51" s="694"/>
      <c r="E51" s="92"/>
    </row>
    <row r="52" spans="1:6" ht="15">
      <c r="A52" s="437"/>
      <c r="C52" s="696" t="s">
        <v>451</v>
      </c>
      <c r="D52" s="694" t="s">
        <v>712</v>
      </c>
      <c r="E52" s="92"/>
      <c r="F52"/>
    </row>
    <row r="53" spans="1:6">
      <c r="A53" s="437"/>
      <c r="C53" s="695" t="s">
        <v>713</v>
      </c>
      <c r="D53" s="694" t="s">
        <v>708</v>
      </c>
      <c r="E53" s="93"/>
    </row>
    <row r="54" spans="1:6">
      <c r="A54" s="626"/>
      <c r="C54" s="443" t="s">
        <v>384</v>
      </c>
      <c r="D54" s="694"/>
      <c r="E54" s="93"/>
    </row>
    <row r="55" spans="1:6">
      <c r="A55" s="626"/>
      <c r="C55" s="703" t="s">
        <v>452</v>
      </c>
      <c r="D55" s="704"/>
      <c r="E55" s="93"/>
    </row>
    <row r="56" spans="1:6">
      <c r="A56" s="626"/>
      <c r="C56" s="703" t="s">
        <v>634</v>
      </c>
      <c r="D56" s="704"/>
      <c r="E56" s="93"/>
    </row>
    <row r="57" spans="1:6">
      <c r="A57" s="626"/>
      <c r="C57" s="703" t="s">
        <v>492</v>
      </c>
      <c r="D57" s="704"/>
      <c r="E57" s="93"/>
    </row>
    <row r="58" spans="1:6">
      <c r="A58" s="626"/>
      <c r="C58" s="705" t="s">
        <v>424</v>
      </c>
      <c r="D58" s="704" t="s">
        <v>708</v>
      </c>
      <c r="E58" s="93"/>
    </row>
    <row r="59" spans="1:6">
      <c r="A59" s="626"/>
      <c r="C59" s="705" t="s">
        <v>510</v>
      </c>
      <c r="D59" s="704" t="s">
        <v>708</v>
      </c>
      <c r="E59" s="93"/>
    </row>
    <row r="60" spans="1:6">
      <c r="A60" s="626"/>
      <c r="C60" s="698" t="s">
        <v>385</v>
      </c>
      <c r="D60" s="694" t="s">
        <v>709</v>
      </c>
      <c r="E60" s="93"/>
    </row>
    <row r="61" spans="1:6">
      <c r="A61" s="626"/>
      <c r="C61" s="703" t="s">
        <v>284</v>
      </c>
      <c r="D61" s="704"/>
      <c r="E61" s="93"/>
    </row>
    <row r="62" spans="1:6">
      <c r="A62" s="626"/>
      <c r="C62" s="703" t="s">
        <v>303</v>
      </c>
      <c r="D62" s="704"/>
      <c r="E62" s="93"/>
    </row>
    <row r="63" spans="1:6">
      <c r="A63" s="626"/>
      <c r="E63" s="93"/>
    </row>
    <row r="64" spans="1:6">
      <c r="A64" s="626"/>
      <c r="E64" s="93"/>
    </row>
    <row r="65" spans="1:23">
      <c r="A65" s="626"/>
      <c r="C65" s="554"/>
      <c r="D65" s="553"/>
      <c r="E65" s="93"/>
    </row>
    <row r="66" spans="1:23">
      <c r="A66" s="437"/>
      <c r="B66" s="437"/>
      <c r="C66" s="554"/>
      <c r="D66" s="553"/>
      <c r="E66" s="93"/>
    </row>
    <row r="67" spans="1:23">
      <c r="A67" s="439" t="s">
        <v>43</v>
      </c>
      <c r="B67" s="440" t="s">
        <v>44</v>
      </c>
      <c r="C67" s="441" t="s">
        <v>45</v>
      </c>
      <c r="D67" s="440" t="s">
        <v>46</v>
      </c>
      <c r="E67" s="440" t="s">
        <v>47</v>
      </c>
      <c r="F67" s="440" t="s">
        <v>48</v>
      </c>
      <c r="G67" s="440" t="s">
        <v>49</v>
      </c>
      <c r="H67" s="440" t="s">
        <v>50</v>
      </c>
      <c r="I67" s="440" t="s">
        <v>51</v>
      </c>
      <c r="J67" s="440" t="s">
        <v>52</v>
      </c>
      <c r="K67" s="440" t="s">
        <v>53</v>
      </c>
      <c r="L67" s="440" t="s">
        <v>54</v>
      </c>
      <c r="M67" s="440" t="s">
        <v>55</v>
      </c>
      <c r="N67" s="440" t="s">
        <v>56</v>
      </c>
      <c r="O67" s="440" t="s">
        <v>57</v>
      </c>
      <c r="P67" s="440" t="s">
        <v>22</v>
      </c>
      <c r="Q67" s="440" t="s">
        <v>58</v>
      </c>
      <c r="R67" s="440" t="s">
        <v>241</v>
      </c>
      <c r="S67" s="441" t="s">
        <v>75</v>
      </c>
    </row>
    <row r="68" spans="1:23" s="446" customFormat="1">
      <c r="A68" s="442" t="s">
        <v>268</v>
      </c>
      <c r="B68" s="443" t="s">
        <v>269</v>
      </c>
      <c r="C68" s="444" t="s">
        <v>270</v>
      </c>
      <c r="D68" s="443" t="s">
        <v>271</v>
      </c>
      <c r="E68" s="443" t="s">
        <v>272</v>
      </c>
      <c r="F68" s="443" t="s">
        <v>273</v>
      </c>
      <c r="G68" s="443" t="s">
        <v>274</v>
      </c>
      <c r="H68" s="443" t="s">
        <v>275</v>
      </c>
      <c r="I68" s="443" t="s">
        <v>276</v>
      </c>
      <c r="J68" s="443" t="s">
        <v>277</v>
      </c>
      <c r="K68" s="443" t="s">
        <v>278</v>
      </c>
      <c r="L68" s="443" t="s">
        <v>279</v>
      </c>
      <c r="M68" s="443" t="s">
        <v>280</v>
      </c>
      <c r="N68" s="443" t="s">
        <v>281</v>
      </c>
      <c r="O68" s="443" t="s">
        <v>282</v>
      </c>
      <c r="P68" s="443" t="s">
        <v>283</v>
      </c>
      <c r="Q68" s="542" t="s">
        <v>479</v>
      </c>
      <c r="R68" s="443" t="s">
        <v>480</v>
      </c>
      <c r="S68" s="552" t="s">
        <v>487</v>
      </c>
      <c r="T68" s="445"/>
      <c r="U68" s="445"/>
      <c r="V68" s="445"/>
      <c r="W68" s="445"/>
    </row>
    <row r="69" spans="1:23" s="446" customFormat="1">
      <c r="A69" s="442" t="s">
        <v>25</v>
      </c>
      <c r="B69" s="443" t="s">
        <v>32</v>
      </c>
      <c r="C69" s="444" t="s">
        <v>271</v>
      </c>
      <c r="D69" s="443" t="s">
        <v>285</v>
      </c>
      <c r="E69" s="443" t="s">
        <v>286</v>
      </c>
      <c r="F69" s="443" t="s">
        <v>286</v>
      </c>
      <c r="G69" s="443" t="s">
        <v>287</v>
      </c>
      <c r="H69" s="443" t="s">
        <v>288</v>
      </c>
      <c r="I69" s="443" t="s">
        <v>27</v>
      </c>
      <c r="J69" s="443" t="s">
        <v>289</v>
      </c>
      <c r="K69" s="443" t="s">
        <v>290</v>
      </c>
      <c r="L69" s="443" t="s">
        <v>291</v>
      </c>
      <c r="M69" s="443" t="s">
        <v>292</v>
      </c>
      <c r="N69" s="443" t="s">
        <v>35</v>
      </c>
      <c r="O69" s="443" t="s">
        <v>293</v>
      </c>
      <c r="P69" s="443" t="s">
        <v>23</v>
      </c>
      <c r="Q69" s="443" t="s">
        <v>284</v>
      </c>
      <c r="R69" s="447" t="s">
        <v>284</v>
      </c>
      <c r="S69" s="444" t="s">
        <v>284</v>
      </c>
      <c r="T69" s="448"/>
      <c r="U69" s="448"/>
      <c r="V69" s="449"/>
      <c r="W69" s="448"/>
    </row>
    <row r="70" spans="1:23" s="446" customFormat="1">
      <c r="A70" s="442" t="s">
        <v>26</v>
      </c>
      <c r="B70" s="443" t="s">
        <v>33</v>
      </c>
      <c r="C70" s="444" t="s">
        <v>294</v>
      </c>
      <c r="D70" s="443" t="s">
        <v>295</v>
      </c>
      <c r="E70" s="443" t="s">
        <v>284</v>
      </c>
      <c r="F70" s="443" t="s">
        <v>284</v>
      </c>
      <c r="G70" s="443" t="s">
        <v>296</v>
      </c>
      <c r="H70" s="443" t="s">
        <v>297</v>
      </c>
      <c r="I70" s="443" t="s">
        <v>298</v>
      </c>
      <c r="J70" s="443" t="s">
        <v>299</v>
      </c>
      <c r="K70" s="443" t="s">
        <v>42</v>
      </c>
      <c r="L70" s="443" t="s">
        <v>286</v>
      </c>
      <c r="M70" s="443" t="s">
        <v>37</v>
      </c>
      <c r="N70" s="443" t="s">
        <v>38</v>
      </c>
      <c r="O70" s="443" t="s">
        <v>300</v>
      </c>
      <c r="P70" s="443" t="s">
        <v>34</v>
      </c>
      <c r="Q70" s="447"/>
      <c r="R70" s="447"/>
      <c r="S70" s="451"/>
      <c r="T70" s="448"/>
      <c r="U70" s="449"/>
      <c r="V70" s="448"/>
      <c r="W70" s="449"/>
    </row>
    <row r="71" spans="1:23" s="446" customFormat="1">
      <c r="A71" s="442" t="s">
        <v>301</v>
      </c>
      <c r="B71" s="443" t="s">
        <v>40</v>
      </c>
      <c r="C71" s="444" t="s">
        <v>302</v>
      </c>
      <c r="D71" s="443" t="s">
        <v>286</v>
      </c>
      <c r="E71" s="443" t="s">
        <v>303</v>
      </c>
      <c r="F71" s="443" t="s">
        <v>303</v>
      </c>
      <c r="G71" s="443" t="s">
        <v>304</v>
      </c>
      <c r="H71" s="443" t="s">
        <v>305</v>
      </c>
      <c r="I71" s="443" t="s">
        <v>306</v>
      </c>
      <c r="J71" s="443" t="s">
        <v>307</v>
      </c>
      <c r="K71" s="443" t="s">
        <v>286</v>
      </c>
      <c r="L71" s="443" t="s">
        <v>284</v>
      </c>
      <c r="M71" s="443" t="s">
        <v>420</v>
      </c>
      <c r="N71" s="443" t="s">
        <v>295</v>
      </c>
      <c r="O71" s="443" t="s">
        <v>286</v>
      </c>
      <c r="P71" s="443" t="s">
        <v>36</v>
      </c>
      <c r="Q71" s="447"/>
      <c r="R71" s="447"/>
      <c r="S71" s="451"/>
      <c r="T71" s="448"/>
      <c r="U71" s="450"/>
      <c r="W71" s="450"/>
    </row>
    <row r="72" spans="1:23" s="446" customFormat="1">
      <c r="A72" s="442" t="s">
        <v>309</v>
      </c>
      <c r="B72" s="443" t="s">
        <v>310</v>
      </c>
      <c r="C72" s="444" t="s">
        <v>311</v>
      </c>
      <c r="D72" s="443" t="s">
        <v>284</v>
      </c>
      <c r="E72" s="443"/>
      <c r="F72" s="443"/>
      <c r="G72" s="443" t="s">
        <v>39</v>
      </c>
      <c r="H72" s="443" t="s">
        <v>295</v>
      </c>
      <c r="I72" s="443" t="s">
        <v>312</v>
      </c>
      <c r="J72" s="443" t="s">
        <v>313</v>
      </c>
      <c r="K72" s="443" t="s">
        <v>284</v>
      </c>
      <c r="L72" s="443" t="s">
        <v>303</v>
      </c>
      <c r="M72" s="443" t="s">
        <v>74</v>
      </c>
      <c r="N72" s="447" t="s">
        <v>286</v>
      </c>
      <c r="O72" s="443" t="s">
        <v>284</v>
      </c>
      <c r="P72" s="443" t="s">
        <v>314</v>
      </c>
      <c r="Q72" s="447"/>
      <c r="R72" s="447"/>
      <c r="S72" s="451"/>
      <c r="T72" s="448"/>
      <c r="U72" s="450"/>
      <c r="V72" s="450"/>
      <c r="W72" s="450"/>
    </row>
    <row r="73" spans="1:23" s="446" customFormat="1">
      <c r="A73" s="442" t="s">
        <v>315</v>
      </c>
      <c r="B73" s="443" t="s">
        <v>41</v>
      </c>
      <c r="C73" s="444" t="s">
        <v>316</v>
      </c>
      <c r="D73" s="443" t="s">
        <v>303</v>
      </c>
      <c r="E73" s="447"/>
      <c r="F73" s="447"/>
      <c r="G73" s="443" t="s">
        <v>286</v>
      </c>
      <c r="H73" s="443" t="s">
        <v>286</v>
      </c>
      <c r="I73" s="443" t="s">
        <v>421</v>
      </c>
      <c r="J73" s="443" t="s">
        <v>317</v>
      </c>
      <c r="K73" s="443" t="s">
        <v>303</v>
      </c>
      <c r="L73" s="443"/>
      <c r="M73" s="443" t="s">
        <v>295</v>
      </c>
      <c r="N73" s="447" t="s">
        <v>284</v>
      </c>
      <c r="O73" s="443" t="s">
        <v>303</v>
      </c>
      <c r="P73" s="443" t="s">
        <v>308</v>
      </c>
      <c r="Q73" s="447"/>
      <c r="R73" s="447"/>
      <c r="S73" s="451"/>
      <c r="T73" s="448"/>
      <c r="U73" s="450"/>
      <c r="V73" s="450"/>
      <c r="W73" s="450"/>
    </row>
    <row r="74" spans="1:23" s="446" customFormat="1">
      <c r="A74" s="442" t="s">
        <v>318</v>
      </c>
      <c r="B74" s="443" t="s">
        <v>319</v>
      </c>
      <c r="C74" s="444" t="s">
        <v>295</v>
      </c>
      <c r="D74" s="447"/>
      <c r="E74" s="447"/>
      <c r="F74" s="447"/>
      <c r="G74" s="443" t="s">
        <v>284</v>
      </c>
      <c r="H74" s="443" t="s">
        <v>284</v>
      </c>
      <c r="I74" s="443" t="s">
        <v>286</v>
      </c>
      <c r="J74" s="443" t="s">
        <v>286</v>
      </c>
      <c r="K74" s="443"/>
      <c r="L74" s="447"/>
      <c r="M74" s="443" t="s">
        <v>286</v>
      </c>
      <c r="N74" s="447" t="s">
        <v>303</v>
      </c>
      <c r="O74" s="443"/>
      <c r="P74" s="443" t="s">
        <v>295</v>
      </c>
      <c r="Q74" s="447"/>
      <c r="R74" s="447"/>
      <c r="S74" s="451"/>
      <c r="T74" s="448"/>
      <c r="U74" s="450"/>
      <c r="V74" s="450"/>
      <c r="W74" s="450"/>
    </row>
    <row r="75" spans="1:23" s="446" customFormat="1">
      <c r="A75" s="442" t="s">
        <v>28</v>
      </c>
      <c r="B75" s="443" t="s">
        <v>286</v>
      </c>
      <c r="C75" s="444" t="s">
        <v>286</v>
      </c>
      <c r="D75" s="447"/>
      <c r="E75" s="447"/>
      <c r="F75" s="447"/>
      <c r="G75" s="443" t="s">
        <v>303</v>
      </c>
      <c r="H75" s="443" t="s">
        <v>303</v>
      </c>
      <c r="I75" s="443" t="s">
        <v>284</v>
      </c>
      <c r="J75" s="443" t="s">
        <v>284</v>
      </c>
      <c r="K75" s="447"/>
      <c r="L75" s="447"/>
      <c r="M75" s="443" t="s">
        <v>284</v>
      </c>
      <c r="N75" s="447"/>
      <c r="O75" s="447"/>
      <c r="P75" s="443" t="s">
        <v>286</v>
      </c>
      <c r="Q75" s="447"/>
      <c r="R75" s="447"/>
      <c r="S75" s="451"/>
      <c r="T75" s="448"/>
      <c r="U75" s="450"/>
      <c r="V75" s="450"/>
      <c r="W75" s="450"/>
    </row>
    <row r="76" spans="1:23" s="446" customFormat="1">
      <c r="A76" s="442" t="s">
        <v>320</v>
      </c>
      <c r="B76" s="443" t="s">
        <v>284</v>
      </c>
      <c r="C76" s="444" t="s">
        <v>284</v>
      </c>
      <c r="D76" s="447"/>
      <c r="E76" s="447"/>
      <c r="F76" s="447"/>
      <c r="G76" s="443"/>
      <c r="H76" s="447"/>
      <c r="I76" s="443" t="s">
        <v>303</v>
      </c>
      <c r="J76" s="443" t="s">
        <v>303</v>
      </c>
      <c r="K76" s="447"/>
      <c r="L76" s="447"/>
      <c r="M76" s="447" t="s">
        <v>303</v>
      </c>
      <c r="N76" s="443"/>
      <c r="O76" s="443"/>
      <c r="P76" s="443" t="s">
        <v>284</v>
      </c>
      <c r="Q76" s="447"/>
      <c r="R76" s="447"/>
      <c r="S76" s="451"/>
      <c r="T76" s="448"/>
      <c r="U76" s="450"/>
      <c r="V76" s="450"/>
      <c r="W76" s="450"/>
    </row>
    <row r="77" spans="1:23" s="446" customFormat="1">
      <c r="A77" s="442" t="s">
        <v>321</v>
      </c>
      <c r="B77" s="443" t="s">
        <v>303</v>
      </c>
      <c r="C77" s="444" t="s">
        <v>303</v>
      </c>
      <c r="D77" s="447"/>
      <c r="E77" s="447"/>
      <c r="F77" s="447"/>
      <c r="G77" s="447"/>
      <c r="H77" s="447"/>
      <c r="I77" s="447"/>
      <c r="J77" s="443"/>
      <c r="K77" s="447"/>
      <c r="L77" s="447"/>
      <c r="M77" s="447"/>
      <c r="N77" s="447"/>
      <c r="O77" s="447"/>
      <c r="P77" s="443" t="s">
        <v>303</v>
      </c>
      <c r="Q77" s="447"/>
      <c r="R77" s="447"/>
      <c r="S77" s="451"/>
      <c r="T77" s="448"/>
      <c r="U77" s="450"/>
      <c r="V77" s="450"/>
      <c r="W77" s="450"/>
    </row>
    <row r="78" spans="1:23" s="446" customFormat="1">
      <c r="A78" s="442" t="s">
        <v>322</v>
      </c>
      <c r="B78" s="443"/>
      <c r="C78" s="451"/>
      <c r="D78" s="447"/>
      <c r="E78" s="447"/>
      <c r="F78" s="447"/>
      <c r="G78" s="447"/>
      <c r="H78" s="447"/>
      <c r="I78" s="447"/>
      <c r="J78" s="447"/>
      <c r="K78" s="447"/>
      <c r="L78" s="447"/>
      <c r="M78" s="447"/>
      <c r="N78" s="447"/>
      <c r="O78" s="447"/>
      <c r="P78" s="447"/>
      <c r="Q78" s="447"/>
      <c r="R78" s="447"/>
      <c r="S78" s="451"/>
      <c r="T78" s="449"/>
      <c r="U78" s="450"/>
      <c r="V78" s="450"/>
      <c r="W78" s="450"/>
    </row>
    <row r="79" spans="1:23" s="446" customFormat="1">
      <c r="A79" s="442" t="s">
        <v>323</v>
      </c>
      <c r="B79" s="447"/>
      <c r="C79" s="451"/>
      <c r="D79" s="447"/>
      <c r="E79" s="447"/>
      <c r="F79" s="447"/>
      <c r="G79" s="447"/>
      <c r="H79" s="447"/>
      <c r="I79" s="447"/>
      <c r="J79" s="447"/>
      <c r="K79" s="447"/>
      <c r="L79" s="447"/>
      <c r="M79" s="447"/>
      <c r="N79" s="447"/>
      <c r="O79" s="447"/>
      <c r="P79" s="447"/>
      <c r="Q79" s="447"/>
      <c r="R79" s="447"/>
      <c r="S79" s="451"/>
      <c r="T79" s="450"/>
      <c r="U79" s="450"/>
      <c r="V79" s="450"/>
      <c r="W79" s="450"/>
    </row>
    <row r="80" spans="1:23" s="446" customFormat="1">
      <c r="A80" s="442" t="s">
        <v>29</v>
      </c>
      <c r="B80" s="447"/>
      <c r="C80" s="451"/>
      <c r="D80" s="447"/>
      <c r="E80" s="447"/>
      <c r="F80" s="447"/>
      <c r="G80" s="447"/>
      <c r="H80" s="447"/>
      <c r="I80" s="447"/>
      <c r="J80" s="447"/>
      <c r="K80" s="447"/>
      <c r="L80" s="447"/>
      <c r="M80" s="447"/>
      <c r="N80" s="447"/>
      <c r="O80" s="447"/>
      <c r="P80" s="447"/>
      <c r="Q80" s="447"/>
      <c r="R80" s="447"/>
      <c r="S80" s="451"/>
      <c r="T80" s="450"/>
      <c r="U80" s="450"/>
      <c r="V80" s="450"/>
      <c r="W80" s="450"/>
    </row>
    <row r="81" spans="1:23" s="446" customFormat="1">
      <c r="A81" s="442" t="s">
        <v>324</v>
      </c>
      <c r="B81" s="447"/>
      <c r="C81" s="451"/>
      <c r="D81" s="447"/>
      <c r="E81" s="447"/>
      <c r="F81" s="447"/>
      <c r="G81" s="447"/>
      <c r="H81" s="447"/>
      <c r="I81" s="447"/>
      <c r="J81" s="447"/>
      <c r="K81" s="447"/>
      <c r="L81" s="447"/>
      <c r="M81" s="447"/>
      <c r="N81" s="447"/>
      <c r="O81" s="447"/>
      <c r="P81" s="447"/>
      <c r="Q81" s="447"/>
      <c r="R81" s="447"/>
      <c r="S81" s="451"/>
      <c r="T81" s="450"/>
      <c r="U81" s="450"/>
      <c r="V81" s="450"/>
      <c r="W81" s="450"/>
    </row>
    <row r="82" spans="1:23" s="446" customFormat="1">
      <c r="A82" s="442" t="s">
        <v>30</v>
      </c>
      <c r="B82" s="447"/>
      <c r="C82" s="451"/>
      <c r="D82" s="447"/>
      <c r="E82" s="447"/>
      <c r="F82" s="447"/>
      <c r="G82" s="447"/>
      <c r="H82" s="447"/>
      <c r="I82" s="447"/>
      <c r="J82" s="447"/>
      <c r="K82" s="447"/>
      <c r="L82" s="447"/>
      <c r="M82" s="447"/>
      <c r="N82" s="447"/>
      <c r="O82" s="447"/>
      <c r="P82" s="447"/>
      <c r="Q82" s="447"/>
      <c r="R82" s="447"/>
      <c r="S82" s="451"/>
      <c r="T82" s="450"/>
      <c r="U82" s="450"/>
      <c r="V82" s="450"/>
      <c r="W82" s="450"/>
    </row>
    <row r="83" spans="1:23" s="446" customFormat="1">
      <c r="A83" s="442" t="s">
        <v>325</v>
      </c>
      <c r="B83" s="447"/>
      <c r="C83" s="451"/>
      <c r="D83" s="447"/>
      <c r="E83" s="447"/>
      <c r="F83" s="447"/>
      <c r="G83" s="447"/>
      <c r="H83" s="447"/>
      <c r="I83" s="447"/>
      <c r="J83" s="447"/>
      <c r="K83" s="447"/>
      <c r="L83" s="447"/>
      <c r="M83" s="447"/>
      <c r="N83" s="447"/>
      <c r="O83" s="447"/>
      <c r="P83" s="447"/>
      <c r="Q83" s="447"/>
      <c r="R83" s="447"/>
      <c r="S83" s="451"/>
      <c r="T83" s="450"/>
      <c r="U83" s="450"/>
      <c r="V83" s="450"/>
      <c r="W83" s="450"/>
    </row>
    <row r="84" spans="1:23" s="446" customFormat="1">
      <c r="A84" s="442" t="s">
        <v>326</v>
      </c>
      <c r="B84" s="447"/>
      <c r="C84" s="451"/>
      <c r="D84" s="447"/>
      <c r="E84" s="447"/>
      <c r="F84" s="447"/>
      <c r="G84" s="447"/>
      <c r="H84" s="447"/>
      <c r="I84" s="447"/>
      <c r="J84" s="447"/>
      <c r="K84" s="447"/>
      <c r="L84" s="447"/>
      <c r="M84" s="447"/>
      <c r="N84" s="447"/>
      <c r="O84" s="447"/>
      <c r="P84" s="447"/>
      <c r="Q84" s="447"/>
      <c r="R84" s="447"/>
      <c r="S84" s="451"/>
      <c r="T84" s="450"/>
      <c r="U84" s="450"/>
      <c r="V84" s="450"/>
      <c r="W84" s="450"/>
    </row>
    <row r="85" spans="1:23" s="446" customFormat="1">
      <c r="A85" s="442" t="s">
        <v>31</v>
      </c>
      <c r="B85" s="447"/>
      <c r="C85" s="451"/>
      <c r="D85" s="447"/>
      <c r="E85" s="447"/>
      <c r="F85" s="447"/>
      <c r="G85" s="447"/>
      <c r="H85" s="447"/>
      <c r="I85" s="447"/>
      <c r="J85" s="447"/>
      <c r="K85" s="447"/>
      <c r="L85" s="447"/>
      <c r="M85" s="447"/>
      <c r="N85" s="447"/>
      <c r="O85" s="447"/>
      <c r="P85" s="447"/>
      <c r="Q85" s="447"/>
      <c r="R85" s="447"/>
      <c r="S85" s="451"/>
      <c r="T85" s="450"/>
      <c r="U85" s="450"/>
      <c r="V85" s="450"/>
      <c r="W85" s="450"/>
    </row>
    <row r="86" spans="1:23" s="446" customFormat="1">
      <c r="A86" s="442" t="s">
        <v>286</v>
      </c>
      <c r="B86" s="447"/>
      <c r="C86" s="451"/>
      <c r="D86" s="447"/>
      <c r="E86" s="447"/>
      <c r="F86" s="447"/>
      <c r="G86" s="447"/>
      <c r="H86" s="447"/>
      <c r="I86" s="447"/>
      <c r="J86" s="447"/>
      <c r="K86" s="447"/>
      <c r="L86" s="447"/>
      <c r="M86" s="447"/>
      <c r="N86" s="447"/>
      <c r="O86" s="447"/>
      <c r="P86" s="447"/>
      <c r="Q86" s="447"/>
      <c r="R86" s="447"/>
      <c r="S86" s="451"/>
      <c r="T86" s="450"/>
      <c r="U86" s="450"/>
      <c r="V86" s="450"/>
      <c r="W86" s="450"/>
    </row>
    <row r="87" spans="1:23" s="446" customFormat="1">
      <c r="A87" s="442" t="s">
        <v>284</v>
      </c>
      <c r="B87" s="447"/>
      <c r="C87" s="451"/>
      <c r="D87" s="447"/>
      <c r="E87" s="447"/>
      <c r="F87" s="447"/>
      <c r="G87" s="447"/>
      <c r="H87" s="447"/>
      <c r="I87" s="447"/>
      <c r="J87" s="447"/>
      <c r="K87" s="447"/>
      <c r="L87" s="447"/>
      <c r="M87" s="447"/>
      <c r="N87" s="447"/>
      <c r="O87" s="447"/>
      <c r="P87" s="447"/>
      <c r="Q87" s="447"/>
      <c r="R87" s="447"/>
      <c r="S87" s="451"/>
      <c r="T87" s="450"/>
      <c r="U87" s="450"/>
      <c r="V87" s="450"/>
      <c r="W87" s="450"/>
    </row>
    <row r="88" spans="1:23" s="446" customFormat="1">
      <c r="A88" s="452" t="s">
        <v>303</v>
      </c>
      <c r="B88" s="453"/>
      <c r="C88" s="454"/>
      <c r="D88" s="447"/>
      <c r="E88" s="447"/>
      <c r="F88" s="447"/>
      <c r="G88" s="447"/>
      <c r="H88" s="447"/>
      <c r="I88" s="447"/>
      <c r="J88" s="447"/>
      <c r="K88" s="447"/>
      <c r="L88" s="447"/>
      <c r="M88" s="447"/>
      <c r="N88" s="447"/>
      <c r="O88" s="447"/>
      <c r="P88" s="447"/>
      <c r="Q88" s="447"/>
      <c r="R88" s="447"/>
      <c r="S88" s="451"/>
      <c r="T88" s="450"/>
      <c r="U88" s="450"/>
      <c r="V88" s="450"/>
      <c r="W88" s="450"/>
    </row>
    <row r="89" spans="1:23" s="446" customFormat="1">
      <c r="A89" s="438"/>
      <c r="B89" s="455"/>
      <c r="C89" s="448"/>
      <c r="D89" s="426"/>
      <c r="E89" s="448"/>
      <c r="F89" s="449"/>
      <c r="G89" s="449"/>
      <c r="H89" s="449"/>
      <c r="I89" s="449"/>
      <c r="J89" s="449"/>
      <c r="K89" s="449"/>
      <c r="L89" s="449"/>
      <c r="M89" s="449"/>
      <c r="N89" s="449"/>
      <c r="O89" s="449"/>
      <c r="P89" s="449"/>
      <c r="Q89" s="449"/>
      <c r="R89" s="449"/>
      <c r="S89" s="449"/>
      <c r="T89" s="449"/>
      <c r="U89" s="449"/>
      <c r="V89" s="449"/>
      <c r="W89" s="449"/>
    </row>
    <row r="90" spans="1:23">
      <c r="A90" s="456"/>
      <c r="B90" s="457"/>
    </row>
    <row r="91" spans="1:23">
      <c r="A91" s="458" t="s">
        <v>73</v>
      </c>
      <c r="B91" s="566" t="s">
        <v>180</v>
      </c>
    </row>
    <row r="92" spans="1:23">
      <c r="A92" s="456"/>
      <c r="B92" s="459" t="s">
        <v>3</v>
      </c>
    </row>
    <row r="93" spans="1:23">
      <c r="A93" s="456"/>
      <c r="B93" s="459" t="s">
        <v>4</v>
      </c>
    </row>
    <row r="94" spans="1:23">
      <c r="A94" s="456"/>
      <c r="B94" s="459" t="s">
        <v>166</v>
      </c>
    </row>
    <row r="95" spans="1:23">
      <c r="B95" s="459" t="s">
        <v>812</v>
      </c>
    </row>
    <row r="97" spans="1:12" ht="15" thickBot="1">
      <c r="A97" s="522" t="s">
        <v>840</v>
      </c>
      <c r="B97" s="711" t="s">
        <v>813</v>
      </c>
    </row>
    <row r="98" spans="1:12" s="348" customFormat="1" ht="12.75" thickBot="1">
      <c r="A98" s="463" t="s">
        <v>20</v>
      </c>
      <c r="B98" s="463" t="s">
        <v>133</v>
      </c>
      <c r="C98" s="463" t="s">
        <v>136</v>
      </c>
      <c r="D98" s="463" t="s">
        <v>137</v>
      </c>
      <c r="E98" s="463" t="s">
        <v>138</v>
      </c>
      <c r="F98" s="463" t="s">
        <v>21</v>
      </c>
      <c r="G98" s="463" t="s">
        <v>81</v>
      </c>
      <c r="H98" s="463" t="s">
        <v>139</v>
      </c>
      <c r="I98" s="463" t="s">
        <v>140</v>
      </c>
      <c r="J98" s="463" t="s">
        <v>141</v>
      </c>
      <c r="K98" s="463" t="s">
        <v>142</v>
      </c>
      <c r="L98" s="463" t="s">
        <v>144</v>
      </c>
    </row>
    <row r="99" spans="1:12" s="348" customFormat="1" ht="12.75" thickBot="1">
      <c r="A99" s="464" t="str">
        <f>IF(Basisdaten!C6="","",Basisdaten!C6)</f>
        <v/>
      </c>
      <c r="B99" s="465" t="str">
        <f>IF($A$99="","",VLOOKUP($A$99,$A$102:$J$234,2,FALSE))</f>
        <v/>
      </c>
      <c r="C99" s="465" t="str">
        <f>IF($A$99="","",VLOOKUP($A$99,$A$102:$J$234,3,FALSE))</f>
        <v/>
      </c>
      <c r="D99" s="465" t="str">
        <f>IF($A$99="","",VLOOKUP($A$99,$A$102:$J$234,4,FALSE))</f>
        <v/>
      </c>
      <c r="E99" s="465" t="str">
        <f>IF($A$99="","",VLOOKUP($A$99,$A$102:$J$234,5,FALSE))</f>
        <v/>
      </c>
      <c r="F99" s="465" t="str">
        <f>IF($A$99="","",VLOOKUP($A$99,$A$102:$J$234,6,FALSE))</f>
        <v/>
      </c>
      <c r="G99" s="466" t="str">
        <f>IF($A$99="","",VLOOKUP($A$99,$A$102:$J$234,7,FALSE))</f>
        <v/>
      </c>
      <c r="H99" s="465" t="str">
        <f>IF($A$99="","",VLOOKUP($A$99,$A$102:$J$234,8,FALSE))</f>
        <v/>
      </c>
      <c r="I99" s="465" t="str">
        <f>IF($A$99="","",VLOOKUP($A$99,$A$102:$J$234,9,FALSE))</f>
        <v/>
      </c>
      <c r="J99" s="466" t="str">
        <f>IF($A$99="","",VLOOKUP($A$99,$A$102:$J$234,10,FALSE))</f>
        <v/>
      </c>
      <c r="K99" s="466"/>
      <c r="L99" s="465"/>
    </row>
    <row r="101" spans="1:12" s="427" customFormat="1" ht="12" customHeight="1">
      <c r="A101" s="188" t="s">
        <v>20</v>
      </c>
      <c r="B101" s="188" t="s">
        <v>133</v>
      </c>
      <c r="C101" s="188" t="s">
        <v>136</v>
      </c>
      <c r="D101" s="188" t="s">
        <v>137</v>
      </c>
      <c r="E101" s="188" t="s">
        <v>138</v>
      </c>
      <c r="F101" s="188" t="s">
        <v>21</v>
      </c>
      <c r="G101" s="188" t="s">
        <v>81</v>
      </c>
      <c r="H101" s="188" t="s">
        <v>139</v>
      </c>
      <c r="I101" s="188" t="s">
        <v>143</v>
      </c>
      <c r="J101" s="188" t="s">
        <v>141</v>
      </c>
      <c r="K101" s="188"/>
      <c r="L101" s="188"/>
    </row>
    <row r="102" spans="1:12" s="460" customFormat="1">
      <c r="A102" s="428" t="s">
        <v>187</v>
      </c>
      <c r="B102" s="429" t="s">
        <v>751</v>
      </c>
      <c r="C102" s="429" t="s">
        <v>752</v>
      </c>
      <c r="D102" s="568"/>
      <c r="E102" s="429" t="s">
        <v>188</v>
      </c>
      <c r="F102" s="429" t="s">
        <v>22</v>
      </c>
      <c r="G102" s="430">
        <v>39842</v>
      </c>
      <c r="H102" s="176"/>
      <c r="I102" s="176"/>
      <c r="J102" s="176"/>
      <c r="K102" s="176"/>
      <c r="L102" s="176"/>
    </row>
    <row r="103" spans="1:12" s="460" customFormat="1">
      <c r="A103" s="431" t="s">
        <v>189</v>
      </c>
      <c r="B103" s="424" t="s">
        <v>190</v>
      </c>
      <c r="C103" s="424" t="s">
        <v>522</v>
      </c>
      <c r="D103" s="230"/>
      <c r="E103" s="424" t="s">
        <v>188</v>
      </c>
      <c r="F103" s="424" t="s">
        <v>49</v>
      </c>
      <c r="G103" s="432">
        <v>39948</v>
      </c>
      <c r="H103" s="176"/>
      <c r="I103" s="176"/>
      <c r="J103" s="176"/>
      <c r="K103" s="176"/>
      <c r="L103" s="176"/>
    </row>
    <row r="104" spans="1:12" s="460" customFormat="1">
      <c r="A104" s="431" t="s">
        <v>191</v>
      </c>
      <c r="B104" s="424" t="s">
        <v>192</v>
      </c>
      <c r="C104" s="424" t="s">
        <v>503</v>
      </c>
      <c r="D104" s="230"/>
      <c r="E104" s="424" t="s">
        <v>188</v>
      </c>
      <c r="F104" s="424" t="s">
        <v>43</v>
      </c>
      <c r="G104" s="432">
        <v>39826</v>
      </c>
      <c r="H104" s="176"/>
      <c r="I104" s="176"/>
      <c r="J104" s="176"/>
      <c r="K104" s="176"/>
      <c r="L104" s="176"/>
    </row>
    <row r="105" spans="1:12" s="460" customFormat="1">
      <c r="A105" s="431" t="s">
        <v>193</v>
      </c>
      <c r="B105" s="424" t="s">
        <v>194</v>
      </c>
      <c r="C105" s="424" t="s">
        <v>195</v>
      </c>
      <c r="D105" s="230"/>
      <c r="E105" s="424" t="s">
        <v>188</v>
      </c>
      <c r="F105" s="424" t="s">
        <v>50</v>
      </c>
      <c r="G105" s="432">
        <v>39848</v>
      </c>
      <c r="H105" s="176"/>
      <c r="I105" s="176"/>
      <c r="J105" s="176"/>
      <c r="K105" s="176"/>
      <c r="L105" s="176"/>
    </row>
    <row r="106" spans="1:12" s="460" customFormat="1">
      <c r="A106" s="431" t="s">
        <v>196</v>
      </c>
      <c r="B106" s="424" t="s">
        <v>197</v>
      </c>
      <c r="C106" s="526" t="s">
        <v>609</v>
      </c>
      <c r="D106" s="230"/>
      <c r="E106" s="424" t="s">
        <v>188</v>
      </c>
      <c r="F106" s="424" t="s">
        <v>56</v>
      </c>
      <c r="G106" s="432">
        <v>39870</v>
      </c>
      <c r="H106" s="176"/>
      <c r="I106" s="176"/>
      <c r="J106" s="176"/>
      <c r="K106" s="176"/>
      <c r="L106" s="176"/>
    </row>
    <row r="107" spans="1:12" s="460" customFormat="1">
      <c r="A107" s="431" t="s">
        <v>198</v>
      </c>
      <c r="B107" s="424" t="s">
        <v>199</v>
      </c>
      <c r="C107" s="424" t="s">
        <v>200</v>
      </c>
      <c r="D107" s="230"/>
      <c r="E107" s="424" t="s">
        <v>188</v>
      </c>
      <c r="F107" s="424" t="s">
        <v>52</v>
      </c>
      <c r="G107" s="432">
        <v>39854</v>
      </c>
      <c r="H107" s="176"/>
      <c r="I107" s="176"/>
      <c r="J107" s="176"/>
      <c r="K107" s="176"/>
      <c r="L107" s="176"/>
    </row>
    <row r="108" spans="1:12" s="460" customFormat="1">
      <c r="A108" s="431" t="s">
        <v>201</v>
      </c>
      <c r="B108" s="424" t="s">
        <v>202</v>
      </c>
      <c r="C108" s="424" t="s">
        <v>203</v>
      </c>
      <c r="D108" s="230"/>
      <c r="E108" s="424" t="s">
        <v>188</v>
      </c>
      <c r="F108" s="424" t="s">
        <v>55</v>
      </c>
      <c r="G108" s="432">
        <v>39896</v>
      </c>
      <c r="H108" s="176"/>
      <c r="I108" s="176"/>
      <c r="J108" s="176"/>
      <c r="K108" s="176"/>
      <c r="L108" s="176"/>
    </row>
    <row r="109" spans="1:12" s="460" customFormat="1">
      <c r="A109" s="431" t="s">
        <v>204</v>
      </c>
      <c r="B109" s="424" t="s">
        <v>205</v>
      </c>
      <c r="C109" s="424" t="s">
        <v>206</v>
      </c>
      <c r="D109" s="230"/>
      <c r="E109" s="424" t="s">
        <v>188</v>
      </c>
      <c r="F109" s="424" t="s">
        <v>22</v>
      </c>
      <c r="G109" s="432">
        <v>39903</v>
      </c>
      <c r="H109" s="176"/>
      <c r="I109" s="176"/>
      <c r="J109" s="176"/>
      <c r="K109" s="176"/>
      <c r="L109" s="176"/>
    </row>
    <row r="110" spans="1:12" s="460" customFormat="1">
      <c r="A110" s="285" t="s">
        <v>207</v>
      </c>
      <c r="B110" s="230" t="s">
        <v>208</v>
      </c>
      <c r="C110" s="526" t="s">
        <v>814</v>
      </c>
      <c r="D110" s="230"/>
      <c r="E110" s="230" t="s">
        <v>188</v>
      </c>
      <c r="F110" s="230" t="s">
        <v>49</v>
      </c>
      <c r="G110" s="433">
        <v>41453</v>
      </c>
      <c r="H110" s="176"/>
      <c r="I110" s="176"/>
      <c r="J110" s="176"/>
      <c r="K110" s="176"/>
      <c r="L110" s="176"/>
    </row>
    <row r="111" spans="1:12" s="460" customFormat="1">
      <c r="A111" s="431" t="s">
        <v>209</v>
      </c>
      <c r="B111" s="424" t="s">
        <v>640</v>
      </c>
      <c r="C111" s="424" t="s">
        <v>641</v>
      </c>
      <c r="D111" s="230"/>
      <c r="E111" s="424" t="s">
        <v>188</v>
      </c>
      <c r="F111" s="424" t="s">
        <v>43</v>
      </c>
      <c r="G111" s="432">
        <v>39944</v>
      </c>
      <c r="H111" s="176"/>
      <c r="I111" s="176"/>
      <c r="J111" s="176"/>
      <c r="K111" s="176"/>
      <c r="L111" s="176"/>
    </row>
    <row r="112" spans="1:12" s="460" customFormat="1">
      <c r="A112" s="431" t="s">
        <v>210</v>
      </c>
      <c r="B112" s="424" t="s">
        <v>211</v>
      </c>
      <c r="C112" s="424" t="s">
        <v>523</v>
      </c>
      <c r="D112" s="230"/>
      <c r="E112" s="424" t="s">
        <v>188</v>
      </c>
      <c r="F112" s="424" t="s">
        <v>53</v>
      </c>
      <c r="G112" s="432">
        <v>40001</v>
      </c>
      <c r="H112" s="176"/>
      <c r="I112" s="176"/>
      <c r="J112" s="176"/>
      <c r="K112" s="176"/>
      <c r="L112" s="176"/>
    </row>
    <row r="113" spans="1:12" s="460" customFormat="1">
      <c r="A113" s="431" t="s">
        <v>212</v>
      </c>
      <c r="B113" s="424" t="s">
        <v>213</v>
      </c>
      <c r="C113" s="736" t="s">
        <v>214</v>
      </c>
      <c r="D113" s="737"/>
      <c r="E113" s="424" t="s">
        <v>188</v>
      </c>
      <c r="F113" s="424" t="s">
        <v>43</v>
      </c>
      <c r="G113" s="432">
        <v>39994</v>
      </c>
      <c r="H113" s="176"/>
      <c r="I113" s="176"/>
      <c r="J113" s="176"/>
      <c r="K113" s="176"/>
      <c r="L113" s="176"/>
    </row>
    <row r="114" spans="1:12" s="460" customFormat="1">
      <c r="A114" s="431" t="s">
        <v>215</v>
      </c>
      <c r="B114" s="424" t="s">
        <v>524</v>
      </c>
      <c r="C114" s="424" t="s">
        <v>525</v>
      </c>
      <c r="D114" s="230"/>
      <c r="E114" s="424" t="s">
        <v>188</v>
      </c>
      <c r="F114" s="424" t="s">
        <v>45</v>
      </c>
      <c r="G114" s="432">
        <v>40010</v>
      </c>
      <c r="H114" s="176"/>
      <c r="I114" s="176"/>
      <c r="J114" s="176"/>
      <c r="K114" s="176"/>
      <c r="L114" s="176"/>
    </row>
    <row r="115" spans="1:12" s="460" customFormat="1">
      <c r="A115" s="431" t="s">
        <v>216</v>
      </c>
      <c r="B115" s="424" t="s">
        <v>217</v>
      </c>
      <c r="C115" s="424" t="s">
        <v>714</v>
      </c>
      <c r="D115" s="230"/>
      <c r="E115" s="424" t="s">
        <v>188</v>
      </c>
      <c r="F115" s="424" t="s">
        <v>49</v>
      </c>
      <c r="G115" s="432">
        <v>40156</v>
      </c>
      <c r="H115" s="176"/>
      <c r="I115" s="176"/>
      <c r="J115" s="176"/>
      <c r="K115" s="176"/>
      <c r="L115" s="176"/>
    </row>
    <row r="116" spans="1:12" s="460" customFormat="1">
      <c r="A116" s="431" t="s">
        <v>218</v>
      </c>
      <c r="B116" s="424" t="s">
        <v>526</v>
      </c>
      <c r="C116" s="424" t="s">
        <v>219</v>
      </c>
      <c r="D116" s="230"/>
      <c r="E116" s="424" t="s">
        <v>188</v>
      </c>
      <c r="F116" s="424" t="s">
        <v>52</v>
      </c>
      <c r="G116" s="432">
        <v>40113</v>
      </c>
      <c r="H116" s="176"/>
      <c r="I116" s="176"/>
      <c r="J116" s="176"/>
      <c r="K116" s="176"/>
      <c r="L116" s="176"/>
    </row>
    <row r="117" spans="1:12" s="460" customFormat="1">
      <c r="A117" s="431" t="s">
        <v>220</v>
      </c>
      <c r="B117" s="424" t="s">
        <v>221</v>
      </c>
      <c r="C117" s="424" t="s">
        <v>222</v>
      </c>
      <c r="D117" s="230"/>
      <c r="E117" s="424" t="s">
        <v>188</v>
      </c>
      <c r="F117" s="424" t="s">
        <v>44</v>
      </c>
      <c r="G117" s="432">
        <v>40099</v>
      </c>
      <c r="H117" s="176"/>
      <c r="I117" s="176"/>
      <c r="J117" s="176"/>
      <c r="K117" s="176"/>
      <c r="L117" s="176"/>
    </row>
    <row r="118" spans="1:12" s="460" customFormat="1">
      <c r="A118" s="431" t="s">
        <v>223</v>
      </c>
      <c r="B118" s="424" t="s">
        <v>224</v>
      </c>
      <c r="C118" s="424" t="s">
        <v>225</v>
      </c>
      <c r="D118" s="230"/>
      <c r="E118" s="424" t="s">
        <v>188</v>
      </c>
      <c r="F118" s="424" t="s">
        <v>53</v>
      </c>
      <c r="G118" s="432">
        <v>40116</v>
      </c>
      <c r="H118" s="176"/>
      <c r="I118" s="176"/>
      <c r="J118" s="176"/>
      <c r="K118" s="176"/>
      <c r="L118" s="176"/>
    </row>
    <row r="119" spans="1:12" s="460" customFormat="1">
      <c r="A119" s="431" t="s">
        <v>226</v>
      </c>
      <c r="B119" s="424" t="s">
        <v>227</v>
      </c>
      <c r="C119" s="424" t="s">
        <v>228</v>
      </c>
      <c r="D119" s="230"/>
      <c r="E119" s="424" t="s">
        <v>188</v>
      </c>
      <c r="F119" s="424" t="s">
        <v>44</v>
      </c>
      <c r="G119" s="432">
        <v>40144</v>
      </c>
      <c r="H119" s="176"/>
      <c r="I119" s="176"/>
      <c r="J119" s="176"/>
      <c r="K119" s="176"/>
      <c r="L119" s="176"/>
    </row>
    <row r="120" spans="1:12" s="460" customFormat="1">
      <c r="A120" s="431" t="s">
        <v>229</v>
      </c>
      <c r="B120" s="424" t="s">
        <v>230</v>
      </c>
      <c r="C120" s="424" t="s">
        <v>527</v>
      </c>
      <c r="D120" s="230"/>
      <c r="E120" s="424" t="s">
        <v>188</v>
      </c>
      <c r="F120" s="424" t="s">
        <v>43</v>
      </c>
      <c r="G120" s="432">
        <v>40102</v>
      </c>
      <c r="H120" s="176"/>
      <c r="I120" s="176"/>
      <c r="J120" s="176"/>
      <c r="K120" s="176"/>
      <c r="L120" s="176"/>
    </row>
    <row r="121" spans="1:12" s="460" customFormat="1">
      <c r="A121" s="431" t="s">
        <v>231</v>
      </c>
      <c r="B121" s="526" t="s">
        <v>439</v>
      </c>
      <c r="C121" s="526" t="s">
        <v>528</v>
      </c>
      <c r="D121" s="230"/>
      <c r="E121" s="424" t="s">
        <v>188</v>
      </c>
      <c r="F121" s="424" t="s">
        <v>52</v>
      </c>
      <c r="G121" s="432">
        <v>40120</v>
      </c>
      <c r="H121" s="176"/>
      <c r="I121" s="176"/>
      <c r="J121" s="176"/>
      <c r="K121" s="176"/>
      <c r="L121" s="176"/>
    </row>
    <row r="122" spans="1:12" s="460" customFormat="1">
      <c r="A122" s="431" t="s">
        <v>232</v>
      </c>
      <c r="B122" s="424" t="s">
        <v>233</v>
      </c>
      <c r="C122" s="424" t="s">
        <v>234</v>
      </c>
      <c r="D122" s="230"/>
      <c r="E122" s="424" t="s">
        <v>188</v>
      </c>
      <c r="F122" s="424" t="s">
        <v>52</v>
      </c>
      <c r="G122" s="432">
        <v>40141</v>
      </c>
      <c r="H122" s="176"/>
      <c r="I122" s="176"/>
      <c r="J122" s="176"/>
      <c r="K122" s="176"/>
      <c r="L122" s="176"/>
    </row>
    <row r="123" spans="1:12" s="460" customFormat="1">
      <c r="A123" s="431" t="s">
        <v>235</v>
      </c>
      <c r="B123" s="424" t="s">
        <v>236</v>
      </c>
      <c r="C123" s="526" t="s">
        <v>440</v>
      </c>
      <c r="D123" s="230"/>
      <c r="E123" s="424" t="s">
        <v>188</v>
      </c>
      <c r="F123" s="424" t="s">
        <v>43</v>
      </c>
      <c r="G123" s="432">
        <v>40268</v>
      </c>
      <c r="H123" s="176"/>
      <c r="I123" s="176"/>
      <c r="J123" s="176"/>
      <c r="K123" s="176"/>
      <c r="L123" s="176"/>
    </row>
    <row r="124" spans="1:12" s="460" customFormat="1">
      <c r="A124" s="431" t="s">
        <v>489</v>
      </c>
      <c r="B124" s="424" t="s">
        <v>815</v>
      </c>
      <c r="C124" s="526" t="s">
        <v>490</v>
      </c>
      <c r="D124" s="230"/>
      <c r="E124" s="424" t="s">
        <v>188</v>
      </c>
      <c r="F124" s="424" t="s">
        <v>55</v>
      </c>
      <c r="G124" s="432">
        <v>42066</v>
      </c>
      <c r="H124" s="176"/>
      <c r="I124" s="176"/>
      <c r="J124" s="176"/>
      <c r="K124" s="176"/>
      <c r="L124" s="176"/>
    </row>
    <row r="125" spans="1:12" s="460" customFormat="1">
      <c r="A125" s="431" t="s">
        <v>237</v>
      </c>
      <c r="B125" s="424" t="s">
        <v>499</v>
      </c>
      <c r="C125" s="424" t="s">
        <v>238</v>
      </c>
      <c r="D125" s="230"/>
      <c r="E125" s="424" t="s">
        <v>188</v>
      </c>
      <c r="F125" s="424" t="s">
        <v>52</v>
      </c>
      <c r="G125" s="432">
        <v>40290</v>
      </c>
      <c r="H125" s="176"/>
      <c r="I125" s="176"/>
      <c r="J125" s="176"/>
      <c r="K125" s="176"/>
      <c r="L125" s="176"/>
    </row>
    <row r="126" spans="1:12" s="460" customFormat="1">
      <c r="A126" s="431" t="s">
        <v>239</v>
      </c>
      <c r="B126" s="424" t="s">
        <v>240</v>
      </c>
      <c r="C126" s="424" t="s">
        <v>715</v>
      </c>
      <c r="D126" s="230"/>
      <c r="E126" s="424" t="s">
        <v>188</v>
      </c>
      <c r="F126" s="424" t="s">
        <v>51</v>
      </c>
      <c r="G126" s="432">
        <v>40326</v>
      </c>
      <c r="H126" s="176"/>
      <c r="I126" s="176"/>
      <c r="J126" s="176"/>
      <c r="K126" s="176"/>
      <c r="L126" s="176"/>
    </row>
    <row r="127" spans="1:12" s="460" customFormat="1">
      <c r="A127" s="431" t="s">
        <v>242</v>
      </c>
      <c r="B127" s="424" t="s">
        <v>500</v>
      </c>
      <c r="C127" s="424" t="s">
        <v>243</v>
      </c>
      <c r="D127" s="230"/>
      <c r="E127" s="424" t="s">
        <v>188</v>
      </c>
      <c r="F127" s="424" t="s">
        <v>43</v>
      </c>
      <c r="G127" s="432">
        <v>40354</v>
      </c>
      <c r="H127" s="176"/>
      <c r="I127" s="176"/>
      <c r="J127" s="176"/>
      <c r="K127" s="176"/>
      <c r="L127" s="176"/>
    </row>
    <row r="128" spans="1:12" s="460" customFormat="1">
      <c r="A128" s="431" t="s">
        <v>244</v>
      </c>
      <c r="B128" s="424" t="s">
        <v>753</v>
      </c>
      <c r="C128" s="424" t="s">
        <v>716</v>
      </c>
      <c r="D128" s="230"/>
      <c r="E128" s="424" t="s">
        <v>188</v>
      </c>
      <c r="F128" s="424" t="s">
        <v>44</v>
      </c>
      <c r="G128" s="432">
        <v>40360</v>
      </c>
      <c r="H128" s="176"/>
      <c r="I128" s="176"/>
      <c r="J128" s="176"/>
      <c r="K128" s="176"/>
      <c r="L128" s="176"/>
    </row>
    <row r="129" spans="1:12" s="460" customFormat="1">
      <c r="A129" s="431" t="s">
        <v>245</v>
      </c>
      <c r="B129" s="424" t="s">
        <v>246</v>
      </c>
      <c r="C129" s="424" t="s">
        <v>247</v>
      </c>
      <c r="D129" s="230"/>
      <c r="E129" s="424" t="s">
        <v>188</v>
      </c>
      <c r="F129" s="424" t="s">
        <v>55</v>
      </c>
      <c r="G129" s="432">
        <v>40501</v>
      </c>
      <c r="H129" s="176"/>
      <c r="I129" s="176"/>
      <c r="J129" s="176"/>
      <c r="K129" s="176"/>
      <c r="L129" s="176"/>
    </row>
    <row r="130" spans="1:12" s="460" customFormat="1">
      <c r="A130" s="431" t="s">
        <v>248</v>
      </c>
      <c r="B130" s="424" t="s">
        <v>249</v>
      </c>
      <c r="C130" s="736" t="s">
        <v>816</v>
      </c>
      <c r="D130" s="737"/>
      <c r="E130" s="424" t="s">
        <v>188</v>
      </c>
      <c r="F130" s="424" t="s">
        <v>49</v>
      </c>
      <c r="G130" s="432">
        <v>40401</v>
      </c>
      <c r="H130" s="176"/>
      <c r="I130" s="176"/>
      <c r="J130" s="176"/>
      <c r="K130" s="176"/>
      <c r="L130" s="176"/>
    </row>
    <row r="131" spans="1:12" s="460" customFormat="1">
      <c r="A131" s="431" t="s">
        <v>250</v>
      </c>
      <c r="B131" s="424" t="s">
        <v>717</v>
      </c>
      <c r="C131" s="738" t="s">
        <v>718</v>
      </c>
      <c r="D131" s="737"/>
      <c r="E131" s="424" t="s">
        <v>188</v>
      </c>
      <c r="F131" s="424" t="s">
        <v>52</v>
      </c>
      <c r="G131" s="432">
        <v>40422</v>
      </c>
      <c r="H131" s="176"/>
      <c r="I131" s="176"/>
      <c r="J131" s="176"/>
      <c r="K131" s="176"/>
      <c r="L131" s="176"/>
    </row>
    <row r="132" spans="1:12" s="460" customFormat="1">
      <c r="A132" s="431" t="s">
        <v>251</v>
      </c>
      <c r="B132" s="526" t="s">
        <v>252</v>
      </c>
      <c r="C132" s="526" t="s">
        <v>253</v>
      </c>
      <c r="D132" s="230"/>
      <c r="E132" s="424" t="s">
        <v>188</v>
      </c>
      <c r="F132" s="424" t="s">
        <v>44</v>
      </c>
      <c r="G132" s="432">
        <v>40478</v>
      </c>
      <c r="H132" s="176"/>
      <c r="I132" s="176"/>
      <c r="J132" s="176"/>
      <c r="K132" s="176"/>
      <c r="L132" s="176"/>
    </row>
    <row r="133" spans="1:12" s="460" customFormat="1">
      <c r="A133" s="431" t="s">
        <v>254</v>
      </c>
      <c r="B133" s="424" t="s">
        <v>255</v>
      </c>
      <c r="C133" s="736" t="s">
        <v>256</v>
      </c>
      <c r="D133" s="737"/>
      <c r="E133" s="424" t="s">
        <v>188</v>
      </c>
      <c r="F133" s="424" t="s">
        <v>44</v>
      </c>
      <c r="G133" s="432">
        <v>40498</v>
      </c>
      <c r="H133" s="176"/>
      <c r="I133" s="176"/>
      <c r="J133" s="176"/>
      <c r="K133" s="176"/>
      <c r="L133" s="176"/>
    </row>
    <row r="134" spans="1:12" s="460" customFormat="1">
      <c r="A134" s="431" t="s">
        <v>257</v>
      </c>
      <c r="B134" s="424" t="s">
        <v>258</v>
      </c>
      <c r="C134" s="736" t="s">
        <v>529</v>
      </c>
      <c r="D134" s="737"/>
      <c r="E134" s="424" t="s">
        <v>188</v>
      </c>
      <c r="F134" s="424" t="s">
        <v>56</v>
      </c>
      <c r="G134" s="432">
        <v>40598</v>
      </c>
      <c r="H134" s="176"/>
      <c r="I134" s="176"/>
      <c r="J134" s="461"/>
      <c r="K134" s="461"/>
      <c r="L134" s="176"/>
    </row>
    <row r="135" spans="1:12" s="460" customFormat="1">
      <c r="A135" s="431" t="s">
        <v>259</v>
      </c>
      <c r="B135" s="424" t="s">
        <v>260</v>
      </c>
      <c r="C135" s="424" t="s">
        <v>261</v>
      </c>
      <c r="D135" s="230"/>
      <c r="E135" s="424" t="s">
        <v>188</v>
      </c>
      <c r="F135" s="424" t="s">
        <v>49</v>
      </c>
      <c r="G135" s="432">
        <v>40897</v>
      </c>
      <c r="H135" s="176"/>
      <c r="I135" s="176"/>
      <c r="J135" s="461"/>
      <c r="K135" s="461"/>
      <c r="L135" s="176"/>
    </row>
    <row r="136" spans="1:12" s="460" customFormat="1">
      <c r="A136" s="431" t="s">
        <v>262</v>
      </c>
      <c r="B136" s="424" t="s">
        <v>817</v>
      </c>
      <c r="C136" s="424" t="s">
        <v>610</v>
      </c>
      <c r="D136" s="230"/>
      <c r="E136" s="424" t="s">
        <v>188</v>
      </c>
      <c r="F136" s="424" t="s">
        <v>57</v>
      </c>
      <c r="G136" s="432">
        <v>40878</v>
      </c>
      <c r="H136" s="176"/>
      <c r="I136" s="176"/>
      <c r="J136" s="461"/>
      <c r="K136" s="461"/>
      <c r="L136" s="176"/>
    </row>
    <row r="137" spans="1:12" s="460" customFormat="1">
      <c r="A137" s="431" t="s">
        <v>263</v>
      </c>
      <c r="B137" s="424" t="s">
        <v>585</v>
      </c>
      <c r="C137" s="424" t="s">
        <v>264</v>
      </c>
      <c r="D137" s="230"/>
      <c r="E137" s="424" t="s">
        <v>58</v>
      </c>
      <c r="F137" s="424" t="s">
        <v>58</v>
      </c>
      <c r="G137" s="432">
        <v>40869</v>
      </c>
      <c r="H137" s="176"/>
      <c r="I137" s="176"/>
      <c r="J137" s="461"/>
      <c r="K137" s="461"/>
      <c r="L137" s="176"/>
    </row>
    <row r="138" spans="1:12" s="460" customFormat="1">
      <c r="A138" s="431" t="s">
        <v>265</v>
      </c>
      <c r="B138" s="424" t="s">
        <v>611</v>
      </c>
      <c r="C138" s="424" t="s">
        <v>612</v>
      </c>
      <c r="D138" s="230"/>
      <c r="E138" s="424" t="s">
        <v>188</v>
      </c>
      <c r="F138" s="424" t="s">
        <v>50</v>
      </c>
      <c r="G138" s="432">
        <v>40855</v>
      </c>
      <c r="H138" s="176"/>
      <c r="I138" s="176"/>
      <c r="J138" s="461"/>
      <c r="K138" s="461"/>
      <c r="L138" s="176"/>
    </row>
    <row r="139" spans="1:12" s="460" customFormat="1">
      <c r="A139" s="431" t="s">
        <v>739</v>
      </c>
      <c r="B139" s="424" t="s">
        <v>740</v>
      </c>
      <c r="C139" s="424" t="s">
        <v>741</v>
      </c>
      <c r="D139" s="230"/>
      <c r="E139" s="424" t="s">
        <v>188</v>
      </c>
      <c r="F139" s="424" t="s">
        <v>51</v>
      </c>
      <c r="G139" s="432">
        <v>40891</v>
      </c>
      <c r="H139" s="176"/>
      <c r="I139" s="176"/>
      <c r="J139" s="461"/>
      <c r="K139" s="461"/>
      <c r="L139" s="176"/>
    </row>
    <row r="140" spans="1:12" s="460" customFormat="1">
      <c r="A140" s="431" t="s">
        <v>266</v>
      </c>
      <c r="B140" s="424" t="s">
        <v>267</v>
      </c>
      <c r="C140" s="424" t="s">
        <v>586</v>
      </c>
      <c r="D140" s="230"/>
      <c r="E140" s="424" t="s">
        <v>188</v>
      </c>
      <c r="F140" s="424" t="s">
        <v>52</v>
      </c>
      <c r="G140" s="432">
        <v>41024</v>
      </c>
      <c r="H140" s="176"/>
      <c r="I140" s="176"/>
      <c r="J140" s="461"/>
      <c r="K140" s="461"/>
      <c r="L140" s="176"/>
    </row>
    <row r="141" spans="1:12" s="460" customFormat="1">
      <c r="A141" s="431" t="s">
        <v>417</v>
      </c>
      <c r="B141" s="424" t="s">
        <v>418</v>
      </c>
      <c r="C141" s="736" t="s">
        <v>719</v>
      </c>
      <c r="D141" s="737"/>
      <c r="E141" s="424" t="s">
        <v>188</v>
      </c>
      <c r="F141" s="424" t="s">
        <v>52</v>
      </c>
      <c r="G141" s="432">
        <v>41359</v>
      </c>
      <c r="H141" s="176"/>
      <c r="I141" s="176"/>
      <c r="J141" s="461"/>
      <c r="K141" s="461"/>
      <c r="L141" s="176"/>
    </row>
    <row r="142" spans="1:12" s="460" customFormat="1">
      <c r="A142" s="285" t="s">
        <v>419</v>
      </c>
      <c r="B142" s="230" t="s">
        <v>720</v>
      </c>
      <c r="C142" s="230" t="s">
        <v>721</v>
      </c>
      <c r="D142" s="230"/>
      <c r="E142" s="230" t="s">
        <v>188</v>
      </c>
      <c r="F142" s="230" t="s">
        <v>52</v>
      </c>
      <c r="G142" s="434">
        <v>41453</v>
      </c>
      <c r="H142" s="176"/>
      <c r="I142" s="176"/>
      <c r="J142" s="461"/>
      <c r="K142" s="461"/>
      <c r="L142" s="176"/>
    </row>
    <row r="143" spans="1:12" s="460" customFormat="1">
      <c r="A143" s="285" t="s">
        <v>432</v>
      </c>
      <c r="B143" s="230" t="s">
        <v>501</v>
      </c>
      <c r="C143" s="230" t="s">
        <v>818</v>
      </c>
      <c r="D143" s="230"/>
      <c r="E143" s="230" t="s">
        <v>188</v>
      </c>
      <c r="F143" s="230" t="s">
        <v>57</v>
      </c>
      <c r="G143" s="434">
        <v>41628</v>
      </c>
      <c r="H143" s="176"/>
      <c r="I143" s="176"/>
      <c r="J143" s="461"/>
      <c r="K143" s="461"/>
      <c r="L143" s="176"/>
    </row>
    <row r="144" spans="1:12" s="460" customFormat="1">
      <c r="A144" s="285" t="s">
        <v>433</v>
      </c>
      <c r="B144" s="230" t="s">
        <v>434</v>
      </c>
      <c r="C144" s="230" t="s">
        <v>530</v>
      </c>
      <c r="D144" s="230"/>
      <c r="E144" s="230" t="s">
        <v>188</v>
      </c>
      <c r="F144" s="230" t="s">
        <v>44</v>
      </c>
      <c r="G144" s="434">
        <v>41724</v>
      </c>
      <c r="H144" s="176"/>
      <c r="I144" s="176"/>
      <c r="J144" s="461"/>
      <c r="K144" s="461"/>
      <c r="L144" s="176"/>
    </row>
    <row r="145" spans="1:12" s="460" customFormat="1">
      <c r="A145" s="285" t="s">
        <v>470</v>
      </c>
      <c r="B145" s="230" t="s">
        <v>531</v>
      </c>
      <c r="C145" s="230" t="s">
        <v>471</v>
      </c>
      <c r="D145" s="230"/>
      <c r="E145" s="623" t="s">
        <v>58</v>
      </c>
      <c r="F145" s="623" t="s">
        <v>58</v>
      </c>
      <c r="G145" s="434">
        <v>41971</v>
      </c>
      <c r="H145" s="176"/>
      <c r="I145" s="176"/>
      <c r="J145" s="461"/>
      <c r="K145" s="461"/>
      <c r="L145" s="176"/>
    </row>
    <row r="146" spans="1:12" s="460" customFormat="1">
      <c r="A146" s="285" t="s">
        <v>485</v>
      </c>
      <c r="B146" s="230" t="s">
        <v>722</v>
      </c>
      <c r="C146" s="739" t="s">
        <v>723</v>
      </c>
      <c r="D146" s="737"/>
      <c r="E146" s="230" t="s">
        <v>188</v>
      </c>
      <c r="F146" s="230" t="s">
        <v>52</v>
      </c>
      <c r="G146" s="434">
        <v>42144</v>
      </c>
      <c r="H146" s="176"/>
      <c r="I146" s="176"/>
      <c r="J146" s="461"/>
      <c r="K146" s="461"/>
      <c r="L146" s="176"/>
    </row>
    <row r="147" spans="1:12" s="460" customFormat="1">
      <c r="A147" s="285" t="s">
        <v>496</v>
      </c>
      <c r="B147" s="230" t="s">
        <v>532</v>
      </c>
      <c r="C147" s="230" t="s">
        <v>504</v>
      </c>
      <c r="D147" s="230"/>
      <c r="E147" s="230" t="s">
        <v>188</v>
      </c>
      <c r="F147" s="230" t="s">
        <v>56</v>
      </c>
      <c r="G147" s="434">
        <v>42251</v>
      </c>
      <c r="H147" s="176"/>
      <c r="I147" s="176"/>
      <c r="J147" s="461"/>
      <c r="K147" s="461"/>
      <c r="L147" s="176"/>
    </row>
    <row r="148" spans="1:12" s="460" customFormat="1">
      <c r="A148" s="567" t="s">
        <v>642</v>
      </c>
      <c r="B148" s="230" t="s">
        <v>643</v>
      </c>
      <c r="C148" s="230" t="s">
        <v>644</v>
      </c>
      <c r="D148" s="230"/>
      <c r="E148" s="230" t="s">
        <v>188</v>
      </c>
      <c r="F148" s="623" t="s">
        <v>56</v>
      </c>
      <c r="G148" s="434">
        <v>43266</v>
      </c>
      <c r="H148" s="176"/>
      <c r="I148" s="176"/>
      <c r="J148" s="461"/>
      <c r="K148" s="461"/>
      <c r="L148" s="176"/>
    </row>
    <row r="149" spans="1:12" s="460" customFormat="1">
      <c r="A149" s="567" t="s">
        <v>497</v>
      </c>
      <c r="B149" s="230" t="s">
        <v>533</v>
      </c>
      <c r="C149" s="230" t="s">
        <v>505</v>
      </c>
      <c r="D149" s="230"/>
      <c r="E149" s="230" t="s">
        <v>58</v>
      </c>
      <c r="F149" s="623" t="s">
        <v>58</v>
      </c>
      <c r="G149" s="434">
        <v>42173</v>
      </c>
      <c r="H149" s="176"/>
      <c r="I149" s="176"/>
      <c r="J149" s="461"/>
      <c r="K149" s="461"/>
      <c r="L149" s="176"/>
    </row>
    <row r="150" spans="1:12" s="460" customFormat="1">
      <c r="A150" s="567" t="s">
        <v>498</v>
      </c>
      <c r="B150" s="230" t="s">
        <v>502</v>
      </c>
      <c r="C150" s="230" t="s">
        <v>506</v>
      </c>
      <c r="D150" s="230"/>
      <c r="E150" s="230" t="s">
        <v>188</v>
      </c>
      <c r="F150" s="230" t="s">
        <v>44</v>
      </c>
      <c r="G150" s="434">
        <v>42307</v>
      </c>
      <c r="H150" s="176"/>
      <c r="I150" s="176"/>
      <c r="J150" s="461"/>
      <c r="K150" s="461"/>
      <c r="L150" s="176"/>
    </row>
    <row r="151" spans="1:12" s="460" customFormat="1">
      <c r="A151" s="588" t="s">
        <v>534</v>
      </c>
      <c r="B151" s="230" t="s">
        <v>819</v>
      </c>
      <c r="C151" s="230" t="s">
        <v>820</v>
      </c>
      <c r="D151" s="230"/>
      <c r="E151" s="230" t="s">
        <v>188</v>
      </c>
      <c r="F151" s="230" t="s">
        <v>47</v>
      </c>
      <c r="G151" s="434">
        <v>42348</v>
      </c>
      <c r="H151" s="176"/>
      <c r="I151" s="176"/>
      <c r="J151" s="461"/>
      <c r="K151" s="461"/>
      <c r="L151" s="176"/>
    </row>
    <row r="152" spans="1:12" s="460" customFormat="1">
      <c r="A152" s="588" t="s">
        <v>535</v>
      </c>
      <c r="B152" s="230" t="s">
        <v>536</v>
      </c>
      <c r="C152" s="739" t="s">
        <v>537</v>
      </c>
      <c r="D152" s="737"/>
      <c r="E152" s="230" t="s">
        <v>188</v>
      </c>
      <c r="F152" s="230" t="s">
        <v>51</v>
      </c>
      <c r="G152" s="434">
        <v>42356</v>
      </c>
      <c r="H152" s="176"/>
      <c r="I152" s="176"/>
      <c r="J152" s="461"/>
      <c r="K152" s="461"/>
      <c r="L152" s="176"/>
    </row>
    <row r="153" spans="1:12" s="460" customFormat="1">
      <c r="A153" s="588" t="s">
        <v>538</v>
      </c>
      <c r="B153" s="230" t="s">
        <v>539</v>
      </c>
      <c r="C153" s="230" t="s">
        <v>540</v>
      </c>
      <c r="D153" s="230"/>
      <c r="E153" s="230" t="s">
        <v>188</v>
      </c>
      <c r="F153" s="230" t="s">
        <v>52</v>
      </c>
      <c r="G153" s="434">
        <v>42502</v>
      </c>
      <c r="H153" s="176"/>
      <c r="I153" s="176"/>
      <c r="J153" s="461"/>
      <c r="K153" s="461"/>
      <c r="L153" s="176"/>
    </row>
    <row r="154" spans="1:12" s="460" customFormat="1">
      <c r="A154" s="588" t="s">
        <v>541</v>
      </c>
      <c r="B154" s="230" t="s">
        <v>542</v>
      </c>
      <c r="C154" s="230" t="s">
        <v>543</v>
      </c>
      <c r="D154" s="230"/>
      <c r="E154" s="230" t="s">
        <v>188</v>
      </c>
      <c r="F154" s="230" t="s">
        <v>22</v>
      </c>
      <c r="G154" s="434">
        <v>42348</v>
      </c>
      <c r="H154" s="176"/>
      <c r="I154" s="176"/>
      <c r="J154" s="461"/>
      <c r="K154" s="461"/>
      <c r="L154" s="176"/>
    </row>
    <row r="155" spans="1:12" s="460" customFormat="1">
      <c r="A155" s="588" t="s">
        <v>544</v>
      </c>
      <c r="B155" s="230" t="s">
        <v>724</v>
      </c>
      <c r="C155" s="739" t="s">
        <v>725</v>
      </c>
      <c r="D155" s="737"/>
      <c r="E155" s="230" t="s">
        <v>188</v>
      </c>
      <c r="F155" s="230" t="s">
        <v>52</v>
      </c>
      <c r="G155" s="434">
        <v>42557</v>
      </c>
      <c r="H155" s="176"/>
      <c r="I155" s="176"/>
      <c r="J155" s="461"/>
      <c r="K155" s="461"/>
      <c r="L155" s="176"/>
    </row>
    <row r="156" spans="1:12" s="460" customFormat="1">
      <c r="A156" s="588" t="s">
        <v>545</v>
      </c>
      <c r="B156" s="230" t="s">
        <v>546</v>
      </c>
      <c r="C156" s="230" t="s">
        <v>547</v>
      </c>
      <c r="D156" s="230"/>
      <c r="E156" s="230" t="s">
        <v>188</v>
      </c>
      <c r="F156" s="230" t="s">
        <v>52</v>
      </c>
      <c r="G156" s="434">
        <v>42551</v>
      </c>
      <c r="H156" s="176"/>
      <c r="I156" s="176"/>
      <c r="J156" s="461"/>
      <c r="K156" s="461"/>
      <c r="L156" s="176"/>
    </row>
    <row r="157" spans="1:12" s="460" customFormat="1">
      <c r="A157" s="588" t="s">
        <v>548</v>
      </c>
      <c r="B157" s="230" t="s">
        <v>549</v>
      </c>
      <c r="C157" s="230" t="s">
        <v>550</v>
      </c>
      <c r="D157" s="230"/>
      <c r="E157" s="230" t="s">
        <v>188</v>
      </c>
      <c r="F157" s="230" t="s">
        <v>52</v>
      </c>
      <c r="G157" s="434">
        <v>42824</v>
      </c>
      <c r="H157" s="176"/>
      <c r="I157" s="176"/>
      <c r="J157" s="461"/>
      <c r="K157" s="461"/>
      <c r="L157" s="176"/>
    </row>
    <row r="158" spans="1:12" s="460" customFormat="1">
      <c r="A158" s="588" t="s">
        <v>551</v>
      </c>
      <c r="B158" s="230" t="s">
        <v>552</v>
      </c>
      <c r="C158" s="230" t="s">
        <v>553</v>
      </c>
      <c r="D158" s="230"/>
      <c r="E158" s="230" t="s">
        <v>188</v>
      </c>
      <c r="F158" s="623" t="s">
        <v>48</v>
      </c>
      <c r="G158" s="434">
        <v>42815</v>
      </c>
      <c r="H158" s="176"/>
      <c r="I158" s="176"/>
      <c r="J158" s="461"/>
      <c r="K158" s="461"/>
      <c r="L158" s="176"/>
    </row>
    <row r="159" spans="1:12" s="460" customFormat="1">
      <c r="A159" s="624" t="s">
        <v>554</v>
      </c>
      <c r="B159" s="623" t="s">
        <v>555</v>
      </c>
      <c r="C159" s="739" t="s">
        <v>556</v>
      </c>
      <c r="D159" s="737"/>
      <c r="E159" s="623" t="s">
        <v>241</v>
      </c>
      <c r="F159" s="623" t="s">
        <v>241</v>
      </c>
      <c r="G159" s="625">
        <v>42717</v>
      </c>
      <c r="H159" s="622"/>
      <c r="I159" s="622"/>
      <c r="J159" s="627"/>
      <c r="K159" s="627"/>
      <c r="L159" s="622"/>
    </row>
    <row r="160" spans="1:12" s="460" customFormat="1">
      <c r="A160" s="624" t="s">
        <v>587</v>
      </c>
      <c r="B160" s="623" t="s">
        <v>588</v>
      </c>
      <c r="C160" s="623" t="s">
        <v>589</v>
      </c>
      <c r="D160" s="623"/>
      <c r="E160" s="623" t="s">
        <v>58</v>
      </c>
      <c r="F160" s="623" t="s">
        <v>58</v>
      </c>
      <c r="G160" s="625">
        <v>42920</v>
      </c>
      <c r="H160" s="622"/>
      <c r="I160" s="622"/>
      <c r="J160" s="627"/>
      <c r="K160" s="627"/>
      <c r="L160" s="622"/>
    </row>
    <row r="161" spans="1:12" s="460" customFormat="1">
      <c r="A161" s="624" t="s">
        <v>590</v>
      </c>
      <c r="B161" s="623" t="s">
        <v>591</v>
      </c>
      <c r="C161" s="623" t="s">
        <v>592</v>
      </c>
      <c r="D161" s="623"/>
      <c r="E161" s="623" t="s">
        <v>188</v>
      </c>
      <c r="F161" s="623" t="s">
        <v>43</v>
      </c>
      <c r="G161" s="625">
        <v>42832</v>
      </c>
      <c r="H161" s="622"/>
      <c r="I161" s="622"/>
      <c r="J161" s="627"/>
      <c r="K161" s="627"/>
      <c r="L161" s="622"/>
    </row>
    <row r="162" spans="1:12" s="460" customFormat="1">
      <c r="A162" s="624" t="s">
        <v>593</v>
      </c>
      <c r="B162" s="623" t="s">
        <v>594</v>
      </c>
      <c r="C162" s="623" t="s">
        <v>595</v>
      </c>
      <c r="D162" s="623"/>
      <c r="E162" s="623" t="s">
        <v>58</v>
      </c>
      <c r="F162" s="623" t="s">
        <v>58</v>
      </c>
      <c r="G162" s="625">
        <v>42858</v>
      </c>
      <c r="H162" s="622"/>
      <c r="I162" s="622"/>
      <c r="J162" s="627"/>
      <c r="K162" s="627"/>
      <c r="L162" s="622"/>
    </row>
    <row r="163" spans="1:12" s="460" customFormat="1">
      <c r="A163" s="624" t="s">
        <v>596</v>
      </c>
      <c r="B163" s="623" t="s">
        <v>613</v>
      </c>
      <c r="C163" s="623" t="s">
        <v>597</v>
      </c>
      <c r="D163" s="623"/>
      <c r="E163" s="623" t="s">
        <v>188</v>
      </c>
      <c r="F163" s="623" t="s">
        <v>50</v>
      </c>
      <c r="G163" s="625">
        <v>43049</v>
      </c>
      <c r="H163" s="622"/>
      <c r="I163" s="622"/>
      <c r="J163" s="627"/>
      <c r="K163" s="627"/>
      <c r="L163" s="622"/>
    </row>
    <row r="164" spans="1:12" s="460" customFormat="1">
      <c r="A164" s="654" t="s">
        <v>598</v>
      </c>
      <c r="B164" s="623" t="s">
        <v>599</v>
      </c>
      <c r="C164" s="623" t="s">
        <v>600</v>
      </c>
      <c r="D164" s="623"/>
      <c r="E164" s="623" t="s">
        <v>188</v>
      </c>
      <c r="F164" s="623" t="s">
        <v>47</v>
      </c>
      <c r="G164" s="625">
        <v>43070</v>
      </c>
      <c r="H164" s="622"/>
      <c r="I164" s="622"/>
      <c r="J164" s="627"/>
      <c r="K164" s="627"/>
      <c r="L164" s="622"/>
    </row>
    <row r="165" spans="1:12" s="460" customFormat="1">
      <c r="A165" s="654" t="s">
        <v>614</v>
      </c>
      <c r="B165" s="623" t="s">
        <v>615</v>
      </c>
      <c r="C165" s="623" t="s">
        <v>616</v>
      </c>
      <c r="D165" s="623"/>
      <c r="E165" s="623" t="s">
        <v>188</v>
      </c>
      <c r="F165" s="623" t="s">
        <v>55</v>
      </c>
      <c r="G165" s="625">
        <v>43343</v>
      </c>
      <c r="H165" s="622"/>
      <c r="I165" s="622"/>
      <c r="J165" s="627"/>
      <c r="K165" s="627"/>
      <c r="L165" s="622"/>
    </row>
    <row r="166" spans="1:12" s="460" customFormat="1">
      <c r="A166" s="654" t="s">
        <v>617</v>
      </c>
      <c r="B166" s="623" t="s">
        <v>618</v>
      </c>
      <c r="C166" s="623" t="s">
        <v>726</v>
      </c>
      <c r="D166" s="623"/>
      <c r="E166" s="623" t="s">
        <v>188</v>
      </c>
      <c r="F166" s="623" t="s">
        <v>49</v>
      </c>
      <c r="G166" s="625">
        <v>43413</v>
      </c>
      <c r="H166" s="622"/>
      <c r="I166" s="622"/>
      <c r="J166" s="627"/>
      <c r="K166" s="627"/>
      <c r="L166" s="622"/>
    </row>
    <row r="167" spans="1:12" s="460" customFormat="1">
      <c r="A167" s="660" t="s">
        <v>619</v>
      </c>
      <c r="B167" s="623" t="s">
        <v>620</v>
      </c>
      <c r="C167" s="623" t="s">
        <v>621</v>
      </c>
      <c r="D167" s="623"/>
      <c r="E167" s="623" t="s">
        <v>241</v>
      </c>
      <c r="F167" s="623" t="s">
        <v>241</v>
      </c>
      <c r="G167" s="625">
        <v>43419</v>
      </c>
      <c r="H167" s="622"/>
      <c r="I167" s="622"/>
      <c r="J167" s="627"/>
      <c r="K167" s="627"/>
      <c r="L167" s="622"/>
    </row>
    <row r="168" spans="1:12" s="460" customFormat="1">
      <c r="A168" s="654" t="s">
        <v>622</v>
      </c>
      <c r="B168" s="623" t="s">
        <v>623</v>
      </c>
      <c r="C168" s="623" t="s">
        <v>624</v>
      </c>
      <c r="D168" s="623"/>
      <c r="E168" s="623" t="s">
        <v>188</v>
      </c>
      <c r="F168" s="623" t="s">
        <v>51</v>
      </c>
      <c r="G168" s="625">
        <v>43432</v>
      </c>
      <c r="H168" s="622"/>
      <c r="I168" s="622"/>
      <c r="J168" s="627"/>
      <c r="K168" s="627"/>
      <c r="L168" s="622"/>
    </row>
    <row r="169" spans="1:12" s="460" customFormat="1">
      <c r="A169" s="692" t="s">
        <v>727</v>
      </c>
      <c r="B169" s="623" t="s">
        <v>728</v>
      </c>
      <c r="C169" s="623" t="s">
        <v>729</v>
      </c>
      <c r="D169" s="623"/>
      <c r="E169" s="623" t="s">
        <v>188</v>
      </c>
      <c r="F169" s="623" t="s">
        <v>45</v>
      </c>
      <c r="G169" s="625">
        <v>43665</v>
      </c>
      <c r="H169" s="622"/>
      <c r="I169" s="622"/>
      <c r="J169" s="627"/>
      <c r="K169" s="627"/>
      <c r="L169" s="622"/>
    </row>
    <row r="170" spans="1:12" s="460" customFormat="1">
      <c r="A170" s="692" t="s">
        <v>730</v>
      </c>
      <c r="B170" s="623" t="s">
        <v>731</v>
      </c>
      <c r="C170" s="623" t="s">
        <v>732</v>
      </c>
      <c r="D170" s="623"/>
      <c r="E170" s="623" t="s">
        <v>188</v>
      </c>
      <c r="F170" s="623" t="s">
        <v>48</v>
      </c>
      <c r="G170" s="625">
        <v>43635</v>
      </c>
      <c r="H170" s="622"/>
      <c r="I170" s="622"/>
      <c r="J170" s="627"/>
      <c r="K170" s="627"/>
      <c r="L170" s="622"/>
    </row>
    <row r="171" spans="1:12" s="460" customFormat="1">
      <c r="A171" s="710" t="s">
        <v>733</v>
      </c>
      <c r="B171" s="623" t="s">
        <v>734</v>
      </c>
      <c r="C171" s="623" t="s">
        <v>735</v>
      </c>
      <c r="D171" s="623"/>
      <c r="E171" s="623" t="s">
        <v>241</v>
      </c>
      <c r="F171" s="623" t="s">
        <v>241</v>
      </c>
      <c r="G171" s="625">
        <v>43655</v>
      </c>
      <c r="H171" s="622"/>
      <c r="I171" s="622"/>
      <c r="J171" s="627"/>
      <c r="K171" s="627"/>
      <c r="L171" s="622"/>
    </row>
    <row r="172" spans="1:12" s="460" customFormat="1">
      <c r="A172" s="717" t="s">
        <v>754</v>
      </c>
      <c r="B172" s="623" t="s">
        <v>755</v>
      </c>
      <c r="C172" s="623" t="s">
        <v>756</v>
      </c>
      <c r="D172" s="623"/>
      <c r="E172" s="623" t="s">
        <v>188</v>
      </c>
      <c r="F172" s="623" t="s">
        <v>45</v>
      </c>
      <c r="G172" s="625">
        <v>43810</v>
      </c>
      <c r="H172" s="622"/>
      <c r="I172" s="622"/>
      <c r="J172" s="627"/>
      <c r="K172" s="627"/>
      <c r="L172" s="622"/>
    </row>
    <row r="173" spans="1:12" s="460" customFormat="1">
      <c r="A173" s="717" t="s">
        <v>757</v>
      </c>
      <c r="B173" s="623" t="s">
        <v>755</v>
      </c>
      <c r="C173" s="623" t="s">
        <v>758</v>
      </c>
      <c r="D173" s="623"/>
      <c r="E173" s="623" t="s">
        <v>188</v>
      </c>
      <c r="F173" s="623" t="s">
        <v>45</v>
      </c>
      <c r="G173" s="625">
        <v>43810</v>
      </c>
      <c r="H173" s="622"/>
      <c r="I173" s="622"/>
      <c r="J173" s="627"/>
      <c r="K173" s="627"/>
      <c r="L173" s="622"/>
    </row>
    <row r="174" spans="1:12" s="460" customFormat="1">
      <c r="A174" s="717" t="s">
        <v>759</v>
      </c>
      <c r="B174" s="623" t="s">
        <v>755</v>
      </c>
      <c r="C174" s="623" t="s">
        <v>760</v>
      </c>
      <c r="D174" s="623"/>
      <c r="E174" s="623" t="s">
        <v>188</v>
      </c>
      <c r="F174" s="623" t="s">
        <v>45</v>
      </c>
      <c r="G174" s="625">
        <v>43810</v>
      </c>
      <c r="H174" s="622"/>
      <c r="I174" s="622"/>
      <c r="J174" s="627"/>
      <c r="K174" s="627"/>
      <c r="L174" s="622"/>
    </row>
    <row r="175" spans="1:12" s="460" customFormat="1">
      <c r="A175" s="735" t="s">
        <v>821</v>
      </c>
      <c r="B175" s="623" t="s">
        <v>822</v>
      </c>
      <c r="C175" s="623" t="s">
        <v>823</v>
      </c>
      <c r="D175" s="623"/>
      <c r="E175" s="623" t="s">
        <v>188</v>
      </c>
      <c r="F175" s="623" t="s">
        <v>51</v>
      </c>
      <c r="G175" s="625">
        <v>44140</v>
      </c>
      <c r="H175" s="622"/>
      <c r="I175" s="622"/>
      <c r="J175" s="627"/>
      <c r="K175" s="627"/>
      <c r="L175" s="622"/>
    </row>
    <row r="176" spans="1:12" s="460" customFormat="1">
      <c r="A176" s="735" t="s">
        <v>824</v>
      </c>
      <c r="B176" s="623" t="s">
        <v>825</v>
      </c>
      <c r="C176" s="623" t="s">
        <v>826</v>
      </c>
      <c r="D176" s="623"/>
      <c r="E176" s="623" t="s">
        <v>241</v>
      </c>
      <c r="F176" s="623" t="s">
        <v>241</v>
      </c>
      <c r="G176" s="625">
        <v>44110</v>
      </c>
      <c r="H176" s="622"/>
      <c r="I176" s="622"/>
      <c r="J176" s="627"/>
      <c r="K176" s="627"/>
      <c r="L176" s="622"/>
    </row>
    <row r="177" spans="1:12" s="460" customFormat="1">
      <c r="A177" s="735" t="s">
        <v>827</v>
      </c>
      <c r="B177" s="623" t="s">
        <v>828</v>
      </c>
      <c r="C177" s="623" t="s">
        <v>829</v>
      </c>
      <c r="D177" s="623"/>
      <c r="E177" s="623" t="s">
        <v>188</v>
      </c>
      <c r="F177" s="623" t="s">
        <v>52</v>
      </c>
      <c r="G177" s="625">
        <v>44176</v>
      </c>
      <c r="H177" s="622"/>
      <c r="I177" s="622"/>
      <c r="J177" s="627"/>
      <c r="K177" s="627"/>
      <c r="L177" s="622"/>
    </row>
    <row r="178" spans="1:12" s="460" customFormat="1">
      <c r="A178" s="735" t="s">
        <v>830</v>
      </c>
      <c r="B178" s="623" t="s">
        <v>831</v>
      </c>
      <c r="C178" s="623" t="s">
        <v>832</v>
      </c>
      <c r="D178" s="623"/>
      <c r="E178" s="623" t="s">
        <v>188</v>
      </c>
      <c r="F178" s="623" t="s">
        <v>54</v>
      </c>
      <c r="G178" s="625">
        <v>44159</v>
      </c>
      <c r="H178" s="622"/>
      <c r="I178" s="622"/>
      <c r="J178" s="627"/>
      <c r="K178" s="627"/>
      <c r="L178" s="622"/>
    </row>
    <row r="179" spans="1:12" s="460" customFormat="1">
      <c r="A179" s="285" t="s">
        <v>284</v>
      </c>
      <c r="B179" s="425" t="s">
        <v>350</v>
      </c>
      <c r="C179" s="425" t="s">
        <v>350</v>
      </c>
      <c r="D179" s="425" t="s">
        <v>350</v>
      </c>
      <c r="E179" s="425" t="s">
        <v>350</v>
      </c>
      <c r="F179" s="425" t="s">
        <v>350</v>
      </c>
      <c r="G179" s="434" t="s">
        <v>350</v>
      </c>
      <c r="H179" s="176"/>
      <c r="I179" s="176"/>
      <c r="J179" s="461"/>
      <c r="K179" s="461"/>
      <c r="L179" s="176"/>
    </row>
    <row r="180" spans="1:12" s="460" customFormat="1">
      <c r="A180" s="94"/>
      <c r="B180" s="176"/>
      <c r="C180" s="176"/>
      <c r="D180" s="94"/>
      <c r="E180" s="94"/>
      <c r="F180" s="176"/>
      <c r="G180" s="462"/>
      <c r="H180" s="176"/>
      <c r="I180" s="176"/>
      <c r="J180" s="461"/>
      <c r="K180" s="461"/>
      <c r="L180" s="176"/>
    </row>
    <row r="181" spans="1:12" s="460" customFormat="1">
      <c r="A181" s="94"/>
      <c r="B181" s="176"/>
      <c r="C181" s="176"/>
      <c r="D181" s="94"/>
      <c r="E181" s="94"/>
      <c r="F181" s="176"/>
      <c r="G181" s="462"/>
      <c r="H181" s="176"/>
      <c r="I181" s="176"/>
      <c r="J181" s="461"/>
      <c r="K181" s="461"/>
      <c r="L181" s="176"/>
    </row>
    <row r="182" spans="1:12" s="460" customFormat="1">
      <c r="A182" s="94"/>
      <c r="B182" s="176"/>
      <c r="C182" s="176"/>
      <c r="D182" s="94"/>
      <c r="E182" s="94"/>
      <c r="F182" s="176"/>
      <c r="G182" s="462"/>
      <c r="H182" s="176"/>
      <c r="I182" s="176"/>
      <c r="J182" s="461"/>
      <c r="K182" s="461"/>
      <c r="L182" s="176"/>
    </row>
    <row r="183" spans="1:12" s="460" customFormat="1">
      <c r="A183" s="94"/>
      <c r="B183" s="176"/>
      <c r="C183" s="176"/>
      <c r="D183" s="94"/>
      <c r="E183" s="94"/>
      <c r="F183" s="176"/>
      <c r="G183" s="462"/>
      <c r="H183" s="176"/>
      <c r="I183" s="176"/>
      <c r="J183" s="461"/>
      <c r="K183" s="461"/>
      <c r="L183" s="176"/>
    </row>
    <row r="184" spans="1:12" s="460" customFormat="1">
      <c r="A184" s="94"/>
      <c r="B184" s="176"/>
      <c r="C184" s="176"/>
      <c r="D184" s="94"/>
      <c r="E184" s="94"/>
      <c r="F184" s="176"/>
      <c r="G184" s="462"/>
      <c r="H184" s="176"/>
      <c r="I184" s="176"/>
      <c r="J184" s="461"/>
      <c r="K184" s="461"/>
      <c r="L184" s="176"/>
    </row>
    <row r="185" spans="1:12" s="460" customFormat="1">
      <c r="A185" s="94"/>
      <c r="B185" s="176"/>
      <c r="C185" s="176"/>
      <c r="D185" s="94"/>
      <c r="E185" s="94"/>
      <c r="F185" s="176"/>
      <c r="G185" s="462"/>
      <c r="H185" s="176"/>
      <c r="I185" s="176"/>
      <c r="J185" s="461"/>
      <c r="K185" s="461"/>
      <c r="L185" s="176"/>
    </row>
    <row r="186" spans="1:12" s="460" customFormat="1">
      <c r="A186" s="94"/>
      <c r="B186" s="176"/>
      <c r="C186" s="176"/>
      <c r="D186" s="94"/>
      <c r="E186" s="94"/>
      <c r="F186" s="176"/>
      <c r="G186" s="462"/>
      <c r="H186" s="176"/>
      <c r="I186" s="176"/>
      <c r="J186" s="461"/>
      <c r="K186" s="461"/>
      <c r="L186" s="176"/>
    </row>
    <row r="187" spans="1:12" s="460" customFormat="1">
      <c r="A187" s="94"/>
      <c r="B187" s="176"/>
      <c r="C187" s="176"/>
      <c r="D187" s="94"/>
      <c r="E187" s="94"/>
      <c r="F187" s="176"/>
      <c r="G187" s="462"/>
      <c r="H187" s="176"/>
      <c r="I187" s="176"/>
      <c r="J187" s="461"/>
      <c r="K187" s="461"/>
      <c r="L187" s="176"/>
    </row>
    <row r="188" spans="1:12" s="460" customFormat="1">
      <c r="A188" s="94"/>
      <c r="B188" s="176"/>
      <c r="C188" s="176"/>
      <c r="D188" s="94"/>
      <c r="E188" s="94"/>
      <c r="F188" s="176"/>
      <c r="G188" s="462"/>
      <c r="H188" s="176"/>
      <c r="I188" s="176"/>
      <c r="J188" s="461"/>
      <c r="K188" s="461"/>
      <c r="L188" s="176"/>
    </row>
    <row r="189" spans="1:12" s="460" customFormat="1">
      <c r="A189" s="94"/>
      <c r="B189" s="176"/>
      <c r="C189" s="176"/>
      <c r="D189" s="94"/>
      <c r="E189" s="94"/>
      <c r="F189" s="176"/>
      <c r="G189" s="462"/>
      <c r="H189" s="176"/>
      <c r="I189" s="176"/>
      <c r="J189" s="461"/>
      <c r="K189" s="461"/>
      <c r="L189" s="176"/>
    </row>
    <row r="190" spans="1:12" s="460" customFormat="1">
      <c r="A190" s="94"/>
      <c r="B190" s="176"/>
      <c r="C190" s="176"/>
      <c r="D190" s="94"/>
      <c r="E190" s="94"/>
      <c r="F190" s="176"/>
      <c r="G190" s="462"/>
      <c r="H190" s="176"/>
      <c r="I190" s="176"/>
      <c r="J190" s="461"/>
      <c r="K190" s="461"/>
      <c r="L190" s="176"/>
    </row>
    <row r="191" spans="1:12" s="460" customFormat="1">
      <c r="A191" s="94"/>
      <c r="B191" s="176"/>
      <c r="C191" s="176"/>
      <c r="D191" s="94"/>
      <c r="E191" s="94"/>
      <c r="F191" s="176"/>
      <c r="G191" s="462"/>
      <c r="H191" s="176"/>
      <c r="I191" s="176"/>
      <c r="J191" s="461"/>
      <c r="K191" s="461"/>
      <c r="L191" s="176"/>
    </row>
    <row r="192" spans="1:12" s="460" customFormat="1">
      <c r="A192" s="94"/>
      <c r="B192" s="176"/>
      <c r="C192" s="176"/>
      <c r="D192" s="94"/>
      <c r="E192" s="94"/>
      <c r="F192" s="176"/>
      <c r="G192" s="462"/>
      <c r="H192" s="176"/>
      <c r="I192" s="176"/>
      <c r="J192" s="461"/>
      <c r="K192" s="461"/>
      <c r="L192" s="176"/>
    </row>
    <row r="193" spans="1:12" s="460" customFormat="1">
      <c r="A193" s="94"/>
      <c r="B193" s="176"/>
      <c r="C193" s="176"/>
      <c r="D193" s="94"/>
      <c r="E193" s="94"/>
      <c r="F193" s="176"/>
      <c r="G193" s="462"/>
      <c r="H193" s="176"/>
      <c r="I193" s="176"/>
      <c r="J193" s="461"/>
      <c r="K193" s="461"/>
      <c r="L193" s="176"/>
    </row>
    <row r="194" spans="1:12" s="460" customFormat="1">
      <c r="A194" s="94"/>
      <c r="B194" s="176"/>
      <c r="C194" s="176"/>
      <c r="D194" s="94"/>
      <c r="E194" s="94"/>
      <c r="F194" s="176"/>
      <c r="G194" s="462"/>
      <c r="H194" s="176"/>
      <c r="I194" s="176"/>
      <c r="J194" s="461"/>
      <c r="K194" s="461"/>
      <c r="L194" s="176"/>
    </row>
    <row r="195" spans="1:12" s="460" customFormat="1">
      <c r="A195" s="94"/>
      <c r="B195" s="176"/>
      <c r="C195" s="176"/>
      <c r="D195" s="94"/>
      <c r="E195" s="94"/>
      <c r="F195" s="176"/>
      <c r="G195" s="462"/>
      <c r="H195" s="176"/>
      <c r="I195" s="176"/>
      <c r="J195" s="461"/>
      <c r="K195" s="461"/>
      <c r="L195" s="176"/>
    </row>
    <row r="196" spans="1:12" s="460" customFormat="1">
      <c r="A196" s="94"/>
      <c r="B196" s="176"/>
      <c r="C196" s="176"/>
      <c r="D196" s="94"/>
      <c r="E196" s="94"/>
      <c r="F196" s="176"/>
      <c r="G196" s="462"/>
      <c r="H196" s="176"/>
      <c r="I196" s="176"/>
      <c r="J196" s="461"/>
      <c r="K196" s="461"/>
      <c r="L196" s="176"/>
    </row>
    <row r="197" spans="1:12" s="460" customFormat="1">
      <c r="A197" s="94"/>
      <c r="B197" s="176"/>
      <c r="C197" s="176"/>
      <c r="D197" s="94"/>
      <c r="E197" s="94"/>
      <c r="F197" s="176"/>
      <c r="G197" s="462"/>
      <c r="H197" s="176"/>
      <c r="I197" s="176"/>
      <c r="J197" s="461"/>
      <c r="K197" s="461"/>
      <c r="L197" s="176"/>
    </row>
    <row r="198" spans="1:12" s="460" customFormat="1">
      <c r="A198" s="94"/>
      <c r="B198" s="176"/>
      <c r="C198" s="176"/>
      <c r="D198" s="94"/>
      <c r="E198" s="94"/>
      <c r="F198" s="176"/>
      <c r="G198" s="462"/>
      <c r="H198" s="176"/>
      <c r="I198" s="176"/>
      <c r="J198" s="461"/>
      <c r="K198" s="461"/>
      <c r="L198" s="176"/>
    </row>
    <row r="199" spans="1:12" s="460" customFormat="1">
      <c r="A199" s="94"/>
      <c r="B199" s="176"/>
      <c r="C199" s="176"/>
      <c r="D199" s="94"/>
      <c r="E199" s="94"/>
      <c r="F199" s="176"/>
      <c r="G199" s="462"/>
      <c r="H199" s="176"/>
      <c r="I199" s="176"/>
      <c r="J199" s="461"/>
      <c r="K199" s="461"/>
      <c r="L199" s="176"/>
    </row>
    <row r="200" spans="1:12" s="460" customFormat="1">
      <c r="A200" s="94"/>
      <c r="B200" s="176"/>
      <c r="C200" s="176"/>
      <c r="D200" s="94"/>
      <c r="E200" s="94"/>
      <c r="F200" s="176"/>
      <c r="G200" s="462"/>
      <c r="H200" s="176"/>
      <c r="I200" s="176"/>
      <c r="J200" s="461"/>
      <c r="K200" s="461"/>
      <c r="L200" s="176"/>
    </row>
    <row r="201" spans="1:12" s="460" customFormat="1">
      <c r="A201" s="94"/>
      <c r="B201" s="176"/>
      <c r="C201" s="176"/>
      <c r="D201" s="94"/>
      <c r="E201" s="94"/>
      <c r="F201" s="176"/>
      <c r="G201" s="462"/>
      <c r="H201" s="176"/>
      <c r="I201" s="176"/>
      <c r="J201" s="461"/>
      <c r="K201" s="461"/>
      <c r="L201" s="176"/>
    </row>
    <row r="202" spans="1:12" s="460" customFormat="1">
      <c r="A202" s="94"/>
      <c r="B202" s="176"/>
      <c r="C202" s="176"/>
      <c r="D202" s="94"/>
      <c r="E202" s="94"/>
      <c r="F202" s="176"/>
      <c r="G202" s="462"/>
      <c r="H202" s="176"/>
      <c r="I202" s="176"/>
      <c r="J202" s="461"/>
      <c r="K202" s="461"/>
      <c r="L202" s="176"/>
    </row>
    <row r="203" spans="1:12" s="460" customFormat="1">
      <c r="A203" s="94"/>
      <c r="B203" s="176"/>
      <c r="C203" s="176"/>
      <c r="D203" s="94"/>
      <c r="E203" s="94"/>
      <c r="F203" s="176"/>
      <c r="G203" s="462"/>
      <c r="H203" s="176"/>
      <c r="I203" s="176"/>
      <c r="J203" s="461"/>
      <c r="K203" s="461"/>
      <c r="L203" s="176"/>
    </row>
    <row r="204" spans="1:12" s="460" customFormat="1">
      <c r="A204" s="94"/>
      <c r="B204" s="176"/>
      <c r="C204" s="176"/>
      <c r="D204" s="94"/>
      <c r="E204" s="94"/>
      <c r="F204" s="176"/>
      <c r="G204" s="462"/>
      <c r="H204" s="176"/>
      <c r="I204" s="176"/>
      <c r="J204" s="461"/>
      <c r="K204" s="461"/>
      <c r="L204" s="176"/>
    </row>
    <row r="205" spans="1:12" s="460" customFormat="1">
      <c r="A205" s="94"/>
      <c r="B205" s="176"/>
      <c r="C205" s="176"/>
      <c r="D205" s="94"/>
      <c r="E205" s="94"/>
      <c r="F205" s="176"/>
      <c r="G205" s="462"/>
      <c r="H205" s="176"/>
      <c r="I205" s="176"/>
      <c r="J205" s="461"/>
      <c r="K205" s="461"/>
      <c r="L205" s="176"/>
    </row>
    <row r="206" spans="1:12" s="460" customFormat="1">
      <c r="A206" s="94"/>
      <c r="B206" s="176"/>
      <c r="C206" s="176"/>
      <c r="D206" s="94"/>
      <c r="E206" s="94"/>
      <c r="F206" s="176"/>
      <c r="G206" s="462"/>
      <c r="H206" s="176"/>
      <c r="I206" s="176"/>
      <c r="J206" s="461"/>
      <c r="K206" s="461"/>
      <c r="L206" s="176"/>
    </row>
    <row r="207" spans="1:12" s="460" customFormat="1">
      <c r="A207" s="94"/>
      <c r="B207" s="176"/>
      <c r="C207" s="176"/>
      <c r="D207" s="94"/>
      <c r="E207" s="94"/>
      <c r="F207" s="176"/>
      <c r="G207" s="462"/>
      <c r="H207" s="176"/>
      <c r="I207" s="176"/>
      <c r="J207" s="461"/>
      <c r="K207" s="461"/>
      <c r="L207" s="176"/>
    </row>
    <row r="208" spans="1:12" s="460" customFormat="1">
      <c r="A208" s="94"/>
      <c r="B208" s="176"/>
      <c r="C208" s="176"/>
      <c r="D208" s="94"/>
      <c r="E208" s="94"/>
      <c r="F208" s="176"/>
      <c r="G208" s="462"/>
      <c r="H208" s="176"/>
      <c r="I208" s="176"/>
      <c r="J208" s="461"/>
      <c r="K208" s="461"/>
      <c r="L208" s="176"/>
    </row>
    <row r="209" spans="1:12" s="460" customFormat="1">
      <c r="A209" s="94"/>
      <c r="B209" s="176"/>
      <c r="C209" s="176"/>
      <c r="D209" s="94"/>
      <c r="E209" s="94"/>
      <c r="F209" s="176"/>
      <c r="G209" s="462"/>
      <c r="H209" s="176"/>
      <c r="I209" s="176"/>
      <c r="J209" s="461"/>
      <c r="K209" s="461"/>
      <c r="L209" s="176"/>
    </row>
    <row r="210" spans="1:12" s="460" customFormat="1">
      <c r="A210" s="94"/>
      <c r="B210" s="176"/>
      <c r="C210" s="176"/>
      <c r="D210" s="94"/>
      <c r="E210" s="94"/>
      <c r="F210" s="176"/>
      <c r="G210" s="462"/>
      <c r="H210" s="176"/>
      <c r="I210" s="176"/>
      <c r="J210" s="461"/>
      <c r="K210" s="461"/>
      <c r="L210" s="176"/>
    </row>
    <row r="211" spans="1:12" s="460" customFormat="1">
      <c r="A211" s="94"/>
      <c r="B211" s="176"/>
      <c r="C211" s="176"/>
      <c r="D211" s="94"/>
      <c r="E211" s="94"/>
      <c r="F211" s="176"/>
      <c r="G211" s="462"/>
      <c r="H211" s="176"/>
      <c r="I211" s="176"/>
      <c r="J211" s="461"/>
      <c r="K211" s="461"/>
      <c r="L211" s="176"/>
    </row>
    <row r="212" spans="1:12" s="460" customFormat="1">
      <c r="A212" s="94"/>
      <c r="B212" s="176"/>
      <c r="C212" s="176"/>
      <c r="D212" s="94"/>
      <c r="E212" s="94"/>
      <c r="F212" s="176"/>
      <c r="G212" s="462"/>
      <c r="H212" s="176"/>
      <c r="I212" s="176"/>
      <c r="J212" s="461"/>
      <c r="K212" s="461"/>
      <c r="L212" s="176"/>
    </row>
    <row r="213" spans="1:12" s="460" customFormat="1">
      <c r="A213" s="94"/>
      <c r="B213" s="176"/>
      <c r="C213" s="176"/>
      <c r="D213" s="94"/>
      <c r="E213" s="94"/>
      <c r="F213" s="176"/>
      <c r="G213" s="462"/>
      <c r="H213" s="176"/>
      <c r="I213" s="176"/>
      <c r="J213" s="461"/>
      <c r="K213" s="461"/>
      <c r="L213" s="176"/>
    </row>
    <row r="214" spans="1:12" s="460" customFormat="1">
      <c r="A214" s="94"/>
      <c r="B214" s="176"/>
      <c r="C214" s="176"/>
      <c r="D214" s="94"/>
      <c r="E214" s="94"/>
      <c r="F214" s="176"/>
      <c r="G214" s="462"/>
      <c r="H214" s="176"/>
      <c r="I214" s="176"/>
      <c r="J214" s="461"/>
      <c r="K214" s="461"/>
      <c r="L214" s="176"/>
    </row>
    <row r="215" spans="1:12" s="460" customFormat="1">
      <c r="A215" s="94"/>
      <c r="B215" s="176"/>
      <c r="C215" s="176"/>
      <c r="D215" s="94"/>
      <c r="E215" s="94"/>
      <c r="F215" s="176"/>
      <c r="G215" s="462"/>
      <c r="H215" s="176"/>
      <c r="I215" s="176"/>
      <c r="J215" s="461"/>
      <c r="K215" s="461"/>
      <c r="L215" s="176"/>
    </row>
    <row r="216" spans="1:12" s="460" customFormat="1">
      <c r="A216" s="94"/>
      <c r="B216" s="176"/>
      <c r="C216" s="176"/>
      <c r="D216" s="94"/>
      <c r="E216" s="94"/>
      <c r="F216" s="176"/>
      <c r="G216" s="462"/>
      <c r="H216" s="176"/>
      <c r="I216" s="176"/>
      <c r="J216" s="461"/>
      <c r="K216" s="461"/>
      <c r="L216" s="176"/>
    </row>
    <row r="217" spans="1:12" s="460" customFormat="1">
      <c r="A217" s="94"/>
      <c r="B217" s="176"/>
      <c r="C217" s="176"/>
      <c r="D217" s="94"/>
      <c r="E217" s="94"/>
      <c r="F217" s="176"/>
      <c r="G217" s="462"/>
      <c r="H217" s="176"/>
      <c r="I217" s="176"/>
      <c r="J217" s="461"/>
      <c r="K217" s="461"/>
      <c r="L217" s="176"/>
    </row>
    <row r="218" spans="1:12" s="460" customFormat="1">
      <c r="A218" s="94"/>
      <c r="B218" s="176"/>
      <c r="C218" s="176"/>
      <c r="D218" s="94"/>
      <c r="E218" s="94"/>
      <c r="F218" s="176"/>
      <c r="G218" s="462"/>
      <c r="H218" s="176"/>
      <c r="I218" s="176"/>
      <c r="J218" s="461"/>
      <c r="K218" s="461"/>
      <c r="L218" s="176"/>
    </row>
    <row r="219" spans="1:12" s="460" customFormat="1">
      <c r="A219" s="94"/>
      <c r="B219" s="176"/>
      <c r="C219" s="176"/>
      <c r="D219" s="94"/>
      <c r="E219" s="94"/>
      <c r="F219" s="176"/>
      <c r="G219" s="462"/>
      <c r="H219" s="176"/>
      <c r="I219" s="176"/>
      <c r="J219" s="461"/>
      <c r="K219" s="461"/>
      <c r="L219" s="176"/>
    </row>
    <row r="220" spans="1:12" s="460" customFormat="1">
      <c r="A220" s="94"/>
      <c r="B220" s="176"/>
      <c r="C220" s="176"/>
      <c r="D220" s="94"/>
      <c r="E220" s="94"/>
      <c r="F220" s="176"/>
      <c r="G220" s="462"/>
      <c r="H220" s="176"/>
      <c r="I220" s="176"/>
      <c r="J220" s="461"/>
      <c r="K220" s="461"/>
      <c r="L220" s="176"/>
    </row>
    <row r="221" spans="1:12" s="460" customFormat="1">
      <c r="A221" s="94"/>
      <c r="B221" s="176"/>
      <c r="C221" s="176"/>
      <c r="D221" s="94"/>
      <c r="E221" s="94"/>
      <c r="F221" s="176"/>
      <c r="G221" s="462"/>
      <c r="H221" s="176"/>
      <c r="I221" s="176"/>
      <c r="J221" s="176"/>
      <c r="K221" s="176"/>
      <c r="L221" s="176"/>
    </row>
    <row r="222" spans="1:12" s="460" customFormat="1">
      <c r="A222" s="94"/>
      <c r="B222" s="176"/>
      <c r="C222" s="176"/>
      <c r="D222" s="94"/>
      <c r="E222" s="94"/>
      <c r="F222" s="176"/>
      <c r="G222" s="462"/>
      <c r="H222" s="176"/>
      <c r="I222" s="176"/>
      <c r="J222" s="176"/>
      <c r="K222" s="176"/>
      <c r="L222" s="176"/>
    </row>
    <row r="223" spans="1:12" s="460" customFormat="1">
      <c r="A223" s="94"/>
      <c r="B223" s="176"/>
      <c r="C223" s="176"/>
      <c r="D223" s="94"/>
      <c r="E223" s="94"/>
      <c r="F223" s="176"/>
      <c r="G223" s="462"/>
      <c r="H223" s="176"/>
      <c r="I223" s="176"/>
      <c r="J223" s="176"/>
      <c r="K223" s="176"/>
      <c r="L223" s="176"/>
    </row>
    <row r="224" spans="1:12" s="460" customFormat="1">
      <c r="A224" s="94"/>
      <c r="B224" s="176"/>
      <c r="C224" s="176"/>
      <c r="D224" s="94"/>
      <c r="E224" s="94"/>
      <c r="F224" s="176"/>
      <c r="G224" s="462"/>
      <c r="H224" s="176"/>
      <c r="I224" s="176"/>
      <c r="J224" s="176"/>
      <c r="K224" s="176"/>
      <c r="L224" s="176"/>
    </row>
    <row r="225" spans="1:12" s="460" customFormat="1">
      <c r="A225" s="94"/>
      <c r="B225" s="176"/>
      <c r="C225" s="176"/>
      <c r="D225" s="94"/>
      <c r="E225" s="94"/>
      <c r="F225" s="176"/>
      <c r="G225" s="462"/>
      <c r="H225" s="176"/>
      <c r="I225" s="176"/>
      <c r="J225" s="176"/>
      <c r="K225" s="176"/>
      <c r="L225" s="176"/>
    </row>
    <row r="226" spans="1:12" s="460" customFormat="1">
      <c r="A226" s="94"/>
      <c r="B226" s="176"/>
      <c r="C226" s="176"/>
      <c r="D226" s="94"/>
      <c r="E226" s="94"/>
      <c r="F226" s="176"/>
      <c r="G226" s="462"/>
      <c r="H226" s="176"/>
      <c r="I226" s="176"/>
      <c r="J226" s="176"/>
      <c r="K226" s="176"/>
      <c r="L226" s="176"/>
    </row>
    <row r="227" spans="1:12" s="460" customFormat="1">
      <c r="A227" s="94"/>
      <c r="B227" s="176"/>
      <c r="C227" s="176"/>
      <c r="D227" s="94"/>
      <c r="E227" s="94"/>
      <c r="F227" s="176"/>
      <c r="G227" s="462"/>
      <c r="H227" s="176"/>
      <c r="I227" s="176"/>
      <c r="J227" s="176"/>
      <c r="K227" s="176"/>
      <c r="L227" s="176"/>
    </row>
    <row r="228" spans="1:12" s="460" customFormat="1">
      <c r="A228" s="94"/>
      <c r="B228" s="176"/>
      <c r="C228" s="176"/>
      <c r="D228" s="94"/>
      <c r="E228" s="94"/>
      <c r="F228" s="176"/>
      <c r="G228" s="462"/>
      <c r="H228" s="176"/>
      <c r="I228" s="176"/>
      <c r="J228" s="176"/>
      <c r="K228" s="176"/>
      <c r="L228" s="176"/>
    </row>
    <row r="229" spans="1:12" s="460" customFormat="1">
      <c r="A229" s="94"/>
      <c r="B229" s="176"/>
      <c r="C229" s="176"/>
      <c r="D229" s="94"/>
      <c r="E229" s="94"/>
      <c r="F229" s="176"/>
      <c r="G229" s="462"/>
      <c r="H229" s="176"/>
      <c r="I229" s="176"/>
      <c r="J229" s="176"/>
      <c r="K229" s="176"/>
      <c r="L229" s="176"/>
    </row>
    <row r="230" spans="1:12" s="460" customFormat="1">
      <c r="A230" s="94"/>
      <c r="B230" s="176"/>
      <c r="C230" s="176"/>
      <c r="D230" s="94"/>
      <c r="E230" s="94"/>
      <c r="F230" s="176"/>
      <c r="G230" s="462"/>
      <c r="H230" s="176"/>
      <c r="I230" s="176"/>
      <c r="J230" s="176"/>
      <c r="K230" s="176"/>
      <c r="L230" s="176"/>
    </row>
    <row r="231" spans="1:12" s="460" customFormat="1">
      <c r="A231" s="94"/>
      <c r="B231" s="176"/>
      <c r="C231" s="176"/>
      <c r="D231" s="94"/>
      <c r="E231" s="94"/>
      <c r="F231" s="176"/>
      <c r="G231" s="462"/>
      <c r="H231" s="176"/>
      <c r="I231" s="176"/>
      <c r="J231" s="176"/>
      <c r="K231" s="176"/>
      <c r="L231" s="176"/>
    </row>
    <row r="232" spans="1:12" s="460" customFormat="1">
      <c r="A232" s="94"/>
      <c r="B232" s="176"/>
      <c r="C232" s="176"/>
      <c r="D232" s="94"/>
      <c r="E232" s="94"/>
      <c r="F232" s="176"/>
      <c r="G232" s="462"/>
      <c r="H232" s="176"/>
      <c r="I232" s="176"/>
      <c r="J232" s="176"/>
      <c r="K232" s="176"/>
      <c r="L232" s="176"/>
    </row>
    <row r="233" spans="1:12" s="460" customFormat="1">
      <c r="A233" s="94"/>
      <c r="B233" s="176"/>
      <c r="C233" s="176"/>
      <c r="D233" s="94"/>
      <c r="E233" s="94"/>
      <c r="F233" s="176"/>
      <c r="G233" s="462"/>
      <c r="H233" s="176"/>
      <c r="I233" s="176"/>
      <c r="J233" s="176"/>
      <c r="K233" s="176"/>
      <c r="L233" s="176"/>
    </row>
    <row r="234" spans="1:12" s="460" customFormat="1">
      <c r="A234" s="94"/>
      <c r="B234" s="176"/>
      <c r="C234" s="176"/>
      <c r="D234" s="94"/>
      <c r="E234" s="94"/>
      <c r="F234" s="176"/>
      <c r="G234" s="462"/>
      <c r="H234" s="461"/>
      <c r="I234" s="176"/>
      <c r="J234" s="461"/>
      <c r="K234" s="461"/>
      <c r="L234" s="176"/>
    </row>
    <row r="235" spans="1:12" s="460" customFormat="1">
      <c r="A235" s="176"/>
      <c r="B235" s="176"/>
      <c r="C235" s="176"/>
      <c r="D235" s="94"/>
      <c r="E235" s="94"/>
      <c r="F235" s="176"/>
      <c r="G235" s="461"/>
      <c r="H235" s="461"/>
      <c r="I235" s="176"/>
      <c r="J235" s="461"/>
      <c r="K235" s="461"/>
      <c r="L235" s="176"/>
    </row>
    <row r="236" spans="1:12" s="460" customFormat="1">
      <c r="A236" s="176"/>
      <c r="B236" s="176"/>
      <c r="C236" s="176"/>
      <c r="D236" s="94"/>
      <c r="E236" s="94"/>
      <c r="F236" s="176"/>
      <c r="G236" s="461"/>
      <c r="H236" s="461"/>
      <c r="I236" s="176"/>
      <c r="J236" s="461"/>
      <c r="K236" s="461"/>
      <c r="L236" s="176"/>
    </row>
    <row r="237" spans="1:12" s="460" customFormat="1">
      <c r="A237" s="176"/>
      <c r="B237" s="176"/>
      <c r="C237" s="176"/>
      <c r="D237" s="94"/>
      <c r="E237" s="94"/>
      <c r="F237" s="176"/>
      <c r="G237" s="461"/>
      <c r="H237" s="461"/>
      <c r="I237" s="176"/>
      <c r="J237" s="461"/>
      <c r="K237" s="461"/>
      <c r="L237" s="176"/>
    </row>
    <row r="238" spans="1:12" s="460" customFormat="1">
      <c r="A238" s="176"/>
      <c r="B238" s="176"/>
      <c r="C238" s="176"/>
      <c r="D238" s="94"/>
      <c r="E238" s="94"/>
      <c r="F238" s="176"/>
      <c r="G238" s="461"/>
      <c r="H238" s="461"/>
      <c r="I238" s="176"/>
      <c r="J238" s="461"/>
      <c r="K238" s="461"/>
      <c r="L238" s="176"/>
    </row>
    <row r="239" spans="1:12" s="460" customFormat="1">
      <c r="A239" s="176"/>
      <c r="B239" s="176"/>
      <c r="C239" s="176"/>
      <c r="D239" s="94"/>
      <c r="E239" s="94"/>
      <c r="F239" s="176"/>
      <c r="G239" s="461"/>
      <c r="H239" s="461"/>
      <c r="I239" s="176"/>
      <c r="J239" s="461"/>
      <c r="K239" s="461"/>
      <c r="L239" s="176"/>
    </row>
    <row r="240" spans="1:12" s="460" customFormat="1">
      <c r="A240" s="176"/>
      <c r="B240" s="176"/>
      <c r="C240" s="176"/>
      <c r="D240" s="94"/>
      <c r="E240" s="94"/>
      <c r="F240" s="176"/>
      <c r="G240" s="461"/>
      <c r="H240" s="461"/>
      <c r="I240" s="176"/>
      <c r="J240" s="461"/>
      <c r="K240" s="461"/>
      <c r="L240" s="176"/>
    </row>
    <row r="241" spans="1:12" s="460" customFormat="1">
      <c r="A241" s="176"/>
      <c r="B241" s="176"/>
      <c r="C241" s="176"/>
      <c r="D241" s="94"/>
      <c r="E241" s="94"/>
      <c r="F241" s="176"/>
      <c r="G241" s="461"/>
      <c r="H241" s="461"/>
      <c r="I241" s="176"/>
      <c r="J241" s="461"/>
      <c r="K241" s="461"/>
      <c r="L241" s="176"/>
    </row>
    <row r="242" spans="1:12" s="460" customFormat="1">
      <c r="A242" s="176"/>
      <c r="B242" s="176"/>
      <c r="C242" s="176"/>
      <c r="D242" s="94"/>
      <c r="E242" s="94"/>
      <c r="F242" s="176"/>
      <c r="G242" s="461"/>
      <c r="H242" s="461"/>
      <c r="I242" s="176"/>
      <c r="J242" s="461"/>
      <c r="K242" s="461"/>
      <c r="L242" s="176"/>
    </row>
    <row r="259" spans="1:12" s="460" customFormat="1">
      <c r="A259" s="176"/>
      <c r="B259" s="176"/>
      <c r="C259" s="176"/>
      <c r="D259" s="94"/>
      <c r="E259" s="94"/>
      <c r="F259" s="176"/>
      <c r="G259" s="461"/>
      <c r="H259" s="461"/>
      <c r="I259" s="176"/>
      <c r="J259" s="461"/>
      <c r="K259" s="461"/>
      <c r="L259" s="176"/>
    </row>
    <row r="260" spans="1:12" s="460" customFormat="1">
      <c r="A260" s="176"/>
      <c r="B260" s="176"/>
      <c r="C260" s="176"/>
      <c r="D260" s="94"/>
      <c r="E260" s="94"/>
      <c r="F260" s="176"/>
      <c r="G260" s="461"/>
      <c r="H260" s="461"/>
      <c r="I260" s="176"/>
      <c r="J260" s="461"/>
      <c r="K260" s="461"/>
      <c r="L260" s="176"/>
    </row>
    <row r="261" spans="1:12" s="460" customFormat="1">
      <c r="A261" s="176"/>
      <c r="B261" s="176"/>
      <c r="C261" s="176"/>
      <c r="D261" s="94"/>
      <c r="E261" s="94"/>
      <c r="F261" s="176"/>
      <c r="G261" s="461"/>
      <c r="H261" s="461"/>
      <c r="I261" s="176"/>
      <c r="J261" s="461"/>
      <c r="K261" s="461"/>
      <c r="L261" s="176"/>
    </row>
    <row r="262" spans="1:12" s="460" customFormat="1">
      <c r="A262" s="176"/>
      <c r="B262" s="176"/>
      <c r="C262" s="176"/>
      <c r="D262" s="94"/>
      <c r="E262" s="94"/>
      <c r="F262" s="176"/>
      <c r="G262" s="461"/>
      <c r="H262" s="461"/>
      <c r="I262" s="176"/>
      <c r="J262" s="461"/>
      <c r="K262" s="461"/>
      <c r="L262" s="176"/>
    </row>
    <row r="263" spans="1:12" s="460" customFormat="1">
      <c r="A263" s="176"/>
      <c r="B263" s="176"/>
      <c r="C263" s="176"/>
      <c r="D263" s="94"/>
      <c r="E263" s="94"/>
      <c r="F263" s="176"/>
      <c r="G263" s="461"/>
      <c r="H263" s="461"/>
      <c r="I263" s="176"/>
      <c r="J263" s="461"/>
      <c r="K263" s="461"/>
      <c r="L263" s="176"/>
    </row>
    <row r="264" spans="1:12" s="460" customFormat="1">
      <c r="A264" s="176"/>
      <c r="B264" s="176"/>
      <c r="C264" s="176"/>
      <c r="D264" s="94"/>
      <c r="E264" s="94"/>
      <c r="F264" s="176"/>
      <c r="G264" s="461"/>
      <c r="H264" s="461"/>
      <c r="I264" s="176"/>
      <c r="J264" s="461"/>
      <c r="K264" s="461"/>
      <c r="L264" s="176"/>
    </row>
    <row r="265" spans="1:12" s="460" customFormat="1">
      <c r="A265" s="176"/>
      <c r="B265" s="176"/>
      <c r="C265" s="176"/>
      <c r="D265" s="94"/>
      <c r="E265" s="94"/>
      <c r="F265" s="176"/>
      <c r="G265" s="461"/>
      <c r="H265" s="461"/>
      <c r="I265" s="176"/>
      <c r="J265" s="461"/>
      <c r="K265" s="461"/>
      <c r="L265" s="176"/>
    </row>
    <row r="266" spans="1:12" s="460" customFormat="1">
      <c r="A266" s="176"/>
      <c r="B266" s="176"/>
      <c r="C266" s="176"/>
      <c r="D266" s="94"/>
      <c r="E266" s="94"/>
      <c r="F266" s="176"/>
      <c r="G266" s="461"/>
      <c r="H266" s="461"/>
      <c r="I266" s="176"/>
      <c r="J266" s="461"/>
      <c r="K266" s="461"/>
      <c r="L266" s="176"/>
    </row>
    <row r="267" spans="1:12" s="460" customFormat="1">
      <c r="A267" s="176"/>
      <c r="B267" s="176"/>
      <c r="C267" s="176"/>
      <c r="D267" s="94"/>
      <c r="E267" s="94"/>
      <c r="F267" s="176"/>
      <c r="G267" s="461"/>
      <c r="H267" s="461"/>
      <c r="I267" s="176"/>
      <c r="J267" s="461"/>
      <c r="K267" s="461"/>
      <c r="L267" s="176"/>
    </row>
    <row r="268" spans="1:12" s="460" customFormat="1">
      <c r="A268" s="176"/>
      <c r="B268" s="176"/>
      <c r="C268" s="176"/>
      <c r="D268" s="94"/>
      <c r="E268" s="94"/>
      <c r="F268" s="176"/>
      <c r="G268" s="461"/>
      <c r="H268" s="461"/>
      <c r="I268" s="176"/>
      <c r="J268" s="461"/>
      <c r="K268" s="461"/>
      <c r="L268" s="176"/>
    </row>
    <row r="269" spans="1:12" s="460" customFormat="1">
      <c r="A269" s="176"/>
      <c r="B269" s="176"/>
      <c r="C269" s="176"/>
      <c r="D269" s="94"/>
      <c r="E269" s="94"/>
      <c r="F269" s="176"/>
      <c r="G269" s="461"/>
      <c r="H269" s="461"/>
      <c r="I269" s="176"/>
      <c r="J269" s="461"/>
      <c r="K269" s="461"/>
      <c r="L269" s="176"/>
    </row>
    <row r="270" spans="1:12" s="460" customFormat="1">
      <c r="A270" s="176"/>
      <c r="B270" s="176"/>
      <c r="C270" s="176"/>
      <c r="D270" s="94"/>
      <c r="E270" s="94"/>
      <c r="F270" s="176"/>
      <c r="G270" s="461"/>
      <c r="H270" s="461"/>
      <c r="I270" s="176"/>
      <c r="J270" s="461"/>
      <c r="K270" s="461"/>
      <c r="L270" s="176"/>
    </row>
    <row r="271" spans="1:12" s="460" customFormat="1">
      <c r="A271" s="176"/>
      <c r="B271" s="176"/>
      <c r="C271" s="176"/>
      <c r="D271" s="94"/>
      <c r="E271" s="94"/>
      <c r="F271" s="176"/>
      <c r="G271" s="461"/>
      <c r="H271" s="461"/>
      <c r="I271" s="176"/>
      <c r="J271" s="461"/>
      <c r="K271" s="461"/>
      <c r="L271" s="176"/>
    </row>
    <row r="272" spans="1:12" s="460" customFormat="1">
      <c r="A272" s="176"/>
      <c r="B272" s="176"/>
      <c r="C272" s="176"/>
      <c r="D272" s="94"/>
      <c r="E272" s="94"/>
      <c r="F272" s="176"/>
      <c r="G272" s="461"/>
      <c r="H272" s="461"/>
      <c r="I272" s="176"/>
      <c r="J272" s="461"/>
      <c r="K272" s="461"/>
      <c r="L272" s="176"/>
    </row>
    <row r="273" spans="1:12" s="460" customFormat="1">
      <c r="A273" s="176"/>
      <c r="B273" s="176"/>
      <c r="C273" s="176"/>
      <c r="D273" s="94"/>
      <c r="E273" s="94"/>
      <c r="F273" s="176"/>
      <c r="G273" s="461"/>
      <c r="H273" s="461"/>
      <c r="I273" s="176"/>
      <c r="J273" s="461"/>
      <c r="K273" s="461"/>
      <c r="L273" s="176"/>
    </row>
    <row r="274" spans="1:12" s="460" customFormat="1">
      <c r="A274" s="176"/>
      <c r="B274" s="176"/>
      <c r="C274" s="176"/>
      <c r="D274" s="94"/>
      <c r="E274" s="94"/>
      <c r="F274" s="176"/>
      <c r="G274" s="461"/>
      <c r="H274" s="461"/>
      <c r="I274" s="176"/>
      <c r="J274" s="461"/>
      <c r="K274" s="461"/>
      <c r="L274" s="176"/>
    </row>
    <row r="275" spans="1:12" s="460" customFormat="1">
      <c r="A275" s="176"/>
      <c r="B275" s="176"/>
      <c r="C275" s="176"/>
      <c r="D275" s="94"/>
      <c r="E275" s="94"/>
      <c r="F275" s="176"/>
      <c r="G275" s="461"/>
      <c r="H275" s="461"/>
      <c r="I275" s="176"/>
      <c r="J275" s="461"/>
      <c r="K275" s="461"/>
      <c r="L275" s="176"/>
    </row>
    <row r="276" spans="1:12" s="460" customFormat="1">
      <c r="A276" s="176"/>
      <c r="B276" s="176"/>
      <c r="C276" s="176"/>
      <c r="D276" s="94"/>
      <c r="E276" s="94"/>
      <c r="F276" s="176"/>
      <c r="G276" s="461"/>
      <c r="H276" s="461"/>
      <c r="I276" s="176"/>
      <c r="J276" s="461"/>
      <c r="K276" s="461"/>
      <c r="L276" s="176"/>
    </row>
    <row r="277" spans="1:12" s="460" customFormat="1">
      <c r="A277" s="176"/>
      <c r="B277" s="176"/>
      <c r="C277" s="176"/>
      <c r="D277" s="94"/>
      <c r="E277" s="94"/>
      <c r="F277" s="176"/>
      <c r="G277" s="461"/>
      <c r="H277" s="461"/>
      <c r="I277" s="176"/>
      <c r="J277" s="461"/>
      <c r="K277" s="461"/>
      <c r="L277" s="176"/>
    </row>
    <row r="278" spans="1:12" s="460" customFormat="1">
      <c r="A278" s="176"/>
      <c r="B278" s="176"/>
      <c r="C278" s="176"/>
      <c r="D278" s="94"/>
      <c r="E278" s="94"/>
      <c r="F278" s="176"/>
      <c r="G278" s="461"/>
      <c r="H278" s="461"/>
      <c r="I278" s="176"/>
      <c r="J278" s="461"/>
      <c r="K278" s="461"/>
      <c r="L278" s="176"/>
    </row>
    <row r="279" spans="1:12" s="460" customFormat="1">
      <c r="A279" s="176"/>
      <c r="B279" s="176"/>
      <c r="C279" s="176"/>
      <c r="D279" s="94"/>
      <c r="E279" s="94"/>
      <c r="F279" s="176"/>
      <c r="G279" s="461"/>
      <c r="H279" s="461"/>
      <c r="I279" s="176"/>
      <c r="J279" s="461"/>
      <c r="K279" s="461"/>
      <c r="L279" s="176"/>
    </row>
    <row r="280" spans="1:12" s="460" customFormat="1">
      <c r="A280" s="176"/>
      <c r="B280" s="176"/>
      <c r="C280" s="176"/>
      <c r="D280" s="94"/>
      <c r="E280" s="94"/>
      <c r="F280" s="176"/>
      <c r="G280" s="461"/>
      <c r="H280" s="461"/>
      <c r="I280" s="176"/>
      <c r="J280" s="461"/>
      <c r="K280" s="461"/>
      <c r="L280" s="176"/>
    </row>
    <row r="281" spans="1:12" s="460" customFormat="1">
      <c r="A281" s="176"/>
      <c r="B281" s="176"/>
      <c r="C281" s="176"/>
      <c r="D281" s="94"/>
      <c r="E281" s="94"/>
      <c r="F281" s="176"/>
      <c r="G281" s="461"/>
      <c r="H281" s="461"/>
      <c r="I281" s="176"/>
      <c r="J281" s="461"/>
      <c r="K281" s="461"/>
      <c r="L281" s="176"/>
    </row>
    <row r="282" spans="1:12" s="460" customFormat="1">
      <c r="A282" s="176"/>
      <c r="B282" s="176"/>
      <c r="C282" s="176"/>
      <c r="D282" s="94"/>
      <c r="E282" s="94"/>
      <c r="F282" s="176"/>
      <c r="G282" s="461"/>
      <c r="H282" s="461"/>
      <c r="I282" s="176"/>
      <c r="J282" s="461"/>
      <c r="K282" s="461"/>
      <c r="L282" s="176"/>
    </row>
    <row r="283" spans="1:12" s="460" customFormat="1">
      <c r="A283" s="176"/>
      <c r="B283" s="176"/>
      <c r="C283" s="176"/>
      <c r="D283" s="94"/>
      <c r="E283" s="94"/>
      <c r="F283" s="176"/>
      <c r="G283" s="461"/>
      <c r="H283" s="461"/>
      <c r="I283" s="176"/>
      <c r="J283" s="461"/>
      <c r="K283" s="461"/>
      <c r="L283" s="176"/>
    </row>
    <row r="284" spans="1:12" s="460" customFormat="1">
      <c r="A284" s="176"/>
      <c r="B284" s="176"/>
      <c r="C284" s="176"/>
      <c r="D284" s="94"/>
      <c r="E284" s="94"/>
      <c r="F284" s="176"/>
      <c r="G284" s="461"/>
      <c r="H284" s="461"/>
      <c r="I284" s="176"/>
      <c r="J284" s="461"/>
      <c r="K284" s="461"/>
      <c r="L284" s="176"/>
    </row>
    <row r="285" spans="1:12" s="460" customFormat="1">
      <c r="A285" s="176"/>
      <c r="B285" s="176"/>
      <c r="C285" s="176"/>
      <c r="D285" s="94"/>
      <c r="E285" s="94"/>
      <c r="F285" s="176"/>
      <c r="G285" s="461"/>
      <c r="H285" s="461"/>
      <c r="I285" s="176"/>
      <c r="J285" s="461"/>
      <c r="K285" s="461"/>
      <c r="L285" s="176"/>
    </row>
    <row r="286" spans="1:12" s="460" customFormat="1">
      <c r="A286" s="176"/>
      <c r="B286" s="176"/>
      <c r="C286" s="176"/>
      <c r="D286" s="94"/>
      <c r="E286" s="94"/>
      <c r="F286" s="176"/>
      <c r="G286" s="461"/>
      <c r="H286" s="461"/>
      <c r="I286" s="176"/>
      <c r="J286" s="461"/>
      <c r="K286" s="461"/>
      <c r="L286" s="176"/>
    </row>
    <row r="287" spans="1:12" s="460" customFormat="1">
      <c r="A287" s="176"/>
      <c r="B287" s="176"/>
      <c r="C287" s="176"/>
      <c r="D287" s="94"/>
      <c r="E287" s="94"/>
      <c r="F287" s="176"/>
      <c r="G287" s="461"/>
      <c r="H287" s="461"/>
      <c r="I287" s="176"/>
      <c r="J287" s="461"/>
      <c r="K287" s="461"/>
      <c r="L287" s="176"/>
    </row>
    <row r="288" spans="1:12" s="460" customFormat="1">
      <c r="A288" s="176"/>
      <c r="B288" s="176"/>
      <c r="C288" s="176"/>
      <c r="D288" s="94"/>
      <c r="E288" s="94"/>
      <c r="F288" s="176"/>
      <c r="G288" s="461"/>
      <c r="H288" s="461"/>
      <c r="I288" s="176"/>
      <c r="J288" s="461"/>
      <c r="K288" s="461"/>
      <c r="L288" s="176"/>
    </row>
    <row r="289" spans="1:12" s="460" customFormat="1">
      <c r="A289" s="176"/>
      <c r="B289" s="176"/>
      <c r="C289" s="176"/>
      <c r="D289" s="94"/>
      <c r="E289" s="94"/>
      <c r="F289" s="176"/>
      <c r="G289" s="461"/>
      <c r="H289" s="461"/>
      <c r="I289" s="176"/>
      <c r="J289" s="461"/>
      <c r="K289" s="461"/>
      <c r="L289" s="176"/>
    </row>
    <row r="290" spans="1:12" s="460" customFormat="1">
      <c r="A290" s="176"/>
      <c r="B290" s="176"/>
      <c r="C290" s="176"/>
      <c r="D290" s="94"/>
      <c r="E290" s="94"/>
      <c r="F290" s="176"/>
      <c r="G290" s="461"/>
      <c r="H290" s="461"/>
      <c r="I290" s="176"/>
      <c r="J290" s="461"/>
      <c r="K290" s="461"/>
      <c r="L290" s="176"/>
    </row>
    <row r="291" spans="1:12" s="460" customFormat="1">
      <c r="A291" s="176"/>
      <c r="B291" s="176"/>
      <c r="C291" s="176"/>
      <c r="D291" s="94"/>
      <c r="E291" s="94"/>
      <c r="F291" s="176"/>
      <c r="G291" s="461"/>
      <c r="H291" s="461"/>
      <c r="I291" s="176"/>
      <c r="J291" s="461"/>
      <c r="K291" s="461"/>
      <c r="L291" s="176"/>
    </row>
    <row r="292" spans="1:12" s="460" customFormat="1">
      <c r="A292" s="176"/>
      <c r="B292" s="176"/>
      <c r="C292" s="176"/>
      <c r="D292" s="94"/>
      <c r="E292" s="94"/>
      <c r="F292" s="176"/>
      <c r="G292" s="461"/>
      <c r="H292" s="461"/>
      <c r="I292" s="176"/>
      <c r="J292" s="461"/>
      <c r="K292" s="461"/>
      <c r="L292" s="176"/>
    </row>
    <row r="293" spans="1:12" s="460" customFormat="1">
      <c r="A293" s="176"/>
      <c r="B293" s="176"/>
      <c r="C293" s="176"/>
      <c r="D293" s="94"/>
      <c r="E293" s="94"/>
      <c r="F293" s="176"/>
      <c r="G293" s="461"/>
      <c r="H293" s="461"/>
      <c r="I293" s="176"/>
      <c r="J293" s="461"/>
      <c r="K293" s="461"/>
      <c r="L293" s="176"/>
    </row>
    <row r="294" spans="1:12" s="460" customFormat="1">
      <c r="A294" s="176"/>
      <c r="B294" s="176"/>
      <c r="C294" s="176"/>
      <c r="D294" s="94"/>
      <c r="E294" s="94"/>
      <c r="F294" s="176"/>
      <c r="G294" s="461"/>
      <c r="H294" s="461"/>
      <c r="I294" s="176"/>
      <c r="J294" s="461"/>
      <c r="K294" s="461"/>
      <c r="L294" s="176"/>
    </row>
    <row r="295" spans="1:12" s="460" customFormat="1">
      <c r="A295" s="176"/>
      <c r="B295" s="176"/>
      <c r="C295" s="176"/>
      <c r="D295" s="94"/>
      <c r="E295" s="94"/>
      <c r="F295" s="176"/>
      <c r="G295" s="461"/>
      <c r="H295" s="461"/>
      <c r="I295" s="176"/>
      <c r="J295" s="461"/>
      <c r="K295" s="461"/>
      <c r="L295" s="176"/>
    </row>
    <row r="296" spans="1:12" s="460" customFormat="1">
      <c r="A296" s="176"/>
      <c r="B296" s="176"/>
      <c r="C296" s="176"/>
      <c r="D296" s="94"/>
      <c r="E296" s="94"/>
      <c r="F296" s="176"/>
      <c r="G296" s="461"/>
      <c r="H296" s="461"/>
      <c r="I296" s="176"/>
      <c r="J296" s="461"/>
      <c r="K296" s="461"/>
      <c r="L296" s="176"/>
    </row>
    <row r="297" spans="1:12" s="460" customFormat="1">
      <c r="A297" s="176"/>
      <c r="B297" s="176"/>
      <c r="C297" s="176"/>
      <c r="D297" s="94"/>
      <c r="E297" s="94"/>
      <c r="F297" s="176"/>
      <c r="G297" s="461"/>
      <c r="H297" s="461"/>
      <c r="I297" s="176"/>
      <c r="J297" s="461"/>
      <c r="K297" s="461"/>
      <c r="L297" s="176"/>
    </row>
    <row r="298" spans="1:12" s="460" customFormat="1">
      <c r="A298" s="176"/>
      <c r="B298" s="176"/>
      <c r="C298" s="176"/>
      <c r="D298" s="94"/>
      <c r="E298" s="94"/>
      <c r="F298" s="176"/>
      <c r="G298" s="461"/>
      <c r="H298" s="461"/>
      <c r="I298" s="176"/>
      <c r="J298" s="461"/>
      <c r="K298" s="461"/>
      <c r="L298" s="176"/>
    </row>
    <row r="299" spans="1:12" s="460" customFormat="1">
      <c r="A299" s="176"/>
      <c r="B299" s="176"/>
      <c r="C299" s="176"/>
      <c r="D299" s="94"/>
      <c r="E299" s="94"/>
      <c r="F299" s="176"/>
      <c r="G299" s="461"/>
      <c r="H299" s="461"/>
      <c r="I299" s="176"/>
      <c r="J299" s="461"/>
      <c r="K299" s="461"/>
      <c r="L299" s="176"/>
    </row>
    <row r="300" spans="1:12" s="460" customFormat="1">
      <c r="A300" s="176"/>
      <c r="B300" s="176"/>
      <c r="C300" s="176"/>
      <c r="D300" s="94"/>
      <c r="E300" s="94"/>
      <c r="F300" s="176"/>
      <c r="G300" s="461"/>
      <c r="H300" s="461"/>
      <c r="I300" s="176"/>
      <c r="J300" s="461"/>
      <c r="K300" s="461"/>
      <c r="L300" s="176"/>
    </row>
    <row r="301" spans="1:12" s="460" customFormat="1">
      <c r="A301" s="176"/>
      <c r="B301" s="176"/>
      <c r="C301" s="176"/>
      <c r="D301" s="94"/>
      <c r="E301" s="94"/>
      <c r="F301" s="176"/>
      <c r="G301" s="461"/>
      <c r="H301" s="461"/>
      <c r="I301" s="176"/>
      <c r="J301" s="461"/>
      <c r="K301" s="461"/>
      <c r="L301" s="176"/>
    </row>
    <row r="302" spans="1:12" s="460" customFormat="1">
      <c r="A302" s="176"/>
      <c r="B302" s="176"/>
      <c r="C302" s="176"/>
      <c r="D302" s="94"/>
      <c r="E302" s="94"/>
      <c r="F302" s="176"/>
      <c r="G302" s="461"/>
      <c r="H302" s="461"/>
      <c r="I302" s="176"/>
      <c r="J302" s="461"/>
      <c r="K302" s="461"/>
      <c r="L302" s="176"/>
    </row>
    <row r="303" spans="1:12" s="460" customFormat="1">
      <c r="A303" s="176"/>
      <c r="B303" s="176"/>
      <c r="C303" s="176"/>
      <c r="D303" s="94"/>
      <c r="E303" s="94"/>
      <c r="F303" s="176"/>
      <c r="G303" s="461"/>
      <c r="H303" s="461"/>
      <c r="I303" s="176"/>
      <c r="J303" s="461"/>
      <c r="K303" s="461"/>
      <c r="L303" s="176"/>
    </row>
    <row r="304" spans="1:12" s="460" customFormat="1">
      <c r="A304" s="176"/>
      <c r="B304" s="176"/>
      <c r="C304" s="176"/>
      <c r="D304" s="94"/>
      <c r="E304" s="94"/>
      <c r="F304" s="176"/>
      <c r="G304" s="461"/>
      <c r="H304" s="461"/>
      <c r="I304" s="176"/>
      <c r="J304" s="461"/>
      <c r="K304" s="461"/>
      <c r="L304" s="176"/>
    </row>
    <row r="305" spans="1:12" s="460" customFormat="1">
      <c r="A305" s="176"/>
      <c r="B305" s="176"/>
      <c r="C305" s="176"/>
      <c r="D305" s="94"/>
      <c r="E305" s="94"/>
      <c r="F305" s="176"/>
      <c r="G305" s="461"/>
      <c r="H305" s="461"/>
      <c r="I305" s="176"/>
      <c r="J305" s="461"/>
      <c r="K305" s="461"/>
      <c r="L305" s="176"/>
    </row>
    <row r="306" spans="1:12" s="460" customFormat="1">
      <c r="A306" s="176"/>
      <c r="B306" s="176"/>
      <c r="C306" s="176"/>
      <c r="D306" s="94"/>
      <c r="E306" s="94"/>
      <c r="F306" s="176"/>
      <c r="G306" s="461"/>
      <c r="H306" s="461"/>
      <c r="I306" s="176"/>
      <c r="J306" s="461"/>
      <c r="K306" s="461"/>
      <c r="L306" s="176"/>
    </row>
    <row r="307" spans="1:12" s="460" customFormat="1">
      <c r="A307" s="176"/>
      <c r="B307" s="176"/>
      <c r="C307" s="176"/>
      <c r="D307" s="94"/>
      <c r="E307" s="94"/>
      <c r="F307" s="176"/>
      <c r="G307" s="461"/>
      <c r="H307" s="461"/>
      <c r="I307" s="176"/>
      <c r="J307" s="461"/>
      <c r="K307" s="461"/>
      <c r="L307" s="176"/>
    </row>
    <row r="308" spans="1:12" s="460" customFormat="1">
      <c r="A308" s="176"/>
      <c r="B308" s="176"/>
      <c r="C308" s="176"/>
      <c r="D308" s="94"/>
      <c r="E308" s="94"/>
      <c r="F308" s="176"/>
      <c r="G308" s="461"/>
      <c r="H308" s="461"/>
      <c r="I308" s="176"/>
      <c r="J308" s="461"/>
      <c r="K308" s="461"/>
      <c r="L308" s="176"/>
    </row>
    <row r="309" spans="1:12" s="460" customFormat="1">
      <c r="A309" s="176"/>
      <c r="B309" s="176"/>
      <c r="C309" s="176"/>
      <c r="D309" s="94"/>
      <c r="E309" s="94"/>
      <c r="F309" s="176"/>
      <c r="G309" s="461"/>
      <c r="H309" s="461"/>
      <c r="I309" s="176"/>
      <c r="J309" s="461"/>
      <c r="K309" s="461"/>
      <c r="L309" s="176"/>
    </row>
    <row r="310" spans="1:12" s="460" customFormat="1">
      <c r="A310" s="176"/>
      <c r="B310" s="176"/>
      <c r="C310" s="176"/>
      <c r="D310" s="94"/>
      <c r="E310" s="94"/>
      <c r="F310" s="176"/>
      <c r="G310" s="461"/>
      <c r="H310" s="461"/>
      <c r="I310" s="176"/>
      <c r="J310" s="461"/>
      <c r="K310" s="461"/>
      <c r="L310" s="176"/>
    </row>
    <row r="311" spans="1:12" s="460" customFormat="1">
      <c r="A311" s="176"/>
      <c r="B311" s="176"/>
      <c r="C311" s="176"/>
      <c r="D311" s="94"/>
      <c r="E311" s="94"/>
      <c r="F311" s="176"/>
      <c r="G311" s="461"/>
      <c r="H311" s="461"/>
      <c r="I311" s="176"/>
      <c r="J311" s="461"/>
      <c r="K311" s="461"/>
      <c r="L311" s="176"/>
    </row>
    <row r="312" spans="1:12" s="460" customFormat="1">
      <c r="A312" s="176"/>
      <c r="B312" s="176"/>
      <c r="C312" s="176"/>
      <c r="D312" s="94"/>
      <c r="E312" s="94"/>
      <c r="F312" s="176"/>
      <c r="G312" s="461"/>
      <c r="H312" s="461"/>
      <c r="I312" s="176"/>
      <c r="J312" s="461"/>
      <c r="K312" s="461"/>
      <c r="L312" s="176"/>
    </row>
    <row r="313" spans="1:12" s="460" customFormat="1">
      <c r="A313" s="176"/>
      <c r="B313" s="176"/>
      <c r="C313" s="176"/>
      <c r="D313" s="94"/>
      <c r="E313" s="94"/>
      <c r="F313" s="176"/>
      <c r="G313" s="461"/>
      <c r="H313" s="461"/>
      <c r="I313" s="176"/>
      <c r="J313" s="461"/>
      <c r="K313" s="461"/>
      <c r="L313" s="176"/>
    </row>
    <row r="314" spans="1:12" s="460" customFormat="1">
      <c r="A314" s="176"/>
      <c r="B314" s="176"/>
      <c r="C314" s="176"/>
      <c r="D314" s="94"/>
      <c r="E314" s="94"/>
      <c r="F314" s="176"/>
      <c r="G314" s="461"/>
      <c r="H314" s="461"/>
      <c r="I314" s="176"/>
      <c r="J314" s="461"/>
      <c r="K314" s="461"/>
      <c r="L314" s="176"/>
    </row>
    <row r="315" spans="1:12" s="460" customFormat="1">
      <c r="A315" s="176"/>
      <c r="B315" s="176"/>
      <c r="C315" s="176"/>
      <c r="D315" s="94"/>
      <c r="E315" s="94"/>
      <c r="F315" s="176"/>
      <c r="G315" s="461"/>
      <c r="H315" s="461"/>
      <c r="I315" s="176"/>
      <c r="J315" s="461"/>
      <c r="K315" s="461"/>
      <c r="L315" s="176"/>
    </row>
    <row r="316" spans="1:12" s="460" customFormat="1">
      <c r="A316" s="176"/>
      <c r="B316" s="176"/>
      <c r="C316" s="176"/>
      <c r="D316" s="94"/>
      <c r="E316" s="94"/>
      <c r="F316" s="176"/>
      <c r="G316" s="461"/>
      <c r="H316" s="461"/>
      <c r="I316" s="176"/>
      <c r="J316" s="461"/>
      <c r="K316" s="461"/>
      <c r="L316" s="176"/>
    </row>
    <row r="317" spans="1:12" s="460" customFormat="1">
      <c r="A317" s="176"/>
      <c r="B317" s="176"/>
      <c r="C317" s="176"/>
      <c r="D317" s="94"/>
      <c r="E317" s="94"/>
      <c r="F317" s="176"/>
      <c r="G317" s="461"/>
      <c r="H317" s="461"/>
      <c r="I317" s="176"/>
      <c r="J317" s="461"/>
      <c r="K317" s="461"/>
      <c r="L317" s="176"/>
    </row>
    <row r="318" spans="1:12" s="460" customFormat="1">
      <c r="A318" s="176"/>
      <c r="B318" s="176"/>
      <c r="C318" s="176"/>
      <c r="D318" s="94"/>
      <c r="E318" s="94"/>
      <c r="F318" s="176"/>
      <c r="G318" s="461"/>
      <c r="H318" s="461"/>
      <c r="I318" s="176"/>
      <c r="J318" s="461"/>
      <c r="K318" s="461"/>
      <c r="L318" s="176"/>
    </row>
    <row r="319" spans="1:12" s="460" customFormat="1">
      <c r="A319" s="176"/>
      <c r="B319" s="176"/>
      <c r="C319" s="176"/>
      <c r="D319" s="94"/>
      <c r="E319" s="94"/>
      <c r="F319" s="176"/>
      <c r="G319" s="461"/>
      <c r="H319" s="461"/>
      <c r="I319" s="176"/>
      <c r="J319" s="461"/>
      <c r="K319" s="461"/>
      <c r="L319" s="176"/>
    </row>
    <row r="320" spans="1:12" s="460" customFormat="1">
      <c r="A320" s="176"/>
      <c r="B320" s="176"/>
      <c r="C320" s="176"/>
      <c r="D320" s="94"/>
      <c r="E320" s="94"/>
      <c r="F320" s="176"/>
      <c r="G320" s="461"/>
      <c r="H320" s="461"/>
      <c r="I320" s="176"/>
      <c r="J320" s="461"/>
      <c r="K320" s="461"/>
      <c r="L320" s="176"/>
    </row>
    <row r="321" spans="1:12" s="460" customFormat="1">
      <c r="A321" s="176"/>
      <c r="B321" s="176"/>
      <c r="C321" s="176"/>
      <c r="D321" s="94"/>
      <c r="E321" s="94"/>
      <c r="F321" s="176"/>
      <c r="G321" s="461"/>
      <c r="H321" s="461"/>
      <c r="I321" s="176"/>
      <c r="J321" s="461"/>
      <c r="K321" s="461"/>
      <c r="L321" s="176"/>
    </row>
    <row r="322" spans="1:12" s="460" customFormat="1">
      <c r="A322" s="176"/>
      <c r="B322" s="176"/>
      <c r="C322" s="176"/>
      <c r="D322" s="94"/>
      <c r="E322" s="94"/>
      <c r="F322" s="176"/>
      <c r="G322" s="461"/>
      <c r="H322" s="461"/>
      <c r="I322" s="176"/>
      <c r="J322" s="461"/>
      <c r="K322" s="461"/>
      <c r="L322" s="176"/>
    </row>
    <row r="323" spans="1:12" s="460" customFormat="1">
      <c r="A323" s="176"/>
      <c r="B323" s="176"/>
      <c r="C323" s="176"/>
      <c r="D323" s="94"/>
      <c r="E323" s="94"/>
      <c r="F323" s="176"/>
      <c r="G323" s="461"/>
      <c r="H323" s="461"/>
      <c r="I323" s="176"/>
      <c r="J323" s="461"/>
      <c r="K323" s="461"/>
      <c r="L323" s="176"/>
    </row>
    <row r="324" spans="1:12" s="460" customFormat="1">
      <c r="A324" s="176"/>
      <c r="B324" s="176"/>
      <c r="C324" s="176"/>
      <c r="D324" s="94"/>
      <c r="E324" s="94"/>
      <c r="F324" s="176"/>
      <c r="G324" s="461"/>
      <c r="H324" s="461"/>
      <c r="I324" s="176"/>
      <c r="J324" s="461"/>
      <c r="K324" s="461"/>
      <c r="L324" s="176"/>
    </row>
    <row r="325" spans="1:12" s="460" customFormat="1">
      <c r="A325" s="176"/>
      <c r="B325" s="176"/>
      <c r="C325" s="176"/>
      <c r="D325" s="94"/>
      <c r="E325" s="94"/>
      <c r="F325" s="176"/>
      <c r="G325" s="461"/>
      <c r="H325" s="461"/>
      <c r="I325" s="176"/>
      <c r="J325" s="461"/>
      <c r="K325" s="461"/>
      <c r="L325" s="176"/>
    </row>
    <row r="326" spans="1:12" s="460" customFormat="1">
      <c r="A326" s="176"/>
      <c r="B326" s="176"/>
      <c r="C326" s="176"/>
      <c r="D326" s="94"/>
      <c r="E326" s="94"/>
      <c r="F326" s="176"/>
      <c r="G326" s="461"/>
      <c r="H326" s="461"/>
      <c r="I326" s="176"/>
      <c r="J326" s="461"/>
      <c r="K326" s="461"/>
      <c r="L326" s="176"/>
    </row>
    <row r="327" spans="1:12" s="460" customFormat="1">
      <c r="A327" s="176"/>
      <c r="B327" s="176"/>
      <c r="C327" s="176"/>
      <c r="D327" s="94"/>
      <c r="E327" s="94"/>
      <c r="F327" s="176"/>
      <c r="G327" s="461"/>
      <c r="H327" s="461"/>
      <c r="I327" s="176"/>
      <c r="J327" s="461"/>
      <c r="K327" s="461"/>
      <c r="L327" s="176"/>
    </row>
    <row r="328" spans="1:12" s="460" customFormat="1">
      <c r="A328" s="176"/>
      <c r="B328" s="176"/>
      <c r="C328" s="176"/>
      <c r="D328" s="94"/>
      <c r="E328" s="94"/>
      <c r="F328" s="176"/>
      <c r="G328" s="461"/>
      <c r="H328" s="461"/>
      <c r="I328" s="176"/>
      <c r="J328" s="461"/>
      <c r="K328" s="461"/>
      <c r="L328" s="176"/>
    </row>
    <row r="329" spans="1:12" s="460" customFormat="1">
      <c r="A329" s="176"/>
      <c r="B329" s="176"/>
      <c r="C329" s="176"/>
      <c r="D329" s="94"/>
      <c r="E329" s="94"/>
      <c r="F329" s="176"/>
      <c r="G329" s="461"/>
      <c r="H329" s="461"/>
      <c r="I329" s="176"/>
      <c r="J329" s="461"/>
      <c r="K329" s="461"/>
      <c r="L329" s="176"/>
    </row>
    <row r="330" spans="1:12" s="460" customFormat="1">
      <c r="A330" s="176"/>
      <c r="B330" s="176"/>
      <c r="C330" s="176"/>
      <c r="D330" s="94"/>
      <c r="E330" s="94"/>
      <c r="F330" s="176"/>
      <c r="G330" s="461"/>
      <c r="H330" s="461"/>
      <c r="I330" s="176"/>
      <c r="J330" s="461"/>
      <c r="K330" s="461"/>
      <c r="L330" s="176"/>
    </row>
    <row r="331" spans="1:12" s="460" customFormat="1">
      <c r="A331" s="176"/>
      <c r="B331" s="176"/>
      <c r="C331" s="176"/>
      <c r="D331" s="94"/>
      <c r="E331" s="94"/>
      <c r="F331" s="176"/>
      <c r="G331" s="461"/>
      <c r="H331" s="461"/>
      <c r="I331" s="176"/>
      <c r="J331" s="461"/>
      <c r="K331" s="461"/>
      <c r="L331" s="176"/>
    </row>
    <row r="332" spans="1:12" s="460" customFormat="1">
      <c r="A332" s="176"/>
      <c r="B332" s="176"/>
      <c r="C332" s="176"/>
      <c r="D332" s="94"/>
      <c r="E332" s="94"/>
      <c r="F332" s="176"/>
      <c r="G332" s="461"/>
      <c r="H332" s="461"/>
      <c r="I332" s="176"/>
      <c r="J332" s="461"/>
      <c r="K332" s="461"/>
      <c r="L332" s="176"/>
    </row>
    <row r="333" spans="1:12" s="460" customFormat="1">
      <c r="A333" s="176"/>
      <c r="B333" s="176"/>
      <c r="C333" s="176"/>
      <c r="D333" s="94"/>
      <c r="E333" s="94"/>
      <c r="F333" s="176"/>
      <c r="G333" s="461"/>
      <c r="H333" s="461"/>
      <c r="I333" s="176"/>
      <c r="J333" s="461"/>
      <c r="K333" s="461"/>
      <c r="L333" s="176"/>
    </row>
    <row r="334" spans="1:12" s="460" customFormat="1">
      <c r="A334" s="176"/>
      <c r="B334" s="176"/>
      <c r="C334" s="176"/>
      <c r="D334" s="94"/>
      <c r="E334" s="94"/>
      <c r="F334" s="176"/>
      <c r="G334" s="461"/>
      <c r="H334" s="461"/>
      <c r="I334" s="176"/>
      <c r="J334" s="461"/>
      <c r="K334" s="461"/>
      <c r="L334" s="176"/>
    </row>
    <row r="335" spans="1:12" s="460" customFormat="1">
      <c r="A335" s="176"/>
      <c r="B335" s="176"/>
      <c r="C335" s="176"/>
      <c r="D335" s="94"/>
      <c r="E335" s="94"/>
      <c r="F335" s="176"/>
      <c r="G335" s="461"/>
      <c r="H335" s="461"/>
      <c r="I335" s="176"/>
      <c r="J335" s="461"/>
      <c r="K335" s="461"/>
      <c r="L335" s="176"/>
    </row>
    <row r="336" spans="1:12" s="460" customFormat="1">
      <c r="A336" s="176"/>
      <c r="B336" s="176"/>
      <c r="C336" s="176"/>
      <c r="D336" s="94"/>
      <c r="E336" s="94"/>
      <c r="F336" s="176"/>
      <c r="G336" s="461"/>
      <c r="H336" s="461"/>
      <c r="I336" s="176"/>
      <c r="J336" s="461"/>
      <c r="K336" s="461"/>
      <c r="L336" s="176"/>
    </row>
    <row r="337" spans="1:12" s="460" customFormat="1">
      <c r="A337" s="176"/>
      <c r="B337" s="176"/>
      <c r="C337" s="176"/>
      <c r="D337" s="94"/>
      <c r="E337" s="94"/>
      <c r="F337" s="176"/>
      <c r="G337" s="461"/>
      <c r="H337" s="461"/>
      <c r="I337" s="176"/>
      <c r="J337" s="461"/>
      <c r="K337" s="461"/>
      <c r="L337" s="176"/>
    </row>
    <row r="338" spans="1:12" s="460" customFormat="1">
      <c r="A338" s="176"/>
      <c r="B338" s="176"/>
      <c r="C338" s="176"/>
      <c r="D338" s="94"/>
      <c r="E338" s="94"/>
      <c r="F338" s="176"/>
      <c r="G338" s="461"/>
      <c r="H338" s="461"/>
      <c r="I338" s="176"/>
      <c r="J338" s="461"/>
      <c r="K338" s="461"/>
      <c r="L338" s="176"/>
    </row>
    <row r="339" spans="1:12" s="460" customFormat="1">
      <c r="A339" s="176"/>
      <c r="B339" s="176"/>
      <c r="C339" s="176"/>
      <c r="D339" s="94"/>
      <c r="E339" s="94"/>
      <c r="F339" s="176"/>
      <c r="G339" s="461"/>
      <c r="H339" s="461"/>
      <c r="I339" s="176"/>
      <c r="J339" s="461"/>
      <c r="K339" s="461"/>
      <c r="L339" s="176"/>
    </row>
    <row r="340" spans="1:12" s="460" customFormat="1">
      <c r="A340" s="176"/>
      <c r="B340" s="176"/>
      <c r="C340" s="176"/>
      <c r="D340" s="94"/>
      <c r="E340" s="94"/>
      <c r="F340" s="176"/>
      <c r="G340" s="461"/>
      <c r="H340" s="461"/>
      <c r="I340" s="176"/>
      <c r="J340" s="461"/>
      <c r="K340" s="461"/>
      <c r="L340" s="176"/>
    </row>
    <row r="341" spans="1:12" s="460" customFormat="1">
      <c r="A341" s="176"/>
      <c r="B341" s="176"/>
      <c r="C341" s="176"/>
      <c r="D341" s="94"/>
      <c r="E341" s="94"/>
      <c r="F341" s="176"/>
      <c r="G341" s="461"/>
      <c r="H341" s="461"/>
      <c r="I341" s="176"/>
      <c r="J341" s="461"/>
      <c r="K341" s="461"/>
      <c r="L341" s="176"/>
    </row>
    <row r="342" spans="1:12" s="460" customFormat="1">
      <c r="A342" s="176"/>
      <c r="B342" s="176"/>
      <c r="C342" s="176"/>
      <c r="D342" s="94"/>
      <c r="E342" s="94"/>
      <c r="F342" s="176"/>
      <c r="G342" s="461"/>
      <c r="H342" s="461"/>
      <c r="I342" s="176"/>
      <c r="J342" s="461"/>
      <c r="K342" s="461"/>
      <c r="L342" s="176"/>
    </row>
    <row r="343" spans="1:12" s="460" customFormat="1">
      <c r="A343" s="176"/>
      <c r="B343" s="176"/>
      <c r="C343" s="176"/>
      <c r="D343" s="94"/>
      <c r="E343" s="94"/>
      <c r="F343" s="176"/>
      <c r="G343" s="461"/>
      <c r="H343" s="461"/>
      <c r="I343" s="176"/>
      <c r="J343" s="461"/>
      <c r="K343" s="461"/>
      <c r="L343" s="176"/>
    </row>
    <row r="344" spans="1:12" s="460" customFormat="1">
      <c r="A344" s="176"/>
      <c r="B344" s="176"/>
      <c r="C344" s="176"/>
      <c r="D344" s="94"/>
      <c r="E344" s="94"/>
      <c r="F344" s="176"/>
      <c r="G344" s="461"/>
      <c r="H344" s="461"/>
      <c r="I344" s="176"/>
      <c r="J344" s="461"/>
      <c r="K344" s="461"/>
      <c r="L344" s="176"/>
    </row>
    <row r="345" spans="1:12" s="460" customFormat="1">
      <c r="A345" s="176"/>
      <c r="B345" s="176"/>
      <c r="C345" s="176"/>
      <c r="D345" s="94"/>
      <c r="E345" s="94"/>
      <c r="F345" s="176"/>
      <c r="G345" s="461"/>
      <c r="H345" s="461"/>
      <c r="I345" s="176"/>
      <c r="J345" s="461"/>
      <c r="K345" s="461"/>
      <c r="L345" s="176"/>
    </row>
    <row r="346" spans="1:12" s="460" customFormat="1">
      <c r="A346" s="176"/>
      <c r="B346" s="176"/>
      <c r="C346" s="176"/>
      <c r="D346" s="94"/>
      <c r="E346" s="94"/>
      <c r="F346" s="176"/>
      <c r="G346" s="461"/>
      <c r="H346" s="461"/>
      <c r="I346" s="176"/>
      <c r="J346" s="461"/>
      <c r="K346" s="461"/>
      <c r="L346" s="176"/>
    </row>
    <row r="347" spans="1:12" s="460" customFormat="1">
      <c r="A347" s="176"/>
      <c r="B347" s="176"/>
      <c r="C347" s="176"/>
      <c r="D347" s="94"/>
      <c r="E347" s="94"/>
      <c r="F347" s="176"/>
      <c r="G347" s="461"/>
      <c r="H347" s="461"/>
      <c r="I347" s="176"/>
      <c r="J347" s="461"/>
      <c r="K347" s="461"/>
      <c r="L347" s="176"/>
    </row>
    <row r="348" spans="1:12" s="460" customFormat="1">
      <c r="A348" s="176"/>
      <c r="B348" s="176"/>
      <c r="C348" s="176"/>
      <c r="D348" s="94"/>
      <c r="E348" s="94"/>
      <c r="F348" s="176"/>
      <c r="G348" s="461"/>
      <c r="H348" s="461"/>
      <c r="I348" s="176"/>
      <c r="J348" s="461"/>
      <c r="K348" s="461"/>
      <c r="L348" s="176"/>
    </row>
    <row r="349" spans="1:12" s="460" customFormat="1">
      <c r="A349" s="176"/>
      <c r="B349" s="176"/>
      <c r="C349" s="176"/>
      <c r="D349" s="94"/>
      <c r="E349" s="94"/>
      <c r="F349" s="176"/>
      <c r="G349" s="461"/>
      <c r="H349" s="461"/>
      <c r="I349" s="176"/>
      <c r="J349" s="461"/>
      <c r="K349" s="461"/>
      <c r="L349" s="176"/>
    </row>
    <row r="350" spans="1:12" s="460" customFormat="1">
      <c r="A350" s="176"/>
      <c r="B350" s="176"/>
      <c r="C350" s="176"/>
      <c r="D350" s="94"/>
      <c r="E350" s="94"/>
      <c r="F350" s="176"/>
      <c r="G350" s="461"/>
      <c r="H350" s="461"/>
      <c r="I350" s="176"/>
      <c r="J350" s="461"/>
      <c r="K350" s="461"/>
      <c r="L350" s="176"/>
    </row>
    <row r="351" spans="1:12" s="460" customFormat="1">
      <c r="A351" s="176"/>
      <c r="B351" s="176"/>
      <c r="C351" s="176"/>
      <c r="D351" s="94"/>
      <c r="E351" s="94"/>
      <c r="F351" s="176"/>
      <c r="G351" s="461"/>
      <c r="H351" s="461"/>
      <c r="I351" s="176"/>
      <c r="J351" s="461"/>
      <c r="K351" s="461"/>
      <c r="L351" s="176"/>
    </row>
    <row r="352" spans="1:12" s="460" customFormat="1">
      <c r="A352" s="176"/>
      <c r="B352" s="176"/>
      <c r="C352" s="176"/>
      <c r="D352" s="94"/>
      <c r="E352" s="94"/>
      <c r="F352" s="176"/>
      <c r="G352" s="461"/>
      <c r="H352" s="461"/>
      <c r="I352" s="176"/>
      <c r="J352" s="461"/>
      <c r="K352" s="461"/>
      <c r="L352" s="176"/>
    </row>
    <row r="353" spans="1:12" s="460" customFormat="1">
      <c r="A353" s="176"/>
      <c r="B353" s="176"/>
      <c r="C353" s="176"/>
      <c r="D353" s="94"/>
      <c r="E353" s="94"/>
      <c r="F353" s="176"/>
      <c r="G353" s="461"/>
      <c r="H353" s="461"/>
      <c r="I353" s="176"/>
      <c r="J353" s="461"/>
      <c r="K353" s="461"/>
      <c r="L353" s="176"/>
    </row>
    <row r="354" spans="1:12" s="460" customFormat="1">
      <c r="A354" s="176"/>
      <c r="B354" s="176"/>
      <c r="C354" s="176"/>
      <c r="D354" s="94"/>
      <c r="E354" s="94"/>
      <c r="F354" s="176"/>
      <c r="G354" s="461"/>
      <c r="H354" s="461"/>
      <c r="I354" s="176"/>
      <c r="J354" s="461"/>
      <c r="K354" s="461"/>
      <c r="L354" s="176"/>
    </row>
    <row r="355" spans="1:12" s="460" customFormat="1">
      <c r="A355" s="176"/>
      <c r="B355" s="176"/>
      <c r="C355" s="176"/>
      <c r="D355" s="94"/>
      <c r="E355" s="94"/>
      <c r="F355" s="176"/>
      <c r="G355" s="461"/>
      <c r="H355" s="461"/>
      <c r="I355" s="176"/>
      <c r="J355" s="461"/>
      <c r="K355" s="461"/>
      <c r="L355" s="176"/>
    </row>
    <row r="356" spans="1:12" s="460" customFormat="1">
      <c r="A356" s="176"/>
      <c r="B356" s="176"/>
      <c r="C356" s="176"/>
      <c r="D356" s="94"/>
      <c r="E356" s="94"/>
      <c r="F356" s="176"/>
      <c r="G356" s="461"/>
      <c r="H356" s="461"/>
      <c r="I356" s="176"/>
      <c r="J356" s="461"/>
      <c r="K356" s="461"/>
      <c r="L356" s="176"/>
    </row>
    <row r="357" spans="1:12" s="460" customFormat="1">
      <c r="A357" s="176"/>
      <c r="B357" s="176"/>
      <c r="C357" s="176"/>
      <c r="D357" s="94"/>
      <c r="E357" s="94"/>
      <c r="F357" s="176"/>
      <c r="G357" s="461"/>
      <c r="H357" s="461"/>
      <c r="I357" s="176"/>
      <c r="J357" s="461"/>
      <c r="K357" s="461"/>
      <c r="L357" s="176"/>
    </row>
    <row r="358" spans="1:12" s="460" customFormat="1">
      <c r="A358" s="176"/>
      <c r="B358" s="176"/>
      <c r="C358" s="176"/>
      <c r="D358" s="94"/>
      <c r="E358" s="94"/>
      <c r="F358" s="176"/>
      <c r="G358" s="461"/>
      <c r="H358" s="461"/>
      <c r="I358" s="176"/>
      <c r="J358" s="461"/>
      <c r="K358" s="461"/>
      <c r="L358" s="176"/>
    </row>
    <row r="359" spans="1:12" s="460" customFormat="1">
      <c r="A359" s="176"/>
      <c r="B359" s="176"/>
      <c r="C359" s="176"/>
      <c r="D359" s="94"/>
      <c r="E359" s="94"/>
      <c r="F359" s="176"/>
      <c r="G359" s="461"/>
      <c r="H359" s="461"/>
      <c r="I359" s="176"/>
      <c r="J359" s="461"/>
      <c r="K359" s="461"/>
      <c r="L359" s="176"/>
    </row>
    <row r="360" spans="1:12" s="460" customFormat="1">
      <c r="A360" s="176"/>
      <c r="B360" s="176"/>
      <c r="C360" s="176"/>
      <c r="D360" s="94"/>
      <c r="E360" s="94"/>
      <c r="F360" s="176"/>
      <c r="G360" s="461"/>
      <c r="H360" s="461"/>
      <c r="I360" s="176"/>
      <c r="J360" s="461"/>
      <c r="K360" s="461"/>
      <c r="L360" s="176"/>
    </row>
    <row r="361" spans="1:12" s="460" customFormat="1">
      <c r="A361" s="176"/>
      <c r="B361" s="176"/>
      <c r="C361" s="176"/>
      <c r="D361" s="94"/>
      <c r="E361" s="94"/>
      <c r="F361" s="176"/>
      <c r="G361" s="461"/>
      <c r="H361" s="461"/>
      <c r="I361" s="176"/>
      <c r="J361" s="461"/>
      <c r="K361" s="461"/>
      <c r="L361" s="176"/>
    </row>
    <row r="362" spans="1:12" s="460" customFormat="1">
      <c r="A362" s="176"/>
      <c r="B362" s="176"/>
      <c r="C362" s="176"/>
      <c r="D362" s="94"/>
      <c r="E362" s="94"/>
      <c r="F362" s="176"/>
      <c r="G362" s="461"/>
      <c r="H362" s="461"/>
      <c r="I362" s="176"/>
      <c r="J362" s="461"/>
      <c r="K362" s="461"/>
      <c r="L362" s="176"/>
    </row>
    <row r="363" spans="1:12" s="460" customFormat="1">
      <c r="A363" s="176"/>
      <c r="B363" s="176"/>
      <c r="C363" s="176"/>
      <c r="D363" s="94"/>
      <c r="E363" s="94"/>
      <c r="F363" s="176"/>
      <c r="G363" s="461"/>
      <c r="H363" s="461"/>
      <c r="I363" s="176"/>
      <c r="J363" s="461"/>
      <c r="K363" s="461"/>
      <c r="L363" s="176"/>
    </row>
    <row r="364" spans="1:12" s="460" customFormat="1">
      <c r="A364" s="176"/>
      <c r="B364" s="176"/>
      <c r="C364" s="176"/>
      <c r="D364" s="94"/>
      <c r="E364" s="94"/>
      <c r="F364" s="176"/>
      <c r="G364" s="461"/>
      <c r="H364" s="461"/>
      <c r="I364" s="176"/>
      <c r="J364" s="461"/>
      <c r="K364" s="461"/>
      <c r="L364" s="176"/>
    </row>
    <row r="365" spans="1:12" s="460" customFormat="1">
      <c r="A365" s="176"/>
      <c r="B365" s="176"/>
      <c r="C365" s="176"/>
      <c r="D365" s="94"/>
      <c r="E365" s="94"/>
      <c r="F365" s="176"/>
      <c r="G365" s="461"/>
      <c r="H365" s="461"/>
      <c r="I365" s="176"/>
      <c r="J365" s="461"/>
      <c r="K365" s="461"/>
      <c r="L365" s="176"/>
    </row>
    <row r="366" spans="1:12" s="460" customFormat="1">
      <c r="A366" s="176"/>
      <c r="B366" s="176"/>
      <c r="C366" s="176"/>
      <c r="D366" s="94"/>
      <c r="E366" s="94"/>
      <c r="F366" s="176"/>
      <c r="G366" s="461"/>
      <c r="H366" s="461"/>
      <c r="I366" s="176"/>
      <c r="J366" s="461"/>
      <c r="K366" s="461"/>
      <c r="L366" s="176"/>
    </row>
    <row r="367" spans="1:12" s="460" customFormat="1">
      <c r="A367" s="176"/>
      <c r="B367" s="176"/>
      <c r="C367" s="176"/>
      <c r="D367" s="94"/>
      <c r="E367" s="94"/>
      <c r="F367" s="176"/>
      <c r="G367" s="461"/>
      <c r="H367" s="461"/>
      <c r="I367" s="176"/>
      <c r="J367" s="461"/>
      <c r="K367" s="461"/>
      <c r="L367" s="176"/>
    </row>
    <row r="368" spans="1:12" s="460" customFormat="1">
      <c r="A368" s="176"/>
      <c r="B368" s="176"/>
      <c r="C368" s="176"/>
      <c r="D368" s="94"/>
      <c r="E368" s="94"/>
      <c r="F368" s="176"/>
      <c r="G368" s="461"/>
      <c r="H368" s="461"/>
      <c r="I368" s="176"/>
      <c r="J368" s="461"/>
      <c r="K368" s="461"/>
      <c r="L368" s="176"/>
    </row>
    <row r="369" spans="1:12" s="460" customFormat="1">
      <c r="A369" s="176"/>
      <c r="B369" s="176"/>
      <c r="C369" s="176"/>
      <c r="D369" s="94"/>
      <c r="E369" s="94"/>
      <c r="F369" s="176"/>
      <c r="G369" s="461"/>
      <c r="H369" s="461"/>
      <c r="I369" s="176"/>
      <c r="J369" s="461"/>
      <c r="K369" s="461"/>
      <c r="L369" s="176"/>
    </row>
    <row r="370" spans="1:12" s="460" customFormat="1">
      <c r="A370" s="176"/>
      <c r="B370" s="176"/>
      <c r="C370" s="176"/>
      <c r="D370" s="94"/>
      <c r="E370" s="94"/>
      <c r="F370" s="176"/>
      <c r="G370" s="461"/>
      <c r="H370" s="461"/>
      <c r="I370" s="176"/>
      <c r="J370" s="461"/>
      <c r="K370" s="461"/>
      <c r="L370" s="176"/>
    </row>
    <row r="371" spans="1:12" s="460" customFormat="1">
      <c r="A371" s="176"/>
      <c r="B371" s="176"/>
      <c r="C371" s="176"/>
      <c r="D371" s="94"/>
      <c r="E371" s="94"/>
      <c r="F371" s="176"/>
      <c r="G371" s="461"/>
      <c r="H371" s="461"/>
      <c r="I371" s="176"/>
      <c r="J371" s="461"/>
      <c r="K371" s="461"/>
      <c r="L371" s="176"/>
    </row>
    <row r="372" spans="1:12" s="460" customFormat="1">
      <c r="A372" s="176"/>
      <c r="B372" s="176"/>
      <c r="C372" s="176"/>
      <c r="D372" s="94"/>
      <c r="E372" s="94"/>
      <c r="F372" s="176"/>
      <c r="G372" s="461"/>
      <c r="H372" s="461"/>
      <c r="I372" s="176"/>
      <c r="J372" s="461"/>
      <c r="K372" s="461"/>
      <c r="L372" s="176"/>
    </row>
    <row r="373" spans="1:12" s="460" customFormat="1">
      <c r="A373" s="176"/>
      <c r="B373" s="176"/>
      <c r="C373" s="176"/>
      <c r="D373" s="94"/>
      <c r="E373" s="94"/>
      <c r="F373" s="176"/>
      <c r="G373" s="461"/>
      <c r="H373" s="461"/>
      <c r="I373" s="176"/>
      <c r="J373" s="461"/>
      <c r="K373" s="461"/>
      <c r="L373" s="176"/>
    </row>
    <row r="374" spans="1:12" s="460" customFormat="1">
      <c r="A374" s="176"/>
      <c r="B374" s="176"/>
      <c r="C374" s="176"/>
      <c r="D374" s="94"/>
      <c r="E374" s="94"/>
      <c r="F374" s="176"/>
      <c r="G374" s="461"/>
      <c r="H374" s="461"/>
      <c r="I374" s="176"/>
      <c r="J374" s="461"/>
      <c r="K374" s="461"/>
      <c r="L374" s="176"/>
    </row>
    <row r="375" spans="1:12" s="460" customFormat="1">
      <c r="A375" s="176"/>
      <c r="B375" s="176"/>
      <c r="C375" s="176"/>
      <c r="D375" s="94"/>
      <c r="E375" s="94"/>
      <c r="F375" s="176"/>
      <c r="G375" s="461"/>
      <c r="H375" s="461"/>
      <c r="I375" s="176"/>
      <c r="J375" s="461"/>
      <c r="K375" s="461"/>
      <c r="L375" s="176"/>
    </row>
    <row r="376" spans="1:12" s="460" customFormat="1">
      <c r="A376" s="176"/>
      <c r="B376" s="176"/>
      <c r="C376" s="176"/>
      <c r="D376" s="94"/>
      <c r="E376" s="94"/>
      <c r="F376" s="176"/>
      <c r="G376" s="461"/>
      <c r="H376" s="461"/>
      <c r="I376" s="176"/>
      <c r="J376" s="461"/>
      <c r="K376" s="461"/>
      <c r="L376" s="176"/>
    </row>
    <row r="377" spans="1:12" s="460" customFormat="1">
      <c r="A377" s="176"/>
      <c r="B377" s="176"/>
      <c r="C377" s="176"/>
      <c r="D377" s="94"/>
      <c r="E377" s="94"/>
      <c r="F377" s="176"/>
      <c r="G377" s="461"/>
      <c r="H377" s="461"/>
      <c r="I377" s="176"/>
      <c r="J377" s="461"/>
      <c r="K377" s="461"/>
      <c r="L377" s="176"/>
    </row>
    <row r="378" spans="1:12" s="460" customFormat="1">
      <c r="A378" s="176"/>
      <c r="B378" s="176"/>
      <c r="C378" s="176"/>
      <c r="D378" s="94"/>
      <c r="E378" s="94"/>
      <c r="F378" s="176"/>
      <c r="G378" s="461"/>
      <c r="H378" s="461"/>
      <c r="I378" s="176"/>
      <c r="J378" s="461"/>
      <c r="K378" s="461"/>
      <c r="L378" s="176"/>
    </row>
    <row r="379" spans="1:12" s="460" customFormat="1">
      <c r="A379" s="176"/>
      <c r="B379" s="176"/>
      <c r="C379" s="176"/>
      <c r="D379" s="94"/>
      <c r="E379" s="94"/>
      <c r="F379" s="176"/>
      <c r="G379" s="461"/>
      <c r="H379" s="461"/>
      <c r="I379" s="176"/>
      <c r="J379" s="461"/>
      <c r="K379" s="461"/>
      <c r="L379" s="176"/>
    </row>
    <row r="380" spans="1:12" s="460" customFormat="1">
      <c r="A380" s="176"/>
      <c r="B380" s="176"/>
      <c r="C380" s="176"/>
      <c r="D380" s="94"/>
      <c r="E380" s="94"/>
      <c r="F380" s="176"/>
      <c r="G380" s="461"/>
      <c r="H380" s="461"/>
      <c r="I380" s="176"/>
      <c r="J380" s="461"/>
      <c r="K380" s="461"/>
      <c r="L380" s="176"/>
    </row>
    <row r="381" spans="1:12" s="460" customFormat="1">
      <c r="A381" s="176"/>
      <c r="B381" s="176"/>
      <c r="C381" s="176"/>
      <c r="D381" s="94"/>
      <c r="E381" s="94"/>
      <c r="F381" s="176"/>
      <c r="G381" s="461"/>
      <c r="H381" s="461"/>
      <c r="I381" s="176"/>
      <c r="J381" s="461"/>
      <c r="K381" s="461"/>
      <c r="L381" s="176"/>
    </row>
    <row r="382" spans="1:12" s="460" customFormat="1">
      <c r="A382" s="176"/>
      <c r="B382" s="176"/>
      <c r="C382" s="176"/>
      <c r="D382" s="94"/>
      <c r="E382" s="94"/>
      <c r="F382" s="176"/>
      <c r="G382" s="461"/>
      <c r="H382" s="461"/>
      <c r="I382" s="176"/>
      <c r="J382" s="461"/>
      <c r="K382" s="461"/>
      <c r="L382" s="176"/>
    </row>
    <row r="383" spans="1:12" s="460" customFormat="1">
      <c r="A383" s="176"/>
      <c r="B383" s="176"/>
      <c r="C383" s="176"/>
      <c r="D383" s="94"/>
      <c r="E383" s="94"/>
      <c r="F383" s="176"/>
      <c r="G383" s="461"/>
      <c r="H383" s="461"/>
      <c r="I383" s="176"/>
      <c r="J383" s="461"/>
      <c r="K383" s="461"/>
      <c r="L383" s="176"/>
    </row>
    <row r="384" spans="1:12" s="460" customFormat="1">
      <c r="A384" s="176"/>
      <c r="B384" s="176"/>
      <c r="C384" s="176"/>
      <c r="D384" s="94"/>
      <c r="E384" s="94"/>
      <c r="F384" s="176"/>
      <c r="G384" s="461"/>
      <c r="H384" s="461"/>
      <c r="I384" s="176"/>
      <c r="J384" s="461"/>
      <c r="K384" s="461"/>
      <c r="L384" s="176"/>
    </row>
    <row r="385" spans="1:12" s="460" customFormat="1">
      <c r="A385" s="176"/>
      <c r="B385" s="176"/>
      <c r="C385" s="176"/>
      <c r="D385" s="94"/>
      <c r="E385" s="94"/>
      <c r="F385" s="176"/>
      <c r="G385" s="461"/>
      <c r="H385" s="461"/>
      <c r="I385" s="176"/>
      <c r="J385" s="461"/>
      <c r="K385" s="461"/>
      <c r="L385" s="176"/>
    </row>
    <row r="386" spans="1:12" s="460" customFormat="1">
      <c r="A386" s="176"/>
      <c r="B386" s="176"/>
      <c r="C386" s="176"/>
      <c r="D386" s="94"/>
      <c r="E386" s="94"/>
      <c r="F386" s="176"/>
      <c r="G386" s="461"/>
      <c r="H386" s="461"/>
      <c r="I386" s="176"/>
      <c r="J386" s="461"/>
      <c r="K386" s="461"/>
      <c r="L386" s="176"/>
    </row>
    <row r="387" spans="1:12" s="460" customFormat="1">
      <c r="A387" s="176"/>
      <c r="B387" s="176"/>
      <c r="C387" s="176"/>
      <c r="D387" s="94"/>
      <c r="E387" s="94"/>
      <c r="F387" s="176"/>
      <c r="G387" s="461"/>
      <c r="H387" s="461"/>
      <c r="I387" s="176"/>
      <c r="J387" s="461"/>
      <c r="K387" s="461"/>
      <c r="L387" s="176"/>
    </row>
    <row r="388" spans="1:12" s="460" customFormat="1">
      <c r="A388" s="176"/>
      <c r="B388" s="176"/>
      <c r="C388" s="176"/>
      <c r="D388" s="94"/>
      <c r="E388" s="94"/>
      <c r="F388" s="176"/>
      <c r="G388" s="461"/>
      <c r="H388" s="461"/>
      <c r="I388" s="176"/>
      <c r="J388" s="461"/>
      <c r="K388" s="461"/>
      <c r="L388" s="176"/>
    </row>
    <row r="389" spans="1:12" s="460" customFormat="1">
      <c r="A389" s="176"/>
      <c r="B389" s="176"/>
      <c r="C389" s="176"/>
      <c r="D389" s="94"/>
      <c r="E389" s="94"/>
      <c r="F389" s="176"/>
      <c r="G389" s="461"/>
      <c r="H389" s="461"/>
      <c r="I389" s="176"/>
      <c r="J389" s="461"/>
      <c r="K389" s="461"/>
      <c r="L389" s="176"/>
    </row>
    <row r="390" spans="1:12" s="460" customFormat="1">
      <c r="A390" s="176"/>
      <c r="B390" s="176"/>
      <c r="C390" s="176"/>
      <c r="D390" s="94"/>
      <c r="E390" s="94"/>
      <c r="F390" s="176"/>
      <c r="G390" s="461"/>
      <c r="H390" s="461"/>
      <c r="I390" s="176"/>
      <c r="J390" s="461"/>
      <c r="K390" s="461"/>
      <c r="L390" s="176"/>
    </row>
    <row r="391" spans="1:12" s="460" customFormat="1">
      <c r="A391" s="176"/>
      <c r="B391" s="176"/>
      <c r="C391" s="176"/>
      <c r="D391" s="94"/>
      <c r="E391" s="94"/>
      <c r="F391" s="176"/>
      <c r="G391" s="461"/>
      <c r="H391" s="461"/>
      <c r="I391" s="176"/>
      <c r="J391" s="461"/>
      <c r="K391" s="461"/>
      <c r="L391" s="176"/>
    </row>
    <row r="392" spans="1:12" s="460" customFormat="1">
      <c r="A392" s="176"/>
      <c r="B392" s="176"/>
      <c r="C392" s="176"/>
      <c r="D392" s="94"/>
      <c r="E392" s="94"/>
      <c r="F392" s="176"/>
      <c r="G392" s="461"/>
      <c r="H392" s="461"/>
      <c r="I392" s="176"/>
      <c r="J392" s="461"/>
      <c r="K392" s="461"/>
      <c r="L392" s="176"/>
    </row>
    <row r="393" spans="1:12" s="460" customFormat="1">
      <c r="A393" s="176"/>
      <c r="B393" s="176"/>
      <c r="C393" s="176"/>
      <c r="D393" s="94"/>
      <c r="E393" s="94"/>
      <c r="F393" s="176"/>
      <c r="G393" s="461"/>
      <c r="H393" s="461"/>
      <c r="I393" s="176"/>
      <c r="J393" s="461"/>
      <c r="K393" s="461"/>
      <c r="L393" s="176"/>
    </row>
    <row r="394" spans="1:12" s="460" customFormat="1">
      <c r="A394" s="176"/>
      <c r="B394" s="176"/>
      <c r="C394" s="176"/>
      <c r="D394" s="94"/>
      <c r="E394" s="94"/>
      <c r="F394" s="176"/>
      <c r="G394" s="461"/>
      <c r="H394" s="461"/>
      <c r="I394" s="176"/>
      <c r="J394" s="461"/>
      <c r="K394" s="461"/>
      <c r="L394" s="176"/>
    </row>
    <row r="395" spans="1:12" s="460" customFormat="1">
      <c r="A395" s="176"/>
      <c r="B395" s="176"/>
      <c r="C395" s="176"/>
      <c r="D395" s="94"/>
      <c r="E395" s="94"/>
      <c r="F395" s="176"/>
      <c r="G395" s="461"/>
      <c r="H395" s="461"/>
      <c r="I395" s="176"/>
      <c r="J395" s="461"/>
      <c r="K395" s="461"/>
      <c r="L395" s="176"/>
    </row>
    <row r="396" spans="1:12" s="460" customFormat="1">
      <c r="A396" s="176"/>
      <c r="B396" s="176"/>
      <c r="C396" s="176"/>
      <c r="D396" s="94"/>
      <c r="E396" s="94"/>
      <c r="F396" s="176"/>
      <c r="G396" s="461"/>
      <c r="H396" s="461"/>
      <c r="I396" s="176"/>
      <c r="J396" s="461"/>
      <c r="K396" s="461"/>
      <c r="L396" s="176"/>
    </row>
    <row r="397" spans="1:12" s="460" customFormat="1">
      <c r="A397" s="176"/>
      <c r="B397" s="176"/>
      <c r="C397" s="176"/>
      <c r="D397" s="94"/>
      <c r="E397" s="94"/>
      <c r="F397" s="176"/>
      <c r="G397" s="461"/>
      <c r="H397" s="461"/>
      <c r="I397" s="176"/>
      <c r="J397" s="461"/>
      <c r="K397" s="461"/>
      <c r="L397" s="176"/>
    </row>
    <row r="398" spans="1:12" s="460" customFormat="1">
      <c r="A398" s="176"/>
      <c r="B398" s="176"/>
      <c r="C398" s="176"/>
      <c r="D398" s="94"/>
      <c r="E398" s="94"/>
      <c r="F398" s="176"/>
      <c r="G398" s="461"/>
      <c r="H398" s="461"/>
      <c r="I398" s="176"/>
      <c r="J398" s="461"/>
      <c r="K398" s="461"/>
      <c r="L398" s="176"/>
    </row>
    <row r="399" spans="1:12" s="460" customFormat="1">
      <c r="A399" s="176"/>
      <c r="B399" s="176"/>
      <c r="C399" s="176"/>
      <c r="D399" s="94"/>
      <c r="E399" s="94"/>
      <c r="F399" s="176"/>
      <c r="G399" s="461"/>
      <c r="H399" s="461"/>
      <c r="I399" s="176"/>
      <c r="J399" s="461"/>
      <c r="K399" s="461"/>
      <c r="L399" s="176"/>
    </row>
    <row r="400" spans="1:12" s="460" customFormat="1">
      <c r="A400" s="176"/>
      <c r="B400" s="176"/>
      <c r="C400" s="176"/>
      <c r="D400" s="94"/>
      <c r="E400" s="94"/>
      <c r="F400" s="176"/>
      <c r="G400" s="461"/>
      <c r="H400" s="461"/>
      <c r="I400" s="176"/>
      <c r="J400" s="461"/>
      <c r="K400" s="461"/>
      <c r="L400" s="176"/>
    </row>
    <row r="401" spans="1:12" s="460" customFormat="1">
      <c r="A401" s="176"/>
      <c r="B401" s="176"/>
      <c r="C401" s="176"/>
      <c r="D401" s="94"/>
      <c r="E401" s="94"/>
      <c r="F401" s="176"/>
      <c r="G401" s="461"/>
      <c r="H401" s="461"/>
      <c r="I401" s="176"/>
      <c r="J401" s="461"/>
      <c r="K401" s="461"/>
      <c r="L401" s="176"/>
    </row>
    <row r="402" spans="1:12" s="460" customFormat="1">
      <c r="A402" s="176"/>
      <c r="B402" s="176"/>
      <c r="C402" s="176"/>
      <c r="D402" s="94"/>
      <c r="E402" s="94"/>
      <c r="F402" s="176"/>
      <c r="G402" s="461"/>
      <c r="H402" s="461"/>
      <c r="I402" s="176"/>
      <c r="J402" s="461"/>
      <c r="K402" s="461"/>
      <c r="L402" s="176"/>
    </row>
    <row r="403" spans="1:12" s="460" customFormat="1">
      <c r="A403" s="176"/>
      <c r="B403" s="176"/>
      <c r="C403" s="176"/>
      <c r="D403" s="94"/>
      <c r="E403" s="94"/>
      <c r="F403" s="176"/>
      <c r="G403" s="461"/>
      <c r="H403" s="461"/>
      <c r="I403" s="176"/>
      <c r="J403" s="461"/>
      <c r="K403" s="461"/>
      <c r="L403" s="176"/>
    </row>
    <row r="404" spans="1:12" s="460" customFormat="1">
      <c r="A404" s="176"/>
      <c r="B404" s="176"/>
      <c r="C404" s="176"/>
      <c r="D404" s="94"/>
      <c r="E404" s="94"/>
      <c r="F404" s="176"/>
      <c r="G404" s="461"/>
      <c r="H404" s="461"/>
      <c r="I404" s="176"/>
      <c r="J404" s="461"/>
      <c r="K404" s="461"/>
      <c r="L404" s="176"/>
    </row>
    <row r="405" spans="1:12" s="460" customFormat="1">
      <c r="A405" s="176"/>
      <c r="B405" s="176"/>
      <c r="C405" s="176"/>
      <c r="D405" s="94"/>
      <c r="E405" s="94"/>
      <c r="F405" s="176"/>
      <c r="G405" s="461"/>
      <c r="H405" s="461"/>
      <c r="I405" s="176"/>
      <c r="J405" s="461"/>
      <c r="K405" s="461"/>
      <c r="L405" s="176"/>
    </row>
    <row r="406" spans="1:12" s="460" customFormat="1">
      <c r="A406" s="176"/>
      <c r="B406" s="176"/>
      <c r="C406" s="176"/>
      <c r="D406" s="94"/>
      <c r="E406" s="94"/>
      <c r="F406" s="176"/>
      <c r="G406" s="461"/>
      <c r="H406" s="461"/>
      <c r="I406" s="176"/>
      <c r="J406" s="461"/>
      <c r="K406" s="461"/>
      <c r="L406" s="176"/>
    </row>
    <row r="407" spans="1:12" s="460" customFormat="1">
      <c r="A407" s="176"/>
      <c r="B407" s="176"/>
      <c r="C407" s="176"/>
      <c r="D407" s="94"/>
      <c r="E407" s="94"/>
      <c r="F407" s="176"/>
      <c r="G407" s="461"/>
      <c r="H407" s="461"/>
      <c r="I407" s="176"/>
      <c r="J407" s="461"/>
      <c r="K407" s="461"/>
      <c r="L407" s="176"/>
    </row>
    <row r="408" spans="1:12" s="460" customFormat="1">
      <c r="A408" s="176"/>
      <c r="B408" s="176"/>
      <c r="C408" s="176"/>
      <c r="D408" s="94"/>
      <c r="E408" s="94"/>
      <c r="F408" s="176"/>
      <c r="G408" s="461"/>
      <c r="H408" s="461"/>
      <c r="I408" s="176"/>
      <c r="J408" s="461"/>
      <c r="K408" s="461"/>
      <c r="L408" s="176"/>
    </row>
    <row r="409" spans="1:12" s="460" customFormat="1">
      <c r="A409" s="176"/>
      <c r="B409" s="176"/>
      <c r="C409" s="176"/>
      <c r="D409" s="94"/>
      <c r="E409" s="94"/>
      <c r="F409" s="176"/>
      <c r="G409" s="461"/>
      <c r="H409" s="461"/>
      <c r="I409" s="176"/>
      <c r="J409" s="461"/>
      <c r="K409" s="461"/>
      <c r="L409" s="176"/>
    </row>
    <row r="410" spans="1:12" s="460" customFormat="1">
      <c r="A410" s="176"/>
      <c r="B410" s="176"/>
      <c r="C410" s="176"/>
      <c r="D410" s="94"/>
      <c r="E410" s="94"/>
      <c r="F410" s="176"/>
      <c r="G410" s="176"/>
      <c r="H410" s="176"/>
      <c r="I410" s="176"/>
      <c r="J410" s="461"/>
      <c r="K410" s="461"/>
      <c r="L410" s="176"/>
    </row>
    <row r="411" spans="1:12" s="460" customFormat="1">
      <c r="A411" s="176"/>
      <c r="B411" s="176"/>
      <c r="C411" s="176"/>
      <c r="D411" s="94"/>
      <c r="E411" s="94"/>
      <c r="F411" s="176"/>
      <c r="G411" s="461"/>
      <c r="H411" s="461"/>
      <c r="I411" s="176"/>
      <c r="J411" s="461"/>
      <c r="K411" s="461"/>
      <c r="L411" s="176"/>
    </row>
    <row r="412" spans="1:12" s="460" customFormat="1">
      <c r="A412" s="176"/>
      <c r="B412" s="176"/>
      <c r="C412" s="176"/>
      <c r="D412" s="94"/>
      <c r="E412" s="94"/>
      <c r="F412" s="176"/>
      <c r="G412" s="461"/>
      <c r="H412" s="461"/>
      <c r="I412" s="176"/>
      <c r="J412" s="461"/>
      <c r="K412" s="461"/>
      <c r="L412" s="176"/>
    </row>
    <row r="413" spans="1:12" s="460" customFormat="1">
      <c r="A413" s="176"/>
      <c r="B413" s="176"/>
      <c r="C413" s="176"/>
      <c r="D413" s="94"/>
      <c r="E413" s="94"/>
      <c r="F413" s="176"/>
      <c r="G413" s="461"/>
      <c r="H413" s="461"/>
      <c r="I413" s="176"/>
      <c r="J413" s="461"/>
      <c r="K413" s="461"/>
      <c r="L413" s="176"/>
    </row>
    <row r="414" spans="1:12" s="460" customFormat="1">
      <c r="A414" s="176"/>
      <c r="B414" s="176"/>
      <c r="C414" s="176"/>
      <c r="D414" s="94"/>
      <c r="E414" s="94"/>
      <c r="F414" s="176"/>
      <c r="G414" s="461"/>
      <c r="H414" s="461"/>
      <c r="I414" s="176"/>
      <c r="J414" s="461"/>
      <c r="K414" s="461"/>
      <c r="L414" s="176"/>
    </row>
    <row r="415" spans="1:12" s="460" customFormat="1">
      <c r="A415" s="176"/>
      <c r="B415" s="176"/>
      <c r="C415" s="176"/>
      <c r="D415" s="94"/>
      <c r="E415" s="94"/>
      <c r="F415" s="176"/>
      <c r="G415" s="461"/>
      <c r="H415" s="461"/>
      <c r="I415" s="176"/>
      <c r="J415" s="461"/>
      <c r="K415" s="461"/>
      <c r="L415" s="176"/>
    </row>
    <row r="416" spans="1:12" s="460" customFormat="1">
      <c r="A416" s="176"/>
      <c r="B416" s="176"/>
      <c r="C416" s="176"/>
      <c r="D416" s="94"/>
      <c r="E416" s="94"/>
      <c r="F416" s="176"/>
      <c r="G416" s="461"/>
      <c r="H416" s="461"/>
      <c r="I416" s="176"/>
      <c r="J416" s="461"/>
      <c r="K416" s="461"/>
      <c r="L416" s="176"/>
    </row>
    <row r="417" spans="1:12" s="460" customFormat="1">
      <c r="A417" s="176"/>
      <c r="B417" s="176"/>
      <c r="C417" s="176"/>
      <c r="D417" s="94"/>
      <c r="E417" s="94"/>
      <c r="F417" s="176"/>
      <c r="G417" s="176"/>
      <c r="H417" s="176"/>
      <c r="I417" s="176"/>
      <c r="J417" s="461"/>
      <c r="K417" s="461"/>
      <c r="L417" s="176"/>
    </row>
    <row r="418" spans="1:12" s="460" customFormat="1">
      <c r="A418" s="176"/>
      <c r="B418" s="176"/>
      <c r="C418" s="176"/>
      <c r="D418" s="94"/>
      <c r="E418" s="94"/>
      <c r="F418" s="176"/>
      <c r="G418" s="176"/>
      <c r="H418" s="176"/>
      <c r="I418" s="176"/>
      <c r="J418" s="461"/>
      <c r="K418" s="461"/>
      <c r="L418" s="176"/>
    </row>
    <row r="419" spans="1:12" s="460" customFormat="1">
      <c r="A419" s="176"/>
      <c r="B419" s="176"/>
      <c r="C419" s="176"/>
      <c r="D419" s="94"/>
      <c r="E419" s="94"/>
      <c r="F419" s="176"/>
      <c r="G419" s="176"/>
      <c r="H419" s="176"/>
      <c r="I419" s="176"/>
      <c r="J419" s="461"/>
      <c r="K419" s="461"/>
      <c r="L419" s="176"/>
    </row>
    <row r="420" spans="1:12" s="460" customFormat="1">
      <c r="A420" s="176"/>
      <c r="B420" s="176"/>
      <c r="C420" s="176"/>
      <c r="D420" s="94"/>
      <c r="E420" s="94"/>
      <c r="F420" s="176"/>
      <c r="G420" s="176"/>
      <c r="H420" s="176"/>
      <c r="I420" s="176"/>
      <c r="J420" s="461"/>
      <c r="K420" s="461"/>
      <c r="L420" s="176"/>
    </row>
    <row r="421" spans="1:12" s="460" customFormat="1">
      <c r="A421" s="176"/>
      <c r="B421" s="176"/>
      <c r="C421" s="176"/>
      <c r="D421" s="94"/>
      <c r="E421" s="94"/>
      <c r="F421" s="176"/>
      <c r="G421" s="176"/>
      <c r="H421" s="176"/>
      <c r="I421" s="176"/>
      <c r="J421" s="461"/>
      <c r="K421" s="461"/>
      <c r="L421" s="176"/>
    </row>
    <row r="422" spans="1:12" s="460" customFormat="1">
      <c r="A422" s="176"/>
      <c r="B422" s="176"/>
      <c r="C422" s="176"/>
      <c r="D422" s="94"/>
      <c r="E422" s="94"/>
      <c r="F422" s="176"/>
      <c r="G422" s="461"/>
      <c r="H422" s="461"/>
      <c r="I422" s="176"/>
      <c r="J422" s="461"/>
      <c r="K422" s="461"/>
      <c r="L422" s="176"/>
    </row>
    <row r="423" spans="1:12" s="460" customFormat="1">
      <c r="A423" s="176"/>
      <c r="B423" s="176"/>
      <c r="C423" s="176"/>
      <c r="D423" s="94"/>
      <c r="E423" s="94"/>
      <c r="F423" s="176"/>
      <c r="G423" s="176"/>
      <c r="H423" s="176"/>
      <c r="I423" s="176"/>
      <c r="J423" s="461"/>
      <c r="K423" s="461"/>
      <c r="L423" s="176"/>
    </row>
    <row r="424" spans="1:12" s="460" customFormat="1">
      <c r="A424" s="176"/>
      <c r="B424" s="176"/>
      <c r="C424" s="176"/>
      <c r="D424" s="94"/>
      <c r="E424" s="94"/>
      <c r="F424" s="176"/>
      <c r="G424" s="176"/>
      <c r="H424" s="176"/>
      <c r="I424" s="176"/>
      <c r="J424" s="461"/>
      <c r="K424" s="461"/>
      <c r="L424" s="176"/>
    </row>
    <row r="425" spans="1:12" s="460" customFormat="1">
      <c r="A425" s="176"/>
      <c r="B425" s="176"/>
      <c r="C425" s="176"/>
      <c r="D425" s="94"/>
      <c r="E425" s="94"/>
      <c r="F425" s="176"/>
      <c r="G425" s="176"/>
      <c r="H425" s="176"/>
      <c r="I425" s="176"/>
      <c r="J425" s="461"/>
      <c r="K425" s="461"/>
      <c r="L425" s="176"/>
    </row>
    <row r="426" spans="1:12" s="460" customFormat="1">
      <c r="D426" s="435"/>
      <c r="E426" s="435"/>
    </row>
  </sheetData>
  <autoFilter ref="A101:J179"/>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1"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AD87"/>
  <sheetViews>
    <sheetView showGridLines="0" zoomScaleNormal="100" zoomScaleSheetLayoutView="100" workbookViewId="0">
      <pane xSplit="1" ySplit="11" topLeftCell="B12" activePane="bottomRight" state="frozen"/>
      <selection pane="topRight" activeCell="B1" sqref="B1"/>
      <selection pane="bottomLeft" activeCell="A12" sqref="A12"/>
      <selection pane="bottomRight" activeCell="S12" sqref="S12:S14"/>
    </sheetView>
  </sheetViews>
  <sheetFormatPr baseColWidth="10" defaultColWidth="11.42578125" defaultRowHeight="14.25"/>
  <cols>
    <col min="1" max="1" width="0.85546875" style="4" customWidth="1"/>
    <col min="2" max="2" width="3.28515625" style="4" customWidth="1"/>
    <col min="3" max="3" width="3.28515625" style="17" customWidth="1"/>
    <col min="4" max="4" width="6.7109375" style="4" customWidth="1"/>
    <col min="5" max="5" width="17.42578125" style="4" customWidth="1"/>
    <col min="6" max="6" width="13" style="4" customWidth="1"/>
    <col min="7" max="7" width="13.28515625" style="4" customWidth="1"/>
    <col min="8" max="8" width="12.140625" style="4" customWidth="1"/>
    <col min="9" max="9" width="13" style="4" customWidth="1"/>
    <col min="10" max="10" width="9.85546875" style="4" customWidth="1"/>
    <col min="11" max="11" width="9.5703125" style="4" customWidth="1"/>
    <col min="12" max="12" width="4.85546875" style="4" customWidth="1"/>
    <col min="13" max="13" width="4.28515625" style="4" customWidth="1"/>
    <col min="14" max="14" width="4.5703125" style="4" customWidth="1"/>
    <col min="15" max="15" width="4.85546875" style="4" customWidth="1"/>
    <col min="16" max="16" width="6" style="4" customWidth="1"/>
    <col min="17" max="17" width="8.42578125" style="65" customWidth="1"/>
    <col min="18" max="18" width="9" style="4" customWidth="1"/>
    <col min="19" max="20" width="68.5703125" style="4" customWidth="1"/>
    <col min="21" max="21" width="9.42578125" style="4" hidden="1" customWidth="1"/>
    <col min="22" max="16384" width="11.42578125" style="4"/>
  </cols>
  <sheetData>
    <row r="1" spans="1:20" ht="5.25" customHeight="1">
      <c r="A1" s="8"/>
      <c r="Q1" s="4"/>
    </row>
    <row r="2" spans="1:20" s="9" customFormat="1" ht="14.25" customHeight="1">
      <c r="A2" s="13"/>
      <c r="B2" s="524" t="str">
        <f>Basisdaten!B2</f>
        <v>Anlage EB Version J1.1 (Auditjahr 2022 / Kennzahlenjahr 2021)</v>
      </c>
      <c r="C2" s="72"/>
      <c r="P2" s="4"/>
    </row>
    <row r="3" spans="1:20" ht="15.75" customHeight="1">
      <c r="A3" s="50"/>
      <c r="B3" s="50" t="s">
        <v>179</v>
      </c>
      <c r="P3" s="28"/>
      <c r="Q3" s="4"/>
    </row>
    <row r="4" spans="1:20" ht="7.5" customHeight="1">
      <c r="A4" s="50"/>
      <c r="P4" s="28"/>
      <c r="Q4" s="4"/>
    </row>
    <row r="5" spans="1:20" ht="5.25" customHeight="1">
      <c r="F5" s="15"/>
      <c r="G5" s="15"/>
      <c r="H5" s="15"/>
      <c r="I5" s="15"/>
      <c r="J5" s="15"/>
      <c r="K5" s="15"/>
      <c r="L5" s="15"/>
      <c r="M5" s="15"/>
      <c r="N5" s="15"/>
      <c r="O5" s="15"/>
      <c r="P5" s="28"/>
      <c r="Q5" s="4"/>
    </row>
    <row r="6" spans="1:20" s="30" customFormat="1" ht="15" customHeight="1">
      <c r="B6" s="32" t="s">
        <v>133</v>
      </c>
      <c r="C6" s="54"/>
      <c r="D6" s="32"/>
      <c r="F6" s="940" t="str">
        <f>IF(Basisdaten!C8=0,"",Basisdaten!C8)</f>
        <v/>
      </c>
      <c r="G6" s="941"/>
      <c r="H6" s="942"/>
      <c r="I6" s="942"/>
      <c r="J6" s="942"/>
      <c r="K6" s="942"/>
      <c r="L6" s="942"/>
      <c r="M6" s="942"/>
      <c r="N6" s="943"/>
      <c r="O6" s="467"/>
      <c r="P6" s="28"/>
      <c r="Q6" s="28"/>
      <c r="R6" s="26"/>
      <c r="S6" s="28"/>
      <c r="T6" s="28"/>
    </row>
    <row r="7" spans="1:20" s="30" customFormat="1" ht="4.5" customHeight="1">
      <c r="B7" s="7"/>
      <c r="C7" s="102"/>
      <c r="D7" s="7"/>
      <c r="E7" s="29"/>
      <c r="F7" s="15"/>
      <c r="G7" s="15"/>
      <c r="H7" s="15"/>
      <c r="I7" s="15"/>
      <c r="J7" s="15"/>
      <c r="K7" s="15"/>
      <c r="L7" s="15"/>
      <c r="M7" s="15"/>
      <c r="N7" s="15"/>
      <c r="O7" s="15"/>
      <c r="P7" s="28"/>
      <c r="Q7" s="28"/>
      <c r="R7" s="26"/>
      <c r="S7" s="28"/>
      <c r="T7" s="28"/>
    </row>
    <row r="8" spans="1:20" s="30" customFormat="1" ht="15" customHeight="1">
      <c r="B8" s="32" t="s">
        <v>80</v>
      </c>
      <c r="C8" s="54"/>
      <c r="D8" s="32"/>
      <c r="E8" s="31"/>
      <c r="F8" s="940" t="str">
        <f>IF(Basisdaten!C6=0,"",Basisdaten!C6)</f>
        <v/>
      </c>
      <c r="G8" s="944"/>
      <c r="H8" s="28"/>
      <c r="I8" s="28"/>
      <c r="J8" s="209" t="s">
        <v>77</v>
      </c>
      <c r="K8" s="945" t="str">
        <f>IF(Basisdaten!O12=0,"",Basisdaten!O12)</f>
        <v/>
      </c>
      <c r="L8" s="946"/>
      <c r="M8" s="946"/>
      <c r="N8" s="947"/>
      <c r="O8" s="468"/>
      <c r="P8" s="28"/>
      <c r="Q8" s="28"/>
      <c r="R8" s="26"/>
      <c r="S8" s="28"/>
      <c r="T8" s="28"/>
    </row>
    <row r="9" spans="1:20" ht="17.25" customHeight="1" thickBot="1">
      <c r="F9" s="15"/>
      <c r="G9" s="15"/>
      <c r="H9" s="15"/>
      <c r="I9" s="15"/>
      <c r="J9" s="15"/>
      <c r="K9" s="15"/>
      <c r="L9" s="15"/>
      <c r="M9" s="15"/>
      <c r="N9" s="15"/>
      <c r="O9" s="15"/>
      <c r="P9" s="28"/>
      <c r="Q9" s="4"/>
    </row>
    <row r="10" spans="1:20" s="11" customFormat="1" ht="15" customHeight="1" thickBot="1">
      <c r="B10" s="923" t="s">
        <v>437</v>
      </c>
      <c r="C10" s="924"/>
      <c r="D10" s="928" t="s">
        <v>744</v>
      </c>
      <c r="E10" s="935" t="s">
        <v>168</v>
      </c>
      <c r="F10" s="935" t="s">
        <v>6</v>
      </c>
      <c r="G10" s="936"/>
      <c r="H10" s="935" t="s">
        <v>7</v>
      </c>
      <c r="I10" s="936"/>
      <c r="J10" s="935" t="s">
        <v>84</v>
      </c>
      <c r="K10" s="936"/>
      <c r="L10" s="930" t="s">
        <v>386</v>
      </c>
      <c r="M10" s="938" t="s">
        <v>8</v>
      </c>
      <c r="N10" s="939"/>
      <c r="O10" s="930" t="s">
        <v>386</v>
      </c>
      <c r="P10" s="923" t="s">
        <v>491</v>
      </c>
      <c r="Q10" s="950"/>
      <c r="R10" s="948" t="s">
        <v>425</v>
      </c>
      <c r="S10" s="953" t="s">
        <v>79</v>
      </c>
      <c r="T10" s="954"/>
    </row>
    <row r="11" spans="1:20" s="11" customFormat="1" ht="23.25" customHeight="1" thickBot="1">
      <c r="B11" s="925"/>
      <c r="C11" s="926"/>
      <c r="D11" s="929"/>
      <c r="E11" s="937"/>
      <c r="F11" s="937"/>
      <c r="G11" s="936"/>
      <c r="H11" s="937"/>
      <c r="I11" s="936"/>
      <c r="J11" s="937"/>
      <c r="K11" s="936"/>
      <c r="L11" s="931"/>
      <c r="M11" s="938"/>
      <c r="N11" s="939"/>
      <c r="O11" s="931"/>
      <c r="P11" s="951"/>
      <c r="Q11" s="952"/>
      <c r="R11" s="949"/>
      <c r="S11" s="507" t="s">
        <v>472</v>
      </c>
      <c r="T11" s="507" t="s">
        <v>431</v>
      </c>
    </row>
    <row r="12" spans="1:20" ht="21.75" customHeight="1" thickBot="1">
      <c r="B12" s="833" t="s">
        <v>344</v>
      </c>
      <c r="C12" s="834"/>
      <c r="D12" s="918" t="s">
        <v>169</v>
      </c>
      <c r="E12" s="992" t="s">
        <v>837</v>
      </c>
      <c r="F12" s="851" t="s">
        <v>349</v>
      </c>
      <c r="G12" s="846"/>
      <c r="H12" s="851" t="s">
        <v>459</v>
      </c>
      <c r="I12" s="846"/>
      <c r="J12" s="845" t="s">
        <v>350</v>
      </c>
      <c r="K12" s="932"/>
      <c r="L12" s="852"/>
      <c r="M12" s="921" t="s">
        <v>177</v>
      </c>
      <c r="N12" s="922"/>
      <c r="O12" s="852"/>
      <c r="P12" s="927" t="s">
        <v>12</v>
      </c>
      <c r="Q12" s="906">
        <f>IF(Basisdaten!D42="",0,Basisdaten!D42)</f>
        <v>0</v>
      </c>
      <c r="R12" s="863" t="str">
        <f>IF(Q12="",Berechnung1!$F$5,IF(Q12=0, Berechnung1!F5,IF(OR(Q12&lt; Berechnung1!E35,Q12&gt; Berechnung1!F35),Berechnung1!$G$5,IF(OR(ROUND(Q12,4)&lt;Berechnung1!J35,ROUND(Q12,4)&gt;Berechnung1!K35),Berechnung1!$D$5,IF(OR(ROUND(Q12,4)&lt;Berechnung1!G35,ROUND(Q12,4)&gt;Berechnung1!H35),Berechnung1!$E$5,Berechnung1!$C$5)))))</f>
        <v>Unvollständig</v>
      </c>
      <c r="S12" s="871"/>
      <c r="T12" s="869"/>
    </row>
    <row r="13" spans="1:20" ht="21.75" customHeight="1" thickBot="1">
      <c r="B13" s="835"/>
      <c r="C13" s="836"/>
      <c r="D13" s="919"/>
      <c r="E13" s="992"/>
      <c r="F13" s="847"/>
      <c r="G13" s="848"/>
      <c r="H13" s="847"/>
      <c r="I13" s="848"/>
      <c r="J13" s="847"/>
      <c r="K13" s="933"/>
      <c r="L13" s="853"/>
      <c r="M13" s="921"/>
      <c r="N13" s="922"/>
      <c r="O13" s="853"/>
      <c r="P13" s="927"/>
      <c r="Q13" s="907"/>
      <c r="R13" s="864"/>
      <c r="S13" s="870"/>
      <c r="T13" s="916"/>
    </row>
    <row r="14" spans="1:20" ht="21.75" customHeight="1" thickBot="1">
      <c r="B14" s="837"/>
      <c r="C14" s="838"/>
      <c r="D14" s="919"/>
      <c r="E14" s="992"/>
      <c r="F14" s="847"/>
      <c r="G14" s="848"/>
      <c r="H14" s="847"/>
      <c r="I14" s="848"/>
      <c r="J14" s="849"/>
      <c r="K14" s="934"/>
      <c r="L14" s="854"/>
      <c r="M14" s="921"/>
      <c r="N14" s="922"/>
      <c r="O14" s="854"/>
      <c r="P14" s="927"/>
      <c r="Q14" s="908"/>
      <c r="R14" s="865"/>
      <c r="S14" s="870"/>
      <c r="T14" s="917"/>
    </row>
    <row r="15" spans="1:20" ht="23.25" customHeight="1" thickBot="1">
      <c r="B15" s="835" t="s">
        <v>345</v>
      </c>
      <c r="C15" s="836"/>
      <c r="D15" s="919"/>
      <c r="E15" s="894" t="s">
        <v>650</v>
      </c>
      <c r="F15" s="847"/>
      <c r="G15" s="848"/>
      <c r="H15" s="847"/>
      <c r="I15" s="848"/>
      <c r="J15" s="845" t="s">
        <v>350</v>
      </c>
      <c r="K15" s="932"/>
      <c r="L15" s="852"/>
      <c r="M15" s="921" t="s">
        <v>178</v>
      </c>
      <c r="N15" s="922"/>
      <c r="O15" s="852"/>
      <c r="P15" s="927" t="s">
        <v>12</v>
      </c>
      <c r="Q15" s="906">
        <f>IF(Basisdaten!R37="",0,Basisdaten!R37)</f>
        <v>0</v>
      </c>
      <c r="R15" s="863" t="str">
        <f>IF(Q15="",Berechnung1!$F$5,IF(Q15=0, Berechnung1!F5,IF(OR(Q15&lt; Berechnung1!E38,Q15&gt; Berechnung1!F38),Berechnung1!$G$5,IF(OR(ROUND(Q15,4)&lt;Berechnung1!J38,ROUND(Q15,4)&gt;Berechnung1!K38),Berechnung1!$D$5,IF(OR(ROUND(Q15,4)&lt;Berechnung1!G38,ROUND(Q15,4)&gt;Berechnung1!H38),Berechnung1!$E$5,Berechnung1!$C$5)))))</f>
        <v>Unvollständig</v>
      </c>
      <c r="S15" s="869"/>
      <c r="T15" s="869"/>
    </row>
    <row r="16" spans="1:20" ht="23.25" customHeight="1" thickBot="1">
      <c r="B16" s="835"/>
      <c r="C16" s="836"/>
      <c r="D16" s="919"/>
      <c r="E16" s="894"/>
      <c r="F16" s="847"/>
      <c r="G16" s="848"/>
      <c r="H16" s="847"/>
      <c r="I16" s="848"/>
      <c r="J16" s="847"/>
      <c r="K16" s="933"/>
      <c r="L16" s="853"/>
      <c r="M16" s="921"/>
      <c r="N16" s="922"/>
      <c r="O16" s="853"/>
      <c r="P16" s="927"/>
      <c r="Q16" s="907"/>
      <c r="R16" s="864"/>
      <c r="S16" s="870"/>
      <c r="T16" s="916"/>
    </row>
    <row r="17" spans="2:21" ht="23.25" customHeight="1" thickBot="1">
      <c r="B17" s="835"/>
      <c r="C17" s="836"/>
      <c r="D17" s="919"/>
      <c r="E17" s="894"/>
      <c r="F17" s="847"/>
      <c r="G17" s="848"/>
      <c r="H17" s="847"/>
      <c r="I17" s="848"/>
      <c r="J17" s="849"/>
      <c r="K17" s="934"/>
      <c r="L17" s="854"/>
      <c r="M17" s="921"/>
      <c r="N17" s="922"/>
      <c r="O17" s="854"/>
      <c r="P17" s="927"/>
      <c r="Q17" s="908"/>
      <c r="R17" s="865"/>
      <c r="S17" s="870"/>
      <c r="T17" s="917"/>
    </row>
    <row r="18" spans="2:21" ht="23.25" customHeight="1" thickBot="1">
      <c r="B18" s="833" t="s">
        <v>346</v>
      </c>
      <c r="C18" s="834"/>
      <c r="D18" s="919"/>
      <c r="E18" s="894" t="s">
        <v>651</v>
      </c>
      <c r="F18" s="847"/>
      <c r="G18" s="848"/>
      <c r="H18" s="847"/>
      <c r="I18" s="848"/>
      <c r="J18" s="845" t="s">
        <v>350</v>
      </c>
      <c r="K18" s="932"/>
      <c r="L18" s="852"/>
      <c r="M18" s="921" t="s">
        <v>438</v>
      </c>
      <c r="N18" s="922"/>
      <c r="O18" s="852"/>
      <c r="P18" s="927" t="s">
        <v>12</v>
      </c>
      <c r="Q18" s="906">
        <f>IF(Basisdaten!D43="",0,Basisdaten!D43)</f>
        <v>0</v>
      </c>
      <c r="R18" s="863" t="str">
        <f>IF(Q18="",Berechnung1!$F$5,IF(Q18=0, Berechnung1!F5,IF(OR(Q18&lt; Berechnung1!E41,Q18&gt; Berechnung1!F41),Berechnung1!$G$5,IF(OR(ROUND(Q18,4)&lt;Berechnung1!J41,ROUND(Q18,4)&gt;Berechnung1!K41),Berechnung1!$D$5,IF(OR(ROUND(Q18,4)&lt;Berechnung1!G41,ROUND(Q18,4)&gt;Berechnung1!H41),Berechnung1!$E$5,Berechnung1!$C$5)))))</f>
        <v>Unvollständig</v>
      </c>
      <c r="S18" s="869"/>
      <c r="T18" s="869"/>
    </row>
    <row r="19" spans="2:21" ht="23.25" customHeight="1" thickBot="1">
      <c r="B19" s="835"/>
      <c r="C19" s="836"/>
      <c r="D19" s="919"/>
      <c r="E19" s="894"/>
      <c r="F19" s="847"/>
      <c r="G19" s="848"/>
      <c r="H19" s="847"/>
      <c r="I19" s="848"/>
      <c r="J19" s="847"/>
      <c r="K19" s="933"/>
      <c r="L19" s="853"/>
      <c r="M19" s="921"/>
      <c r="N19" s="922"/>
      <c r="O19" s="853"/>
      <c r="P19" s="927"/>
      <c r="Q19" s="907"/>
      <c r="R19" s="864"/>
      <c r="S19" s="870"/>
      <c r="T19" s="916"/>
    </row>
    <row r="20" spans="2:21" ht="23.25" customHeight="1" thickBot="1">
      <c r="B20" s="837"/>
      <c r="C20" s="838"/>
      <c r="D20" s="920"/>
      <c r="E20" s="894"/>
      <c r="F20" s="849"/>
      <c r="G20" s="850"/>
      <c r="H20" s="849"/>
      <c r="I20" s="850"/>
      <c r="J20" s="849"/>
      <c r="K20" s="934"/>
      <c r="L20" s="854"/>
      <c r="M20" s="921"/>
      <c r="N20" s="922"/>
      <c r="O20" s="854"/>
      <c r="P20" s="927"/>
      <c r="Q20" s="908"/>
      <c r="R20" s="865"/>
      <c r="S20" s="870"/>
      <c r="T20" s="917"/>
    </row>
    <row r="21" spans="2:21" s="664" customFormat="1" ht="23.25" customHeight="1" thickBot="1">
      <c r="B21" s="833" t="s">
        <v>745</v>
      </c>
      <c r="C21" s="834"/>
      <c r="D21" s="839"/>
      <c r="E21" s="842" t="s">
        <v>784</v>
      </c>
      <c r="F21" s="845" t="s">
        <v>350</v>
      </c>
      <c r="G21" s="846"/>
      <c r="H21" s="851" t="s">
        <v>784</v>
      </c>
      <c r="I21" s="846"/>
      <c r="J21" s="845" t="s">
        <v>350</v>
      </c>
      <c r="K21" s="846"/>
      <c r="L21" s="852"/>
      <c r="M21" s="855" t="s">
        <v>438</v>
      </c>
      <c r="N21" s="856"/>
      <c r="O21" s="852"/>
      <c r="P21" s="912" t="s">
        <v>12</v>
      </c>
      <c r="Q21" s="906">
        <f>IF(Basisdaten!R34="",0,Basisdaten!R34)</f>
        <v>0</v>
      </c>
      <c r="R21" s="915" t="str">
        <f>IF(AND(U22="",Q21=0),Berechnung1!$F$5,IF(AND(U35=0,Q21=0),Berechnung1!$H$5,IF(OR(Q21&lt;Berechnung1!E44,Q21&gt;Berechnung1!F44),Berechnung1!$G$5,IF(OR(ROUND(Q21,4)&lt;Berechnung1!J44,ROUND(Q21,4)&gt;Berechnung1!K44),Berechnung1!$D$5,IF(OR(ROUND(Q21,4)&lt;Berechnung1!G44,ROUND(Q21,4)&gt;Berechnung1!H44),Berechnung1!$E$5,Berechnung1!$C$5)))))</f>
        <v>Unvollständig</v>
      </c>
      <c r="S21" s="869"/>
      <c r="T21" s="869"/>
    </row>
    <row r="22" spans="2:21" s="664" customFormat="1" ht="23.25" customHeight="1" thickBot="1">
      <c r="B22" s="835"/>
      <c r="C22" s="836"/>
      <c r="D22" s="840"/>
      <c r="E22" s="843"/>
      <c r="F22" s="847"/>
      <c r="G22" s="848"/>
      <c r="H22" s="847"/>
      <c r="I22" s="848"/>
      <c r="J22" s="847"/>
      <c r="K22" s="848"/>
      <c r="L22" s="853"/>
      <c r="M22" s="857"/>
      <c r="N22" s="858"/>
      <c r="O22" s="853"/>
      <c r="P22" s="913"/>
      <c r="Q22" s="907"/>
      <c r="R22" s="864"/>
      <c r="S22" s="870"/>
      <c r="T22" s="916"/>
      <c r="U22" s="667" t="str">
        <f>IF(AND(Basisdaten!D34="",Basisdaten!E34="",Basisdaten!F34="",Basisdaten!G34="",Basisdaten!H34="",Basisdaten!I34="",Basisdaten!J34="",Basisdaten!K34="",Basisdaten!L34="",Basisdaten!M34="",Basisdaten!O34="",Basisdaten!P34="",Basisdaten!Q34=""),"",SUM(Basisdaten!D34:Q34))</f>
        <v/>
      </c>
    </row>
    <row r="23" spans="2:21" s="664" customFormat="1" ht="23.25" customHeight="1" thickBot="1">
      <c r="B23" s="837"/>
      <c r="C23" s="838"/>
      <c r="D23" s="841"/>
      <c r="E23" s="844"/>
      <c r="F23" s="849"/>
      <c r="G23" s="850"/>
      <c r="H23" s="849"/>
      <c r="I23" s="850"/>
      <c r="J23" s="849"/>
      <c r="K23" s="850"/>
      <c r="L23" s="854"/>
      <c r="M23" s="859"/>
      <c r="N23" s="860"/>
      <c r="O23" s="854"/>
      <c r="P23" s="914"/>
      <c r="Q23" s="908"/>
      <c r="R23" s="865"/>
      <c r="S23" s="870"/>
      <c r="T23" s="917"/>
    </row>
    <row r="24" spans="2:21" s="67" customFormat="1" ht="30" customHeight="1" thickBot="1">
      <c r="B24" s="891">
        <v>2</v>
      </c>
      <c r="C24" s="834"/>
      <c r="D24" s="918" t="s">
        <v>746</v>
      </c>
      <c r="E24" s="878" t="s">
        <v>652</v>
      </c>
      <c r="F24" s="851" t="s">
        <v>736</v>
      </c>
      <c r="G24" s="846"/>
      <c r="H24" s="851" t="s">
        <v>785</v>
      </c>
      <c r="I24" s="846"/>
      <c r="J24" s="851" t="s">
        <v>786</v>
      </c>
      <c r="K24" s="846"/>
      <c r="L24" s="875"/>
      <c r="M24" s="855" t="s">
        <v>153</v>
      </c>
      <c r="N24" s="856"/>
      <c r="O24" s="875"/>
      <c r="P24" s="64" t="s">
        <v>7</v>
      </c>
      <c r="Q24" s="81"/>
      <c r="R24" s="863" t="str">
        <f>IF(Q26=Berechnung1!D47,Berechnung1!$F$5,IF(OR(Q26&lt; Berechnung1!E47,Q26&gt; Berechnung1!F47),Berechnung1!$G$5,IF(OR(ROUND(Q26,3)&lt;Berechnung1!J47,ROUND(Q26,4)&gt;Berechnung1!K47),Berechnung1!$D$5,IF(OR(ROUND(Q26,4)&lt;Berechnung1!G47,ROUND(Q26,4)&gt;Berechnung1!H47),Berechnung1!$E$5,Berechnung1!$C$5))))</f>
        <v>Unvollständig</v>
      </c>
      <c r="S24" s="869"/>
      <c r="T24" s="909"/>
    </row>
    <row r="25" spans="2:21" s="67" customFormat="1" ht="30" customHeight="1" thickBot="1">
      <c r="B25" s="835"/>
      <c r="C25" s="836"/>
      <c r="D25" s="919"/>
      <c r="E25" s="861"/>
      <c r="F25" s="847"/>
      <c r="G25" s="848"/>
      <c r="H25" s="847"/>
      <c r="I25" s="848"/>
      <c r="J25" s="847"/>
      <c r="K25" s="848"/>
      <c r="L25" s="876"/>
      <c r="M25" s="857"/>
      <c r="N25" s="858"/>
      <c r="O25" s="876"/>
      <c r="P25" s="69" t="s">
        <v>9</v>
      </c>
      <c r="Q25" s="669">
        <f>U25</f>
        <v>0</v>
      </c>
      <c r="R25" s="864"/>
      <c r="S25" s="870"/>
      <c r="T25" s="910"/>
      <c r="U25" s="67">
        <f>Basisdaten!R34+Basisdaten!P37</f>
        <v>0</v>
      </c>
    </row>
    <row r="26" spans="2:21" s="67" customFormat="1" ht="30" customHeight="1" thickBot="1">
      <c r="B26" s="837"/>
      <c r="C26" s="838"/>
      <c r="D26" s="920"/>
      <c r="E26" s="862"/>
      <c r="F26" s="849"/>
      <c r="G26" s="850"/>
      <c r="H26" s="849"/>
      <c r="I26" s="850"/>
      <c r="J26" s="849"/>
      <c r="K26" s="850"/>
      <c r="L26" s="877"/>
      <c r="M26" s="859"/>
      <c r="N26" s="860"/>
      <c r="O26" s="877"/>
      <c r="P26" s="69" t="s">
        <v>10</v>
      </c>
      <c r="Q26" s="471" t="str">
        <f>IF(Q24="","n.d.",IF(Q25="","n.d.",IF(Q25=0,"",Q24/Q25)))</f>
        <v>n.d.</v>
      </c>
      <c r="R26" s="865"/>
      <c r="S26" s="870"/>
      <c r="T26" s="911"/>
    </row>
    <row r="27" spans="2:21" ht="30" customHeight="1" thickBot="1">
      <c r="B27" s="891">
        <v>3</v>
      </c>
      <c r="C27" s="834"/>
      <c r="D27" s="918"/>
      <c r="E27" s="878" t="s">
        <v>653</v>
      </c>
      <c r="F27" s="851" t="s">
        <v>737</v>
      </c>
      <c r="G27" s="846"/>
      <c r="H27" s="851" t="s">
        <v>787</v>
      </c>
      <c r="I27" s="846"/>
      <c r="J27" s="899" t="s">
        <v>788</v>
      </c>
      <c r="K27" s="900"/>
      <c r="L27" s="888" t="s">
        <v>507</v>
      </c>
      <c r="M27" s="882" t="s">
        <v>654</v>
      </c>
      <c r="N27" s="883"/>
      <c r="O27" s="888"/>
      <c r="P27" s="69" t="s">
        <v>7</v>
      </c>
      <c r="Q27" s="81"/>
      <c r="R27" s="863" t="str">
        <f>IF(Q29=Berechnung1!D50,Berechnung1!$F$5,IF(OR(Q29&lt; Berechnung1!E50,Q29&gt; Berechnung1!F50),Berechnung1!$G$5,IF(OR(ROUND(Q29,4)&lt;Berechnung1!J50,ROUND(Q29,4)&gt;Berechnung1!K50),Berechnung1!$D$5,IF(OR(ROUND(Q29,4)&lt;Berechnung1!G50,ROUND(Q29,4)&gt;Berechnung1!H50),Berechnung1!$E$5,Berechnung1!$C$5))))</f>
        <v>Unvollständig</v>
      </c>
      <c r="S27" s="869"/>
      <c r="T27" s="869"/>
    </row>
    <row r="28" spans="2:21" ht="30" customHeight="1" thickBot="1">
      <c r="B28" s="835"/>
      <c r="C28" s="836"/>
      <c r="D28" s="919"/>
      <c r="E28" s="861"/>
      <c r="F28" s="847"/>
      <c r="G28" s="848"/>
      <c r="H28" s="847"/>
      <c r="I28" s="848"/>
      <c r="J28" s="901"/>
      <c r="K28" s="902"/>
      <c r="L28" s="889"/>
      <c r="M28" s="884"/>
      <c r="N28" s="885"/>
      <c r="O28" s="889"/>
      <c r="P28" s="69" t="s">
        <v>9</v>
      </c>
      <c r="Q28" s="144">
        <f>IF(OR(Q24="",Q24=0),0,Q24)</f>
        <v>0</v>
      </c>
      <c r="R28" s="864"/>
      <c r="S28" s="870"/>
      <c r="T28" s="916"/>
    </row>
    <row r="29" spans="2:21" ht="30" customHeight="1" thickBot="1">
      <c r="B29" s="835"/>
      <c r="C29" s="836"/>
      <c r="D29" s="920"/>
      <c r="E29" s="862"/>
      <c r="F29" s="849"/>
      <c r="G29" s="850"/>
      <c r="H29" s="849"/>
      <c r="I29" s="850"/>
      <c r="J29" s="903"/>
      <c r="K29" s="904"/>
      <c r="L29" s="890"/>
      <c r="M29" s="886"/>
      <c r="N29" s="887"/>
      <c r="O29" s="890"/>
      <c r="P29" s="149" t="s">
        <v>10</v>
      </c>
      <c r="Q29" s="472" t="str">
        <f>IF(Q27="","n.d.",IF(Q28="","n.d.",IF(Q28=0,"",Q27/Q28)))</f>
        <v>n.d.</v>
      </c>
      <c r="R29" s="865"/>
      <c r="S29" s="870"/>
      <c r="T29" s="917"/>
    </row>
    <row r="30" spans="2:21" ht="30" customHeight="1" thickBot="1">
      <c r="B30" s="891">
        <v>4</v>
      </c>
      <c r="C30" s="834"/>
      <c r="D30" s="918"/>
      <c r="E30" s="878" t="s">
        <v>655</v>
      </c>
      <c r="F30" s="851" t="s">
        <v>171</v>
      </c>
      <c r="G30" s="846"/>
      <c r="H30" s="851" t="s">
        <v>789</v>
      </c>
      <c r="I30" s="846"/>
      <c r="J30" s="899" t="s">
        <v>790</v>
      </c>
      <c r="K30" s="900"/>
      <c r="L30" s="875" t="s">
        <v>493</v>
      </c>
      <c r="M30" s="855" t="s">
        <v>438</v>
      </c>
      <c r="N30" s="856"/>
      <c r="O30" s="875" t="s">
        <v>494</v>
      </c>
      <c r="P30" s="148" t="s">
        <v>7</v>
      </c>
      <c r="Q30" s="81"/>
      <c r="R30" s="863" t="str">
        <f>IF(Q32=Berechnung1!D53,Berechnung1!$F$5,IF(OR(Q32&lt; Berechnung1!E53,Q32&gt; Berechnung1!F53),Berechnung1!$G$5,IF(OR(ROUND(Q32,4)&lt;Berechnung1!J53,ROUND(Q32,4)&gt;Berechnung1!K53),Berechnung1!$D$5,IF(OR(ROUND(Q32,4)&lt;Berechnung1!G53,ROUND(Q32,4)&gt;Berechnung1!H53),Berechnung1!$E$5,Berechnung1!$C$5))))</f>
        <v>Unvollständig</v>
      </c>
      <c r="S30" s="869"/>
      <c r="T30" s="869"/>
    </row>
    <row r="31" spans="2:21" ht="30" customHeight="1" thickBot="1">
      <c r="B31" s="835"/>
      <c r="C31" s="836"/>
      <c r="D31" s="919"/>
      <c r="E31" s="861"/>
      <c r="F31" s="847"/>
      <c r="G31" s="848"/>
      <c r="H31" s="847"/>
      <c r="I31" s="848"/>
      <c r="J31" s="901"/>
      <c r="K31" s="902"/>
      <c r="L31" s="876"/>
      <c r="M31" s="857"/>
      <c r="N31" s="858"/>
      <c r="O31" s="876"/>
      <c r="P31" s="148" t="s">
        <v>9</v>
      </c>
      <c r="Q31" s="144">
        <f>IF(OR(Q15="",U31=""),0,SUM(Q15,U31))</f>
        <v>0</v>
      </c>
      <c r="R31" s="864"/>
      <c r="S31" s="870"/>
      <c r="T31" s="916"/>
      <c r="U31" s="667">
        <f>Basisdaten!R34</f>
        <v>0</v>
      </c>
    </row>
    <row r="32" spans="2:21" ht="30" customHeight="1" thickBot="1">
      <c r="B32" s="837"/>
      <c r="C32" s="838"/>
      <c r="D32" s="920"/>
      <c r="E32" s="862"/>
      <c r="F32" s="849"/>
      <c r="G32" s="850"/>
      <c r="H32" s="849"/>
      <c r="I32" s="850"/>
      <c r="J32" s="903"/>
      <c r="K32" s="904"/>
      <c r="L32" s="877"/>
      <c r="M32" s="859"/>
      <c r="N32" s="860"/>
      <c r="O32" s="877"/>
      <c r="P32" s="148" t="s">
        <v>10</v>
      </c>
      <c r="Q32" s="471" t="str">
        <f>IF(Q30="","n.d.",IF(Q31="","n.d.",IF(Q31=0,"",Q30/Q31)))</f>
        <v>n.d.</v>
      </c>
      <c r="R32" s="865"/>
      <c r="S32" s="870"/>
      <c r="T32" s="917"/>
    </row>
    <row r="33" spans="2:30" s="67" customFormat="1" ht="30" customHeight="1" thickBot="1">
      <c r="B33" s="891">
        <v>5</v>
      </c>
      <c r="C33" s="834"/>
      <c r="D33" s="918" t="s">
        <v>747</v>
      </c>
      <c r="E33" s="878" t="s">
        <v>656</v>
      </c>
      <c r="F33" s="851" t="s">
        <v>791</v>
      </c>
      <c r="G33" s="846"/>
      <c r="H33" s="851" t="s">
        <v>792</v>
      </c>
      <c r="I33" s="846"/>
      <c r="J33" s="899" t="s">
        <v>793</v>
      </c>
      <c r="K33" s="900"/>
      <c r="L33" s="888" t="s">
        <v>764</v>
      </c>
      <c r="M33" s="855" t="s">
        <v>438</v>
      </c>
      <c r="N33" s="856"/>
      <c r="O33" s="875"/>
      <c r="P33" s="148" t="s">
        <v>7</v>
      </c>
      <c r="Q33" s="81"/>
      <c r="R33" s="863" t="str">
        <f>IF(Q35=Berechnung1!D56,Berechnung1!$F$5,IF(OR(Q35&lt; Berechnung1!E56,Q35&gt; Berechnung1!F56),Berechnung1!$G$5,IF(OR(ROUND(Q35,4)&lt;Berechnung1!J56,ROUND(Q35,4)&gt;Berechnung1!K56),Berechnung1!$D$5,IF(OR(ROUND(Q35,4)&lt;Berechnung1!G56,ROUND(Q35,4)&gt;Berechnung1!H56),Berechnung1!$E$5,Berechnung1!$C$5))))</f>
        <v>Unvollständig</v>
      </c>
      <c r="S33" s="869"/>
      <c r="T33" s="909"/>
    </row>
    <row r="34" spans="2:30" s="67" customFormat="1" ht="30" customHeight="1" thickBot="1">
      <c r="B34" s="835"/>
      <c r="C34" s="836"/>
      <c r="D34" s="919"/>
      <c r="E34" s="861"/>
      <c r="F34" s="847"/>
      <c r="G34" s="848"/>
      <c r="H34" s="847"/>
      <c r="I34" s="848"/>
      <c r="J34" s="901"/>
      <c r="K34" s="902"/>
      <c r="L34" s="889"/>
      <c r="M34" s="857"/>
      <c r="N34" s="858"/>
      <c r="O34" s="876"/>
      <c r="P34" s="148" t="s">
        <v>9</v>
      </c>
      <c r="Q34" s="144">
        <f>Q31</f>
        <v>0</v>
      </c>
      <c r="R34" s="864"/>
      <c r="S34" s="870"/>
      <c r="T34" s="910"/>
    </row>
    <row r="35" spans="2:30" s="67" customFormat="1" ht="30" customHeight="1" thickBot="1">
      <c r="B35" s="837"/>
      <c r="C35" s="838"/>
      <c r="D35" s="920"/>
      <c r="E35" s="862"/>
      <c r="F35" s="849"/>
      <c r="G35" s="850"/>
      <c r="H35" s="849"/>
      <c r="I35" s="850"/>
      <c r="J35" s="903"/>
      <c r="K35" s="904"/>
      <c r="L35" s="890"/>
      <c r="M35" s="859"/>
      <c r="N35" s="860"/>
      <c r="O35" s="877"/>
      <c r="P35" s="148" t="s">
        <v>10</v>
      </c>
      <c r="Q35" s="471" t="str">
        <f>IF(Q33="","n.d.",IF(Q34="","n.d.",IF(Q34=0,"",Q33/Q34)))</f>
        <v>n.d.</v>
      </c>
      <c r="R35" s="865"/>
      <c r="S35" s="870"/>
      <c r="T35" s="911"/>
    </row>
    <row r="36" spans="2:30" s="67" customFormat="1" ht="30" customHeight="1" thickBot="1">
      <c r="B36" s="891">
        <v>6</v>
      </c>
      <c r="C36" s="834"/>
      <c r="D36" s="918" t="s">
        <v>151</v>
      </c>
      <c r="E36" s="878" t="s">
        <v>794</v>
      </c>
      <c r="F36" s="851" t="s">
        <v>795</v>
      </c>
      <c r="G36" s="846"/>
      <c r="H36" s="851" t="s">
        <v>796</v>
      </c>
      <c r="I36" s="846"/>
      <c r="J36" s="844" t="s">
        <v>657</v>
      </c>
      <c r="K36" s="844"/>
      <c r="L36" s="875"/>
      <c r="M36" s="991" t="s">
        <v>152</v>
      </c>
      <c r="N36" s="854"/>
      <c r="O36" s="875" t="s">
        <v>351</v>
      </c>
      <c r="P36" s="151" t="s">
        <v>7</v>
      </c>
      <c r="Q36" s="150"/>
      <c r="R36" s="863" t="str">
        <f>IF(Q38=Berechnung1!D59,Berechnung1!$F$5,IF(OR(Q38&lt; Berechnung1!E59,Q38&gt; Berechnung1!F59),Berechnung1!$G$5,IF(OR(ROUND(Q38,4)&lt;Berechnung1!J59,ROUND(Q38,4)&gt;Berechnung1!K59),Berechnung1!$D$5,IF(OR(ROUND(Q38,4)&lt;Berechnung1!G59,ROUND(Q38,4)&gt;Berechnung1!H59),Berechnung1!$E$5,Berechnung1!$C$5))))</f>
        <v>Unvollständig</v>
      </c>
      <c r="S36" s="869"/>
      <c r="T36" s="909"/>
    </row>
    <row r="37" spans="2:30" s="67" customFormat="1" ht="30" customHeight="1" thickBot="1">
      <c r="B37" s="835"/>
      <c r="C37" s="836"/>
      <c r="D37" s="919"/>
      <c r="E37" s="861"/>
      <c r="F37" s="847"/>
      <c r="G37" s="848"/>
      <c r="H37" s="847"/>
      <c r="I37" s="848"/>
      <c r="J37" s="894"/>
      <c r="K37" s="894"/>
      <c r="L37" s="876"/>
      <c r="M37" s="921"/>
      <c r="N37" s="922"/>
      <c r="O37" s="876"/>
      <c r="P37" s="69" t="s">
        <v>9</v>
      </c>
      <c r="Q37" s="579"/>
      <c r="R37" s="864"/>
      <c r="S37" s="870"/>
      <c r="T37" s="910"/>
      <c r="U37" s="67">
        <f>IF(SUM(Basisdaten!I37:O37)=0,0,SUM(Basisdaten!I37:O37))</f>
        <v>0</v>
      </c>
    </row>
    <row r="38" spans="2:30" s="67" customFormat="1" ht="30" customHeight="1" thickBot="1">
      <c r="B38" s="837"/>
      <c r="C38" s="838"/>
      <c r="D38" s="920"/>
      <c r="E38" s="862"/>
      <c r="F38" s="849"/>
      <c r="G38" s="850"/>
      <c r="H38" s="849"/>
      <c r="I38" s="850"/>
      <c r="J38" s="894"/>
      <c r="K38" s="894"/>
      <c r="L38" s="877"/>
      <c r="M38" s="921"/>
      <c r="N38" s="922"/>
      <c r="O38" s="877"/>
      <c r="P38" s="69" t="s">
        <v>10</v>
      </c>
      <c r="Q38" s="471" t="str">
        <f>IF(Q36="","n.d.",IF(Q37="","n.d.",IF(Q37=0,"",Q36/Q37)))</f>
        <v>n.d.</v>
      </c>
      <c r="R38" s="865"/>
      <c r="S38" s="870"/>
      <c r="T38" s="911"/>
      <c r="U38" s="67">
        <f>IF(SUM(Basisdaten!I37:Q37)=0,0,SUM(Basisdaten!I37:Q37))</f>
        <v>0</v>
      </c>
    </row>
    <row r="39" spans="2:30" ht="30" customHeight="1" thickBot="1">
      <c r="B39" s="891">
        <v>7</v>
      </c>
      <c r="C39" s="834"/>
      <c r="D39" s="919"/>
      <c r="E39" s="861" t="s">
        <v>170</v>
      </c>
      <c r="F39" s="847" t="s">
        <v>172</v>
      </c>
      <c r="G39" s="848"/>
      <c r="H39" s="851" t="s">
        <v>658</v>
      </c>
      <c r="I39" s="846"/>
      <c r="J39" s="881" t="s">
        <v>799</v>
      </c>
      <c r="K39" s="881"/>
      <c r="L39" s="875"/>
      <c r="M39" s="855" t="s">
        <v>659</v>
      </c>
      <c r="N39" s="856"/>
      <c r="O39" s="875"/>
      <c r="P39" s="69" t="s">
        <v>7</v>
      </c>
      <c r="Q39" s="81"/>
      <c r="R39" s="863" t="str">
        <f>IF(Q41=Berechnung1!D62,Berechnung1!$F$5,IF(OR(Q41&lt; Berechnung1!E62,Q41&gt; Berechnung1!F62),Berechnung1!$G$5,IF(OR(ROUND(Q41,4)&lt;Berechnung1!J62,ROUND(Q41,4)&gt;Berechnung1!K62),Berechnung1!$D$5,IF(OR(ROUND(Q41,4)&lt;Berechnung1!G62,ROUND(Q41,4)&gt;Berechnung1!H62),Berechnung1!$E$5,Berechnung1!$C$5))))</f>
        <v>Unvollständig</v>
      </c>
      <c r="S39" s="871"/>
      <c r="T39" s="869"/>
    </row>
    <row r="40" spans="2:30" ht="30" customHeight="1" thickBot="1">
      <c r="B40" s="835"/>
      <c r="C40" s="836"/>
      <c r="D40" s="919"/>
      <c r="E40" s="861"/>
      <c r="F40" s="847"/>
      <c r="G40" s="848"/>
      <c r="H40" s="847"/>
      <c r="I40" s="848"/>
      <c r="J40" s="881"/>
      <c r="K40" s="881"/>
      <c r="L40" s="876"/>
      <c r="M40" s="857"/>
      <c r="N40" s="858"/>
      <c r="O40" s="876"/>
      <c r="P40" s="69" t="s">
        <v>9</v>
      </c>
      <c r="Q40" s="82"/>
      <c r="R40" s="864"/>
      <c r="S40" s="870"/>
      <c r="T40" s="916"/>
    </row>
    <row r="41" spans="2:30" ht="30" customHeight="1" thickBot="1">
      <c r="B41" s="837"/>
      <c r="C41" s="838"/>
      <c r="D41" s="920"/>
      <c r="E41" s="862"/>
      <c r="F41" s="849"/>
      <c r="G41" s="850"/>
      <c r="H41" s="849"/>
      <c r="I41" s="850"/>
      <c r="J41" s="881"/>
      <c r="K41" s="881"/>
      <c r="L41" s="877"/>
      <c r="M41" s="859"/>
      <c r="N41" s="860"/>
      <c r="O41" s="877"/>
      <c r="P41" s="69" t="s">
        <v>10</v>
      </c>
      <c r="Q41" s="471" t="str">
        <f>IF(Q39="","n.d.",IF(Q40="","n.d.",IF(Q40=0,"",Q39/Q40)))</f>
        <v>n.d.</v>
      </c>
      <c r="R41" s="865"/>
      <c r="S41" s="870"/>
      <c r="T41" s="917"/>
    </row>
    <row r="42" spans="2:30" s="68" customFormat="1" ht="42.75" customHeight="1" thickBot="1">
      <c r="B42" s="891">
        <v>8</v>
      </c>
      <c r="C42" s="834"/>
      <c r="D42" s="918"/>
      <c r="E42" s="992" t="s">
        <v>765</v>
      </c>
      <c r="F42" s="881" t="s">
        <v>349</v>
      </c>
      <c r="G42" s="880"/>
      <c r="H42" s="881" t="s">
        <v>766</v>
      </c>
      <c r="I42" s="880"/>
      <c r="J42" s="879" t="s">
        <v>350</v>
      </c>
      <c r="K42" s="880"/>
      <c r="L42" s="852"/>
      <c r="M42" s="855" t="s">
        <v>176</v>
      </c>
      <c r="N42" s="856"/>
      <c r="O42" s="875"/>
      <c r="P42" s="866" t="s">
        <v>12</v>
      </c>
      <c r="Q42" s="872"/>
      <c r="R42" s="863" t="str">
        <f>IF(Q42="",Berechnung1!$F$5,IF(Q42=Berechnung1!D65,Berechnung1!$F$5,IF(OR(Q42&lt; Berechnung1!E65,Q42&gt; Berechnung1!F65),Berechnung1!$G$5,IF(OR(ROUND(Q42,4)&lt;Berechnung1!J65,ROUND(Q42,4)&gt;Berechnung1!K65),Berechnung1!$D$5,IF(OR(ROUND(Q42,4)&lt;Berechnung1!G65,ROUND(Q42,4)&gt;Berechnung1!H65),Berechnung1!$E$5,Berechnung1!$C$5)))))</f>
        <v>Unvollständig</v>
      </c>
      <c r="S42" s="869"/>
      <c r="T42" s="909"/>
    </row>
    <row r="43" spans="2:30" s="67" customFormat="1" ht="42.75" customHeight="1" thickBot="1">
      <c r="B43" s="835"/>
      <c r="C43" s="836"/>
      <c r="D43" s="919"/>
      <c r="E43" s="992"/>
      <c r="F43" s="881"/>
      <c r="G43" s="880"/>
      <c r="H43" s="881"/>
      <c r="I43" s="880"/>
      <c r="J43" s="881"/>
      <c r="K43" s="880"/>
      <c r="L43" s="853"/>
      <c r="M43" s="857"/>
      <c r="N43" s="858"/>
      <c r="O43" s="876"/>
      <c r="P43" s="867"/>
      <c r="Q43" s="873"/>
      <c r="R43" s="864"/>
      <c r="S43" s="870"/>
      <c r="T43" s="910"/>
    </row>
    <row r="44" spans="2:30" s="67" customFormat="1" ht="42.75" customHeight="1" thickBot="1">
      <c r="B44" s="837"/>
      <c r="C44" s="838"/>
      <c r="D44" s="920"/>
      <c r="E44" s="992"/>
      <c r="F44" s="881"/>
      <c r="G44" s="880"/>
      <c r="H44" s="881"/>
      <c r="I44" s="880"/>
      <c r="J44" s="881"/>
      <c r="K44" s="880"/>
      <c r="L44" s="854"/>
      <c r="M44" s="859"/>
      <c r="N44" s="860"/>
      <c r="O44" s="877"/>
      <c r="P44" s="868"/>
      <c r="Q44" s="874"/>
      <c r="R44" s="865"/>
      <c r="S44" s="870"/>
      <c r="T44" s="911"/>
    </row>
    <row r="45" spans="2:30" ht="30" customHeight="1" thickBot="1">
      <c r="B45" s="891">
        <v>9</v>
      </c>
      <c r="C45" s="834"/>
      <c r="D45" s="918"/>
      <c r="E45" s="993" t="s">
        <v>767</v>
      </c>
      <c r="F45" s="881" t="s">
        <v>349</v>
      </c>
      <c r="G45" s="880"/>
      <c r="H45" s="881" t="s">
        <v>768</v>
      </c>
      <c r="I45" s="880"/>
      <c r="J45" s="879" t="s">
        <v>350</v>
      </c>
      <c r="K45" s="880"/>
      <c r="L45" s="852"/>
      <c r="M45" s="855" t="s">
        <v>177</v>
      </c>
      <c r="N45" s="856"/>
      <c r="O45" s="875"/>
      <c r="P45" s="866" t="s">
        <v>12</v>
      </c>
      <c r="Q45" s="872"/>
      <c r="R45" s="863" t="str">
        <f>IF(Q45="",Berechnung1!$F$5,IF(Q45=Berechnung1!D68,Berechnung1!$F$5,IF(OR(Q45&lt; Berechnung1!E68,Q45&gt; Berechnung1!F68),Berechnung1!$G$5,IF(OR(ROUND(Q45,4)&lt;Berechnung1!J68,ROUND(Q45,4)&gt;Berechnung1!K68),Berechnung1!$D$5,IF(OR(ROUND(Q45,4)&lt;Berechnung1!G68,ROUND(Q45,4)&gt;Berechnung1!H68),Berechnung1!$E$5,Berechnung1!$C$5)))))</f>
        <v>Unvollständig</v>
      </c>
      <c r="S45" s="869"/>
      <c r="T45" s="869"/>
    </row>
    <row r="46" spans="2:30" ht="30" customHeight="1" thickBot="1">
      <c r="B46" s="835"/>
      <c r="C46" s="836"/>
      <c r="D46" s="919"/>
      <c r="E46" s="993"/>
      <c r="F46" s="881"/>
      <c r="G46" s="880"/>
      <c r="H46" s="881"/>
      <c r="I46" s="880"/>
      <c r="J46" s="881"/>
      <c r="K46" s="880"/>
      <c r="L46" s="853"/>
      <c r="M46" s="857"/>
      <c r="N46" s="858"/>
      <c r="O46" s="876"/>
      <c r="P46" s="867"/>
      <c r="Q46" s="873"/>
      <c r="R46" s="864"/>
      <c r="S46" s="870"/>
      <c r="T46" s="916"/>
    </row>
    <row r="47" spans="2:30" ht="30" customHeight="1" thickBot="1">
      <c r="B47" s="837"/>
      <c r="C47" s="838"/>
      <c r="D47" s="920"/>
      <c r="E47" s="993"/>
      <c r="F47" s="881"/>
      <c r="G47" s="880"/>
      <c r="H47" s="881"/>
      <c r="I47" s="880"/>
      <c r="J47" s="881"/>
      <c r="K47" s="880"/>
      <c r="L47" s="854"/>
      <c r="M47" s="859"/>
      <c r="N47" s="860"/>
      <c r="O47" s="877"/>
      <c r="P47" s="868"/>
      <c r="Q47" s="874"/>
      <c r="R47" s="865"/>
      <c r="S47" s="870"/>
      <c r="T47" s="917"/>
    </row>
    <row r="48" spans="2:30" s="67" customFormat="1" ht="30" customHeight="1" thickBot="1">
      <c r="B48" s="891">
        <v>10</v>
      </c>
      <c r="C48" s="834"/>
      <c r="D48" s="918"/>
      <c r="E48" s="894" t="s">
        <v>454</v>
      </c>
      <c r="F48" s="894" t="s">
        <v>455</v>
      </c>
      <c r="G48" s="905"/>
      <c r="H48" s="894" t="s">
        <v>660</v>
      </c>
      <c r="I48" s="905"/>
      <c r="J48" s="894" t="s">
        <v>456</v>
      </c>
      <c r="K48" s="905"/>
      <c r="L48" s="852"/>
      <c r="M48" s="989" t="s">
        <v>457</v>
      </c>
      <c r="N48" s="990"/>
      <c r="O48" s="852"/>
      <c r="P48" s="69" t="s">
        <v>7</v>
      </c>
      <c r="Q48" s="81"/>
      <c r="R48" s="863" t="str">
        <f>IF(Q50=Berechnung1!D71,Berechnung1!$F$5,IF(OR(Q50&lt; Berechnung1!E71,Q50&gt; Berechnung1!F71),Berechnung1!$G$5,IF(OR(ROUND(Q50,4)&lt;Berechnung1!J71,ROUND(Q50,4)&gt;Berechnung1!K71),Berechnung1!$D$5,IF(OR(ROUND(Q50,4)&lt;Berechnung1!G71,ROUND(Q50,4)&gt;Berechnung1!H71),Berechnung1!$E$5,Berechnung1!$C$5))))</f>
        <v>Unvollständig</v>
      </c>
      <c r="S48" s="869"/>
      <c r="T48" s="909"/>
      <c r="U48" s="580"/>
      <c r="V48" s="581"/>
      <c r="W48" s="581"/>
      <c r="X48" s="581"/>
      <c r="Y48" s="581"/>
      <c r="Z48" s="581"/>
      <c r="AA48" s="581"/>
      <c r="AB48" s="581"/>
      <c r="AC48" s="581"/>
      <c r="AD48" s="581"/>
    </row>
    <row r="49" spans="2:30" s="67" customFormat="1" ht="30" customHeight="1" thickBot="1">
      <c r="B49" s="835"/>
      <c r="C49" s="836"/>
      <c r="D49" s="919"/>
      <c r="E49" s="894"/>
      <c r="F49" s="894"/>
      <c r="G49" s="905"/>
      <c r="H49" s="894"/>
      <c r="I49" s="905"/>
      <c r="J49" s="894"/>
      <c r="K49" s="905"/>
      <c r="L49" s="853"/>
      <c r="M49" s="989"/>
      <c r="N49" s="990"/>
      <c r="O49" s="853"/>
      <c r="P49" s="69" t="s">
        <v>9</v>
      </c>
      <c r="Q49" s="70">
        <f>IF(AND(Q42="",Q45=""),0,SUM(Q42,Q45))</f>
        <v>0</v>
      </c>
      <c r="R49" s="864"/>
      <c r="S49" s="870"/>
      <c r="T49" s="910"/>
      <c r="U49" s="580"/>
      <c r="V49" s="581"/>
      <c r="W49" s="581"/>
      <c r="X49" s="581"/>
      <c r="Y49" s="581"/>
      <c r="Z49" s="581"/>
      <c r="AA49" s="581"/>
      <c r="AB49" s="581"/>
      <c r="AC49" s="581"/>
      <c r="AD49" s="581"/>
    </row>
    <row r="50" spans="2:30" s="67" customFormat="1" ht="30" customHeight="1" thickBot="1">
      <c r="B50" s="837"/>
      <c r="C50" s="838"/>
      <c r="D50" s="920"/>
      <c r="E50" s="894"/>
      <c r="F50" s="894"/>
      <c r="G50" s="905"/>
      <c r="H50" s="894"/>
      <c r="I50" s="905"/>
      <c r="J50" s="894"/>
      <c r="K50" s="905"/>
      <c r="L50" s="854"/>
      <c r="M50" s="989"/>
      <c r="N50" s="990"/>
      <c r="O50" s="854"/>
      <c r="P50" s="69" t="s">
        <v>10</v>
      </c>
      <c r="Q50" s="471" t="str">
        <f>IF(Q48="","n.d.",IF(Q49="","n.d.",IF(Q49=0,"",Q48/Q49)))</f>
        <v>n.d.</v>
      </c>
      <c r="R50" s="865"/>
      <c r="S50" s="870"/>
      <c r="T50" s="911"/>
      <c r="U50" s="580"/>
      <c r="V50" s="581"/>
      <c r="W50" s="581"/>
      <c r="X50" s="581"/>
      <c r="Y50" s="581"/>
      <c r="Z50" s="581"/>
      <c r="AA50" s="581"/>
      <c r="AB50" s="581"/>
      <c r="AC50" s="581"/>
      <c r="AD50" s="581"/>
    </row>
    <row r="51" spans="2:30" s="67" customFormat="1" ht="30" customHeight="1" thickBot="1">
      <c r="B51" s="891">
        <v>11</v>
      </c>
      <c r="C51" s="834"/>
      <c r="D51" s="918"/>
      <c r="E51" s="842" t="s">
        <v>661</v>
      </c>
      <c r="F51" s="968" t="s">
        <v>460</v>
      </c>
      <c r="G51" s="969"/>
      <c r="H51" s="983" t="s">
        <v>662</v>
      </c>
      <c r="I51" s="984"/>
      <c r="J51" s="983" t="s">
        <v>800</v>
      </c>
      <c r="K51" s="984"/>
      <c r="L51" s="852"/>
      <c r="M51" s="882" t="s">
        <v>457</v>
      </c>
      <c r="N51" s="883"/>
      <c r="O51" s="852"/>
      <c r="P51" s="69" t="s">
        <v>7</v>
      </c>
      <c r="Q51" s="537"/>
      <c r="R51" s="863" t="str">
        <f>IF(Q53=Berechnung1!D74,Berechnung1!$F$5,IF(OR(Q53&lt; Berechnung1!E74,Q53&gt; Berechnung1!F74),Berechnung1!$G$5,IF(OR(ROUND(Q53,4)&lt;Berechnung1!J74,ROUND(Q53,4)&gt;Berechnung1!K74),Berechnung1!$D$5,IF(OR(ROUND(Q53,4)&lt;Berechnung1!G74,ROUND(Q53,4)&gt;Berechnung1!H74),Berechnung1!$E$5,Berechnung1!$C$5))))</f>
        <v>Unvollständig</v>
      </c>
      <c r="S51" s="871"/>
      <c r="T51" s="958"/>
      <c r="U51" s="580"/>
      <c r="V51" s="581"/>
      <c r="W51" s="581"/>
      <c r="X51" s="581"/>
      <c r="Y51" s="581"/>
      <c r="Z51" s="581"/>
      <c r="AA51" s="581"/>
      <c r="AB51" s="581"/>
      <c r="AC51" s="581"/>
      <c r="AD51" s="581"/>
    </row>
    <row r="52" spans="2:30" s="67" customFormat="1" ht="30" customHeight="1" thickBot="1">
      <c r="B52" s="835"/>
      <c r="C52" s="836"/>
      <c r="D52" s="919"/>
      <c r="E52" s="843"/>
      <c r="F52" s="970"/>
      <c r="G52" s="971"/>
      <c r="H52" s="985"/>
      <c r="I52" s="986"/>
      <c r="J52" s="985"/>
      <c r="K52" s="986"/>
      <c r="L52" s="853"/>
      <c r="M52" s="884"/>
      <c r="N52" s="885"/>
      <c r="O52" s="853"/>
      <c r="P52" s="69" t="s">
        <v>9</v>
      </c>
      <c r="Q52" s="534"/>
      <c r="R52" s="864"/>
      <c r="S52" s="870"/>
      <c r="T52" s="910"/>
      <c r="U52" s="580"/>
      <c r="V52" s="581"/>
      <c r="W52" s="581"/>
      <c r="X52" s="581"/>
      <c r="Y52" s="581"/>
      <c r="Z52" s="581"/>
      <c r="AA52" s="581"/>
      <c r="AB52" s="581"/>
      <c r="AC52" s="581"/>
      <c r="AD52" s="581"/>
    </row>
    <row r="53" spans="2:30" s="67" customFormat="1" ht="30" customHeight="1" thickBot="1">
      <c r="B53" s="837"/>
      <c r="C53" s="838"/>
      <c r="D53" s="920"/>
      <c r="E53" s="844"/>
      <c r="F53" s="972"/>
      <c r="G53" s="973"/>
      <c r="H53" s="987"/>
      <c r="I53" s="988"/>
      <c r="J53" s="987"/>
      <c r="K53" s="988"/>
      <c r="L53" s="854"/>
      <c r="M53" s="886"/>
      <c r="N53" s="887"/>
      <c r="O53" s="854"/>
      <c r="P53" s="69" t="s">
        <v>10</v>
      </c>
      <c r="Q53" s="471" t="str">
        <f>IF(Q51="","n.d.",IF(Q52="","n.d.",IF(Q52=0,"",Q51/Q52)))</f>
        <v>n.d.</v>
      </c>
      <c r="R53" s="865"/>
      <c r="S53" s="870"/>
      <c r="T53" s="911"/>
      <c r="U53" s="580"/>
      <c r="V53" s="581"/>
      <c r="W53" s="581"/>
      <c r="X53" s="581"/>
      <c r="Y53" s="581"/>
      <c r="Z53" s="581"/>
      <c r="AA53" s="581"/>
      <c r="AB53" s="581"/>
      <c r="AC53" s="581"/>
      <c r="AD53" s="581"/>
    </row>
    <row r="54" spans="2:30" ht="30" customHeight="1" thickBot="1">
      <c r="B54" s="891">
        <v>12</v>
      </c>
      <c r="C54" s="834"/>
      <c r="D54" s="918"/>
      <c r="E54" s="878" t="s">
        <v>663</v>
      </c>
      <c r="F54" s="881" t="s">
        <v>664</v>
      </c>
      <c r="G54" s="880"/>
      <c r="H54" s="881" t="s">
        <v>665</v>
      </c>
      <c r="I54" s="880"/>
      <c r="J54" s="881" t="s">
        <v>458</v>
      </c>
      <c r="K54" s="880"/>
      <c r="L54" s="852"/>
      <c r="M54" s="882" t="s">
        <v>457</v>
      </c>
      <c r="N54" s="883"/>
      <c r="O54" s="875"/>
      <c r="P54" s="69" t="s">
        <v>7</v>
      </c>
      <c r="Q54" s="81"/>
      <c r="R54" s="863" t="str">
        <f>IF(Q56=Berechnung1!D77,Berechnung1!$F$5,IF(OR(Q56&lt; Berechnung1!E77,Q56&gt; Berechnung1!F77),Berechnung1!$G$5,IF(OR(ROUND(Q56,4)&lt;Berechnung1!J77,ROUND(Q56,4)&gt;Berechnung1!K77),Berechnung1!$D$5,IF(OR(ROUND(Q56,4)&lt;Berechnung1!G77,ROUND(Q56,4)&gt;Berechnung1!H77),Berechnung1!$E$5,Berechnung1!$C$5))))</f>
        <v>Unvollständig</v>
      </c>
      <c r="S54" s="869"/>
      <c r="T54" s="869"/>
    </row>
    <row r="55" spans="2:30" ht="30" customHeight="1" thickBot="1">
      <c r="B55" s="835"/>
      <c r="C55" s="836"/>
      <c r="D55" s="919"/>
      <c r="E55" s="861"/>
      <c r="F55" s="881"/>
      <c r="G55" s="880"/>
      <c r="H55" s="881"/>
      <c r="I55" s="880"/>
      <c r="J55" s="881"/>
      <c r="K55" s="880"/>
      <c r="L55" s="853"/>
      <c r="M55" s="884"/>
      <c r="N55" s="885"/>
      <c r="O55" s="876"/>
      <c r="P55" s="69" t="s">
        <v>9</v>
      </c>
      <c r="Q55" s="70">
        <f>IF(AND(Q42="",Q45=""),0,SUM(Q42,Q45))</f>
        <v>0</v>
      </c>
      <c r="R55" s="864"/>
      <c r="S55" s="870"/>
      <c r="T55" s="916"/>
    </row>
    <row r="56" spans="2:30" ht="30" customHeight="1" thickBot="1">
      <c r="B56" s="837"/>
      <c r="C56" s="838"/>
      <c r="D56" s="920"/>
      <c r="E56" s="862"/>
      <c r="F56" s="881"/>
      <c r="G56" s="880"/>
      <c r="H56" s="881"/>
      <c r="I56" s="880"/>
      <c r="J56" s="881"/>
      <c r="K56" s="880"/>
      <c r="L56" s="854"/>
      <c r="M56" s="886"/>
      <c r="N56" s="887"/>
      <c r="O56" s="877"/>
      <c r="P56" s="69" t="s">
        <v>10</v>
      </c>
      <c r="Q56" s="471" t="str">
        <f>IF(Q54="","n.d.",IF(Q55="","n.d.",IF(Q55=0,"",Q54/Q55)))</f>
        <v>n.d.</v>
      </c>
      <c r="R56" s="865"/>
      <c r="S56" s="870"/>
      <c r="T56" s="917"/>
    </row>
    <row r="57" spans="2:30" ht="30" customHeight="1" thickBot="1">
      <c r="B57" s="999" t="s">
        <v>625</v>
      </c>
      <c r="C57" s="1000"/>
      <c r="D57" s="965" t="s">
        <v>748</v>
      </c>
      <c r="E57" s="894" t="s">
        <v>666</v>
      </c>
      <c r="F57" s="892" t="s">
        <v>667</v>
      </c>
      <c r="G57" s="893"/>
      <c r="H57" s="894" t="s">
        <v>668</v>
      </c>
      <c r="I57" s="895"/>
      <c r="J57" s="894" t="s">
        <v>669</v>
      </c>
      <c r="K57" s="895"/>
      <c r="L57" s="996"/>
      <c r="M57" s="896" t="s">
        <v>154</v>
      </c>
      <c r="N57" s="897"/>
      <c r="O57" s="996"/>
      <c r="P57" s="529" t="s">
        <v>7</v>
      </c>
      <c r="Q57" s="532"/>
      <c r="R57" s="863" t="str">
        <f>IF(Q59=Berechnung1!D80,Berechnung1!$F$5,IF(OR(Q59&lt; Berechnung1!E80,Q59&gt; Berechnung1!F80),Berechnung1!$G$5,IF(OR(ROUND(Q59,4)&lt;Berechnung1!J80,ROUND(Q59,4)&gt;Berechnung1!K80),Berechnung1!$D$5,IF(OR(ROUND(Q59,4)&lt;Berechnung1!G80,ROUND(Q59,4)&gt;Berechnung1!H80),Berechnung1!$E$5,Berechnung1!$C$5))))</f>
        <v>Unvollständig</v>
      </c>
      <c r="S57" s="871"/>
      <c r="T57" s="869"/>
      <c r="U57" s="9"/>
    </row>
    <row r="58" spans="2:30" ht="30" customHeight="1" thickBot="1">
      <c r="B58" s="1001"/>
      <c r="C58" s="1002"/>
      <c r="D58" s="966"/>
      <c r="E58" s="894"/>
      <c r="F58" s="892"/>
      <c r="G58" s="893"/>
      <c r="H58" s="894"/>
      <c r="I58" s="895"/>
      <c r="J58" s="894"/>
      <c r="K58" s="895"/>
      <c r="L58" s="997"/>
      <c r="M58" s="898"/>
      <c r="N58" s="897"/>
      <c r="O58" s="997"/>
      <c r="P58" s="563" t="s">
        <v>9</v>
      </c>
      <c r="Q58" s="534"/>
      <c r="R58" s="864"/>
      <c r="S58" s="870"/>
      <c r="T58" s="916"/>
      <c r="U58" s="9"/>
    </row>
    <row r="59" spans="2:30" ht="30" customHeight="1" thickBot="1">
      <c r="B59" s="1003"/>
      <c r="C59" s="1004"/>
      <c r="D59" s="967"/>
      <c r="E59" s="894"/>
      <c r="F59" s="892"/>
      <c r="G59" s="893"/>
      <c r="H59" s="894"/>
      <c r="I59" s="895"/>
      <c r="J59" s="894"/>
      <c r="K59" s="895"/>
      <c r="L59" s="998"/>
      <c r="M59" s="898"/>
      <c r="N59" s="897"/>
      <c r="O59" s="998"/>
      <c r="P59" s="529" t="s">
        <v>10</v>
      </c>
      <c r="Q59" s="530" t="str">
        <f>IF(Q57="","n.d.",IF(Q58=0,"n.d.",IF(Q58=0,"",Q57/Q58)))</f>
        <v>n.d.</v>
      </c>
      <c r="R59" s="865"/>
      <c r="S59" s="870"/>
      <c r="T59" s="917"/>
      <c r="U59" s="9"/>
    </row>
    <row r="60" spans="2:30" ht="30" customHeight="1" thickBot="1">
      <c r="B60" s="959">
        <v>14</v>
      </c>
      <c r="C60" s="960"/>
      <c r="D60" s="965" t="s">
        <v>747</v>
      </c>
      <c r="E60" s="842" t="s">
        <v>673</v>
      </c>
      <c r="F60" s="968" t="s">
        <v>670</v>
      </c>
      <c r="G60" s="969"/>
      <c r="H60" s="968" t="s">
        <v>671</v>
      </c>
      <c r="I60" s="969"/>
      <c r="J60" s="968" t="s">
        <v>672</v>
      </c>
      <c r="K60" s="969"/>
      <c r="L60" s="974" t="s">
        <v>749</v>
      </c>
      <c r="M60" s="977" t="s">
        <v>438</v>
      </c>
      <c r="N60" s="978"/>
      <c r="O60" s="974"/>
      <c r="P60" s="529" t="s">
        <v>7</v>
      </c>
      <c r="Q60" s="532"/>
      <c r="R60" s="955" t="str">
        <f>IF(AND(Q60&lt;&gt;"",Q61&lt;&gt;"",Q60=0,Q61=0),Berechnung1!$H$5,IF(Q62="",Berechnung1!$D$5,IF(Q62=Berechnung1!D83,Berechnung1!$F$5,IF(OR(Q62&lt; Berechnung1!E83,Q62&gt; Berechnung1!F83),Berechnung1!$G$5,IF(OR(ROUND(Q62,4)&lt;Berechnung1!J83,ROUND(Q62,4)&gt;Berechnung1!K83),Berechnung1!$D$5,IF(OR(ROUND(Q62,4)&lt;Berechnung1!G83,ROUND(72,4)&gt;Berechnung1!H83),Berechnung1!$E$5,Berechnung1!$C$5))))))</f>
        <v>Unvollständig</v>
      </c>
      <c r="S60" s="871"/>
      <c r="T60" s="869"/>
      <c r="U60" s="9"/>
    </row>
    <row r="61" spans="2:30" ht="30" customHeight="1" thickBot="1">
      <c r="B61" s="961"/>
      <c r="C61" s="962"/>
      <c r="D61" s="966"/>
      <c r="E61" s="843"/>
      <c r="F61" s="970"/>
      <c r="G61" s="971"/>
      <c r="H61" s="970"/>
      <c r="I61" s="971"/>
      <c r="J61" s="970"/>
      <c r="K61" s="971"/>
      <c r="L61" s="975"/>
      <c r="M61" s="979"/>
      <c r="N61" s="980"/>
      <c r="O61" s="975"/>
      <c r="P61" s="529" t="s">
        <v>9</v>
      </c>
      <c r="Q61" s="534"/>
      <c r="R61" s="956"/>
      <c r="S61" s="870"/>
      <c r="T61" s="916"/>
      <c r="U61" s="9"/>
    </row>
    <row r="62" spans="2:30" ht="30" customHeight="1" thickBot="1">
      <c r="B62" s="963"/>
      <c r="C62" s="964"/>
      <c r="D62" s="967"/>
      <c r="E62" s="844"/>
      <c r="F62" s="972"/>
      <c r="G62" s="973"/>
      <c r="H62" s="972"/>
      <c r="I62" s="973"/>
      <c r="J62" s="972"/>
      <c r="K62" s="973"/>
      <c r="L62" s="976"/>
      <c r="M62" s="981"/>
      <c r="N62" s="982"/>
      <c r="O62" s="976"/>
      <c r="P62" s="529" t="s">
        <v>10</v>
      </c>
      <c r="Q62" s="530" t="str">
        <f>IF(Q60="","n.d.",IF(Q61="","n.d.",IF(Q61=0,"",Q60/Q61)))</f>
        <v>n.d.</v>
      </c>
      <c r="R62" s="957"/>
      <c r="S62" s="870"/>
      <c r="T62" s="917"/>
      <c r="U62" s="9"/>
    </row>
    <row r="63" spans="2:30" s="664" customFormat="1" ht="30" customHeight="1" thickBot="1">
      <c r="B63" s="959">
        <v>15</v>
      </c>
      <c r="C63" s="960"/>
      <c r="D63" s="965" t="s">
        <v>747</v>
      </c>
      <c r="E63" s="842" t="s">
        <v>674</v>
      </c>
      <c r="F63" s="968" t="s">
        <v>678</v>
      </c>
      <c r="G63" s="969"/>
      <c r="H63" s="968" t="s">
        <v>680</v>
      </c>
      <c r="I63" s="969"/>
      <c r="J63" s="968" t="s">
        <v>683</v>
      </c>
      <c r="K63" s="969"/>
      <c r="L63" s="974" t="s">
        <v>749</v>
      </c>
      <c r="M63" s="977" t="s">
        <v>438</v>
      </c>
      <c r="N63" s="978"/>
      <c r="O63" s="974"/>
      <c r="P63" s="529" t="s">
        <v>7</v>
      </c>
      <c r="Q63" s="532"/>
      <c r="R63" s="955" t="str">
        <f>IF(AND(Q63&lt;&gt;"",Q64&lt;&gt;"",Q63=0,Q64=0),Berechnung1!$H$5,IF(Q65="",Berechnung1!$D$5,IF(Q65=Berechnung1!D86,Berechnung1!$F$5,IF(OR(Q65&lt; Berechnung1!E86,Q65&gt; Berechnung1!F86),Berechnung1!$G$5,IF(OR(ROUND(Q65,4)&lt;Berechnung1!J86,ROUND(Q65,4)&gt;Berechnung1!K86),Berechnung1!$D$5,IF(OR(ROUND(Q65,4)&lt;Berechnung1!G86,ROUND(72,4)&gt;Berechnung1!H86),Berechnung1!$E$5,Berechnung1!$C$5))))))</f>
        <v>Unvollständig</v>
      </c>
      <c r="S63" s="871"/>
      <c r="T63" s="869"/>
      <c r="U63" s="665"/>
    </row>
    <row r="64" spans="2:30" s="664" customFormat="1" ht="30" customHeight="1" thickBot="1">
      <c r="B64" s="961"/>
      <c r="C64" s="962"/>
      <c r="D64" s="966"/>
      <c r="E64" s="843"/>
      <c r="F64" s="970"/>
      <c r="G64" s="971"/>
      <c r="H64" s="970"/>
      <c r="I64" s="971"/>
      <c r="J64" s="970"/>
      <c r="K64" s="971"/>
      <c r="L64" s="975"/>
      <c r="M64" s="979"/>
      <c r="N64" s="980"/>
      <c r="O64" s="975"/>
      <c r="P64" s="529" t="s">
        <v>9</v>
      </c>
      <c r="Q64" s="534"/>
      <c r="R64" s="956"/>
      <c r="S64" s="870"/>
      <c r="T64" s="916"/>
      <c r="U64" s="665"/>
    </row>
    <row r="65" spans="2:21" s="664" customFormat="1" ht="30" customHeight="1" thickBot="1">
      <c r="B65" s="963"/>
      <c r="C65" s="964"/>
      <c r="D65" s="967"/>
      <c r="E65" s="844"/>
      <c r="F65" s="972"/>
      <c r="G65" s="973"/>
      <c r="H65" s="972"/>
      <c r="I65" s="973"/>
      <c r="J65" s="972"/>
      <c r="K65" s="973"/>
      <c r="L65" s="976"/>
      <c r="M65" s="981"/>
      <c r="N65" s="982"/>
      <c r="O65" s="976"/>
      <c r="P65" s="529" t="s">
        <v>10</v>
      </c>
      <c r="Q65" s="530" t="str">
        <f>IF(Q63="","n.d.",IF(Q64="","n.d.",IF(Q64=0,"",Q63/Q64)))</f>
        <v>n.d.</v>
      </c>
      <c r="R65" s="957"/>
      <c r="S65" s="870"/>
      <c r="T65" s="917"/>
      <c r="U65" s="665"/>
    </row>
    <row r="66" spans="2:21" s="664" customFormat="1" ht="30" customHeight="1" thickBot="1">
      <c r="B66" s="959">
        <v>16</v>
      </c>
      <c r="C66" s="960"/>
      <c r="D66" s="965" t="s">
        <v>747</v>
      </c>
      <c r="E66" s="842" t="s">
        <v>675</v>
      </c>
      <c r="F66" s="968" t="s">
        <v>679</v>
      </c>
      <c r="G66" s="969"/>
      <c r="H66" s="968" t="s">
        <v>681</v>
      </c>
      <c r="I66" s="969"/>
      <c r="J66" s="968" t="s">
        <v>684</v>
      </c>
      <c r="K66" s="969"/>
      <c r="L66" s="974" t="s">
        <v>749</v>
      </c>
      <c r="M66" s="977" t="s">
        <v>438</v>
      </c>
      <c r="N66" s="978"/>
      <c r="O66" s="974"/>
      <c r="P66" s="529" t="s">
        <v>7</v>
      </c>
      <c r="Q66" s="532"/>
      <c r="R66" s="955" t="str">
        <f>IF(AND(Q66&lt;&gt;"",Q67&lt;&gt;"",Q66=0,Q67=0),Berechnung1!$H$5,IF(Q68="",Berechnung1!$D$5,IF(Q68=Berechnung1!D89,Berechnung1!$F$5,IF(OR(Q68&lt; Berechnung1!E89,Q68&gt; Berechnung1!F89),Berechnung1!$G$5,IF(OR(ROUND(Q68,4)&lt;Berechnung1!J89,ROUND(Q68,4)&gt;Berechnung1!K89),Berechnung1!$D$5,IF(OR(ROUND(Q68,4)&lt;Berechnung1!G89,ROUND(72,4)&gt;Berechnung1!H89),Berechnung1!$E$5,Berechnung1!$C$5))))))</f>
        <v>Unvollständig</v>
      </c>
      <c r="S66" s="871"/>
      <c r="T66" s="869"/>
      <c r="U66" s="665"/>
    </row>
    <row r="67" spans="2:21" s="664" customFormat="1" ht="30" customHeight="1" thickBot="1">
      <c r="B67" s="961"/>
      <c r="C67" s="962"/>
      <c r="D67" s="966"/>
      <c r="E67" s="843"/>
      <c r="F67" s="970"/>
      <c r="G67" s="971"/>
      <c r="H67" s="970"/>
      <c r="I67" s="971"/>
      <c r="J67" s="970"/>
      <c r="K67" s="971"/>
      <c r="L67" s="975"/>
      <c r="M67" s="979"/>
      <c r="N67" s="980"/>
      <c r="O67" s="975"/>
      <c r="P67" s="529" t="s">
        <v>9</v>
      </c>
      <c r="Q67" s="534"/>
      <c r="R67" s="956"/>
      <c r="S67" s="870"/>
      <c r="T67" s="916"/>
      <c r="U67" s="665"/>
    </row>
    <row r="68" spans="2:21" s="664" customFormat="1" ht="30" customHeight="1" thickBot="1">
      <c r="B68" s="963"/>
      <c r="C68" s="964"/>
      <c r="D68" s="967"/>
      <c r="E68" s="844"/>
      <c r="F68" s="972"/>
      <c r="G68" s="973"/>
      <c r="H68" s="972"/>
      <c r="I68" s="973"/>
      <c r="J68" s="972"/>
      <c r="K68" s="973"/>
      <c r="L68" s="976"/>
      <c r="M68" s="981"/>
      <c r="N68" s="982"/>
      <c r="O68" s="976"/>
      <c r="P68" s="529" t="s">
        <v>10</v>
      </c>
      <c r="Q68" s="530" t="str">
        <f>IF(Q66="","n.d.",IF(Q67="","n.d.",IF(Q67=0,"",Q66/Q67)))</f>
        <v>n.d.</v>
      </c>
      <c r="R68" s="957"/>
      <c r="S68" s="870"/>
      <c r="T68" s="917"/>
      <c r="U68" s="665"/>
    </row>
    <row r="69" spans="2:21" s="664" customFormat="1" ht="30" customHeight="1" thickBot="1">
      <c r="B69" s="959">
        <v>17</v>
      </c>
      <c r="C69" s="960"/>
      <c r="D69" s="965"/>
      <c r="E69" s="842" t="s">
        <v>676</v>
      </c>
      <c r="F69" s="968" t="s">
        <v>801</v>
      </c>
      <c r="G69" s="969"/>
      <c r="H69" s="968" t="s">
        <v>682</v>
      </c>
      <c r="I69" s="969"/>
      <c r="J69" s="968" t="s">
        <v>685</v>
      </c>
      <c r="K69" s="969"/>
      <c r="L69" s="974" t="s">
        <v>749</v>
      </c>
      <c r="M69" s="977" t="s">
        <v>438</v>
      </c>
      <c r="N69" s="978"/>
      <c r="O69" s="974"/>
      <c r="P69" s="529" t="s">
        <v>7</v>
      </c>
      <c r="Q69" s="532"/>
      <c r="R69" s="955" t="str">
        <f>IF(Q71=Berechnung1!D92,Berechnung1!$F$5,IF(OR(Q71&lt;Berechnung1!E92,Q71&gt;Berechnung1!F92),Berechnung1!$G$5,IF(OR(ROUND(Q71,4)&lt;Berechnung1!J92,ROUND(Q71,4)&gt;Berechnung1!K92),Berechnung1!$D$5,IF(OR(ROUND(Q71,4)&lt;Berechnung1!G92,ROUND(72,4)&gt;Berechnung1!H92),Berechnung1!$E$5,Berechnung1!$C$5))))</f>
        <v>Unvollständig</v>
      </c>
      <c r="S69" s="871"/>
      <c r="T69" s="869"/>
      <c r="U69" s="665"/>
    </row>
    <row r="70" spans="2:21" s="664" customFormat="1" ht="30" customHeight="1" thickBot="1">
      <c r="B70" s="961"/>
      <c r="C70" s="962"/>
      <c r="D70" s="966"/>
      <c r="E70" s="843"/>
      <c r="F70" s="970"/>
      <c r="G70" s="971"/>
      <c r="H70" s="970"/>
      <c r="I70" s="971"/>
      <c r="J70" s="970"/>
      <c r="K70" s="971"/>
      <c r="L70" s="975"/>
      <c r="M70" s="979"/>
      <c r="N70" s="980"/>
      <c r="O70" s="975"/>
      <c r="P70" s="529" t="s">
        <v>9</v>
      </c>
      <c r="Q70" s="712">
        <f>U70</f>
        <v>0</v>
      </c>
      <c r="R70" s="956"/>
      <c r="S70" s="870"/>
      <c r="T70" s="916"/>
      <c r="U70" s="662">
        <f>IF(SUM(Basisdaten!I37:O37)=0,0,SUM(Basisdaten!I37:O37))</f>
        <v>0</v>
      </c>
    </row>
    <row r="71" spans="2:21" s="664" customFormat="1" ht="30" customHeight="1" thickBot="1">
      <c r="B71" s="963"/>
      <c r="C71" s="964"/>
      <c r="D71" s="967"/>
      <c r="E71" s="844"/>
      <c r="F71" s="972"/>
      <c r="G71" s="973"/>
      <c r="H71" s="972"/>
      <c r="I71" s="973"/>
      <c r="J71" s="972"/>
      <c r="K71" s="973"/>
      <c r="L71" s="976"/>
      <c r="M71" s="981"/>
      <c r="N71" s="982"/>
      <c r="O71" s="976"/>
      <c r="P71" s="529" t="s">
        <v>10</v>
      </c>
      <c r="Q71" s="530" t="str">
        <f>IF(Q69="","n.d.",IF(Q70="","n.d.",IF(Q70=0,"",Q69/Q70)))</f>
        <v>n.d.</v>
      </c>
      <c r="R71" s="957"/>
      <c r="S71" s="870"/>
      <c r="T71" s="917"/>
      <c r="U71" s="665"/>
    </row>
    <row r="72" spans="2:21" s="664" customFormat="1" ht="30" customHeight="1" thickBot="1">
      <c r="B72" s="959">
        <v>18</v>
      </c>
      <c r="C72" s="960"/>
      <c r="D72" s="965" t="s">
        <v>747</v>
      </c>
      <c r="E72" s="842" t="s">
        <v>677</v>
      </c>
      <c r="F72" s="968" t="s">
        <v>802</v>
      </c>
      <c r="G72" s="969"/>
      <c r="H72" s="968" t="s">
        <v>797</v>
      </c>
      <c r="I72" s="969"/>
      <c r="J72" s="968" t="s">
        <v>798</v>
      </c>
      <c r="K72" s="969"/>
      <c r="L72" s="974" t="s">
        <v>749</v>
      </c>
      <c r="M72" s="977" t="s">
        <v>438</v>
      </c>
      <c r="N72" s="978"/>
      <c r="O72" s="974"/>
      <c r="P72" s="529" t="s">
        <v>7</v>
      </c>
      <c r="Q72" s="532"/>
      <c r="R72" s="955" t="str">
        <f>IF(Q74=Berechnung1!D95,Berechnung1!$F$5,IF(OR(Q74&lt;Berechnung1!E95,Q74&gt;Berechnung1!F95),Berechnung1!$G$5,IF(OR(ROUND(Q74,4)&lt;Berechnung1!J95,ROUND(Q74,4)&gt;Berechnung1!K95),Berechnung1!$D$5,IF(OR(ROUND(Q74,4)&lt;Berechnung1!G95,ROUND(72,4)&gt;Berechnung1!H95),Berechnung1!$E$5,Berechnung1!$C$5))))</f>
        <v>Unvollständig</v>
      </c>
      <c r="S72" s="871"/>
      <c r="T72" s="869"/>
      <c r="U72" s="665"/>
    </row>
    <row r="73" spans="2:21" s="664" customFormat="1" ht="30" customHeight="1" thickBot="1">
      <c r="B73" s="961"/>
      <c r="C73" s="962"/>
      <c r="D73" s="966"/>
      <c r="E73" s="843"/>
      <c r="F73" s="970"/>
      <c r="G73" s="971"/>
      <c r="H73" s="970"/>
      <c r="I73" s="971"/>
      <c r="J73" s="970"/>
      <c r="K73" s="971"/>
      <c r="L73" s="975"/>
      <c r="M73" s="979"/>
      <c r="N73" s="980"/>
      <c r="O73" s="975"/>
      <c r="P73" s="529" t="s">
        <v>9</v>
      </c>
      <c r="Q73" s="712">
        <f>U73</f>
        <v>0</v>
      </c>
      <c r="R73" s="956"/>
      <c r="S73" s="870"/>
      <c r="T73" s="916"/>
      <c r="U73" s="662">
        <f>Basisdaten!M37+Basisdaten!O37+Basisdaten!M34+Basisdaten!O34</f>
        <v>0</v>
      </c>
    </row>
    <row r="74" spans="2:21" s="664" customFormat="1" ht="30" customHeight="1" thickBot="1">
      <c r="B74" s="963"/>
      <c r="C74" s="964"/>
      <c r="D74" s="967"/>
      <c r="E74" s="844"/>
      <c r="F74" s="972"/>
      <c r="G74" s="973"/>
      <c r="H74" s="972"/>
      <c r="I74" s="973"/>
      <c r="J74" s="972"/>
      <c r="K74" s="973"/>
      <c r="L74" s="976"/>
      <c r="M74" s="981"/>
      <c r="N74" s="982"/>
      <c r="O74" s="976"/>
      <c r="P74" s="529" t="s">
        <v>10</v>
      </c>
      <c r="Q74" s="530" t="str">
        <f>IF(Q72="","n.d.",IF(Q73="","n.d.",IF(Q73=0,"",Q72/Q73)))</f>
        <v>n.d.</v>
      </c>
      <c r="R74" s="957"/>
      <c r="S74" s="870"/>
      <c r="T74" s="917"/>
      <c r="U74" s="665"/>
    </row>
    <row r="75" spans="2:21" ht="7.5" customHeight="1"/>
    <row r="76" spans="2:21" s="664" customFormat="1" ht="18" customHeight="1" thickBot="1">
      <c r="B76" s="734" t="s">
        <v>83</v>
      </c>
      <c r="C76" s="723"/>
      <c r="D76" s="721"/>
      <c r="E76" s="721"/>
      <c r="F76" s="721"/>
      <c r="G76" s="721"/>
      <c r="H76" s="721"/>
      <c r="I76" s="721"/>
      <c r="Q76" s="65"/>
    </row>
    <row r="77" spans="2:21" s="664" customFormat="1" ht="18" customHeight="1" thickBot="1">
      <c r="B77" s="721"/>
      <c r="C77" s="723"/>
      <c r="D77" s="824" t="s">
        <v>782</v>
      </c>
      <c r="E77" s="825"/>
      <c r="F77" s="725" t="s">
        <v>97</v>
      </c>
      <c r="G77" s="726" t="str">
        <f>CONCATENATE(TEXT(Berechnung1!C9,"0,00%")," (",Berechnung1!C6,")")</f>
        <v>0,00% (0)</v>
      </c>
      <c r="H77" s="823" t="str">
        <f>CONCATENATE(TEXT(Berechnung1!D10,"0,00%")," (",Berechnung1!D7,")")</f>
        <v>0,00% (0)</v>
      </c>
      <c r="I77" s="831" t="s">
        <v>103</v>
      </c>
      <c r="Q77" s="65"/>
    </row>
    <row r="78" spans="2:21" s="664" customFormat="1" ht="18" customHeight="1" thickBot="1">
      <c r="B78" s="721"/>
      <c r="C78" s="723"/>
      <c r="D78" s="826"/>
      <c r="E78" s="827"/>
      <c r="F78" s="727" t="s">
        <v>78</v>
      </c>
      <c r="G78" s="728" t="str">
        <f>CONCATENATE(TEXT(Berechnung1!K9,"0,00%")," (",Berechnung1!K6,")")</f>
        <v>0,00% (0)</v>
      </c>
      <c r="H78" s="823"/>
      <c r="I78" s="832"/>
      <c r="Q78" s="65"/>
    </row>
    <row r="79" spans="2:21" s="664" customFormat="1" ht="18" customHeight="1" thickBot="1">
      <c r="B79" s="721"/>
      <c r="C79" s="723"/>
      <c r="D79" s="828" t="s">
        <v>783</v>
      </c>
      <c r="E79" s="829"/>
      <c r="F79" s="829"/>
      <c r="G79" s="830"/>
      <c r="H79" s="729" t="str">
        <f>CONCATENATE(TEXT(Berechnung1!E10,"0,00%")," (",Berechnung1!E7,")")</f>
        <v>0,00% (0)</v>
      </c>
      <c r="I79" s="719" t="str">
        <f>CONCATENATE(TEXT(Berechnung1!E11,"0,00%")," (",Berechnung1!E8,")")</f>
        <v>0,00% (0)</v>
      </c>
      <c r="Q79" s="65"/>
    </row>
    <row r="80" spans="2:21" s="664" customFormat="1" ht="18" customHeight="1" thickBot="1">
      <c r="B80" s="721"/>
      <c r="C80" s="723"/>
      <c r="D80" s="819" t="s">
        <v>99</v>
      </c>
      <c r="E80" s="820"/>
      <c r="F80" s="730" t="s">
        <v>98</v>
      </c>
      <c r="G80" s="731" t="str">
        <f>CONCATENATE(TEXT(Berechnung1!G9,"0,00%")," (",Berechnung1!G6,")")</f>
        <v>0,00% (0)</v>
      </c>
      <c r="H80" s="823" t="str">
        <f>CONCATENATE(TEXT(Berechnung1!G10,"0,00%")," (",Berechnung1!G8,")")</f>
        <v>100,00% (21)</v>
      </c>
      <c r="I80" s="823"/>
      <c r="Q80" s="65"/>
    </row>
    <row r="81" spans="2:18" s="664" customFormat="1" ht="18" customHeight="1" thickBot="1">
      <c r="B81" s="721"/>
      <c r="C81" s="723"/>
      <c r="D81" s="821"/>
      <c r="E81" s="822"/>
      <c r="F81" s="732" t="s">
        <v>100</v>
      </c>
      <c r="G81" s="733" t="str">
        <f>CONCATENATE(TEXT(Berechnung1!F9,"0,00%")," (",Berechnung1!F6,")")</f>
        <v>100,00% (21)</v>
      </c>
      <c r="H81" s="823"/>
      <c r="I81" s="823"/>
      <c r="Q81" s="65"/>
    </row>
    <row r="82" spans="2:18" s="722" customFormat="1" ht="7.5" customHeight="1">
      <c r="C82" s="724"/>
      <c r="D82" s="720"/>
      <c r="E82" s="720"/>
      <c r="F82" s="720"/>
      <c r="G82" s="720"/>
      <c r="H82" s="720"/>
      <c r="I82" s="720"/>
    </row>
    <row r="83" spans="2:18" ht="16.5" customHeight="1">
      <c r="B83" s="818" t="s">
        <v>582</v>
      </c>
      <c r="C83" s="818"/>
      <c r="D83" s="818"/>
      <c r="E83" s="818"/>
      <c r="F83" s="303"/>
      <c r="G83" s="303"/>
      <c r="H83" s="303"/>
      <c r="I83" s="303"/>
      <c r="J83" s="303"/>
      <c r="K83" s="303"/>
      <c r="L83" s="303"/>
      <c r="M83" s="303"/>
      <c r="N83" s="303"/>
      <c r="O83" s="303"/>
      <c r="P83" s="303"/>
      <c r="Q83" s="303"/>
      <c r="R83" s="303"/>
    </row>
    <row r="84" spans="2:18" s="664" customFormat="1" ht="23.25" customHeight="1">
      <c r="B84" s="816" t="s">
        <v>781</v>
      </c>
      <c r="C84" s="817"/>
      <c r="D84" s="817"/>
      <c r="E84" s="817"/>
      <c r="F84" s="817"/>
      <c r="G84" s="817"/>
      <c r="H84" s="817"/>
      <c r="I84" s="817"/>
      <c r="J84" s="817"/>
      <c r="K84" s="817"/>
      <c r="L84" s="817"/>
      <c r="M84" s="817"/>
      <c r="N84" s="817"/>
      <c r="O84" s="817"/>
      <c r="P84" s="817"/>
      <c r="Q84" s="817"/>
      <c r="R84" s="817"/>
    </row>
    <row r="85" spans="2:18" ht="129" customHeight="1">
      <c r="B85" s="994" t="s">
        <v>838</v>
      </c>
      <c r="C85" s="995"/>
      <c r="D85" s="995"/>
      <c r="E85" s="995"/>
      <c r="F85" s="995"/>
      <c r="G85" s="995"/>
      <c r="H85" s="995"/>
      <c r="I85" s="995"/>
      <c r="J85" s="995"/>
      <c r="K85" s="995"/>
      <c r="L85" s="995"/>
      <c r="M85" s="995"/>
      <c r="N85" s="995"/>
      <c r="O85" s="995"/>
      <c r="P85" s="995"/>
      <c r="Q85" s="995"/>
      <c r="R85" s="995"/>
    </row>
    <row r="86" spans="2:18">
      <c r="B86" s="681" t="s">
        <v>686</v>
      </c>
    </row>
    <row r="87" spans="2:18" ht="23.25" customHeight="1">
      <c r="B87" s="815" t="s">
        <v>780</v>
      </c>
      <c r="C87" s="815"/>
      <c r="D87" s="815"/>
      <c r="E87" s="815"/>
      <c r="F87" s="815"/>
      <c r="G87" s="815"/>
      <c r="H87" s="815"/>
      <c r="I87" s="815"/>
      <c r="J87" s="815"/>
      <c r="K87" s="815"/>
      <c r="L87" s="815"/>
      <c r="M87" s="815"/>
      <c r="N87" s="815"/>
      <c r="O87" s="815"/>
      <c r="P87" s="815"/>
      <c r="Q87" s="815"/>
      <c r="R87" s="815"/>
    </row>
  </sheetData>
  <sheetProtection password="CA09"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283">
    <mergeCell ref="S69:S71"/>
    <mergeCell ref="T69:T71"/>
    <mergeCell ref="B72:C74"/>
    <mergeCell ref="D72:D74"/>
    <mergeCell ref="E72:E74"/>
    <mergeCell ref="F72:G74"/>
    <mergeCell ref="H72:I74"/>
    <mergeCell ref="J72:K74"/>
    <mergeCell ref="L72:L74"/>
    <mergeCell ref="M72:N74"/>
    <mergeCell ref="O72:O74"/>
    <mergeCell ref="R72:R74"/>
    <mergeCell ref="S72:S74"/>
    <mergeCell ref="T72:T74"/>
    <mergeCell ref="B69:C71"/>
    <mergeCell ref="D69:D71"/>
    <mergeCell ref="E69:E71"/>
    <mergeCell ref="F69:G71"/>
    <mergeCell ref="H69:I71"/>
    <mergeCell ref="J69:K71"/>
    <mergeCell ref="L69:L71"/>
    <mergeCell ref="M69:N71"/>
    <mergeCell ref="O69:O71"/>
    <mergeCell ref="S63:S65"/>
    <mergeCell ref="T63:T65"/>
    <mergeCell ref="B66:C68"/>
    <mergeCell ref="D66:D68"/>
    <mergeCell ref="E66:E68"/>
    <mergeCell ref="F66:G68"/>
    <mergeCell ref="H66:I68"/>
    <mergeCell ref="J66:K68"/>
    <mergeCell ref="L66:L68"/>
    <mergeCell ref="M66:N68"/>
    <mergeCell ref="O66:O68"/>
    <mergeCell ref="R66:R68"/>
    <mergeCell ref="S66:S68"/>
    <mergeCell ref="T66:T68"/>
    <mergeCell ref="B63:C65"/>
    <mergeCell ref="D63:D65"/>
    <mergeCell ref="E63:E65"/>
    <mergeCell ref="F63:G65"/>
    <mergeCell ref="H63:I65"/>
    <mergeCell ref="J63:K65"/>
    <mergeCell ref="L63:L65"/>
    <mergeCell ref="M63:N65"/>
    <mergeCell ref="O63:O65"/>
    <mergeCell ref="E27:E29"/>
    <mergeCell ref="B85:R85"/>
    <mergeCell ref="D48:D50"/>
    <mergeCell ref="D57:D59"/>
    <mergeCell ref="D54:D56"/>
    <mergeCell ref="M54:N56"/>
    <mergeCell ref="L48:L50"/>
    <mergeCell ref="H54:I56"/>
    <mergeCell ref="L57:L59"/>
    <mergeCell ref="E57:E59"/>
    <mergeCell ref="O60:O62"/>
    <mergeCell ref="O57:O59"/>
    <mergeCell ref="L51:L53"/>
    <mergeCell ref="L54:L56"/>
    <mergeCell ref="F54:G56"/>
    <mergeCell ref="E54:E56"/>
    <mergeCell ref="J54:K56"/>
    <mergeCell ref="D51:D53"/>
    <mergeCell ref="E51:E53"/>
    <mergeCell ref="F51:G53"/>
    <mergeCell ref="R57:R59"/>
    <mergeCell ref="B57:C59"/>
    <mergeCell ref="R63:R65"/>
    <mergeCell ref="R69:R71"/>
    <mergeCell ref="H27:I29"/>
    <mergeCell ref="J27:K29"/>
    <mergeCell ref="J45:K47"/>
    <mergeCell ref="F45:G47"/>
    <mergeCell ref="L36:L38"/>
    <mergeCell ref="L39:L41"/>
    <mergeCell ref="F30:G32"/>
    <mergeCell ref="H33:I35"/>
    <mergeCell ref="H36:I38"/>
    <mergeCell ref="L33:L35"/>
    <mergeCell ref="F36:G38"/>
    <mergeCell ref="J30:K32"/>
    <mergeCell ref="J36:K38"/>
    <mergeCell ref="F27:G29"/>
    <mergeCell ref="F33:G35"/>
    <mergeCell ref="J39:K41"/>
    <mergeCell ref="D36:D38"/>
    <mergeCell ref="M36:N38"/>
    <mergeCell ref="L42:L44"/>
    <mergeCell ref="D39:D41"/>
    <mergeCell ref="H45:I47"/>
    <mergeCell ref="E18:E20"/>
    <mergeCell ref="J18:K20"/>
    <mergeCell ref="H24:I26"/>
    <mergeCell ref="J24:K26"/>
    <mergeCell ref="H12:I20"/>
    <mergeCell ref="E12:E14"/>
    <mergeCell ref="J15:K17"/>
    <mergeCell ref="D33:D35"/>
    <mergeCell ref="D42:D44"/>
    <mergeCell ref="D45:D47"/>
    <mergeCell ref="D30:D32"/>
    <mergeCell ref="D24:D26"/>
    <mergeCell ref="D27:D29"/>
    <mergeCell ref="E45:E47"/>
    <mergeCell ref="F42:G44"/>
    <mergeCell ref="E42:E44"/>
    <mergeCell ref="L45:L47"/>
    <mergeCell ref="L27:L29"/>
    <mergeCell ref="F39:G41"/>
    <mergeCell ref="B60:C62"/>
    <mergeCell ref="D60:D62"/>
    <mergeCell ref="E60:E62"/>
    <mergeCell ref="F60:G62"/>
    <mergeCell ref="H60:I62"/>
    <mergeCell ref="J60:K62"/>
    <mergeCell ref="L60:L62"/>
    <mergeCell ref="M60:N62"/>
    <mergeCell ref="T45:T47"/>
    <mergeCell ref="T48:T50"/>
    <mergeCell ref="S45:S47"/>
    <mergeCell ref="S57:S59"/>
    <mergeCell ref="H51:I53"/>
    <mergeCell ref="J51:K53"/>
    <mergeCell ref="M45:N47"/>
    <mergeCell ref="O54:O56"/>
    <mergeCell ref="O51:O53"/>
    <mergeCell ref="O48:O50"/>
    <mergeCell ref="O45:O47"/>
    <mergeCell ref="M48:N50"/>
    <mergeCell ref="M51:N53"/>
    <mergeCell ref="R48:R50"/>
    <mergeCell ref="S48:S50"/>
    <mergeCell ref="J57:K59"/>
    <mergeCell ref="S27:S29"/>
    <mergeCell ref="T39:T41"/>
    <mergeCell ref="T36:T38"/>
    <mergeCell ref="R36:R38"/>
    <mergeCell ref="T30:T32"/>
    <mergeCell ref="R39:R41"/>
    <mergeCell ref="T60:T62"/>
    <mergeCell ref="R60:R62"/>
    <mergeCell ref="T42:T44"/>
    <mergeCell ref="R45:R47"/>
    <mergeCell ref="R54:R56"/>
    <mergeCell ref="R42:R44"/>
    <mergeCell ref="T54:T56"/>
    <mergeCell ref="S54:S56"/>
    <mergeCell ref="S60:S62"/>
    <mergeCell ref="T51:T53"/>
    <mergeCell ref="T57:T59"/>
    <mergeCell ref="S51:S53"/>
    <mergeCell ref="F6:N6"/>
    <mergeCell ref="F8:G8"/>
    <mergeCell ref="T18:T20"/>
    <mergeCell ref="R15:R17"/>
    <mergeCell ref="K8:N8"/>
    <mergeCell ref="R10:R11"/>
    <mergeCell ref="R12:R14"/>
    <mergeCell ref="Q12:Q14"/>
    <mergeCell ref="O10:O11"/>
    <mergeCell ref="Q18:Q20"/>
    <mergeCell ref="P10:Q11"/>
    <mergeCell ref="T15:T17"/>
    <mergeCell ref="S15:S17"/>
    <mergeCell ref="R18:R20"/>
    <mergeCell ref="S18:S20"/>
    <mergeCell ref="S10:T10"/>
    <mergeCell ref="S12:S14"/>
    <mergeCell ref="T12:T14"/>
    <mergeCell ref="P18:P20"/>
    <mergeCell ref="L18:L20"/>
    <mergeCell ref="O12:O14"/>
    <mergeCell ref="M12:N14"/>
    <mergeCell ref="B10:C11"/>
    <mergeCell ref="P12:P14"/>
    <mergeCell ref="B12:C14"/>
    <mergeCell ref="D10:D11"/>
    <mergeCell ref="L10:L11"/>
    <mergeCell ref="P15:P17"/>
    <mergeCell ref="J12:K14"/>
    <mergeCell ref="L12:L14"/>
    <mergeCell ref="L15:L17"/>
    <mergeCell ref="M15:N17"/>
    <mergeCell ref="H10:I11"/>
    <mergeCell ref="M10:N11"/>
    <mergeCell ref="J10:K11"/>
    <mergeCell ref="E10:E11"/>
    <mergeCell ref="F10:G11"/>
    <mergeCell ref="E24:E26"/>
    <mergeCell ref="L24:L26"/>
    <mergeCell ref="F12:G20"/>
    <mergeCell ref="O18:O20"/>
    <mergeCell ref="O15:O17"/>
    <mergeCell ref="F24:G26"/>
    <mergeCell ref="E15:E17"/>
    <mergeCell ref="M18:N20"/>
    <mergeCell ref="O24:O26"/>
    <mergeCell ref="B33:C35"/>
    <mergeCell ref="E48:E50"/>
    <mergeCell ref="F48:G50"/>
    <mergeCell ref="H48:I50"/>
    <mergeCell ref="J48:K50"/>
    <mergeCell ref="Q15:Q17"/>
    <mergeCell ref="S24:S26"/>
    <mergeCell ref="T24:T26"/>
    <mergeCell ref="R24:R26"/>
    <mergeCell ref="P21:P23"/>
    <mergeCell ref="Q21:Q23"/>
    <mergeCell ref="R21:R23"/>
    <mergeCell ref="S21:S23"/>
    <mergeCell ref="T21:T23"/>
    <mergeCell ref="B15:C17"/>
    <mergeCell ref="D12:D20"/>
    <mergeCell ref="B18:C20"/>
    <mergeCell ref="B24:C26"/>
    <mergeCell ref="T27:T29"/>
    <mergeCell ref="R27:R29"/>
    <mergeCell ref="T33:T35"/>
    <mergeCell ref="R33:R35"/>
    <mergeCell ref="S33:S35"/>
    <mergeCell ref="S30:S32"/>
    <mergeCell ref="M27:N29"/>
    <mergeCell ref="M24:N26"/>
    <mergeCell ref="O27:O29"/>
    <mergeCell ref="P42:P44"/>
    <mergeCell ref="R51:R53"/>
    <mergeCell ref="B27:C29"/>
    <mergeCell ref="F57:G59"/>
    <mergeCell ref="H57:I59"/>
    <mergeCell ref="E36:E38"/>
    <mergeCell ref="E30:E32"/>
    <mergeCell ref="B45:C47"/>
    <mergeCell ref="B51:C53"/>
    <mergeCell ref="M57:N59"/>
    <mergeCell ref="M30:N32"/>
    <mergeCell ref="J33:K35"/>
    <mergeCell ref="H30:I32"/>
    <mergeCell ref="L30:L32"/>
    <mergeCell ref="M33:N35"/>
    <mergeCell ref="B54:C56"/>
    <mergeCell ref="B48:C50"/>
    <mergeCell ref="B36:C38"/>
    <mergeCell ref="B39:C41"/>
    <mergeCell ref="B30:C32"/>
    <mergeCell ref="B42:C44"/>
    <mergeCell ref="E39:E41"/>
    <mergeCell ref="R30:R32"/>
    <mergeCell ref="P45:P47"/>
    <mergeCell ref="S42:S44"/>
    <mergeCell ref="S39:S41"/>
    <mergeCell ref="S36:S38"/>
    <mergeCell ref="Q42:Q44"/>
    <mergeCell ref="M42:N44"/>
    <mergeCell ref="O42:O44"/>
    <mergeCell ref="O39:O41"/>
    <mergeCell ref="O33:O35"/>
    <mergeCell ref="O30:O32"/>
    <mergeCell ref="M39:N41"/>
    <mergeCell ref="O36:O38"/>
    <mergeCell ref="Q45:Q47"/>
    <mergeCell ref="E33:E35"/>
    <mergeCell ref="J42:K44"/>
    <mergeCell ref="H39:I41"/>
    <mergeCell ref="H42:I44"/>
    <mergeCell ref="B21:C23"/>
    <mergeCell ref="D21:D23"/>
    <mergeCell ref="E21:E23"/>
    <mergeCell ref="F21:G23"/>
    <mergeCell ref="H21:I23"/>
    <mergeCell ref="J21:K23"/>
    <mergeCell ref="L21:L23"/>
    <mergeCell ref="M21:N23"/>
    <mergeCell ref="O21:O23"/>
    <mergeCell ref="B87:R87"/>
    <mergeCell ref="B84:R84"/>
    <mergeCell ref="B83:E83"/>
    <mergeCell ref="D80:E81"/>
    <mergeCell ref="H80:I81"/>
    <mergeCell ref="D77:E78"/>
    <mergeCell ref="H77:H78"/>
    <mergeCell ref="D79:G79"/>
    <mergeCell ref="I77:I78"/>
  </mergeCells>
  <phoneticPr fontId="41" type="noConversion"/>
  <conditionalFormatting sqref="Q24 Q33 Q36 Q48 Q54 Q39:Q40 Q27 Q30 Q51 Q57:Q58 Q60 Q63 Q66 Q69 Q72">
    <cfRule type="containsBlanks" dxfId="288" priority="839">
      <formula>LEN(TRIM(Q24))=0</formula>
    </cfRule>
  </conditionalFormatting>
  <conditionalFormatting sqref="R12:R14">
    <cfRule type="cellIs" dxfId="287" priority="338" stopIfTrue="1" operator="equal">
      <formula>"Sollvorgabe nicht erfüllt"</formula>
    </cfRule>
    <cfRule type="expression" dxfId="286" priority="345" stopIfTrue="1">
      <formula>OR(R12=$F$81,R12=$F$80)</formula>
    </cfRule>
    <cfRule type="cellIs" dxfId="285" priority="346" stopIfTrue="1" operator="equal">
      <formula>"I.O. (Plausibilität unklar)"</formula>
    </cfRule>
    <cfRule type="cellIs" dxfId="284" priority="347" stopIfTrue="1" operator="equal">
      <formula>"I.O."</formula>
    </cfRule>
  </conditionalFormatting>
  <conditionalFormatting sqref="R15:R17">
    <cfRule type="cellIs" dxfId="283" priority="336" stopIfTrue="1" operator="equal">
      <formula>"Sollvorgabe nicht erfüllt"</formula>
    </cfRule>
    <cfRule type="expression" dxfId="282" priority="342" stopIfTrue="1">
      <formula>OR(R15=$F$81,R15=$F$80)</formula>
    </cfRule>
    <cfRule type="cellIs" dxfId="281" priority="343" stopIfTrue="1" operator="equal">
      <formula>"I.O. (Plausibilität unklar)"</formula>
    </cfRule>
    <cfRule type="cellIs" dxfId="280" priority="344" stopIfTrue="1" operator="equal">
      <formula>"I.O."</formula>
    </cfRule>
  </conditionalFormatting>
  <conditionalFormatting sqref="R18:R20">
    <cfRule type="cellIs" dxfId="279" priority="335" stopIfTrue="1" operator="equal">
      <formula>"Sollvorgabe nicht erfüllt"</formula>
    </cfRule>
    <cfRule type="expression" dxfId="278" priority="339" stopIfTrue="1">
      <formula>OR(R18=$F$81,R18=$F$80)</formula>
    </cfRule>
    <cfRule type="cellIs" dxfId="277" priority="340" stopIfTrue="1" operator="equal">
      <formula>"I.O. (Plausibilität unklar)"</formula>
    </cfRule>
    <cfRule type="cellIs" dxfId="276" priority="341" stopIfTrue="1" operator="equal">
      <formula>"I.O."</formula>
    </cfRule>
  </conditionalFormatting>
  <conditionalFormatting sqref="R24:R26 R54:R59">
    <cfRule type="expression" dxfId="275" priority="104" stopIfTrue="1">
      <formula>OR(R24=$F$81,R24=$F$80)</formula>
    </cfRule>
    <cfRule type="cellIs" dxfId="274" priority="260" stopIfTrue="1" operator="equal">
      <formula>"Sollvorgabe nicht erfüllt"</formula>
    </cfRule>
    <cfRule type="cellIs" dxfId="273" priority="308" stopIfTrue="1" operator="equal">
      <formula>"I.O. (Plausibilität unklar)"</formula>
    </cfRule>
    <cfRule type="cellIs" dxfId="272" priority="334" stopIfTrue="1" operator="equal">
      <formula>"I.O."</formula>
    </cfRule>
  </conditionalFormatting>
  <conditionalFormatting sqref="R27:R29">
    <cfRule type="expression" dxfId="271" priority="259" stopIfTrue="1">
      <formula>OR(R27=$F$81,R27=$F$80)</formula>
    </cfRule>
    <cfRule type="cellIs" dxfId="270" priority="283" stopIfTrue="1" operator="equal">
      <formula>"Sollvorgabe nicht erfüllt"</formula>
    </cfRule>
    <cfRule type="cellIs" dxfId="269" priority="307" stopIfTrue="1" operator="equal">
      <formula>"I.O. (Plausibilität unklar)"</formula>
    </cfRule>
    <cfRule type="cellIs" dxfId="268" priority="333" stopIfTrue="1" operator="equal">
      <formula>"I.O."</formula>
    </cfRule>
  </conditionalFormatting>
  <conditionalFormatting sqref="R30:R32">
    <cfRule type="expression" dxfId="267" priority="257" stopIfTrue="1">
      <formula>OR(R30=$F$81,R30=$F$80)</formula>
    </cfRule>
    <cfRule type="cellIs" dxfId="266" priority="281" stopIfTrue="1" operator="equal">
      <formula>"Sollvorgabe nicht erfüllt"</formula>
    </cfRule>
    <cfRule type="cellIs" dxfId="265" priority="305" stopIfTrue="1" operator="equal">
      <formula>"I.O. (Plausibilität unklar)"</formula>
    </cfRule>
    <cfRule type="cellIs" dxfId="264" priority="331" stopIfTrue="1" operator="equal">
      <formula>"I.O."</formula>
    </cfRule>
  </conditionalFormatting>
  <conditionalFormatting sqref="R33:R35">
    <cfRule type="expression" dxfId="263" priority="256" stopIfTrue="1">
      <formula>OR(R33=$F$81,R33=$F$80)</formula>
    </cfRule>
    <cfRule type="cellIs" dxfId="262" priority="280" stopIfTrue="1" operator="equal">
      <formula>"Sollvorgabe nicht erfüllt"</formula>
    </cfRule>
    <cfRule type="cellIs" dxfId="261" priority="304" stopIfTrue="1" operator="equal">
      <formula>"I.O. (Plausibilität unklar)"</formula>
    </cfRule>
    <cfRule type="cellIs" dxfId="260" priority="330" stopIfTrue="1" operator="equal">
      <formula>"I.O."</formula>
    </cfRule>
  </conditionalFormatting>
  <conditionalFormatting sqref="R36:R38">
    <cfRule type="expression" dxfId="259" priority="254" stopIfTrue="1">
      <formula>OR(R36=$F$81,R36=$F$80)</formula>
    </cfRule>
    <cfRule type="cellIs" dxfId="258" priority="278" stopIfTrue="1" operator="equal">
      <formula>"Sollvorgabe nicht erfüllt"</formula>
    </cfRule>
    <cfRule type="cellIs" dxfId="257" priority="302" stopIfTrue="1" operator="equal">
      <formula>"I.O. (Plausibilität unklar)"</formula>
    </cfRule>
    <cfRule type="cellIs" dxfId="256" priority="328" stopIfTrue="1" operator="equal">
      <formula>"I.O."</formula>
    </cfRule>
  </conditionalFormatting>
  <conditionalFormatting sqref="R39:R41">
    <cfRule type="expression" dxfId="255" priority="253" stopIfTrue="1">
      <formula>OR(R39=$F$81,R39=$F$80)</formula>
    </cfRule>
    <cfRule type="cellIs" dxfId="254" priority="277" stopIfTrue="1" operator="equal">
      <formula>"Sollvorgabe nicht erfüllt"</formula>
    </cfRule>
    <cfRule type="cellIs" dxfId="253" priority="301" stopIfTrue="1" operator="equal">
      <formula>"I.O. (Plausibilität unklar)"</formula>
    </cfRule>
    <cfRule type="cellIs" dxfId="252" priority="327" stopIfTrue="1" operator="equal">
      <formula>"I.O."</formula>
    </cfRule>
  </conditionalFormatting>
  <conditionalFormatting sqref="R48:R53">
    <cfRule type="expression" dxfId="251" priority="250" stopIfTrue="1">
      <formula>OR(R48=$F$81,R48=$F$80)</formula>
    </cfRule>
    <cfRule type="cellIs" dxfId="250" priority="274" stopIfTrue="1" operator="equal">
      <formula>"Sollvorgabe nicht erfüllt"</formula>
    </cfRule>
    <cfRule type="cellIs" dxfId="249" priority="298" stopIfTrue="1" operator="equal">
      <formula>"I.O. (Plausibilität unklar)"</formula>
    </cfRule>
    <cfRule type="cellIs" dxfId="248" priority="324" stopIfTrue="1" operator="equal">
      <formula>"I.O."</formula>
    </cfRule>
  </conditionalFormatting>
  <conditionalFormatting sqref="Q61 Q64 Q67">
    <cfRule type="containsBlanks" dxfId="247" priority="109">
      <formula>LEN(TRIM(Q61))=0</formula>
    </cfRule>
  </conditionalFormatting>
  <conditionalFormatting sqref="Q42">
    <cfRule type="containsBlanks" dxfId="246" priority="108">
      <formula>LEN(TRIM(Q42))=0</formula>
    </cfRule>
  </conditionalFormatting>
  <conditionalFormatting sqref="Q45">
    <cfRule type="containsBlanks" dxfId="245" priority="107">
      <formula>LEN(TRIM(Q45))=0</formula>
    </cfRule>
  </conditionalFormatting>
  <conditionalFormatting sqref="Q52">
    <cfRule type="containsBlanks" dxfId="244" priority="106">
      <formula>LEN(TRIM(Q52))=0</formula>
    </cfRule>
  </conditionalFormatting>
  <conditionalFormatting sqref="Q37">
    <cfRule type="containsBlanks" dxfId="243" priority="105">
      <formula>LEN(TRIM(Q37))=0</formula>
    </cfRule>
  </conditionalFormatting>
  <conditionalFormatting sqref="S12:S20 S63 S66 S69 S72 S24:S60">
    <cfRule type="notContainsBlanks" dxfId="242" priority="101">
      <formula>LEN(TRIM(S12))&gt;0</formula>
    </cfRule>
    <cfRule type="expression" dxfId="241" priority="102">
      <formula>OR($R12="Unvollständig",$R12="Sollvorgabe nicht erfüllt",$R12="I.O. (Plausibilität unklar)",$R12="Ausnahme (Plausibilität unklar)",$R12="optional - unvollständig",$R12="optional - Sollvorgabe nicht erfüllt",$R12="optional - I.O. (Plausibilität unklar)", $R12="optional - I.O. (Plausibilität unklar)",$R12="optional - Ausnahme (Plausibilität unklar)")</formula>
    </cfRule>
  </conditionalFormatting>
  <conditionalFormatting sqref="R60:R62">
    <cfRule type="cellIs" dxfId="240" priority="33" operator="equal">
      <formula>"Inkorrekt"</formula>
    </cfRule>
    <cfRule type="cellIs" dxfId="239" priority="80" stopIfTrue="1" operator="equal">
      <formula>"Unvollständig"</formula>
    </cfRule>
    <cfRule type="cellIs" dxfId="238" priority="97" stopIfTrue="1" operator="equal">
      <formula>"Ausnahme (Plausibilität unklar)"</formula>
    </cfRule>
    <cfRule type="cellIs" dxfId="237" priority="98" stopIfTrue="1" operator="equal">
      <formula>"I.O."</formula>
    </cfRule>
    <cfRule type="cellIs" dxfId="236" priority="99" stopIfTrue="1" operator="equal">
      <formula>"Sollvorgabe nicht erfüllt"</formula>
    </cfRule>
    <cfRule type="cellIs" dxfId="235" priority="100" stopIfTrue="1" operator="equal">
      <formula>"I.O. (Plausibilität unklar)"</formula>
    </cfRule>
  </conditionalFormatting>
  <conditionalFormatting sqref="R21:R23">
    <cfRule type="cellIs" dxfId="234" priority="56" stopIfTrue="1" operator="equal">
      <formula>"Sollvorgabe nicht erfüllt"</formula>
    </cfRule>
    <cfRule type="expression" dxfId="233" priority="57" stopIfTrue="1">
      <formula>OR(R21=$F$81,R21=$F$80)</formula>
    </cfRule>
    <cfRule type="cellIs" dxfId="232" priority="58" stopIfTrue="1" operator="equal">
      <formula>"Ausnahme (Plausibilität unklar)"</formula>
    </cfRule>
    <cfRule type="cellIs" dxfId="231" priority="59" stopIfTrue="1" operator="equal">
      <formula>"I.O."</formula>
    </cfRule>
  </conditionalFormatting>
  <conditionalFormatting sqref="S21:S23">
    <cfRule type="notContainsBlanks" dxfId="230" priority="54">
      <formula>LEN(TRIM(S21))&gt;0</formula>
    </cfRule>
    <cfRule type="expression" dxfId="229" priority="55">
      <formula>OR($R21="Unvollständig",$R21="Sollvorgabe nicht erfüllt",$R21="I.O. (Plausibilität unklar)",$R21="Ausnahme (Plausibilität unklar)",$R21="optional - unvollständig",$R21="optional - Sollvorgabe nicht erfüllt",$R21="optional - I.O. (Plausibilität unklar)", $R21="optional - I.O. (Plausibilität unklar)",$R21="optional - Ausnahme (Plausibilität unklar)")</formula>
    </cfRule>
  </conditionalFormatting>
  <conditionalFormatting sqref="R63:R65">
    <cfRule type="cellIs" dxfId="228" priority="27" operator="equal">
      <formula>"Inkorrekt"</formula>
    </cfRule>
    <cfRule type="cellIs" dxfId="227" priority="28" stopIfTrue="1" operator="equal">
      <formula>"Unvollständig"</formula>
    </cfRule>
    <cfRule type="cellIs" dxfId="226" priority="29" stopIfTrue="1" operator="equal">
      <formula>"Ausnahme (Plausibilität unklar)"</formula>
    </cfRule>
    <cfRule type="cellIs" dxfId="225" priority="30" stopIfTrue="1" operator="equal">
      <formula>"I.O."</formula>
    </cfRule>
    <cfRule type="cellIs" dxfId="224" priority="31" stopIfTrue="1" operator="equal">
      <formula>"Sollvorgabe nicht erfüllt"</formula>
    </cfRule>
    <cfRule type="cellIs" dxfId="223" priority="32" stopIfTrue="1" operator="equal">
      <formula>"I.O. (Plausibilität unklar)"</formula>
    </cfRule>
  </conditionalFormatting>
  <conditionalFormatting sqref="R66:R68">
    <cfRule type="cellIs" dxfId="222" priority="21" operator="equal">
      <formula>"Inkorrekt"</formula>
    </cfRule>
    <cfRule type="cellIs" dxfId="221" priority="22" stopIfTrue="1" operator="equal">
      <formula>"Unvollständig"</formula>
    </cfRule>
    <cfRule type="cellIs" dxfId="220" priority="23" stopIfTrue="1" operator="equal">
      <formula>"Ausnahme (Plausibilität unklar)"</formula>
    </cfRule>
    <cfRule type="cellIs" dxfId="219" priority="24" stopIfTrue="1" operator="equal">
      <formula>"I.O."</formula>
    </cfRule>
    <cfRule type="cellIs" dxfId="218" priority="25" stopIfTrue="1" operator="equal">
      <formula>"Sollvorgabe nicht erfüllt"</formula>
    </cfRule>
    <cfRule type="cellIs" dxfId="217" priority="26" stopIfTrue="1" operator="equal">
      <formula>"I.O. (Plausibilität unklar)"</formula>
    </cfRule>
  </conditionalFormatting>
  <conditionalFormatting sqref="R69:R71">
    <cfRule type="cellIs" dxfId="216" priority="15" operator="equal">
      <formula>"Inkorrekt"</formula>
    </cfRule>
    <cfRule type="cellIs" dxfId="215" priority="16" stopIfTrue="1" operator="equal">
      <formula>"Unvollständig"</formula>
    </cfRule>
    <cfRule type="cellIs" dxfId="214" priority="17" stopIfTrue="1" operator="equal">
      <formula>"Ausnahme (Plausibilität unklar)"</formula>
    </cfRule>
    <cfRule type="cellIs" dxfId="213" priority="18" stopIfTrue="1" operator="equal">
      <formula>"I.O."</formula>
    </cfRule>
    <cfRule type="cellIs" dxfId="212" priority="19" stopIfTrue="1" operator="equal">
      <formula>"Sollvorgabe nicht erfüllt"</formula>
    </cfRule>
    <cfRule type="cellIs" dxfId="211" priority="20" stopIfTrue="1" operator="equal">
      <formula>"I.O. (Plausibilität unklar)"</formula>
    </cfRule>
  </conditionalFormatting>
  <conditionalFormatting sqref="R72:R74">
    <cfRule type="cellIs" dxfId="210" priority="9" operator="equal">
      <formula>"Inkorrekt"</formula>
    </cfRule>
    <cfRule type="cellIs" dxfId="209" priority="10" stopIfTrue="1" operator="equal">
      <formula>"Unvollständig"</formula>
    </cfRule>
    <cfRule type="cellIs" dxfId="208" priority="11" stopIfTrue="1" operator="equal">
      <formula>"Ausnahme (Plausibilität unklar)"</formula>
    </cfRule>
    <cfRule type="cellIs" dxfId="207" priority="12" stopIfTrue="1" operator="equal">
      <formula>"I.O."</formula>
    </cfRule>
    <cfRule type="cellIs" dxfId="206" priority="13" stopIfTrue="1" operator="equal">
      <formula>"Sollvorgabe nicht erfüllt"</formula>
    </cfRule>
    <cfRule type="cellIs" dxfId="205" priority="14" stopIfTrue="1" operator="equal">
      <formula>"I.O. (Plausibilität unklar)"</formula>
    </cfRule>
  </conditionalFormatting>
  <conditionalFormatting sqref="R42:R44">
    <cfRule type="expression" dxfId="204" priority="5" stopIfTrue="1">
      <formula>OR(R42=$F$81,R42=$F$80)</formula>
    </cfRule>
    <cfRule type="cellIs" dxfId="203" priority="6" stopIfTrue="1" operator="equal">
      <formula>"Sollvorgabe nicht erfüllt"</formula>
    </cfRule>
    <cfRule type="cellIs" dxfId="202" priority="7" stopIfTrue="1" operator="equal">
      <formula>"I.O. (Plausibilität unklar)"</formula>
    </cfRule>
    <cfRule type="cellIs" dxfId="201" priority="8" stopIfTrue="1" operator="equal">
      <formula>"I.O."</formula>
    </cfRule>
  </conditionalFormatting>
  <conditionalFormatting sqref="R45:R47">
    <cfRule type="expression" dxfId="200" priority="1" stopIfTrue="1">
      <formula>OR(R45=$F$81,R45=$F$80)</formula>
    </cfRule>
    <cfRule type="cellIs" dxfId="199" priority="2" stopIfTrue="1" operator="equal">
      <formula>"Sollvorgabe nicht erfüllt"</formula>
    </cfRule>
    <cfRule type="cellIs" dxfId="198" priority="3" stopIfTrue="1" operator="equal">
      <formula>"I.O. (Plausibilität unklar)"</formula>
    </cfRule>
    <cfRule type="cellIs" dxfId="197" priority="4" stopIfTrue="1" operator="equal">
      <formula>"I.O."</formula>
    </cfRule>
  </conditionalFormatting>
  <dataValidations count="23">
    <dataValidation type="whole" allowBlank="1" showInputMessage="1" showErrorMessage="1" errorTitle="Eingabefehler" error="1. Tabellenblatt Basisdaten muss vollständig ausgefüllt sein._x000a_2. Zähler muss eine positive ganze Zahl sein._x000a_3. Zähler kann nicht größer als Nenner sein." sqref="Q54 Q48">
      <formula1>0</formula1>
      <formula2>IF(Q49="",5000,Q49)</formula2>
    </dataValidation>
    <dataValidation type="whole" showInputMessage="1" showErrorMessage="1" errorTitle="Eingabefehler" error="1. Zähler muss eine positive ganze Zahl sein._x000a_2. Zähler kann nicht größer als Nenner sein." sqref="Q51 Q39">
      <formula1>0</formula1>
      <formula2>IF(Q40="",5000,Q40)</formula2>
    </dataValidation>
    <dataValidation operator="equal" showInputMessage="1" showErrorMessage="1" sqref="Q34"/>
    <dataValidation errorStyle="information" allowBlank="1" showInputMessage="1" showErrorMessage="1" errorTitle="Kennzahl" promptTitle="Kennzahl" sqref="D10 B10"/>
    <dataValidation type="custom" operator="equal" showInputMessage="1" showErrorMessage="1" errorTitle="Eingabefehler" error="1. Nenner muss eine positive ganze Zahl sein. _x000a_2. Nenner kann nicht kleiner als Zähler sein." sqref="Q40">
      <formula1>IF(ISNUMBER(Q40),IF(Q40&gt;0,IF(AND(Q40&gt;=Q39,Q40&lt;5001),Q40,FALSE),FALSE),FALSE)</formula1>
    </dataValidation>
    <dataValidation showInputMessage="1" showErrorMessage="1" sqref="Q12:Q14 Q18:Q21"/>
    <dataValidation operator="equal" showInputMessage="1" showErrorMessage="1" errorTitle="Eingabefehler" error="1. Nenner muss eine positive ganze Zahl sein._x000a_2. Nenner kann nicht kleiner als Zähler sein." sqref="Q25"/>
    <dataValidation showInputMessage="1" showErrorMessage="1" errorTitle="Eingabefehler" error="1. Nenner muss eine positive ganze Zahl sein. _x000a_2. Nenner kann nicht kleiner als Zähler sein._x000a_3. Nenner muss kleiner sein als Anzahl Primärfälle." sqref="Q28"/>
    <dataValidation type="whole" showInputMessage="1" showErrorMessage="1" errorTitle="Eingabefehler" error="1. Tabellenblatt Basisdaten muss vollständig ausgefüllt sein._x000a_2. Zähler muss eine positive ganze Zahl sein." sqref="Q36">
      <formula1>0</formula1>
      <formula2>5000</formula2>
    </dataValidation>
    <dataValidation type="whole" showInputMessage="1" showErrorMessage="1" errorTitle="Eingabefehler" error="1. Nur positive ganze Zahlen._x000a_2. Maximalwert 10000." sqref="Q42:Q47">
      <formula1>0</formula1>
      <formula2>10000</formula2>
    </dataValidation>
    <dataValidation type="textLength" allowBlank="1" showInputMessage="1" showErrorMessage="1" errorTitle="Zeichenlänge" error="Minimal 30 Zeichen und max. 500 Zeichen." promptTitle="Hinweis" prompt="Wenn die Datenqualität nicht &quot;I.O.&quot;ist, ist der Kennzahlenwert zu begründen." sqref="S12:S14">
      <formula1>30</formula1>
      <formula2>500</formula2>
    </dataValidation>
    <dataValidation type="textLength" allowBlank="1" showInputMessage="1" showErrorMessage="1" errorTitle="Zeichenlänge" error="Minimal 30 Zeichen und max. 500 Zeichen." sqref="T12:T14 S60:T74 S24:S59 S15:S21 T15:T21 T24:T59">
      <formula1>30</formula1>
      <formula2>500</formula2>
    </dataValidation>
    <dataValidation showInputMessage="1" showErrorMessage="1" errorTitle="Eingabefehler" sqref="Q15:Q17"/>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73 Q70">
      <formula1>$Q$60</formula1>
      <formula2>Q27</formula2>
    </dataValidation>
    <dataValidation type="custom"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58">
      <formula1>IF(ISNUMBER(Q58),IF(Q58&gt;0,IF(AND(Q58&gt;=Q57,Q58&lt;=Q15),Q58,FALSE),FALSE),FALSE)</formula1>
    </dataValidation>
    <dataValidation type="whole" showInputMessage="1" showErrorMessage="1" errorTitle="Eingabefehler" error="1. Tabellenblatt Basisdaten muss vollständig ausgefüllt sein._x000a_2. Zähler muss eine positive ganze Zahl sein._x000a_3. Zähler kann nicht größer als Nenner sein." sqref="Q30 Q27 Q24 Q72 Q60 Q63 Q66 Q69">
      <formula1>0</formula1>
      <formula2>IF(Q25="",5000,Q25)</formula2>
    </dataValidation>
    <dataValidation type="whole" showInputMessage="1" showErrorMessage="1" errorTitle="Eingabefehler" error="1. Tabellenblatt Basisdaten muss vollständig ausgefüllt sein._x000a_2. Zähler muss eine positive ganze Zahl sein._x000a_2. Zähler kann nicht größer als Nenner sein." sqref="Q33">
      <formula1>0</formula1>
      <formula2>IF(Q34="",5000,Q34)</formula2>
    </dataValidation>
    <dataValidation type="custom" showInputMessage="1" showErrorMessage="1" errorTitle="Eingabefehler" error="1. Nenner muss eine positive ganze Zahl sein. _x000a_2. Nenner kann nicht kleiner als Zähler sein._x000a_3. Nenner kann nicht kleiner als Nenner KN7 sein. " sqref="Q52">
      <formula1>IF(ISNUMBER(Q52),IF(Q52&gt;0,IF(AND(Q52&gt;=Q51,Q52&gt;=Q40),Q52,FALSE),FALSE),FALSE)</formula1>
    </dataValidation>
    <dataValidation type="whole" showInputMessage="1" showErrorMessage="1" errorTitle="Eingabefehler" error="1.Nenner muss eine positive ganze Zahl sein. _x000a_2.Nenner kann nicht kleiner als Zähler sein._x000a_3.Nenner kann nicht kleiner als Summe I37:O37 von Basisdaten sein._x000a_4.Nenner kann nicht größer als Summe I37:Q37 von Basisdaten sein." sqref="Q37">
      <formula1>U37</formula1>
      <formula2>U38</formula2>
    </dataValidation>
    <dataValidation type="custom"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61">
      <formula1>IF(ISNUMBER(Q61),IF(Q61&gt;0,IF(AND(Q61&gt;=Q60,Q61&lt;=Q15),Q61,FALSE),FALSE),FALSE)</formula1>
    </dataValidation>
    <dataValidation type="custom"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64">
      <formula1>IF(ISNUMBER(Q64),IF(Q64&gt;0,IF(AND(Q64&gt;=Q63,Q64&lt;=Q15),Q64,FALSE),FALSE),FALSE)</formula1>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67">
      <formula1>Q66</formula1>
      <formula2>Q15</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Q57">
      <formula1>0</formula1>
      <formula2>IF(Q58="",5000,Q58)</formula2>
    </dataValidation>
  </dataValidations>
  <pageMargins left="0.39370078740157483" right="3.937007874015748E-2" top="0.59055118110236227" bottom="0.39370078740157483" header="0.11811023622047245" footer="0.11811023622047245"/>
  <pageSetup paperSize="9" scale="98"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5" manualBreakCount="5">
    <brk id="20" max="17" man="1"/>
    <brk id="32" max="17" man="1"/>
    <brk id="44" max="17" man="1"/>
    <brk id="56" max="17" man="1"/>
    <brk id="68" max="17" man="1"/>
  </rowBreaks>
  <ignoredErrors>
    <ignoredError sqref="D12 D36" twoDigitTextYear="1"/>
    <ignoredError sqref="B25:C26 B31:C32 C30 B34:C35 C33 B37:C38 C36 B40:C41 C39 B43:C44 C42 B46:C47 C45 B49:C50 C48 B55:C56 C54 C24 B28:C29 C27" numberStoredAsText="1"/>
  </ignoredErrors>
  <drawing r:id="rId3"/>
  <legacyDrawing r:id="rId4"/>
  <legacyDrawingHF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3:Q95"/>
  <sheetViews>
    <sheetView showGridLines="0" zoomScale="90" zoomScaleNormal="90" workbookViewId="0">
      <selection activeCell="L44" sqref="L44"/>
    </sheetView>
  </sheetViews>
  <sheetFormatPr baseColWidth="10" defaultColWidth="11.42578125" defaultRowHeight="15"/>
  <cols>
    <col min="1" max="1" width="9.140625" style="1" customWidth="1"/>
    <col min="2" max="2" width="14.85546875" style="1" customWidth="1"/>
    <col min="3" max="3" width="25.5703125" style="1" customWidth="1"/>
    <col min="4" max="4" width="20.42578125" style="1" customWidth="1"/>
    <col min="5" max="5" width="21.85546875" style="1" customWidth="1"/>
    <col min="6" max="6" width="15.42578125" style="1" customWidth="1"/>
    <col min="7" max="7" width="23.28515625" style="1" customWidth="1"/>
    <col min="8" max="8" width="22.42578125" style="1" customWidth="1"/>
    <col min="9" max="9" width="20.28515625" style="1" customWidth="1"/>
    <col min="10" max="10" width="14.5703125" style="1" customWidth="1"/>
    <col min="11" max="11" width="15.42578125" style="1" customWidth="1"/>
    <col min="12" max="12" width="16.28515625" style="1" customWidth="1"/>
    <col min="13" max="16384" width="11.42578125" style="1"/>
  </cols>
  <sheetData>
    <row r="3" spans="1:15">
      <c r="A3" s="2"/>
      <c r="B3" s="2"/>
      <c r="C3" s="35"/>
      <c r="D3" s="2"/>
      <c r="E3" s="2"/>
      <c r="F3" s="2"/>
      <c r="G3" s="2"/>
      <c r="H3" s="2"/>
      <c r="I3" s="2"/>
      <c r="J3" s="2"/>
      <c r="K3" s="2"/>
    </row>
    <row r="4" spans="1:15" s="9" customFormat="1">
      <c r="C4" s="284"/>
      <c r="D4" s="262" t="s">
        <v>78</v>
      </c>
      <c r="E4" s="15"/>
      <c r="F4" s="15"/>
      <c r="G4" s="15"/>
      <c r="H4" s="15"/>
      <c r="J4"/>
      <c r="M4" s="27"/>
      <c r="N4" s="27"/>
      <c r="O4" s="27"/>
    </row>
    <row r="5" spans="1:15" s="9" customFormat="1" ht="26.25" customHeight="1">
      <c r="A5" s="90" t="s">
        <v>89</v>
      </c>
      <c r="C5" s="262" t="s">
        <v>87</v>
      </c>
      <c r="D5" s="262" t="s">
        <v>88</v>
      </c>
      <c r="E5" s="262" t="s">
        <v>13</v>
      </c>
      <c r="F5" s="262" t="s">
        <v>100</v>
      </c>
      <c r="G5" s="262" t="s">
        <v>98</v>
      </c>
      <c r="H5" s="262" t="s">
        <v>626</v>
      </c>
      <c r="I5" s="262" t="s">
        <v>17</v>
      </c>
      <c r="J5"/>
      <c r="K5" s="262" t="s">
        <v>627</v>
      </c>
      <c r="M5" s="27"/>
      <c r="N5" s="27"/>
      <c r="O5" s="27"/>
    </row>
    <row r="6" spans="1:15" s="9" customFormat="1">
      <c r="A6" s="55"/>
      <c r="C6" s="655">
        <f>COUNTIF('Kennzahlenbogen_(KB)'!$R$12:$R$72,C5)</f>
        <v>0</v>
      </c>
      <c r="D6" s="655">
        <f>COUNTIF('Kennzahlenbogen_(KB)'!$R$12:$R$72,D5)</f>
        <v>0</v>
      </c>
      <c r="E6" s="655">
        <f>COUNTIF('Kennzahlenbogen_(KB)'!$R$12:$R$72,E5)</f>
        <v>0</v>
      </c>
      <c r="F6" s="655">
        <f>COUNTIF('Kennzahlenbogen_(KB)'!$R$12:$R$72,F5)</f>
        <v>21</v>
      </c>
      <c r="G6" s="655">
        <f>COUNTIF('Kennzahlenbogen_(KB)'!$R$12:$R$72,G5)</f>
        <v>0</v>
      </c>
      <c r="H6" s="655">
        <f>COUNTIF('Kennzahlenbogen_(KB)'!$R$12:$R$72,H5)</f>
        <v>0</v>
      </c>
      <c r="I6" s="655">
        <f>SUM(D6:H6)</f>
        <v>21</v>
      </c>
      <c r="J6"/>
      <c r="K6" s="655">
        <f>D6+H6</f>
        <v>0</v>
      </c>
      <c r="M6" s="27"/>
      <c r="N6" s="27"/>
      <c r="O6" s="27"/>
    </row>
    <row r="7" spans="1:15" s="9" customFormat="1">
      <c r="A7" s="55"/>
      <c r="C7" s="655"/>
      <c r="D7" s="655">
        <f>C6+D6+H6</f>
        <v>0</v>
      </c>
      <c r="E7" s="655">
        <f>E6</f>
        <v>0</v>
      </c>
      <c r="F7" s="655"/>
      <c r="G7" s="655">
        <f>F6+G6</f>
        <v>21</v>
      </c>
      <c r="H7" s="655">
        <f>H6+D6+C6</f>
        <v>0</v>
      </c>
      <c r="I7" s="655">
        <f>SUM(D7:H7)</f>
        <v>21</v>
      </c>
      <c r="J7"/>
      <c r="K7" s="655"/>
      <c r="M7" s="27"/>
      <c r="N7" s="27"/>
      <c r="O7" s="27"/>
    </row>
    <row r="8" spans="1:15" s="9" customFormat="1">
      <c r="A8" s="55"/>
      <c r="B8" s="9" t="s">
        <v>437</v>
      </c>
      <c r="C8" s="655"/>
      <c r="D8" s="655"/>
      <c r="E8" s="655">
        <f>D7+E7</f>
        <v>0</v>
      </c>
      <c r="F8" s="655"/>
      <c r="G8" s="655">
        <f>G7</f>
        <v>21</v>
      </c>
      <c r="H8" s="655"/>
      <c r="I8" s="655">
        <f>SUM(D8:H8)</f>
        <v>21</v>
      </c>
      <c r="J8"/>
      <c r="K8" s="655"/>
      <c r="M8" s="27"/>
      <c r="N8" s="27"/>
      <c r="O8" s="27"/>
    </row>
    <row r="9" spans="1:15" s="9" customFormat="1" ht="14.25">
      <c r="A9" s="55"/>
      <c r="B9" s="634">
        <v>21</v>
      </c>
      <c r="C9" s="657">
        <f t="shared" ref="C9:H9" si="0">ROUND(C6/$B$9,4)</f>
        <v>0</v>
      </c>
      <c r="D9" s="657">
        <f t="shared" si="0"/>
        <v>0</v>
      </c>
      <c r="E9" s="657">
        <f t="shared" si="0"/>
        <v>0</v>
      </c>
      <c r="F9" s="657">
        <f t="shared" si="0"/>
        <v>1</v>
      </c>
      <c r="G9" s="657">
        <f t="shared" si="0"/>
        <v>0</v>
      </c>
      <c r="H9" s="657">
        <f t="shared" si="0"/>
        <v>0</v>
      </c>
      <c r="I9" s="657">
        <f>SUM(C9:H9)</f>
        <v>1</v>
      </c>
      <c r="J9" s="656"/>
      <c r="K9" s="657">
        <f>D9+H9</f>
        <v>0</v>
      </c>
      <c r="M9" s="27"/>
      <c r="N9" s="27"/>
      <c r="O9" s="27"/>
    </row>
    <row r="10" spans="1:15" s="9" customFormat="1" ht="14.25">
      <c r="A10" s="55"/>
      <c r="C10" s="658"/>
      <c r="D10" s="657">
        <f>ROUND((C6+D6+H6)/$B$9,4)</f>
        <v>0</v>
      </c>
      <c r="E10" s="657">
        <f>ROUND(E6/$B$9,4)</f>
        <v>0</v>
      </c>
      <c r="F10" s="657"/>
      <c r="G10" s="657">
        <f>ROUND((F6+G6)/$B$9,4)</f>
        <v>1</v>
      </c>
      <c r="H10" s="657">
        <f>ROUND((H6+D6+C6)/$B$9,4)</f>
        <v>0</v>
      </c>
      <c r="I10" s="657">
        <f>SUM(D10:G10)</f>
        <v>1</v>
      </c>
      <c r="J10" s="656"/>
      <c r="K10" s="657"/>
      <c r="M10" s="27"/>
      <c r="N10" s="27"/>
      <c r="O10" s="27"/>
    </row>
    <row r="11" spans="1:15" s="9" customFormat="1" ht="14.25">
      <c r="A11" s="55"/>
      <c r="C11" s="656"/>
      <c r="D11" s="659"/>
      <c r="E11" s="657">
        <f>ROUND((C6+D6+E6+H6)/$B$9,4)</f>
        <v>0</v>
      </c>
      <c r="F11" s="659"/>
      <c r="G11" s="657">
        <f>G10</f>
        <v>1</v>
      </c>
      <c r="H11" s="657"/>
      <c r="I11" s="657">
        <f>SUM(D11:H11)</f>
        <v>1</v>
      </c>
      <c r="J11" s="656"/>
      <c r="K11" s="656"/>
      <c r="M11" s="27"/>
      <c r="N11" s="27"/>
      <c r="O11" s="27"/>
    </row>
    <row r="12" spans="1:15" s="9" customFormat="1" ht="14.25">
      <c r="A12" s="55"/>
      <c r="E12" s="63"/>
      <c r="G12" s="63"/>
      <c r="H12" s="63"/>
      <c r="I12" s="63"/>
      <c r="M12" s="27"/>
      <c r="N12" s="27"/>
      <c r="O12" s="27"/>
    </row>
    <row r="13" spans="1:15" s="9" customFormat="1" ht="14.25">
      <c r="A13" s="55"/>
      <c r="E13" s="63"/>
      <c r="G13" s="63"/>
      <c r="H13" s="63"/>
      <c r="I13" s="63"/>
      <c r="M13" s="27"/>
      <c r="N13" s="27"/>
      <c r="O13" s="27"/>
    </row>
    <row r="14" spans="1:15" s="9" customFormat="1" ht="14.25">
      <c r="A14" s="55"/>
      <c r="M14" s="27"/>
      <c r="N14" s="27"/>
      <c r="O14" s="27"/>
    </row>
    <row r="15" spans="1:15" s="9" customFormat="1" ht="14.25">
      <c r="A15" s="55"/>
      <c r="M15" s="27"/>
      <c r="N15" s="27"/>
      <c r="O15" s="27"/>
    </row>
    <row r="16" spans="1:15" s="9" customFormat="1">
      <c r="A16" s="55"/>
      <c r="C16" s="35"/>
      <c r="M16" s="27"/>
      <c r="N16" s="27"/>
      <c r="O16" s="27"/>
    </row>
    <row r="17" spans="1:15" s="9" customFormat="1" ht="24">
      <c r="A17" s="90" t="s">
        <v>90</v>
      </c>
      <c r="C17" s="86" t="s">
        <v>91</v>
      </c>
      <c r="D17" s="86" t="s">
        <v>92</v>
      </c>
      <c r="E17" s="86" t="s">
        <v>93</v>
      </c>
      <c r="F17" s="86" t="s">
        <v>94</v>
      </c>
      <c r="G17" s="86" t="s">
        <v>95</v>
      </c>
      <c r="H17" s="86" t="s">
        <v>628</v>
      </c>
      <c r="M17" s="27"/>
      <c r="N17" s="27"/>
      <c r="O17" s="27"/>
    </row>
    <row r="18" spans="1:15" s="9" customFormat="1" ht="14.25">
      <c r="A18" s="55"/>
      <c r="C18" s="45"/>
      <c r="D18" s="45"/>
      <c r="E18" s="45"/>
      <c r="F18" s="45"/>
      <c r="G18" s="45"/>
      <c r="M18" s="27"/>
      <c r="N18" s="27"/>
      <c r="O18" s="27"/>
    </row>
    <row r="19" spans="1:15" s="9" customFormat="1">
      <c r="A19" s="90"/>
      <c r="C19" s="45"/>
      <c r="D19" s="45"/>
      <c r="E19" s="45"/>
      <c r="F19" s="45"/>
      <c r="G19" s="45"/>
      <c r="M19" s="27"/>
      <c r="N19" s="27"/>
      <c r="O19" s="27"/>
    </row>
    <row r="20" spans="1:15" s="9" customFormat="1">
      <c r="A20" s="55"/>
      <c r="C20" s="35"/>
      <c r="D20" s="45"/>
      <c r="E20" s="45"/>
      <c r="F20" s="45"/>
      <c r="G20" s="45"/>
      <c r="M20" s="27"/>
      <c r="N20" s="27"/>
      <c r="O20" s="27"/>
    </row>
    <row r="21" spans="1:15" s="9" customFormat="1" ht="14.25">
      <c r="A21" s="55"/>
      <c r="D21" s="45"/>
      <c r="E21" s="45"/>
      <c r="F21" s="45"/>
      <c r="G21" s="45"/>
      <c r="M21" s="27"/>
      <c r="N21" s="27"/>
      <c r="O21" s="27"/>
    </row>
    <row r="22" spans="1:15" s="9" customFormat="1" ht="12.75" customHeight="1">
      <c r="A22" s="55"/>
      <c r="C22" s="45"/>
      <c r="D22" s="45"/>
      <c r="E22" s="45"/>
      <c r="F22" s="45"/>
      <c r="G22" s="45"/>
      <c r="M22" s="27"/>
      <c r="N22" s="27"/>
      <c r="O22" s="27"/>
    </row>
    <row r="23" spans="1:15" s="9" customFormat="1" hidden="1">
      <c r="A23" s="90" t="s">
        <v>129</v>
      </c>
      <c r="C23" s="87" t="s">
        <v>11</v>
      </c>
      <c r="D23" s="88" t="s">
        <v>18</v>
      </c>
      <c r="G23" s="27"/>
      <c r="H23" s="27"/>
      <c r="I23" s="27"/>
    </row>
    <row r="24" spans="1:15" s="9" customFormat="1" ht="18" hidden="1" customHeight="1">
      <c r="A24" s="55" t="s">
        <v>82</v>
      </c>
      <c r="C24" s="89" t="s">
        <v>173</v>
      </c>
      <c r="D24" s="62">
        <f>Basisdaten!R30</f>
        <v>0</v>
      </c>
      <c r="G24" s="27"/>
      <c r="H24" s="27"/>
      <c r="I24" s="27"/>
    </row>
    <row r="25" spans="1:15" s="9" customFormat="1" ht="24.75" hidden="1" customHeight="1">
      <c r="A25" s="55"/>
      <c r="C25" s="89" t="s">
        <v>174</v>
      </c>
      <c r="D25" s="62">
        <f>Basisdaten!D42</f>
        <v>0</v>
      </c>
      <c r="G25" s="27"/>
      <c r="H25" s="27"/>
      <c r="I25" s="27"/>
    </row>
    <row r="26" spans="1:15" s="9" customFormat="1" ht="37.5" hidden="1" customHeight="1">
      <c r="A26" s="55"/>
      <c r="C26" s="89" t="s">
        <v>343</v>
      </c>
      <c r="D26" s="62">
        <f>Basisdaten!D43</f>
        <v>0</v>
      </c>
      <c r="G26" s="27"/>
      <c r="H26" s="27"/>
      <c r="I26" s="27"/>
    </row>
    <row r="27" spans="1:15" s="9" customFormat="1" ht="15" hidden="1" customHeight="1">
      <c r="A27" s="55"/>
      <c r="C27" s="89" t="s">
        <v>147</v>
      </c>
      <c r="D27" s="62">
        <f>Basisdaten!D45</f>
        <v>0</v>
      </c>
      <c r="G27" s="27"/>
      <c r="H27" s="27"/>
      <c r="I27" s="27"/>
    </row>
    <row r="28" spans="1:15">
      <c r="A28" s="2"/>
      <c r="B28" s="2"/>
      <c r="C28" s="2"/>
      <c r="D28" s="2"/>
      <c r="E28" s="46"/>
      <c r="F28" s="46"/>
      <c r="G28" s="46"/>
      <c r="H28" s="46"/>
      <c r="I28" s="46"/>
      <c r="J28" s="46"/>
      <c r="K28" s="2"/>
    </row>
    <row r="29" spans="1:15" s="9" customFormat="1" ht="14.25">
      <c r="C29" s="45"/>
      <c r="D29" s="45"/>
      <c r="E29" s="45"/>
      <c r="F29" s="45"/>
      <c r="G29" s="45"/>
      <c r="M29" s="27"/>
      <c r="N29" s="27"/>
      <c r="O29" s="27"/>
    </row>
    <row r="30" spans="1:15" s="9" customFormat="1" ht="14.25">
      <c r="C30" s="45"/>
      <c r="D30" s="45"/>
      <c r="E30" s="45"/>
      <c r="F30" s="45"/>
      <c r="G30" s="45"/>
      <c r="M30" s="27"/>
      <c r="N30" s="27"/>
      <c r="O30" s="27"/>
    </row>
    <row r="31" spans="1:15" s="9" customFormat="1" ht="14.25">
      <c r="C31" s="45"/>
      <c r="D31" s="45"/>
      <c r="E31" s="45"/>
      <c r="F31" s="45"/>
      <c r="G31" s="45"/>
      <c r="M31" s="27"/>
      <c r="N31" s="27"/>
      <c r="O31" s="27"/>
    </row>
    <row r="32" spans="1:15" s="9" customFormat="1" ht="14.25">
      <c r="C32" s="45"/>
      <c r="D32" s="45"/>
      <c r="E32" s="45"/>
      <c r="F32" s="45"/>
      <c r="G32" s="45"/>
      <c r="M32" s="27"/>
      <c r="N32" s="27"/>
      <c r="O32" s="27"/>
    </row>
    <row r="33" spans="1:15" s="4" customFormat="1">
      <c r="A33" s="66" t="s">
        <v>76</v>
      </c>
      <c r="C33" s="80" t="s">
        <v>5</v>
      </c>
      <c r="D33" s="80" t="s">
        <v>101</v>
      </c>
      <c r="E33" s="80" t="s">
        <v>111</v>
      </c>
      <c r="F33" s="80" t="s">
        <v>110</v>
      </c>
      <c r="G33" s="80" t="s">
        <v>108</v>
      </c>
      <c r="H33" s="80" t="s">
        <v>109</v>
      </c>
      <c r="I33" s="80"/>
      <c r="J33" s="80" t="s">
        <v>112</v>
      </c>
      <c r="K33" s="80" t="s">
        <v>113</v>
      </c>
      <c r="L33" s="80" t="s">
        <v>107</v>
      </c>
      <c r="M33" s="20" t="s">
        <v>64</v>
      </c>
      <c r="N33" s="20" t="s">
        <v>63</v>
      </c>
      <c r="O33" s="21" t="s">
        <v>62</v>
      </c>
    </row>
    <row r="34" spans="1:15" s="4" customFormat="1" ht="14.25">
      <c r="A34" s="12"/>
      <c r="B34" s="9"/>
      <c r="C34" s="95"/>
      <c r="D34" s="95"/>
      <c r="E34" s="95"/>
      <c r="F34" s="95"/>
      <c r="G34" s="95"/>
      <c r="H34" s="95"/>
      <c r="I34" s="95"/>
      <c r="J34" s="95"/>
      <c r="K34" s="95"/>
      <c r="L34" s="95"/>
      <c r="M34" s="20"/>
      <c r="N34" s="20"/>
      <c r="O34" s="20"/>
    </row>
    <row r="35" spans="1:15" s="4" customFormat="1" ht="14.25">
      <c r="A35" s="12"/>
      <c r="B35" s="9" t="s">
        <v>12</v>
      </c>
      <c r="C35" s="742" t="s">
        <v>344</v>
      </c>
      <c r="D35" s="640" t="s">
        <v>102</v>
      </c>
      <c r="E35" s="642">
        <v>0</v>
      </c>
      <c r="F35" s="642">
        <v>100000000</v>
      </c>
      <c r="G35" s="642">
        <v>100</v>
      </c>
      <c r="H35" s="642">
        <v>100000000</v>
      </c>
      <c r="I35" s="642"/>
      <c r="J35" s="642">
        <v>-100000000</v>
      </c>
      <c r="K35" s="642">
        <v>1000000</v>
      </c>
      <c r="L35" s="304">
        <f>'Kennzahlenbogen_(KB)'!Q12</f>
        <v>0</v>
      </c>
      <c r="M35" s="100">
        <f>IF('Kennzahlenbogen_(KB)'!R12=Berechnung1!$G$5,1,IF('Kennzahlenbogen_(KB)'!R12=Berechnung1!$F$5,1,IF('Kennzahlenbogen_(KB)'!R12=Berechnung1!$E$5,2,IF('Kennzahlenbogen_(KB)'!R12=Berechnung1!$D$5,3,IF('Kennzahlenbogen_(KB)'!R12=Berechnung1!$C$5,4,"")))))</f>
        <v>1</v>
      </c>
      <c r="N35" s="100">
        <f>IF(M35&gt;1,M35+3,M35)</f>
        <v>1</v>
      </c>
      <c r="O35" s="100">
        <f>IF('Kennzahlenbogen_(KB)'!T12="",0,1)</f>
        <v>0</v>
      </c>
    </row>
    <row r="36" spans="1:15" s="4" customFormat="1" ht="14.25">
      <c r="A36" s="12"/>
      <c r="B36" s="9"/>
      <c r="C36" s="98"/>
      <c r="D36" s="638"/>
      <c r="E36" s="639"/>
      <c r="F36" s="639"/>
      <c r="G36" s="639"/>
      <c r="H36" s="639"/>
      <c r="I36" s="639"/>
      <c r="J36" s="639"/>
      <c r="K36" s="639"/>
      <c r="L36" s="305"/>
      <c r="M36" s="240"/>
      <c r="N36" s="240"/>
      <c r="O36" s="240"/>
    </row>
    <row r="37" spans="1:15" s="4" customFormat="1" ht="14.25">
      <c r="A37" s="12"/>
      <c r="B37" s="9"/>
      <c r="C37" s="98"/>
      <c r="D37" s="638"/>
      <c r="E37" s="639"/>
      <c r="F37" s="639"/>
      <c r="G37" s="639"/>
      <c r="H37" s="639"/>
      <c r="I37" s="639"/>
      <c r="J37" s="639"/>
      <c r="K37" s="639"/>
      <c r="L37" s="305"/>
      <c r="M37" s="240"/>
      <c r="N37" s="240"/>
      <c r="O37" s="240"/>
    </row>
    <row r="38" spans="1:15" s="4" customFormat="1" ht="14.25">
      <c r="A38" s="12"/>
      <c r="B38" s="9" t="s">
        <v>12</v>
      </c>
      <c r="C38" s="742" t="s">
        <v>345</v>
      </c>
      <c r="D38" s="640" t="s">
        <v>102</v>
      </c>
      <c r="E38" s="642">
        <v>0</v>
      </c>
      <c r="F38" s="642">
        <v>100000000</v>
      </c>
      <c r="G38" s="642">
        <v>40</v>
      </c>
      <c r="H38" s="642">
        <v>100000000</v>
      </c>
      <c r="I38" s="642"/>
      <c r="J38" s="642">
        <v>-100000000</v>
      </c>
      <c r="K38" s="642">
        <v>1000000</v>
      </c>
      <c r="L38" s="304">
        <f>'Kennzahlenbogen_(KB)'!Q15</f>
        <v>0</v>
      </c>
      <c r="M38" s="100">
        <f>IF('Kennzahlenbogen_(KB)'!R15=Berechnung1!$G$5,1,IF('Kennzahlenbogen_(KB)'!R15=Berechnung1!$F$5,1,IF('Kennzahlenbogen_(KB)'!R15=Berechnung1!$E$5,2,IF('Kennzahlenbogen_(KB)'!R15=Berechnung1!$D$5,3,IF('Kennzahlenbogen_(KB)'!R15=Berechnung1!$C$5,4,"")))))</f>
        <v>1</v>
      </c>
      <c r="N38" s="100">
        <f>IF(M38&gt;1,M38+3,M38)</f>
        <v>1</v>
      </c>
      <c r="O38" s="100">
        <f>IF('Kennzahlenbogen_(KB)'!T15="",0,1)</f>
        <v>0</v>
      </c>
    </row>
    <row r="39" spans="1:15" s="4" customFormat="1" ht="14.25">
      <c r="A39" s="12"/>
      <c r="B39" s="9"/>
      <c r="C39" s="98"/>
      <c r="D39" s="638"/>
      <c r="E39" s="639"/>
      <c r="F39" s="639"/>
      <c r="G39" s="639"/>
      <c r="H39" s="639"/>
      <c r="I39" s="639"/>
      <c r="J39" s="639"/>
      <c r="K39" s="639"/>
      <c r="L39" s="305"/>
      <c r="M39" s="240" t="str">
        <f>IF('Kennzahlenbogen_(KB)'!R13=Berechnung1!$G$5,1,IF('Kennzahlenbogen_(KB)'!R13=Berechnung1!$F$5,1,IF('Kennzahlenbogen_(KB)'!R13=Berechnung1!$E$5,2,IF('Kennzahlenbogen_(KB)'!R13=Berechnung1!$D$5,3,IF('Kennzahlenbogen_(KB)'!R13=Berechnung1!$C$5,4,"")))))</f>
        <v/>
      </c>
      <c r="N39" s="240"/>
      <c r="O39" s="240"/>
    </row>
    <row r="40" spans="1:15" s="4" customFormat="1" ht="14.25">
      <c r="A40" s="12"/>
      <c r="B40" s="9"/>
      <c r="C40" s="98"/>
      <c r="D40" s="638"/>
      <c r="E40" s="639"/>
      <c r="F40" s="639"/>
      <c r="G40" s="639"/>
      <c r="H40" s="639"/>
      <c r="I40" s="639"/>
      <c r="J40" s="639"/>
      <c r="K40" s="639"/>
      <c r="L40" s="305"/>
      <c r="M40" s="240" t="str">
        <f>IF('Kennzahlenbogen_(KB)'!R14=Berechnung1!$G$5,1,IF('Kennzahlenbogen_(KB)'!R14=Berechnung1!$F$5,1,IF('Kennzahlenbogen_(KB)'!R14=Berechnung1!$E$5,2,IF('Kennzahlenbogen_(KB)'!R14=Berechnung1!$D$5,3,IF('Kennzahlenbogen_(KB)'!R14=Berechnung1!$C$5,4,"")))))</f>
        <v/>
      </c>
      <c r="N40" s="240"/>
      <c r="O40" s="240"/>
    </row>
    <row r="41" spans="1:15" s="4" customFormat="1" ht="14.25">
      <c r="A41" s="12"/>
      <c r="B41" s="9" t="s">
        <v>12</v>
      </c>
      <c r="C41" s="742" t="s">
        <v>346</v>
      </c>
      <c r="D41" s="640" t="s">
        <v>102</v>
      </c>
      <c r="E41" s="642">
        <v>0</v>
      </c>
      <c r="F41" s="642">
        <v>100000000</v>
      </c>
      <c r="G41" s="642">
        <v>-100000000</v>
      </c>
      <c r="H41" s="642">
        <v>100000000</v>
      </c>
      <c r="I41" s="642"/>
      <c r="J41" s="642">
        <v>-100000000</v>
      </c>
      <c r="K41" s="642">
        <v>1000000</v>
      </c>
      <c r="L41" s="304">
        <f>'Kennzahlenbogen_(KB)'!Q18</f>
        <v>0</v>
      </c>
      <c r="M41" s="100">
        <f>IF('Kennzahlenbogen_(KB)'!R18=Berechnung1!$G$5,1,IF('Kennzahlenbogen_(KB)'!R18=Berechnung1!$F$5,1,IF('Kennzahlenbogen_(KB)'!R18=Berechnung1!$E$5,2,IF('Kennzahlenbogen_(KB)'!R18=Berechnung1!$D$5,3,IF('Kennzahlenbogen_(KB)'!R18=Berechnung1!$C$5,4,"")))))</f>
        <v>1</v>
      </c>
      <c r="N41" s="100">
        <f>IF(M41&gt;1,M41+3,M41)</f>
        <v>1</v>
      </c>
      <c r="O41" s="100">
        <f>IF('Kennzahlenbogen_(KB)'!T18="",0,1)</f>
        <v>0</v>
      </c>
    </row>
    <row r="42" spans="1:15" s="4" customFormat="1" ht="14.25">
      <c r="A42" s="12"/>
      <c r="B42" s="9"/>
      <c r="C42" s="668"/>
      <c r="D42" s="668"/>
      <c r="E42" s="713"/>
      <c r="F42" s="713"/>
      <c r="G42" s="713"/>
      <c r="H42" s="713"/>
      <c r="I42" s="713"/>
      <c r="J42" s="713"/>
      <c r="K42" s="713"/>
      <c r="L42" s="670"/>
      <c r="M42" s="666"/>
      <c r="N42" s="666"/>
      <c r="O42" s="666"/>
    </row>
    <row r="43" spans="1:15" s="4" customFormat="1" ht="14.25">
      <c r="A43" s="12"/>
      <c r="B43" s="9"/>
      <c r="C43" s="668"/>
      <c r="D43" s="668"/>
      <c r="E43" s="713"/>
      <c r="F43" s="713"/>
      <c r="G43" s="713"/>
      <c r="H43" s="713"/>
      <c r="I43" s="713"/>
      <c r="J43" s="713"/>
      <c r="K43" s="713"/>
      <c r="L43" s="670"/>
      <c r="M43" s="666"/>
      <c r="N43" s="666"/>
      <c r="O43" s="666"/>
    </row>
    <row r="44" spans="1:15" s="664" customFormat="1" ht="14.25">
      <c r="A44" s="12"/>
      <c r="B44" s="665" t="s">
        <v>12</v>
      </c>
      <c r="C44" s="714" t="s">
        <v>745</v>
      </c>
      <c r="D44" s="675" t="s">
        <v>102</v>
      </c>
      <c r="E44" s="716">
        <v>0</v>
      </c>
      <c r="F44" s="716">
        <v>100000000</v>
      </c>
      <c r="G44" s="716">
        <v>-100000000</v>
      </c>
      <c r="H44" s="716">
        <v>100000000</v>
      </c>
      <c r="I44" s="716"/>
      <c r="J44" s="716">
        <v>-100000000</v>
      </c>
      <c r="K44" s="716">
        <v>1000000</v>
      </c>
      <c r="L44" s="675">
        <f>'Kennzahlenbogen_(KB)'!Q21</f>
        <v>0</v>
      </c>
      <c r="M44" s="676">
        <f>IF('Kennzahlenbogen_(KB)'!R21=Berechnung1!$H$5,5,IF('Kennzahlenbogen_(KB)'!R21=Berechnung1!$G$5,1,IF('Kennzahlenbogen_(KB)'!R21=Berechnung1!$F$5,1,IF('Kennzahlenbogen_(KB)'!R21=Berechnung1!$E$5,2,IF('Kennzahlenbogen_(KB)'!R21=Berechnung1!$D$5,3,IF('Kennzahlenbogen_(KB)'!R21=Berechnung1!$C$5,4,""))))))</f>
        <v>1</v>
      </c>
      <c r="N44" s="676">
        <f t="shared" ref="N44" si="1">IF(M44&gt;1,M44+3,M44)</f>
        <v>1</v>
      </c>
      <c r="O44" s="676">
        <f>IF('Kennzahlenbogen_(KB)'!T21="",0,1)</f>
        <v>0</v>
      </c>
    </row>
    <row r="45" spans="1:15" s="664" customFormat="1" ht="14.25">
      <c r="A45" s="12"/>
      <c r="B45" s="665"/>
      <c r="C45" s="638"/>
      <c r="D45" s="638"/>
      <c r="E45" s="639"/>
      <c r="F45" s="639"/>
      <c r="G45" s="639"/>
      <c r="H45" s="639"/>
      <c r="I45" s="639"/>
      <c r="J45" s="639"/>
      <c r="K45" s="639"/>
      <c r="L45" s="305"/>
      <c r="M45" s="240"/>
      <c r="N45" s="240"/>
      <c r="O45" s="240"/>
    </row>
    <row r="46" spans="1:15" s="664" customFormat="1" ht="14.25">
      <c r="A46" s="12"/>
      <c r="B46" s="665"/>
      <c r="C46" s="638"/>
      <c r="D46" s="638"/>
      <c r="E46" s="639"/>
      <c r="F46" s="639"/>
      <c r="G46" s="639"/>
      <c r="H46" s="639"/>
      <c r="I46" s="639"/>
      <c r="J46" s="639"/>
      <c r="K46" s="639"/>
      <c r="L46" s="305"/>
      <c r="M46" s="240"/>
      <c r="N46" s="240"/>
      <c r="O46" s="240"/>
    </row>
    <row r="47" spans="1:15" s="4" customFormat="1" ht="14.25">
      <c r="A47" s="12"/>
      <c r="B47" s="9"/>
      <c r="C47" s="99">
        <v>2</v>
      </c>
      <c r="D47" s="640" t="s">
        <v>102</v>
      </c>
      <c r="E47" s="645">
        <v>0</v>
      </c>
      <c r="F47" s="641">
        <v>1</v>
      </c>
      <c r="G47" s="645">
        <v>0.95</v>
      </c>
      <c r="H47" s="641">
        <v>10000</v>
      </c>
      <c r="I47" s="642"/>
      <c r="J47" s="641">
        <v>-10000</v>
      </c>
      <c r="K47" s="641">
        <v>10000</v>
      </c>
      <c r="L47" s="304" t="str">
        <f>'Kennzahlenbogen_(KB)'!Q26</f>
        <v>n.d.</v>
      </c>
      <c r="M47" s="100">
        <f>IF('Kennzahlenbogen_(KB)'!R24=Berechnung1!$G$5,1,IF('Kennzahlenbogen_(KB)'!R24=Berechnung1!$F$5,1,IF('Kennzahlenbogen_(KB)'!R24=Berechnung1!$E$5,2,IF('Kennzahlenbogen_(KB)'!R24=Berechnung1!$D$5,3,IF('Kennzahlenbogen_(KB)'!R24=Berechnung1!$C$5,4,"")))))</f>
        <v>1</v>
      </c>
      <c r="N47" s="100">
        <f>IF(M47&gt;1,M47+3,M47)</f>
        <v>1</v>
      </c>
      <c r="O47" s="100">
        <f>IF('Kennzahlenbogen_(KB)'!T24="",0,1)</f>
        <v>0</v>
      </c>
    </row>
    <row r="48" spans="1:15" s="4" customFormat="1" ht="14.25">
      <c r="A48" s="12"/>
      <c r="B48" s="9"/>
      <c r="C48" s="98"/>
      <c r="D48" s="638"/>
      <c r="E48" s="639"/>
      <c r="F48" s="639"/>
      <c r="G48" s="639"/>
      <c r="H48" s="639"/>
      <c r="I48" s="639"/>
      <c r="J48" s="639"/>
      <c r="K48" s="639"/>
      <c r="L48" s="305"/>
      <c r="M48" s="240"/>
      <c r="N48" s="240"/>
      <c r="O48" s="240"/>
    </row>
    <row r="49" spans="1:17" s="4" customFormat="1" ht="14.25">
      <c r="A49" s="12"/>
      <c r="B49" s="9"/>
      <c r="C49" s="98"/>
      <c r="D49" s="638"/>
      <c r="E49" s="639"/>
      <c r="F49" s="639"/>
      <c r="G49" s="639"/>
      <c r="H49" s="639"/>
      <c r="I49" s="639"/>
      <c r="J49" s="639"/>
      <c r="K49" s="639"/>
      <c r="L49" s="305"/>
      <c r="M49" s="240"/>
      <c r="N49" s="240"/>
      <c r="O49" s="240"/>
    </row>
    <row r="50" spans="1:17" s="4" customFormat="1" ht="14.25">
      <c r="A50" s="12"/>
      <c r="B50" s="9"/>
      <c r="C50" s="99">
        <v>3</v>
      </c>
      <c r="D50" s="640" t="s">
        <v>102</v>
      </c>
      <c r="E50" s="641">
        <v>0</v>
      </c>
      <c r="F50" s="641">
        <v>1</v>
      </c>
      <c r="G50" s="641">
        <v>-10000</v>
      </c>
      <c r="H50" s="641">
        <v>0.25</v>
      </c>
      <c r="I50" s="642"/>
      <c r="J50" s="641">
        <v>3.0099999999999998E-2</v>
      </c>
      <c r="K50" s="641">
        <v>10000</v>
      </c>
      <c r="L50" s="304" t="str">
        <f>'Kennzahlenbogen_(KB)'!Q29</f>
        <v>n.d.</v>
      </c>
      <c r="M50" s="100">
        <f>IF('Kennzahlenbogen_(KB)'!R27=Berechnung1!$G$5,1,IF('Kennzahlenbogen_(KB)'!R27=Berechnung1!$F$5,1,IF('Kennzahlenbogen_(KB)'!R27=Berechnung1!$E$5,2,IF('Kennzahlenbogen_(KB)'!R27=Berechnung1!$D$5,3,IF('Kennzahlenbogen_(KB)'!R27=Berechnung1!$C$5,4,"")))))</f>
        <v>1</v>
      </c>
      <c r="N50" s="100">
        <f>IF(M50&gt;1,M50+3,M50)</f>
        <v>1</v>
      </c>
      <c r="O50" s="100">
        <f>IF('Kennzahlenbogen_(KB)'!T27="",0,1)</f>
        <v>0</v>
      </c>
    </row>
    <row r="51" spans="1:17" s="4" customFormat="1" ht="14.25">
      <c r="A51" s="12"/>
      <c r="B51" s="9"/>
      <c r="C51" s="96"/>
      <c r="D51" s="636"/>
      <c r="E51" s="637"/>
      <c r="F51" s="637"/>
      <c r="G51" s="637"/>
      <c r="H51" s="637"/>
      <c r="I51" s="637"/>
      <c r="J51" s="637"/>
      <c r="K51" s="637"/>
      <c r="L51" s="305"/>
      <c r="M51" s="240"/>
      <c r="N51" s="240"/>
      <c r="O51" s="240"/>
    </row>
    <row r="52" spans="1:17" s="4" customFormat="1" ht="15" customHeight="1">
      <c r="A52" s="12"/>
      <c r="B52" s="9"/>
      <c r="C52" s="96"/>
      <c r="D52" s="636"/>
      <c r="E52" s="637"/>
      <c r="F52" s="637"/>
      <c r="G52" s="637"/>
      <c r="H52" s="637"/>
      <c r="I52" s="637"/>
      <c r="J52" s="637"/>
      <c r="K52" s="637"/>
      <c r="L52" s="305"/>
      <c r="M52" s="240"/>
      <c r="N52" s="240"/>
      <c r="O52" s="240"/>
    </row>
    <row r="53" spans="1:17" s="4" customFormat="1" ht="14.25">
      <c r="A53" s="12"/>
      <c r="B53" s="9"/>
      <c r="C53" s="99">
        <v>4</v>
      </c>
      <c r="D53" s="643" t="s">
        <v>102</v>
      </c>
      <c r="E53" s="641">
        <v>0</v>
      </c>
      <c r="F53" s="641">
        <v>1</v>
      </c>
      <c r="G53" s="641">
        <v>-10000</v>
      </c>
      <c r="H53" s="641">
        <v>10000</v>
      </c>
      <c r="I53" s="641"/>
      <c r="J53" s="641">
        <v>0.05</v>
      </c>
      <c r="K53" s="641">
        <v>0.7</v>
      </c>
      <c r="L53" s="304" t="str">
        <f>'Kennzahlenbogen_(KB)'!Q32</f>
        <v>n.d.</v>
      </c>
      <c r="M53" s="100">
        <f>IF('Kennzahlenbogen_(KB)'!R30=Berechnung1!$G$5,1,IF('Kennzahlenbogen_(KB)'!R30=Berechnung1!$F$5,1,IF('Kennzahlenbogen_(KB)'!R30=Berechnung1!$E$5,2,IF('Kennzahlenbogen_(KB)'!R30=Berechnung1!$D$5,3,IF('Kennzahlenbogen_(KB)'!R30=Berechnung1!$C$5,4,"")))))</f>
        <v>1</v>
      </c>
      <c r="N53" s="100">
        <f>IF(M53&gt;1,M53+3,M53)</f>
        <v>1</v>
      </c>
      <c r="O53" s="100">
        <f>IF('Kennzahlenbogen_(KB)'!T30="",0,1)</f>
        <v>0</v>
      </c>
    </row>
    <row r="54" spans="1:17" s="4" customFormat="1" ht="14.25">
      <c r="A54" s="12"/>
      <c r="B54" s="9"/>
      <c r="C54" s="96"/>
      <c r="D54" s="636"/>
      <c r="E54" s="637"/>
      <c r="F54" s="637"/>
      <c r="G54" s="637"/>
      <c r="H54" s="637"/>
      <c r="I54" s="637"/>
      <c r="J54" s="637"/>
      <c r="K54" s="637"/>
      <c r="L54" s="305"/>
      <c r="M54" s="240"/>
      <c r="N54" s="240"/>
      <c r="O54" s="240"/>
    </row>
    <row r="55" spans="1:17" s="4" customFormat="1" ht="14.25">
      <c r="A55" s="12"/>
      <c r="B55" s="9"/>
      <c r="C55" s="96"/>
      <c r="D55" s="636"/>
      <c r="E55" s="637"/>
      <c r="F55" s="637"/>
      <c r="G55" s="637"/>
      <c r="H55" s="637"/>
      <c r="I55" s="637"/>
      <c r="J55" s="637"/>
      <c r="K55" s="637"/>
      <c r="L55" s="305"/>
      <c r="M55" s="240"/>
      <c r="N55" s="240"/>
      <c r="O55" s="240"/>
    </row>
    <row r="56" spans="1:17" s="4" customFormat="1" ht="14.25">
      <c r="A56" s="12"/>
      <c r="B56" s="9"/>
      <c r="C56" s="99">
        <v>5</v>
      </c>
      <c r="D56" s="643" t="s">
        <v>102</v>
      </c>
      <c r="E56" s="641">
        <v>0</v>
      </c>
      <c r="F56" s="641">
        <v>1</v>
      </c>
      <c r="G56" s="641">
        <v>-10000</v>
      </c>
      <c r="H56" s="641">
        <v>10000</v>
      </c>
      <c r="I56" s="641"/>
      <c r="J56" s="641">
        <v>0.15</v>
      </c>
      <c r="K56" s="641">
        <v>10000</v>
      </c>
      <c r="L56" s="304" t="str">
        <f>'Kennzahlenbogen_(KB)'!Q35</f>
        <v>n.d.</v>
      </c>
      <c r="M56" s="100">
        <f>IF('Kennzahlenbogen_(KB)'!R33=Berechnung1!$G$5,1,IF('Kennzahlenbogen_(KB)'!R33=Berechnung1!$F$5,1,IF('Kennzahlenbogen_(KB)'!R33=Berechnung1!$E$5,2,IF('Kennzahlenbogen_(KB)'!R33=Berechnung1!$D$5,3,IF('Kennzahlenbogen_(KB)'!R33=Berechnung1!$C$5,4,"")))))</f>
        <v>1</v>
      </c>
      <c r="N56" s="100">
        <f>IF(M56&gt;1,M56+3,M56)</f>
        <v>1</v>
      </c>
      <c r="O56" s="100">
        <f>IF('Kennzahlenbogen_(KB)'!T33="",0,1)</f>
        <v>0</v>
      </c>
      <c r="Q56" s="9"/>
    </row>
    <row r="57" spans="1:17" s="4" customFormat="1" ht="14.25">
      <c r="A57" s="12"/>
      <c r="B57" s="9"/>
      <c r="C57" s="96"/>
      <c r="D57" s="636"/>
      <c r="E57" s="637"/>
      <c r="F57" s="637"/>
      <c r="G57" s="637"/>
      <c r="H57" s="637"/>
      <c r="I57" s="637"/>
      <c r="J57" s="637"/>
      <c r="K57" s="637"/>
      <c r="L57" s="305"/>
      <c r="M57" s="240"/>
      <c r="N57" s="240"/>
      <c r="O57" s="240"/>
      <c r="Q57" s="9"/>
    </row>
    <row r="58" spans="1:17" s="4" customFormat="1" ht="14.25">
      <c r="A58" s="12"/>
      <c r="B58" s="9"/>
      <c r="C58" s="96"/>
      <c r="D58" s="636"/>
      <c r="E58" s="637"/>
      <c r="F58" s="637"/>
      <c r="G58" s="637"/>
      <c r="H58" s="637"/>
      <c r="I58" s="637"/>
      <c r="J58" s="637"/>
      <c r="K58" s="637"/>
      <c r="L58" s="305"/>
      <c r="M58" s="240"/>
      <c r="N58" s="240"/>
      <c r="O58" s="240"/>
    </row>
    <row r="59" spans="1:17" s="4" customFormat="1" ht="14.25">
      <c r="A59" s="12"/>
      <c r="B59" s="9"/>
      <c r="C59" s="99">
        <v>6</v>
      </c>
      <c r="D59" s="643" t="s">
        <v>102</v>
      </c>
      <c r="E59" s="641">
        <v>0</v>
      </c>
      <c r="F59" s="641">
        <v>100</v>
      </c>
      <c r="G59" s="641">
        <v>0.05</v>
      </c>
      <c r="H59" s="641">
        <v>10000</v>
      </c>
      <c r="I59" s="641"/>
      <c r="J59" s="641">
        <v>-10000</v>
      </c>
      <c r="K59" s="641">
        <v>0.8</v>
      </c>
      <c r="L59" s="304" t="str">
        <f>'Kennzahlenbogen_(KB)'!Q38</f>
        <v>n.d.</v>
      </c>
      <c r="M59" s="100">
        <f>IF('Kennzahlenbogen_(KB)'!R36=Berechnung1!$G$5,1,IF('Kennzahlenbogen_(KB)'!R36=Berechnung1!$F$5,1,IF('Kennzahlenbogen_(KB)'!R36=Berechnung1!$E$5,2,IF('Kennzahlenbogen_(KB)'!R36=Berechnung1!$D$5,3,IF('Kennzahlenbogen_(KB)'!R36=Berechnung1!$C$5,4,"")))))</f>
        <v>1</v>
      </c>
      <c r="N59" s="100">
        <f>IF(M59&gt;1,M59+3,M59)</f>
        <v>1</v>
      </c>
      <c r="O59" s="100">
        <f>IF('Kennzahlenbogen_(KB)'!T36="",0,1)</f>
        <v>0</v>
      </c>
    </row>
    <row r="60" spans="1:17" s="4" customFormat="1" ht="14.25">
      <c r="A60" s="12"/>
      <c r="B60" s="9"/>
      <c r="C60" s="96"/>
      <c r="D60" s="636"/>
      <c r="E60" s="637"/>
      <c r="F60" s="637"/>
      <c r="G60" s="637"/>
      <c r="H60" s="637"/>
      <c r="I60" s="637"/>
      <c r="J60" s="637"/>
      <c r="K60" s="637"/>
      <c r="L60" s="305"/>
      <c r="M60" s="240"/>
      <c r="N60" s="240"/>
      <c r="O60" s="240"/>
    </row>
    <row r="61" spans="1:17" s="4" customFormat="1" ht="14.25">
      <c r="A61" s="12"/>
      <c r="B61" s="9"/>
      <c r="C61" s="96"/>
      <c r="D61" s="636"/>
      <c r="E61" s="637"/>
      <c r="F61" s="637"/>
      <c r="G61" s="637"/>
      <c r="H61" s="637"/>
      <c r="I61" s="637"/>
      <c r="J61" s="637"/>
      <c r="K61" s="637"/>
      <c r="L61" s="305"/>
      <c r="M61" s="240"/>
      <c r="N61" s="240"/>
      <c r="O61" s="240"/>
    </row>
    <row r="62" spans="1:17" s="4" customFormat="1" ht="14.25">
      <c r="A62" s="12"/>
      <c r="B62" s="9"/>
      <c r="C62" s="99">
        <v>7</v>
      </c>
      <c r="D62" s="643" t="s">
        <v>102</v>
      </c>
      <c r="E62" s="641">
        <v>0</v>
      </c>
      <c r="F62" s="641">
        <v>1</v>
      </c>
      <c r="G62" s="641">
        <v>0.9</v>
      </c>
      <c r="H62" s="641">
        <v>10000</v>
      </c>
      <c r="I62" s="641"/>
      <c r="J62" s="641">
        <v>-10000</v>
      </c>
      <c r="K62" s="641">
        <v>10000</v>
      </c>
      <c r="L62" s="304" t="str">
        <f>'Kennzahlenbogen_(KB)'!Q41</f>
        <v>n.d.</v>
      </c>
      <c r="M62" s="100">
        <f>IF('Kennzahlenbogen_(KB)'!R39=Berechnung1!$G$5,1,IF('Kennzahlenbogen_(KB)'!R39=Berechnung1!$F$5,1,IF('Kennzahlenbogen_(KB)'!R39=Berechnung1!$E$5,2,IF('Kennzahlenbogen_(KB)'!R39=Berechnung1!$D$5,3,IF('Kennzahlenbogen_(KB)'!R39=Berechnung1!$C$5,4,"")))))</f>
        <v>1</v>
      </c>
      <c r="N62" s="100">
        <f>IF(M62&gt;1,M62+3,M62)</f>
        <v>1</v>
      </c>
      <c r="O62" s="100">
        <f>IF('Kennzahlenbogen_(KB)'!T39="",0,1)</f>
        <v>0</v>
      </c>
    </row>
    <row r="63" spans="1:17" s="4" customFormat="1" ht="14.25">
      <c r="A63" s="12"/>
      <c r="B63" s="9"/>
      <c r="C63" s="96"/>
      <c r="D63" s="636"/>
      <c r="E63" s="637"/>
      <c r="F63" s="637"/>
      <c r="G63" s="637"/>
      <c r="H63" s="637"/>
      <c r="I63" s="637"/>
      <c r="J63" s="637"/>
      <c r="K63" s="637"/>
      <c r="L63" s="306"/>
      <c r="M63" s="240"/>
      <c r="N63" s="240"/>
      <c r="O63" s="240"/>
    </row>
    <row r="64" spans="1:17" s="4" customFormat="1" ht="14.25">
      <c r="A64" s="12"/>
      <c r="B64" s="9"/>
      <c r="C64" s="96"/>
      <c r="D64" s="636"/>
      <c r="E64" s="637"/>
      <c r="F64" s="637"/>
      <c r="G64" s="637"/>
      <c r="H64" s="637"/>
      <c r="I64" s="637"/>
      <c r="J64" s="637"/>
      <c r="K64" s="637"/>
      <c r="L64" s="306"/>
      <c r="M64" s="240"/>
      <c r="N64" s="240"/>
      <c r="O64" s="240"/>
    </row>
    <row r="65" spans="1:15" s="4" customFormat="1" ht="14.25">
      <c r="A65" s="12"/>
      <c r="B65" s="9" t="s">
        <v>12</v>
      </c>
      <c r="C65" s="742">
        <v>8</v>
      </c>
      <c r="D65" s="640" t="s">
        <v>102</v>
      </c>
      <c r="E65" s="642">
        <v>0</v>
      </c>
      <c r="F65" s="642">
        <v>100000000</v>
      </c>
      <c r="G65" s="642">
        <v>30</v>
      </c>
      <c r="H65" s="642">
        <v>1000000</v>
      </c>
      <c r="I65" s="642"/>
      <c r="J65" s="642">
        <v>-100000000</v>
      </c>
      <c r="K65" s="642">
        <v>1000000</v>
      </c>
      <c r="L65" s="304">
        <f>'Kennzahlenbogen_(KB)'!Q42</f>
        <v>0</v>
      </c>
      <c r="M65" s="100">
        <f>IF('Kennzahlenbogen_(KB)'!R42=Berechnung1!$G$5,1,IF('Kennzahlenbogen_(KB)'!R42=Berechnung1!$F$5,1,IF('Kennzahlenbogen_(KB)'!R42=Berechnung1!$E$5,2,IF('Kennzahlenbogen_(KB)'!R42=Berechnung1!$D$5,3,IF('Kennzahlenbogen_(KB)'!R42=Berechnung1!$C$5,4,"")))))</f>
        <v>1</v>
      </c>
      <c r="N65" s="100">
        <f>IF(M65&gt;1,M65+3,M65)</f>
        <v>1</v>
      </c>
      <c r="O65" s="100">
        <f>IF('Kennzahlenbogen_(KB)'!T42="",0,1)</f>
        <v>0</v>
      </c>
    </row>
    <row r="66" spans="1:15" s="4" customFormat="1" ht="14.25">
      <c r="A66" s="12"/>
      <c r="B66" s="9"/>
      <c r="C66" s="98"/>
      <c r="D66" s="638"/>
      <c r="E66" s="639"/>
      <c r="F66" s="639"/>
      <c r="G66" s="639"/>
      <c r="H66" s="639"/>
      <c r="I66" s="639"/>
      <c r="J66" s="639"/>
      <c r="K66" s="639"/>
      <c r="L66" s="305"/>
      <c r="M66" s="240"/>
      <c r="N66" s="240"/>
      <c r="O66" s="240"/>
    </row>
    <row r="67" spans="1:15" s="4" customFormat="1" ht="14.25">
      <c r="A67" s="12"/>
      <c r="B67" s="9"/>
      <c r="C67" s="98"/>
      <c r="D67" s="638"/>
      <c r="E67" s="639"/>
      <c r="F67" s="639"/>
      <c r="G67" s="639"/>
      <c r="H67" s="639"/>
      <c r="I67" s="639"/>
      <c r="J67" s="639"/>
      <c r="K67" s="639"/>
      <c r="L67" s="305"/>
      <c r="M67" s="240"/>
      <c r="N67" s="240"/>
      <c r="O67" s="240"/>
    </row>
    <row r="68" spans="1:15" s="4" customFormat="1" ht="14.25">
      <c r="A68" s="12"/>
      <c r="B68" s="9" t="s">
        <v>12</v>
      </c>
      <c r="C68" s="742">
        <v>9</v>
      </c>
      <c r="D68" s="640" t="s">
        <v>102</v>
      </c>
      <c r="E68" s="642">
        <v>0</v>
      </c>
      <c r="F68" s="642">
        <v>100000000</v>
      </c>
      <c r="G68" s="642">
        <v>100</v>
      </c>
      <c r="H68" s="642">
        <v>1000000</v>
      </c>
      <c r="I68" s="642"/>
      <c r="J68" s="642">
        <v>-100000000</v>
      </c>
      <c r="K68" s="642">
        <v>1000000</v>
      </c>
      <c r="L68" s="304">
        <f>'Kennzahlenbogen_(KB)'!Q45</f>
        <v>0</v>
      </c>
      <c r="M68" s="100">
        <f>IF('Kennzahlenbogen_(KB)'!R45=Berechnung1!$G$5,1,IF('Kennzahlenbogen_(KB)'!R45=Berechnung1!$F$5,1,IF('Kennzahlenbogen_(KB)'!R45=Berechnung1!$E$5,2,IF('Kennzahlenbogen_(KB)'!R45=Berechnung1!$D$5,3,IF('Kennzahlenbogen_(KB)'!R45=Berechnung1!$C$5,4,"")))))</f>
        <v>1</v>
      </c>
      <c r="N68" s="100">
        <f>IF(M68&gt;1,M68+3,M68)</f>
        <v>1</v>
      </c>
      <c r="O68" s="100">
        <f>IF('Kennzahlenbogen_(KB)'!T45="",0,1)</f>
        <v>0</v>
      </c>
    </row>
    <row r="69" spans="1:15" s="4" customFormat="1" ht="14.25">
      <c r="A69" s="12"/>
      <c r="B69" s="9"/>
      <c r="C69" s="96"/>
      <c r="D69" s="636"/>
      <c r="E69" s="637"/>
      <c r="F69" s="637"/>
      <c r="G69" s="637"/>
      <c r="H69" s="637"/>
      <c r="I69" s="637"/>
      <c r="J69" s="637"/>
      <c r="K69" s="637"/>
      <c r="L69" s="306"/>
      <c r="M69" s="61"/>
      <c r="N69" s="61"/>
      <c r="O69" s="61"/>
    </row>
    <row r="70" spans="1:15" s="4" customFormat="1" ht="14.25">
      <c r="A70" s="12"/>
      <c r="B70" s="9"/>
      <c r="C70" s="96"/>
      <c r="D70" s="636"/>
      <c r="E70" s="637"/>
      <c r="F70" s="637"/>
      <c r="G70" s="637"/>
      <c r="H70" s="637"/>
      <c r="I70" s="637"/>
      <c r="J70" s="637"/>
      <c r="K70" s="637"/>
      <c r="L70" s="306"/>
      <c r="M70" s="61"/>
      <c r="N70" s="61"/>
      <c r="O70" s="61"/>
    </row>
    <row r="71" spans="1:15" s="9" customFormat="1" ht="14.25">
      <c r="A71" s="528"/>
      <c r="C71" s="569">
        <v>10</v>
      </c>
      <c r="D71" s="646" t="s">
        <v>102</v>
      </c>
      <c r="E71" s="647">
        <v>0</v>
      </c>
      <c r="F71" s="647">
        <v>1</v>
      </c>
      <c r="G71" s="647">
        <v>-10000</v>
      </c>
      <c r="H71" s="647">
        <v>0.03</v>
      </c>
      <c r="I71" s="647"/>
      <c r="J71" s="647">
        <v>-10000</v>
      </c>
      <c r="K71" s="647">
        <v>10000</v>
      </c>
      <c r="L71" s="536" t="str">
        <f>'Kennzahlenbogen_(KB)'!Q50</f>
        <v>n.d.</v>
      </c>
      <c r="M71" s="535">
        <f>IF('Kennzahlenbogen_(KB)'!R48=Berechnung1!$G$5,1,IF('Kennzahlenbogen_(KB)'!R48=Berechnung1!$F$5,1,IF('Kennzahlenbogen_(KB)'!R48=Berechnung1!$E$5,2,IF('Kennzahlenbogen_(KB)'!R48=Berechnung1!$D$5,3,IF('Kennzahlenbogen_(KB)'!R48=Berechnung1!$C$5,4,"")))))</f>
        <v>1</v>
      </c>
      <c r="N71" s="535">
        <f>IF(M71&gt;1,M71+3,M71)</f>
        <v>1</v>
      </c>
      <c r="O71" s="535">
        <f>IF('Kennzahlenbogen_(KB)'!T48="",0,1)</f>
        <v>0</v>
      </c>
    </row>
    <row r="72" spans="1:15" s="4" customFormat="1" ht="14.25">
      <c r="A72" s="12"/>
      <c r="B72" s="9"/>
      <c r="C72" s="96"/>
      <c r="D72" s="636"/>
      <c r="E72" s="637"/>
      <c r="F72" s="637"/>
      <c r="G72" s="637"/>
      <c r="H72" s="637"/>
      <c r="I72" s="637"/>
      <c r="J72" s="637"/>
      <c r="K72" s="637"/>
      <c r="L72" s="306"/>
      <c r="M72" s="61"/>
      <c r="N72" s="61"/>
      <c r="O72" s="61"/>
    </row>
    <row r="73" spans="1:15" s="4" customFormat="1" ht="14.25">
      <c r="A73" s="12"/>
      <c r="B73" s="9"/>
      <c r="C73" s="96"/>
      <c r="D73" s="636"/>
      <c r="E73" s="637"/>
      <c r="F73" s="637"/>
      <c r="G73" s="637"/>
      <c r="H73" s="637"/>
      <c r="I73" s="637"/>
      <c r="J73" s="637"/>
      <c r="K73" s="637"/>
      <c r="L73" s="306"/>
      <c r="M73" s="61"/>
      <c r="N73" s="61"/>
      <c r="O73" s="61"/>
    </row>
    <row r="74" spans="1:15" s="9" customFormat="1" ht="14.25">
      <c r="A74" s="528"/>
      <c r="C74" s="569">
        <v>11</v>
      </c>
      <c r="D74" s="646" t="s">
        <v>102</v>
      </c>
      <c r="E74" s="647">
        <v>0</v>
      </c>
      <c r="F74" s="647">
        <v>1</v>
      </c>
      <c r="G74" s="647">
        <v>-10000</v>
      </c>
      <c r="H74" s="647">
        <v>0.03</v>
      </c>
      <c r="I74" s="647"/>
      <c r="J74" s="647">
        <v>-10000</v>
      </c>
      <c r="K74" s="647">
        <v>10000</v>
      </c>
      <c r="L74" s="536" t="str">
        <f>'Kennzahlenbogen_(KB)'!Q53</f>
        <v>n.d.</v>
      </c>
      <c r="M74" s="535">
        <f>IF('Kennzahlenbogen_(KB)'!R51=Berechnung1!$G$5,1,IF('Kennzahlenbogen_(KB)'!R51=Berechnung1!$F$5,1,IF('Kennzahlenbogen_(KB)'!R51=Berechnung1!$E$5,2,IF('Kennzahlenbogen_(KB)'!R51=Berechnung1!$D$5,3,IF('Kennzahlenbogen_(KB)'!R51=Berechnung1!$C$5,4,"")))))</f>
        <v>1</v>
      </c>
      <c r="N74" s="535">
        <f>IF(M74&gt;1,M74+3,M74)</f>
        <v>1</v>
      </c>
      <c r="O74" s="535">
        <f>IF('Kennzahlenbogen_(KB)'!T51="",0,1)</f>
        <v>0</v>
      </c>
    </row>
    <row r="75" spans="1:15" s="4" customFormat="1" ht="14.25">
      <c r="A75" s="12"/>
      <c r="B75" s="9"/>
      <c r="C75" s="96"/>
      <c r="D75" s="636"/>
      <c r="E75" s="637"/>
      <c r="F75" s="637"/>
      <c r="G75" s="637"/>
      <c r="H75" s="637"/>
      <c r="I75" s="637"/>
      <c r="J75" s="637"/>
      <c r="K75" s="637"/>
      <c r="L75" s="306"/>
      <c r="M75" s="240"/>
      <c r="N75" s="240"/>
      <c r="O75" s="240"/>
    </row>
    <row r="76" spans="1:15" s="4" customFormat="1" ht="14.25">
      <c r="A76" s="12"/>
      <c r="B76" s="9"/>
      <c r="C76" s="96"/>
      <c r="D76" s="636"/>
      <c r="E76" s="637"/>
      <c r="F76" s="637"/>
      <c r="G76" s="637"/>
      <c r="H76" s="637"/>
      <c r="I76" s="637"/>
      <c r="J76" s="637"/>
      <c r="K76" s="637"/>
      <c r="L76" s="306"/>
      <c r="M76" s="240"/>
      <c r="N76" s="240"/>
      <c r="O76" s="240"/>
    </row>
    <row r="77" spans="1:15" s="4" customFormat="1" ht="14.25">
      <c r="A77" s="12"/>
      <c r="B77" s="9"/>
      <c r="C77" s="99">
        <v>12</v>
      </c>
      <c r="D77" s="643" t="s">
        <v>102</v>
      </c>
      <c r="E77" s="641">
        <v>0</v>
      </c>
      <c r="F77" s="641">
        <v>1</v>
      </c>
      <c r="G77" s="641">
        <v>-10000</v>
      </c>
      <c r="H77" s="641">
        <v>0.03</v>
      </c>
      <c r="I77" s="641"/>
      <c r="J77" s="647">
        <v>-10000</v>
      </c>
      <c r="K77" s="647">
        <v>10000</v>
      </c>
      <c r="L77" s="304" t="str">
        <f>'Kennzahlenbogen_(KB)'!Q56</f>
        <v>n.d.</v>
      </c>
      <c r="M77" s="100">
        <f>IF('Kennzahlenbogen_(KB)'!R54=Berechnung1!$G$5,1,IF('Kennzahlenbogen_(KB)'!R54=Berechnung1!$F$5,1,IF('Kennzahlenbogen_(KB)'!R54=Berechnung1!$E$5,2,IF('Kennzahlenbogen_(KB)'!R54=Berechnung1!$D$5,3,IF('Kennzahlenbogen_(KB)'!R54=Berechnung1!$C$5,4,"")))))</f>
        <v>1</v>
      </c>
      <c r="N77" s="100">
        <f>IF(M77&gt;1,M77+3,M77)</f>
        <v>1</v>
      </c>
      <c r="O77" s="100">
        <f>IF('Kennzahlenbogen_(KB)'!T54="",0,1)</f>
        <v>0</v>
      </c>
    </row>
    <row r="78" spans="1:15" s="4" customFormat="1" ht="14.25">
      <c r="A78" s="12"/>
      <c r="B78" s="9"/>
      <c r="C78" s="96"/>
      <c r="D78" s="636"/>
      <c r="E78" s="637"/>
      <c r="F78" s="637"/>
      <c r="G78" s="637"/>
      <c r="H78" s="637"/>
      <c r="I78" s="637"/>
      <c r="J78" s="637"/>
      <c r="K78" s="637"/>
      <c r="L78" s="306"/>
      <c r="M78" s="61"/>
      <c r="N78" s="61"/>
      <c r="O78" s="61"/>
    </row>
    <row r="79" spans="1:15" s="4" customFormat="1" ht="14.25">
      <c r="A79" s="12"/>
      <c r="B79" s="9"/>
      <c r="C79" s="101"/>
      <c r="D79" s="635"/>
      <c r="E79" s="644"/>
      <c r="F79" s="644"/>
      <c r="G79" s="644"/>
      <c r="H79" s="644"/>
      <c r="I79" s="644"/>
      <c r="J79" s="644"/>
      <c r="K79" s="644"/>
      <c r="L79" s="306"/>
      <c r="M79" s="61"/>
      <c r="N79" s="61"/>
      <c r="O79" s="61"/>
    </row>
    <row r="80" spans="1:15" s="4" customFormat="1" ht="14.25">
      <c r="A80" s="12"/>
      <c r="B80" s="241"/>
      <c r="C80" s="99">
        <v>13</v>
      </c>
      <c r="D80" s="643" t="s">
        <v>102</v>
      </c>
      <c r="E80" s="641">
        <v>0</v>
      </c>
      <c r="F80" s="641">
        <v>1</v>
      </c>
      <c r="G80" s="641">
        <v>0.8</v>
      </c>
      <c r="H80" s="641">
        <v>10000</v>
      </c>
      <c r="I80" s="641"/>
      <c r="J80" s="641">
        <v>-10000</v>
      </c>
      <c r="K80" s="641">
        <v>10000</v>
      </c>
      <c r="L80" s="304" t="str">
        <f>'Kennzahlenbogen_(KB)'!Q59</f>
        <v>n.d.</v>
      </c>
      <c r="M80" s="100">
        <f>IF('Kennzahlenbogen_(KB)'!R57=Berechnung1!$G$5,1,IF('Kennzahlenbogen_(KB)'!R57=Berechnung1!$F$5,1,IF('Kennzahlenbogen_(KB)'!R57=Berechnung1!$E$5,2,IF('Kennzahlenbogen_(KB)'!R57=Berechnung1!$D$5,3,IF('Kennzahlenbogen_(KB)'!R57=Berechnung1!$C$5,4,"")))))</f>
        <v>1</v>
      </c>
      <c r="N80" s="100">
        <f>IF(M80&gt;1,M80+3,M80)</f>
        <v>1</v>
      </c>
      <c r="O80" s="100">
        <f>IF('Kennzahlenbogen_(KB)'!T57="",0,1)</f>
        <v>0</v>
      </c>
    </row>
    <row r="81" spans="1:15" s="4" customFormat="1" ht="14.25">
      <c r="A81" s="12"/>
      <c r="B81" s="241"/>
      <c r="C81" s="96"/>
      <c r="D81" s="636"/>
      <c r="E81" s="637"/>
      <c r="F81" s="637"/>
      <c r="G81" s="637"/>
      <c r="H81" s="637"/>
      <c r="I81" s="637"/>
      <c r="J81" s="637"/>
      <c r="K81" s="637"/>
      <c r="L81" s="306"/>
      <c r="M81" s="61"/>
      <c r="N81" s="61"/>
      <c r="O81" s="61"/>
    </row>
    <row r="82" spans="1:15" s="4" customFormat="1" ht="14.25">
      <c r="A82" s="12"/>
      <c r="B82" s="241"/>
      <c r="C82" s="96"/>
      <c r="D82" s="636"/>
      <c r="E82" s="637"/>
      <c r="F82" s="637"/>
      <c r="G82" s="637"/>
      <c r="H82" s="637"/>
      <c r="I82" s="637"/>
      <c r="J82" s="637"/>
      <c r="K82" s="637"/>
      <c r="L82" s="306"/>
      <c r="M82" s="61"/>
      <c r="N82" s="61"/>
      <c r="O82" s="61"/>
    </row>
    <row r="83" spans="1:15" s="4" customFormat="1" ht="14.25">
      <c r="A83" s="12"/>
      <c r="B83" s="665"/>
      <c r="C83" s="569">
        <v>14</v>
      </c>
      <c r="D83" s="646" t="s">
        <v>102</v>
      </c>
      <c r="E83" s="647">
        <v>0</v>
      </c>
      <c r="F83" s="647">
        <v>1</v>
      </c>
      <c r="G83" s="647">
        <v>-10000</v>
      </c>
      <c r="H83" s="647">
        <v>10000</v>
      </c>
      <c r="I83" s="647"/>
      <c r="J83" s="647">
        <v>0.8</v>
      </c>
      <c r="K83" s="647">
        <v>10000</v>
      </c>
      <c r="L83" s="536" t="str">
        <f>'Kennzahlenbogen_(KB)'!Q62</f>
        <v>n.d.</v>
      </c>
      <c r="M83" s="741">
        <f>IF('Kennzahlenbogen_(KB)'!R60=Berechnung1!$H$5,5,IF('Kennzahlenbogen_(KB)'!R60=Berechnung1!$G$5,1,IF('Kennzahlenbogen_(KB)'!R60=Berechnung1!$F$5,1,IF('Kennzahlenbogen_(KB)'!R60=Berechnung1!$E$5,2,IF('Kennzahlenbogen_(KB)'!R60=Berechnung1!$D$5,3,IF('Kennzahlenbogen_(KB)'!R60=Berechnung1!$C$5,4,""))))))</f>
        <v>1</v>
      </c>
      <c r="N83" s="646">
        <f>IF(M83&gt;1,M83+3,M83)</f>
        <v>1</v>
      </c>
      <c r="O83" s="646">
        <f>IF('Kennzahlenbogen_(KB)'!T60="",0,1)</f>
        <v>0</v>
      </c>
    </row>
    <row r="84" spans="1:15" s="4" customFormat="1" ht="14.25">
      <c r="A84" s="12"/>
      <c r="B84" s="241"/>
      <c r="C84" s="668"/>
      <c r="D84" s="666"/>
      <c r="E84" s="679"/>
      <c r="F84" s="679"/>
      <c r="G84" s="679"/>
      <c r="H84" s="679"/>
      <c r="I84" s="679"/>
      <c r="J84" s="679"/>
      <c r="K84" s="679"/>
      <c r="L84" s="670"/>
      <c r="M84" s="663"/>
      <c r="N84" s="666"/>
      <c r="O84" s="666"/>
    </row>
    <row r="85" spans="1:15" s="4" customFormat="1" ht="14.25">
      <c r="A85" s="12"/>
      <c r="B85" s="241"/>
      <c r="C85" s="668"/>
      <c r="D85" s="666"/>
      <c r="E85" s="679"/>
      <c r="F85" s="679"/>
      <c r="G85" s="679"/>
      <c r="H85" s="679"/>
      <c r="I85" s="679"/>
      <c r="J85" s="679"/>
      <c r="K85" s="679"/>
      <c r="L85" s="670"/>
      <c r="M85" s="663"/>
      <c r="N85" s="666"/>
      <c r="O85" s="666"/>
    </row>
    <row r="86" spans="1:15">
      <c r="B86" s="665"/>
      <c r="C86" s="569">
        <v>15</v>
      </c>
      <c r="D86" s="646" t="s">
        <v>102</v>
      </c>
      <c r="E86" s="647">
        <v>0</v>
      </c>
      <c r="F86" s="647">
        <v>1</v>
      </c>
      <c r="G86" s="647">
        <v>-10000</v>
      </c>
      <c r="H86" s="647">
        <v>10000</v>
      </c>
      <c r="I86" s="647"/>
      <c r="J86" s="647">
        <v>0.8</v>
      </c>
      <c r="K86" s="647">
        <v>10000</v>
      </c>
      <c r="L86" s="536" t="str">
        <f>'Kennzahlenbogen_(KB)'!Q65</f>
        <v>n.d.</v>
      </c>
      <c r="M86" s="741">
        <f>IF('Kennzahlenbogen_(KB)'!R63=Berechnung1!$H$5,5,IF('Kennzahlenbogen_(KB)'!R63=Berechnung1!$G$5,1,IF('Kennzahlenbogen_(KB)'!R63=Berechnung1!$F$5,1,IF('Kennzahlenbogen_(KB)'!R63=Berechnung1!$E$5,2,IF('Kennzahlenbogen_(KB)'!R63=Berechnung1!$D$5,3,IF('Kennzahlenbogen_(KB)'!R63=Berechnung1!$C$5,4,""))))))</f>
        <v>1</v>
      </c>
      <c r="N86" s="646">
        <f>IF(M86&gt;1,M86+3,M86)</f>
        <v>1</v>
      </c>
      <c r="O86" s="646">
        <f>IF('Kennzahlenbogen_(KB)'!T63="",0,1)</f>
        <v>0</v>
      </c>
    </row>
    <row r="87" spans="1:15">
      <c r="C87" s="668"/>
      <c r="D87" s="666"/>
      <c r="E87" s="679"/>
      <c r="F87" s="679"/>
      <c r="G87" s="679"/>
      <c r="H87" s="679"/>
      <c r="I87" s="679"/>
      <c r="J87" s="679"/>
      <c r="K87" s="679"/>
      <c r="L87" s="670"/>
      <c r="M87" s="663"/>
      <c r="N87" s="666"/>
      <c r="O87" s="666"/>
    </row>
    <row r="88" spans="1:15">
      <c r="C88" s="668"/>
      <c r="D88" s="666"/>
      <c r="E88" s="679"/>
      <c r="F88" s="679"/>
      <c r="G88" s="679"/>
      <c r="H88" s="679"/>
      <c r="I88" s="679"/>
      <c r="J88" s="679"/>
      <c r="K88" s="679"/>
      <c r="L88" s="670"/>
      <c r="M88" s="663"/>
      <c r="N88" s="666"/>
      <c r="O88" s="666"/>
    </row>
    <row r="89" spans="1:15">
      <c r="B89" s="665" t="s">
        <v>520</v>
      </c>
      <c r="C89" s="675">
        <v>16</v>
      </c>
      <c r="D89" s="676" t="s">
        <v>102</v>
      </c>
      <c r="E89" s="680">
        <v>0</v>
      </c>
      <c r="F89" s="680">
        <v>1</v>
      </c>
      <c r="G89" s="680">
        <v>-10000</v>
      </c>
      <c r="H89" s="680">
        <v>10000</v>
      </c>
      <c r="I89" s="680"/>
      <c r="J89" s="680">
        <v>0.8</v>
      </c>
      <c r="K89" s="680">
        <v>10000</v>
      </c>
      <c r="L89" s="677" t="str">
        <f>'Kennzahlenbogen_(KB)'!Q68</f>
        <v>n.d.</v>
      </c>
      <c r="M89" s="678">
        <f>IF('Kennzahlenbogen_(KB)'!R66=Berechnung1!$H$5,5,IF('Kennzahlenbogen_(KB)'!R66=Berechnung1!$G$5,1,IF('Kennzahlenbogen_(KB)'!R66=Berechnung1!$F$5,1,IF('Kennzahlenbogen_(KB)'!R66=Berechnung1!$E$5,2,IF('Kennzahlenbogen_(KB)'!R66=Berechnung1!$D$5,3,IF('Kennzahlenbogen_(KB)'!R66=Berechnung1!$C$5,4,""))))))</f>
        <v>1</v>
      </c>
      <c r="N89" s="676">
        <f t="shared" ref="N89:N95" si="2">IF(M89&gt;1,M89+3,M89)</f>
        <v>1</v>
      </c>
      <c r="O89" s="676">
        <f>IF('Kennzahlenbogen_(KB)'!T66="",0,1)</f>
        <v>0</v>
      </c>
    </row>
    <row r="90" spans="1:15">
      <c r="B90" s="47"/>
      <c r="C90" s="668"/>
      <c r="D90" s="666"/>
      <c r="E90" s="679"/>
      <c r="F90" s="679"/>
      <c r="G90" s="679"/>
      <c r="H90" s="679"/>
      <c r="I90" s="679"/>
      <c r="J90" s="679"/>
      <c r="K90" s="679"/>
      <c r="L90" s="670"/>
      <c r="M90" s="663"/>
      <c r="N90" s="666"/>
      <c r="O90" s="666"/>
    </row>
    <row r="91" spans="1:15">
      <c r="C91" s="668"/>
      <c r="D91" s="666"/>
      <c r="E91" s="679"/>
      <c r="F91" s="679"/>
      <c r="G91" s="679"/>
      <c r="H91" s="679"/>
      <c r="I91" s="679"/>
      <c r="J91" s="679"/>
      <c r="K91" s="679"/>
      <c r="L91" s="670"/>
      <c r="M91" s="663"/>
      <c r="N91" s="666"/>
      <c r="O91" s="666"/>
    </row>
    <row r="92" spans="1:15">
      <c r="B92" s="665"/>
      <c r="C92" s="569">
        <v>17</v>
      </c>
      <c r="D92" s="646" t="s">
        <v>102</v>
      </c>
      <c r="E92" s="647">
        <v>0</v>
      </c>
      <c r="F92" s="647">
        <v>1</v>
      </c>
      <c r="G92" s="647">
        <v>-10000</v>
      </c>
      <c r="H92" s="647">
        <v>10000</v>
      </c>
      <c r="I92" s="647"/>
      <c r="J92" s="647">
        <v>0.8</v>
      </c>
      <c r="K92" s="647">
        <v>10000</v>
      </c>
      <c r="L92" s="536" t="str">
        <f>'Kennzahlenbogen_(KB)'!Q71</f>
        <v>n.d.</v>
      </c>
      <c r="M92" s="741">
        <f>IF('Kennzahlenbogen_(KB)'!R69=Berechnung1!$H$5,5,IF('Kennzahlenbogen_(KB)'!R69=Berechnung1!$G$5,1,IF('Kennzahlenbogen_(KB)'!R69=Berechnung1!$F$5,1,IF('Kennzahlenbogen_(KB)'!R69=Berechnung1!$E$5,2,IF('Kennzahlenbogen_(KB)'!R69=Berechnung1!$D$5,3,IF('Kennzahlenbogen_(KB)'!R69=Berechnung1!$C$5,4,""))))))</f>
        <v>1</v>
      </c>
      <c r="N92" s="646">
        <f t="shared" si="2"/>
        <v>1</v>
      </c>
      <c r="O92" s="646">
        <f>IF('Kennzahlenbogen_(KB)'!T69="",0,1)</f>
        <v>0</v>
      </c>
    </row>
    <row r="93" spans="1:15">
      <c r="C93" s="668"/>
      <c r="D93" s="666"/>
      <c r="E93" s="679"/>
      <c r="F93" s="679"/>
      <c r="G93" s="679"/>
      <c r="H93" s="679"/>
      <c r="I93" s="679"/>
      <c r="J93" s="679"/>
      <c r="K93" s="679"/>
      <c r="L93" s="670"/>
      <c r="M93" s="663" t="str">
        <f>IF('Kennzahlenbogen_(KB)'!R70=Berechnung1!$H$17,5,IF('Kennzahlenbogen_(KB)'!R70=Berechnung1!$G$17,1,IF('Kennzahlenbogen_(KB)'!R70=Berechnung1!$F$17,1,IF('Kennzahlenbogen_(KB)'!R70=Berechnung1!$E$17,2,IF('Kennzahlenbogen_(KB)'!R70=Berechnung1!$D$17,3,IF('Kennzahlenbogen_(KB)'!R70=Berechnung1!$C$17,4,""))))))</f>
        <v/>
      </c>
      <c r="N93" s="666"/>
      <c r="O93" s="666"/>
    </row>
    <row r="94" spans="1:15">
      <c r="C94" s="668"/>
      <c r="D94" s="666"/>
      <c r="E94" s="679"/>
      <c r="F94" s="679"/>
      <c r="G94" s="679"/>
      <c r="H94" s="679"/>
      <c r="I94" s="679"/>
      <c r="J94" s="679"/>
      <c r="K94" s="679"/>
      <c r="L94" s="670"/>
      <c r="M94" s="663" t="str">
        <f>IF('Kennzahlenbogen_(KB)'!R71=Berechnung1!$H$17,5,IF('Kennzahlenbogen_(KB)'!R71=Berechnung1!$G$17,1,IF('Kennzahlenbogen_(KB)'!R71=Berechnung1!$F$17,1,IF('Kennzahlenbogen_(KB)'!R71=Berechnung1!$E$17,2,IF('Kennzahlenbogen_(KB)'!R71=Berechnung1!$D$17,3,IF('Kennzahlenbogen_(KB)'!R71=Berechnung1!$C$17,4,""))))))</f>
        <v/>
      </c>
      <c r="N94" s="666"/>
      <c r="O94" s="666"/>
    </row>
    <row r="95" spans="1:15">
      <c r="B95" s="665"/>
      <c r="C95" s="569">
        <v>18</v>
      </c>
      <c r="D95" s="646" t="s">
        <v>102</v>
      </c>
      <c r="E95" s="647">
        <v>0</v>
      </c>
      <c r="F95" s="647">
        <v>1</v>
      </c>
      <c r="G95" s="647">
        <v>-10000</v>
      </c>
      <c r="H95" s="647">
        <v>10000</v>
      </c>
      <c r="I95" s="647"/>
      <c r="J95" s="647">
        <v>0.8</v>
      </c>
      <c r="K95" s="647">
        <v>10000</v>
      </c>
      <c r="L95" s="536" t="str">
        <f>'Kennzahlenbogen_(KB)'!Q74</f>
        <v>n.d.</v>
      </c>
      <c r="M95" s="741">
        <f>IF('Kennzahlenbogen_(KB)'!R72=Berechnung1!$H$5,5,IF('Kennzahlenbogen_(KB)'!R72=Berechnung1!$G$5,1,IF('Kennzahlenbogen_(KB)'!R72=Berechnung1!$F$5,1,IF('Kennzahlenbogen_(KB)'!R72=Berechnung1!$E$5,2,IF('Kennzahlenbogen_(KB)'!R72=Berechnung1!$D$5,3,IF('Kennzahlenbogen_(KB)'!R72=Berechnung1!$C$5,4,""))))))</f>
        <v>1</v>
      </c>
      <c r="N95" s="646">
        <f t="shared" si="2"/>
        <v>1</v>
      </c>
      <c r="O95" s="646">
        <f>IF('Kennzahlenbogen_(KB)'!T72="",0,1)</f>
        <v>0</v>
      </c>
    </row>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phoneticPr fontId="41" type="noConversion"/>
  <conditionalFormatting sqref="M33:O34">
    <cfRule type="cellIs" dxfId="196" priority="1995" operator="equal">
      <formula>$G$5</formula>
    </cfRule>
    <cfRule type="cellIs" dxfId="195" priority="1996" operator="equal">
      <formula>$F$5</formula>
    </cfRule>
    <cfRule type="cellIs" dxfId="194" priority="1997" operator="equal">
      <formula>$E$5</formula>
    </cfRule>
    <cfRule type="cellIs" dxfId="193" priority="1998" operator="equal">
      <formula>$D$5</formula>
    </cfRule>
  </conditionalFormatting>
  <dataValidations disablePrompts="1" count="1">
    <dataValidation operator="greaterThanOrEqual" allowBlank="1" showInputMessage="1" showErrorMessage="1" errorTitle="Error" error="Eingabe nur von Zahlen möglich. " sqref="D24:D27"/>
  </dataValidations>
  <pageMargins left="0.7" right="0.7" top="0.78740157499999996" bottom="0.78740157499999996" header="0.3" footer="0.3"/>
  <pageSetup paperSize="9" orientation="portrait"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L32"/>
  <sheetViews>
    <sheetView workbookViewId="0">
      <selection activeCell="D7" sqref="D7"/>
    </sheetView>
  </sheetViews>
  <sheetFormatPr baseColWidth="10" defaultColWidth="11.42578125" defaultRowHeight="15"/>
  <cols>
    <col min="1" max="1" width="24.5703125" style="250" customWidth="1"/>
    <col min="2" max="4" width="36.140625" style="250" customWidth="1"/>
    <col min="5" max="5" width="9.140625" style="250" customWidth="1"/>
    <col min="6" max="6" width="43" style="243" customWidth="1"/>
    <col min="7" max="7" width="43" style="242" customWidth="1"/>
    <col min="8" max="8" width="10.5703125" style="243" customWidth="1"/>
    <col min="9" max="9" width="18" customWidth="1"/>
    <col min="10" max="10" width="16" style="1" customWidth="1"/>
    <col min="11" max="11" width="15.85546875" style="1" customWidth="1"/>
    <col min="12" max="16384" width="11.42578125" style="1"/>
  </cols>
  <sheetData>
    <row r="1" spans="1:11">
      <c r="A1" s="249" t="s">
        <v>71</v>
      </c>
      <c r="B1" s="718">
        <v>153</v>
      </c>
      <c r="C1" s="251"/>
      <c r="D1" s="251"/>
      <c r="E1" s="251"/>
      <c r="F1" s="246"/>
      <c r="G1" s="245"/>
      <c r="H1" s="246"/>
    </row>
    <row r="2" spans="1:11">
      <c r="A2" s="249" t="s">
        <v>70</v>
      </c>
      <c r="B2" s="244" t="str">
        <f>IF(Basisdaten!C6=0,"",Basisdaten!C6)</f>
        <v/>
      </c>
      <c r="C2" s="251"/>
      <c r="D2" s="251"/>
      <c r="E2" s="251"/>
      <c r="F2" s="246"/>
      <c r="G2" s="245"/>
      <c r="H2" s="246"/>
      <c r="K2" s="7"/>
    </row>
    <row r="3" spans="1:11">
      <c r="A3" s="249" t="s">
        <v>77</v>
      </c>
      <c r="B3" s="268" t="str">
        <f>IF(Basisdaten!O12=0,"",Basisdaten!O12)</f>
        <v/>
      </c>
      <c r="C3" s="251"/>
      <c r="D3" s="251"/>
      <c r="E3" s="251"/>
      <c r="F3" s="246"/>
      <c r="G3" s="245"/>
      <c r="H3" s="246"/>
    </row>
    <row r="4" spans="1:11">
      <c r="A4" s="251"/>
      <c r="B4" s="251"/>
      <c r="C4" s="251"/>
      <c r="D4" s="251"/>
      <c r="E4" s="251"/>
      <c r="F4" s="246"/>
      <c r="G4" s="245"/>
      <c r="H4" s="246"/>
    </row>
    <row r="5" spans="1:11">
      <c r="A5" s="309" t="s">
        <v>389</v>
      </c>
      <c r="B5" s="409"/>
      <c r="C5" s="251"/>
      <c r="D5" s="251"/>
      <c r="E5" s="251"/>
      <c r="F5" s="246"/>
      <c r="G5" s="245"/>
      <c r="H5" s="246"/>
    </row>
    <row r="6" spans="1:11">
      <c r="A6" s="309" t="s">
        <v>390</v>
      </c>
      <c r="B6" s="409"/>
      <c r="C6" s="251"/>
      <c r="D6" s="251"/>
      <c r="E6" s="251"/>
      <c r="F6" s="246"/>
      <c r="G6" s="245"/>
      <c r="H6" s="246"/>
    </row>
    <row r="7" spans="1:11">
      <c r="A7" s="309" t="s">
        <v>391</v>
      </c>
      <c r="B7" s="409"/>
      <c r="C7" s="251"/>
      <c r="D7" s="251"/>
      <c r="E7" s="251"/>
      <c r="F7" s="246"/>
      <c r="G7" s="245"/>
      <c r="H7" s="246"/>
    </row>
    <row r="8" spans="1:11">
      <c r="A8" s="309" t="s">
        <v>416</v>
      </c>
      <c r="B8" s="409"/>
      <c r="C8" s="251"/>
      <c r="D8" s="251"/>
      <c r="E8" s="251"/>
      <c r="F8" s="246"/>
      <c r="G8" s="245"/>
      <c r="H8" s="246"/>
    </row>
    <row r="9" spans="1:11">
      <c r="A9" s="309" t="s">
        <v>415</v>
      </c>
      <c r="B9" s="409"/>
      <c r="C9" s="251"/>
      <c r="D9" s="251"/>
      <c r="E9" s="251"/>
      <c r="F9" s="246"/>
      <c r="G9" s="245"/>
      <c r="H9" s="246"/>
    </row>
    <row r="10" spans="1:11">
      <c r="A10" s="251"/>
      <c r="B10" s="251"/>
      <c r="C10" s="251"/>
      <c r="D10" s="251"/>
      <c r="E10" s="251"/>
      <c r="F10" s="246"/>
      <c r="G10" s="245"/>
      <c r="H10" s="246"/>
    </row>
    <row r="11" spans="1:11">
      <c r="A11" s="80" t="s">
        <v>69</v>
      </c>
      <c r="B11" s="80" t="s">
        <v>68</v>
      </c>
      <c r="C11" s="80" t="s">
        <v>9</v>
      </c>
      <c r="D11" s="80" t="s">
        <v>19</v>
      </c>
      <c r="E11" s="80" t="s">
        <v>67</v>
      </c>
      <c r="F11" s="248" t="s">
        <v>72</v>
      </c>
      <c r="G11" s="248" t="s">
        <v>65</v>
      </c>
      <c r="H11" s="88" t="s">
        <v>66</v>
      </c>
      <c r="I11" s="310" t="s">
        <v>392</v>
      </c>
      <c r="J11" s="311" t="s">
        <v>393</v>
      </c>
      <c r="K11" s="311" t="s">
        <v>394</v>
      </c>
    </row>
    <row r="12" spans="1:11">
      <c r="A12" s="253" t="s">
        <v>344</v>
      </c>
      <c r="B12" s="270" t="str">
        <f>IF('Kennzahlenbogen_(KB)'!$Q12=0,"n.d.",'Kennzahlenbogen_(KB)'!$Q12)</f>
        <v>n.d.</v>
      </c>
      <c r="C12" s="272"/>
      <c r="D12" s="247"/>
      <c r="E12" s="270">
        <f>Berechnung1!N35</f>
        <v>1</v>
      </c>
      <c r="F12" s="244" t="str">
        <f>IF('Kennzahlenbogen_(KB)'!S12=0,"",'Kennzahlenbogen_(KB)'!S12)</f>
        <v/>
      </c>
      <c r="G12" s="244" t="str">
        <f>IF('Kennzahlenbogen_(KB)'!T12=0,"",'Kennzahlenbogen_(KB)'!T12)</f>
        <v/>
      </c>
      <c r="H12" s="270">
        <f>Berechnung1!O35</f>
        <v>0</v>
      </c>
      <c r="I12" s="312"/>
      <c r="J12" s="313"/>
      <c r="K12" s="314"/>
    </row>
    <row r="13" spans="1:11">
      <c r="A13" s="253" t="s">
        <v>345</v>
      </c>
      <c r="B13" s="270" t="str">
        <f>IF('Kennzahlenbogen_(KB)'!$Q15= 0, "n.d.",'Kennzahlenbogen_(KB)'!$Q15)</f>
        <v>n.d.</v>
      </c>
      <c r="C13" s="272"/>
      <c r="D13" s="247"/>
      <c r="E13" s="270">
        <f>Berechnung1!N38</f>
        <v>1</v>
      </c>
      <c r="F13" s="244" t="str">
        <f>IF('Kennzahlenbogen_(KB)'!S15=0,"",'Kennzahlenbogen_(KB)'!S15)</f>
        <v/>
      </c>
      <c r="G13" s="244" t="str">
        <f>IF('Kennzahlenbogen_(KB)'!T15=0,"",'Kennzahlenbogen_(KB)'!T15)</f>
        <v/>
      </c>
      <c r="H13" s="270">
        <f>Berechnung1!O38</f>
        <v>0</v>
      </c>
      <c r="I13" s="312"/>
      <c r="J13" s="411"/>
      <c r="K13" s="314"/>
    </row>
    <row r="14" spans="1:11">
      <c r="A14" s="253" t="s">
        <v>346</v>
      </c>
      <c r="B14" s="270" t="str">
        <f>IF('Kennzahlenbogen_(KB)'!$Q18= 0, "n.d.",'Kennzahlenbogen_(KB)'!$Q18)</f>
        <v>n.d.</v>
      </c>
      <c r="C14" s="272"/>
      <c r="D14" s="247"/>
      <c r="E14" s="270">
        <f>Berechnung1!N41</f>
        <v>1</v>
      </c>
      <c r="F14" s="244" t="str">
        <f>IF('Kennzahlenbogen_(KB)'!S18=0,"",'Kennzahlenbogen_(KB)'!S18)</f>
        <v/>
      </c>
      <c r="G14" s="244" t="str">
        <f>IF('Kennzahlenbogen_(KB)'!T18=0,"",'Kennzahlenbogen_(KB)'!T18)</f>
        <v/>
      </c>
      <c r="H14" s="270">
        <f>Berechnung1!O41</f>
        <v>0</v>
      </c>
      <c r="I14" s="312"/>
      <c r="J14" s="313"/>
      <c r="K14" s="314"/>
    </row>
    <row r="15" spans="1:11">
      <c r="A15" s="101" t="s">
        <v>745</v>
      </c>
      <c r="B15" s="715" t="str">
        <f>IF('Kennzahlenbogen_(KB)'!$Q21= 0, "n.d.",'Kennzahlenbogen_(KB)'!$Q21)</f>
        <v>n.d.</v>
      </c>
      <c r="C15" s="272"/>
      <c r="D15" s="247"/>
      <c r="E15" s="270">
        <f>Berechnung1!N44</f>
        <v>1</v>
      </c>
      <c r="F15" s="244" t="str">
        <f>IF('Kennzahlenbogen_(KB)'!S21=0,"",'Kennzahlenbogen_(KB)'!S21)</f>
        <v/>
      </c>
      <c r="G15" s="244" t="str">
        <f>IF('Kennzahlenbogen_(KB)'!T21=0,"",'Kennzahlenbogen_(KB)'!T21)</f>
        <v/>
      </c>
      <c r="H15" s="270">
        <f>Berechnung1!O44</f>
        <v>0</v>
      </c>
      <c r="I15" s="671"/>
      <c r="J15" s="672"/>
      <c r="K15" s="314"/>
    </row>
    <row r="16" spans="1:11">
      <c r="A16" s="253" t="s">
        <v>149</v>
      </c>
      <c r="B16" s="270" t="str">
        <f>IF('Kennzahlenbogen_(KB)'!$Q24= "", "",'Kennzahlenbogen_(KB)'!$Q24)</f>
        <v/>
      </c>
      <c r="C16" s="273">
        <f>IF('Kennzahlenbogen_(KB)'!$Q25= "", "",'Kennzahlenbogen_(KB)'!$Q25)</f>
        <v>0</v>
      </c>
      <c r="D16" s="508" t="str">
        <f>IF('Kennzahlenbogen_(KB)'!$Q26="n.d.","n.d.",'Kennzahlenbogen_(KB)'!$Q26*100)</f>
        <v>n.d.</v>
      </c>
      <c r="E16" s="270">
        <f>Berechnung1!N47</f>
        <v>1</v>
      </c>
      <c r="F16" s="244" t="str">
        <f>IF('Kennzahlenbogen_(KB)'!S24=0,"",'Kennzahlenbogen_(KB)'!S24)</f>
        <v/>
      </c>
      <c r="G16" s="244" t="str">
        <f>IF('Kennzahlenbogen_(KB)'!T24=0,"",'Kennzahlenbogen_(KB)'!T24)</f>
        <v/>
      </c>
      <c r="H16" s="270">
        <f>Berechnung1!O47</f>
        <v>0</v>
      </c>
      <c r="I16" s="312"/>
      <c r="J16" s="313"/>
      <c r="K16" s="314"/>
    </row>
    <row r="17" spans="1:12">
      <c r="A17" s="253" t="s">
        <v>150</v>
      </c>
      <c r="B17" s="270" t="str">
        <f>IF('Kennzahlenbogen_(KB)'!$Q27= "", "",'Kennzahlenbogen_(KB)'!$Q27)</f>
        <v/>
      </c>
      <c r="C17" s="270">
        <f>IF('Kennzahlenbogen_(KB)'!$Q28= "", "",'Kennzahlenbogen_(KB)'!$Q28)</f>
        <v>0</v>
      </c>
      <c r="D17" s="508" t="str">
        <f>IF('Kennzahlenbogen_(KB)'!$Q29="n.d.","n.d.",'Kennzahlenbogen_(KB)'!$Q29*100)</f>
        <v>n.d.</v>
      </c>
      <c r="E17" s="270">
        <f>Berechnung1!N50</f>
        <v>1</v>
      </c>
      <c r="F17" s="244" t="str">
        <f>IF('Kennzahlenbogen_(KB)'!S27=0,"",'Kennzahlenbogen_(KB)'!S27)</f>
        <v/>
      </c>
      <c r="G17" s="244" t="str">
        <f>IF('Kennzahlenbogen_(KB)'!T27=0,"",'Kennzahlenbogen_(KB)'!T27)</f>
        <v/>
      </c>
      <c r="H17" s="270">
        <f>Berechnung1!O50</f>
        <v>0</v>
      </c>
      <c r="I17" s="312"/>
      <c r="J17" s="313"/>
      <c r="K17" s="314"/>
    </row>
    <row r="18" spans="1:12">
      <c r="A18" s="97">
        <v>4</v>
      </c>
      <c r="B18" s="270" t="str">
        <f>IF('Kennzahlenbogen_(KB)'!$Q30 ="", "",'Kennzahlenbogen_(KB)'!$Q30)</f>
        <v/>
      </c>
      <c r="C18" s="270">
        <f>IF('Kennzahlenbogen_(KB)'!$Q31 = "", "",'Kennzahlenbogen_(KB)'!$Q31)</f>
        <v>0</v>
      </c>
      <c r="D18" s="508" t="str">
        <f>IF('Kennzahlenbogen_(KB)'!$Q32="n.d.","n.d.",'Kennzahlenbogen_(KB)'!$Q32*100)</f>
        <v>n.d.</v>
      </c>
      <c r="E18" s="273">
        <f>Berechnung1!N53</f>
        <v>1</v>
      </c>
      <c r="F18" s="244" t="str">
        <f>IF('Kennzahlenbogen_(KB)'!S30=0,"",'Kennzahlenbogen_(KB)'!S30)</f>
        <v/>
      </c>
      <c r="G18" s="244" t="str">
        <f>IF('Kennzahlenbogen_(KB)'!T30=0,"",'Kennzahlenbogen_(KB)'!T30)</f>
        <v/>
      </c>
      <c r="H18" s="273">
        <f>Berechnung1!O53</f>
        <v>0</v>
      </c>
      <c r="I18" s="410"/>
      <c r="J18" s="313"/>
      <c r="K18" s="314"/>
    </row>
    <row r="19" spans="1:12" customFormat="1">
      <c r="A19" s="97">
        <v>5</v>
      </c>
      <c r="B19" s="270" t="str">
        <f>IF('Kennzahlenbogen_(KB)'!$Q33= "", "",'Kennzahlenbogen_(KB)'!$Q33)</f>
        <v/>
      </c>
      <c r="C19" s="270">
        <f>IF('Kennzahlenbogen_(KB)'!$Q34= "", "",'Kennzahlenbogen_(KB)'!$Q34)</f>
        <v>0</v>
      </c>
      <c r="D19" s="508" t="str">
        <f>IF('Kennzahlenbogen_(KB)'!$Q35="n.d.","n.d.",'Kennzahlenbogen_(KB)'!$Q35*100)</f>
        <v>n.d.</v>
      </c>
      <c r="E19" s="270">
        <f>Berechnung1!N56</f>
        <v>1</v>
      </c>
      <c r="F19" s="244" t="str">
        <f>IF('Kennzahlenbogen_(KB)'!S33=0,"",'Kennzahlenbogen_(KB)'!S33)</f>
        <v/>
      </c>
      <c r="G19" s="244" t="str">
        <f>IF('Kennzahlenbogen_(KB)'!T33=0,"",'Kennzahlenbogen_(KB)'!T33)</f>
        <v/>
      </c>
      <c r="H19" s="270">
        <f>Berechnung1!O56</f>
        <v>0</v>
      </c>
      <c r="I19" s="312"/>
      <c r="J19" s="313"/>
      <c r="K19" s="314"/>
    </row>
    <row r="20" spans="1:12" customFormat="1">
      <c r="A20" s="97">
        <v>6</v>
      </c>
      <c r="B20" s="270" t="str">
        <f>IF('Kennzahlenbogen_(KB)'!$Q36= "", "",'Kennzahlenbogen_(KB)'!$Q36)</f>
        <v/>
      </c>
      <c r="C20" s="270" t="str">
        <f>IF('Kennzahlenbogen_(KB)'!$Q37= "", "",'Kennzahlenbogen_(KB)'!$Q37)</f>
        <v/>
      </c>
      <c r="D20" s="508" t="str">
        <f>IF('Kennzahlenbogen_(KB)'!$Q38="n.d.","n.d.",'Kennzahlenbogen_(KB)'!$Q38*100)</f>
        <v>n.d.</v>
      </c>
      <c r="E20" s="270">
        <f>Berechnung1!N59</f>
        <v>1</v>
      </c>
      <c r="F20" s="244" t="str">
        <f>IF('Kennzahlenbogen_(KB)'!S36=0,"",'Kennzahlenbogen_(KB)'!S36)</f>
        <v/>
      </c>
      <c r="G20" s="244" t="str">
        <f>IF('Kennzahlenbogen_(KB)'!T36=0,"",'Kennzahlenbogen_(KB)'!T36)</f>
        <v/>
      </c>
      <c r="H20" s="270">
        <f>Berechnung1!O59</f>
        <v>0</v>
      </c>
      <c r="I20" s="312"/>
      <c r="J20" s="313"/>
      <c r="K20" s="314"/>
    </row>
    <row r="21" spans="1:12" customFormat="1">
      <c r="A21" s="97">
        <v>7</v>
      </c>
      <c r="B21" s="270" t="str">
        <f>IF('Kennzahlenbogen_(KB)'!$Q39= "", "",'Kennzahlenbogen_(KB)'!$Q39)</f>
        <v/>
      </c>
      <c r="C21" s="270" t="str">
        <f>IF('Kennzahlenbogen_(KB)'!$Q40= "", "",'Kennzahlenbogen_(KB)'!$Q40)</f>
        <v/>
      </c>
      <c r="D21" s="508" t="str">
        <f>IF('Kennzahlenbogen_(KB)'!$Q41="n.d.","n.d.",'Kennzahlenbogen_(KB)'!$Q41*100)</f>
        <v>n.d.</v>
      </c>
      <c r="E21" s="270">
        <f>Berechnung1!N62</f>
        <v>1</v>
      </c>
      <c r="F21" s="244" t="str">
        <f>IF('Kennzahlenbogen_(KB)'!S39=0,"",'Kennzahlenbogen_(KB)'!S39)</f>
        <v/>
      </c>
      <c r="G21" s="244" t="str">
        <f>IF('Kennzahlenbogen_(KB)'!T39=0,"",'Kennzahlenbogen_(KB)'!T39)</f>
        <v/>
      </c>
      <c r="H21" s="270">
        <f>Berechnung1!O62</f>
        <v>0</v>
      </c>
      <c r="I21" s="312"/>
      <c r="J21" s="313"/>
      <c r="K21" s="314"/>
    </row>
    <row r="22" spans="1:12" customFormat="1">
      <c r="A22" s="97">
        <v>8</v>
      </c>
      <c r="B22" s="270" t="str">
        <f>IF('Kennzahlenbogen_(KB)'!$Q42= "", "n.d.",'Kennzahlenbogen_(KB)'!$Q42)</f>
        <v>n.d.</v>
      </c>
      <c r="C22" s="531"/>
      <c r="D22" s="247"/>
      <c r="E22" s="270">
        <f>Berechnung1!N65</f>
        <v>1</v>
      </c>
      <c r="F22" s="244" t="str">
        <f>IF('Kennzahlenbogen_(KB)'!S42=0,"",'Kennzahlenbogen_(KB)'!S42)</f>
        <v/>
      </c>
      <c r="G22" s="244" t="str">
        <f>IF('Kennzahlenbogen_(KB)'!T42=0,"",'Kennzahlenbogen_(KB)'!T42)</f>
        <v/>
      </c>
      <c r="H22" s="270">
        <f>Berechnung1!O65</f>
        <v>0</v>
      </c>
      <c r="I22" s="312"/>
      <c r="J22" s="313"/>
      <c r="K22" s="314"/>
    </row>
    <row r="23" spans="1:12" customFormat="1">
      <c r="A23" s="97">
        <v>9</v>
      </c>
      <c r="B23" s="270" t="str">
        <f>IF('Kennzahlenbogen_(KB)'!$Q45= "", "n.d.",'Kennzahlenbogen_(KB)'!$Q45)</f>
        <v>n.d.</v>
      </c>
      <c r="C23" s="531"/>
      <c r="D23" s="247"/>
      <c r="E23" s="270">
        <f>Berechnung1!N68</f>
        <v>1</v>
      </c>
      <c r="F23" s="244" t="str">
        <f>IF('Kennzahlenbogen_(KB)'!S45=0,"",'Kennzahlenbogen_(KB)'!S45)</f>
        <v/>
      </c>
      <c r="G23" s="244" t="str">
        <f>IF('Kennzahlenbogen_(KB)'!T45=0,"",'Kennzahlenbogen_(KB)'!T45)</f>
        <v/>
      </c>
      <c r="H23" s="270">
        <f>Berechnung1!O68</f>
        <v>0</v>
      </c>
      <c r="I23" s="312"/>
      <c r="J23" s="411"/>
      <c r="K23" s="314"/>
    </row>
    <row r="24" spans="1:12" customFormat="1">
      <c r="A24" s="97">
        <v>10</v>
      </c>
      <c r="B24" s="270" t="str">
        <f>IF('Kennzahlenbogen_(KB)'!$Q48= "", "",'Kennzahlenbogen_(KB)'!$Q48)</f>
        <v/>
      </c>
      <c r="C24" s="270">
        <f>IF('Kennzahlenbogen_(KB)'!$Q49= "", "",'Kennzahlenbogen_(KB)'!$Q49)</f>
        <v>0</v>
      </c>
      <c r="D24" s="508" t="str">
        <f>IF('Kennzahlenbogen_(KB)'!$Q50="n.d.","n.d.",'Kennzahlenbogen_(KB)'!$Q50*100)</f>
        <v>n.d.</v>
      </c>
      <c r="E24" s="270">
        <f>Berechnung1!N71</f>
        <v>1</v>
      </c>
      <c r="F24" s="244" t="str">
        <f>IF('Kennzahlenbogen_(KB)'!S48=0,"",'Kennzahlenbogen_(KB)'!S48)</f>
        <v/>
      </c>
      <c r="G24" s="244" t="str">
        <f>IF('Kennzahlenbogen_(KB)'!T48=0,"",'Kennzahlenbogen_(KB)'!T48)</f>
        <v/>
      </c>
      <c r="H24" s="270">
        <f>Berechnung1!O71</f>
        <v>0</v>
      </c>
      <c r="I24" s="312"/>
      <c r="J24" s="313"/>
      <c r="K24" s="314"/>
    </row>
    <row r="25" spans="1:12" customFormat="1">
      <c r="A25" s="97">
        <v>11</v>
      </c>
      <c r="B25" s="270" t="str">
        <f>IF('Kennzahlenbogen_(KB)'!$Q51= "", "",'Kennzahlenbogen_(KB)'!$Q51)</f>
        <v/>
      </c>
      <c r="C25" s="270" t="str">
        <f>IF('Kennzahlenbogen_(KB)'!$Q52= "", "",'Kennzahlenbogen_(KB)'!$Q52)</f>
        <v/>
      </c>
      <c r="D25" s="508" t="str">
        <f>IF('Kennzahlenbogen_(KB)'!$Q53="n.d.","n.d.",'Kennzahlenbogen_(KB)'!$Q53*100)</f>
        <v>n.d.</v>
      </c>
      <c r="E25" s="270">
        <f>Berechnung1!N74</f>
        <v>1</v>
      </c>
      <c r="F25" s="244" t="str">
        <f>IF('Kennzahlenbogen_(KB)'!S51=0,"",'Kennzahlenbogen_(KB)'!S51)</f>
        <v/>
      </c>
      <c r="G25" s="244" t="str">
        <f>IF('Kennzahlenbogen_(KB)'!T51=0,"",'Kennzahlenbogen_(KB)'!T51)</f>
        <v/>
      </c>
      <c r="H25" s="270">
        <f>Berechnung1!O74</f>
        <v>0</v>
      </c>
      <c r="I25" s="312"/>
      <c r="J25" s="313"/>
      <c r="K25" s="314"/>
    </row>
    <row r="26" spans="1:12" customFormat="1">
      <c r="A26" s="97">
        <v>12</v>
      </c>
      <c r="B26" s="270" t="str">
        <f>IF('Kennzahlenbogen_(KB)'!$Q54= "", "",'Kennzahlenbogen_(KB)'!$Q54)</f>
        <v/>
      </c>
      <c r="C26" s="270">
        <f>IF('Kennzahlenbogen_(KB)'!$Q55= "", "",'Kennzahlenbogen_(KB)'!$Q55)</f>
        <v>0</v>
      </c>
      <c r="D26" s="508" t="str">
        <f>IF('Kennzahlenbogen_(KB)'!$Q56="n.d.","n.d.",'Kennzahlenbogen_(KB)'!$Q56*100)</f>
        <v>n.d.</v>
      </c>
      <c r="E26" s="270">
        <f>Berechnung1!N77</f>
        <v>1</v>
      </c>
      <c r="F26" s="244" t="str">
        <f>IF('Kennzahlenbogen_(KB)'!S54=0,"",'Kennzahlenbogen_(KB)'!S54)</f>
        <v/>
      </c>
      <c r="G26" s="244" t="str">
        <f>IF('Kennzahlenbogen_(KB)'!T54=0,"",'Kennzahlenbogen_(KB)'!T54)</f>
        <v/>
      </c>
      <c r="H26" s="270">
        <f>Berechnung1!O77</f>
        <v>0</v>
      </c>
      <c r="I26" s="312"/>
      <c r="J26" s="313"/>
      <c r="K26" s="314"/>
    </row>
    <row r="27" spans="1:12" customFormat="1">
      <c r="A27" s="570">
        <v>13</v>
      </c>
      <c r="B27" s="271" t="str">
        <f>IF('Kennzahlenbogen_(KB)'!$Q57= "", "",'Kennzahlenbogen_(KB)'!$Q57)</f>
        <v/>
      </c>
      <c r="C27" s="271" t="str">
        <f>IF('Kennzahlenbogen_(KB)'!$Q58= "", "",'Kennzahlenbogen_(KB)'!$Q58)</f>
        <v/>
      </c>
      <c r="D27" s="509" t="str">
        <f>IF('Kennzahlenbogen_(KB)'!$Q59="n.d.","n.d.",'Kennzahlenbogen_(KB)'!$Q59*100)</f>
        <v>n.d.</v>
      </c>
      <c r="E27" s="270">
        <f>Berechnung1!N80</f>
        <v>1</v>
      </c>
      <c r="F27" s="254" t="str">
        <f>IF('Kennzahlenbogen_(KB)'!S57=0,"",'Kennzahlenbogen_(KB)'!S57)</f>
        <v/>
      </c>
      <c r="G27" s="254" t="str">
        <f>IF('Kennzahlenbogen_(KB)'!T57=0,"",'Kennzahlenbogen_(KB)'!T57)</f>
        <v/>
      </c>
      <c r="H27" s="271">
        <f>Berechnung1!O80</f>
        <v>0</v>
      </c>
      <c r="I27" s="312"/>
      <c r="J27" s="313"/>
      <c r="K27" s="313"/>
      <c r="L27" s="255"/>
    </row>
    <row r="28" spans="1:12" customFormat="1">
      <c r="A28" s="570">
        <v>14</v>
      </c>
      <c r="B28" s="271" t="str">
        <f>IF('Kennzahlenbogen_(KB)'!$Q60= "", "",'Kennzahlenbogen_(KB)'!$Q60)</f>
        <v/>
      </c>
      <c r="C28" s="271" t="str">
        <f>IF('Kennzahlenbogen_(KB)'!$Q61= "", "",'Kennzahlenbogen_(KB)'!$Q61)</f>
        <v/>
      </c>
      <c r="D28" s="740" t="str">
        <f>IF('Kennzahlenbogen_(KB)'!$Q62="n.d.","n.d.",IF('Kennzahlenbogen_(KB)'!$Q62="","n.d.",'Kennzahlenbogen_(KB)'!$Q62*100))</f>
        <v>n.d.</v>
      </c>
      <c r="E28" s="270">
        <f>Berechnung1!N83</f>
        <v>1</v>
      </c>
      <c r="F28" s="254" t="str">
        <f>IF('Kennzahlenbogen_(KB)'!S60=0,"",'Kennzahlenbogen_(KB)'!S60)</f>
        <v/>
      </c>
      <c r="G28" s="254" t="str">
        <f>IF('Kennzahlenbogen_(KB)'!T60=0,"",'Kennzahlenbogen_(KB)'!T60)</f>
        <v/>
      </c>
      <c r="H28" s="271">
        <f>Berechnung1!O83</f>
        <v>0</v>
      </c>
      <c r="I28" s="312"/>
      <c r="J28" s="313"/>
      <c r="K28" s="411"/>
      <c r="L28" s="255"/>
    </row>
    <row r="29" spans="1:12">
      <c r="A29" s="674">
        <v>15</v>
      </c>
      <c r="B29" s="271" t="str">
        <f>IF('Kennzahlenbogen_(KB)'!$Q63= "", "",'Kennzahlenbogen_(KB)'!$Q63)</f>
        <v/>
      </c>
      <c r="C29" s="271" t="str">
        <f>IF('Kennzahlenbogen_(KB)'!$Q64= "", "",'Kennzahlenbogen_(KB)'!$Q64)</f>
        <v/>
      </c>
      <c r="D29" s="740" t="str">
        <f>IF('Kennzahlenbogen_(KB)'!$Q65="n.d.","n.d.",IF('Kennzahlenbogen_(KB)'!$Q65="","n.d.",'Kennzahlenbogen_(KB)'!$Q65*100))</f>
        <v>n.d.</v>
      </c>
      <c r="E29" s="270">
        <f>Berechnung1!N86</f>
        <v>1</v>
      </c>
      <c r="F29" s="254" t="str">
        <f>IF('Kennzahlenbogen_(KB)'!S63=0,"",'Kennzahlenbogen_(KB)'!S63)</f>
        <v/>
      </c>
      <c r="G29" s="254" t="str">
        <f>IF('Kennzahlenbogen_(KB)'!T63=0,"",'Kennzahlenbogen_(KB)'!T63)</f>
        <v/>
      </c>
      <c r="H29" s="271">
        <f>Berechnung1!O86</f>
        <v>0</v>
      </c>
      <c r="I29" s="671"/>
      <c r="J29" s="672"/>
      <c r="K29" s="673"/>
    </row>
    <row r="30" spans="1:12">
      <c r="A30" s="674">
        <v>16</v>
      </c>
      <c r="B30" s="271" t="str">
        <f>IF('Kennzahlenbogen_(KB)'!$Q66= "", "",'Kennzahlenbogen_(KB)'!$Q66)</f>
        <v/>
      </c>
      <c r="C30" s="271" t="str">
        <f>IF('Kennzahlenbogen_(KB)'!$Q67= "", "",'Kennzahlenbogen_(KB)'!$Q67)</f>
        <v/>
      </c>
      <c r="D30" s="709" t="str">
        <f>IF('Kennzahlenbogen_(KB)'!$Q68="n.d.","n.d.",IF('Kennzahlenbogen_(KB)'!$Q68="","n.d.",'Kennzahlenbogen_(KB)'!$Q68*100))</f>
        <v>n.d.</v>
      </c>
      <c r="E30" s="270">
        <f>Berechnung1!N89</f>
        <v>1</v>
      </c>
      <c r="F30" s="254" t="str">
        <f>IF('Kennzahlenbogen_(KB)'!S66=0,"",'Kennzahlenbogen_(KB)'!S66)</f>
        <v/>
      </c>
      <c r="G30" s="254" t="str">
        <f>IF('Kennzahlenbogen_(KB)'!T66=0,"",'Kennzahlenbogen_(KB)'!T66)</f>
        <v/>
      </c>
      <c r="H30" s="271">
        <f>Berechnung1!O89</f>
        <v>0</v>
      </c>
      <c r="I30" s="671"/>
      <c r="J30" s="672"/>
      <c r="K30" s="673"/>
    </row>
    <row r="31" spans="1:12">
      <c r="A31" s="674">
        <v>17</v>
      </c>
      <c r="B31" s="271" t="str">
        <f>IF('Kennzahlenbogen_(KB)'!$Q69= "", "",'Kennzahlenbogen_(KB)'!$Q69)</f>
        <v/>
      </c>
      <c r="C31" s="271">
        <f>IF('Kennzahlenbogen_(KB)'!$Q70= "", "",'Kennzahlenbogen_(KB)'!$Q70)</f>
        <v>0</v>
      </c>
      <c r="D31" s="740" t="str">
        <f>IF('Kennzahlenbogen_(KB)'!$Q71="n.d.","n.d.",IF('Kennzahlenbogen_(KB)'!$Q71="","n.d.",'Kennzahlenbogen_(KB)'!$Q71*100))</f>
        <v>n.d.</v>
      </c>
      <c r="E31" s="270">
        <f>Berechnung1!N92</f>
        <v>1</v>
      </c>
      <c r="F31" s="254" t="str">
        <f>IF('Kennzahlenbogen_(KB)'!S69=0,"",'Kennzahlenbogen_(KB)'!S69)</f>
        <v/>
      </c>
      <c r="G31" s="254" t="str">
        <f>IF('Kennzahlenbogen_(KB)'!T69=0,"",'Kennzahlenbogen_(KB)'!T69)</f>
        <v/>
      </c>
      <c r="H31" s="271">
        <f>Berechnung1!O92</f>
        <v>0</v>
      </c>
      <c r="I31" s="671"/>
      <c r="J31" s="672"/>
      <c r="K31" s="673"/>
    </row>
    <row r="32" spans="1:12">
      <c r="A32" s="674">
        <v>18</v>
      </c>
      <c r="B32" s="271" t="str">
        <f>IF('Kennzahlenbogen_(KB)'!$Q72= "", "",'Kennzahlenbogen_(KB)'!$Q72)</f>
        <v/>
      </c>
      <c r="C32" s="271">
        <f>IF('Kennzahlenbogen_(KB)'!$Q73= "", "",'Kennzahlenbogen_(KB)'!$Q73)</f>
        <v>0</v>
      </c>
      <c r="D32" s="740" t="str">
        <f>IF('Kennzahlenbogen_(KB)'!$Q74="n.d.","n.d.",IF('Kennzahlenbogen_(KB)'!$Q74="","n.d.",'Kennzahlenbogen_(KB)'!$Q74*100))</f>
        <v>n.d.</v>
      </c>
      <c r="E32" s="270">
        <f>Berechnung1!N95</f>
        <v>1</v>
      </c>
      <c r="F32" s="254" t="str">
        <f>IF('Kennzahlenbogen_(KB)'!S72=0,"",'Kennzahlenbogen_(KB)'!S72)</f>
        <v/>
      </c>
      <c r="G32" s="254" t="str">
        <f>IF('Kennzahlenbogen_(KB)'!T72=0,"",'Kennzahlenbogen_(KB)'!T72)</f>
        <v/>
      </c>
      <c r="H32" s="271">
        <f>Berechnung1!O95</f>
        <v>0</v>
      </c>
      <c r="I32" s="671"/>
      <c r="J32" s="672"/>
      <c r="K32" s="673"/>
    </row>
  </sheetData>
  <customSheetViews>
    <customSheetView guid="{AD479C9E-06F7-4C03-8179-295428B49475}" state="hidden">
      <selection activeCell="B6" sqref="B6"/>
      <pageMargins left="0.7" right="0.7" top="0.78740157499999996" bottom="0.78740157499999996" header="0.3" footer="0.3"/>
      <pageSetup paperSize="9" orientation="portrait" horizontalDpi="0" verticalDpi="0" r:id="rId1"/>
    </customSheetView>
    <customSheetView guid="{DAA0C1F4-4D8F-4BD8-91F9-40281B589772}" state="hidden">
      <selection activeCell="B6" sqref="B6"/>
      <pageMargins left="0.7" right="0.7" top="0.78740157499999996" bottom="0.78740157499999996" header="0.3" footer="0.3"/>
      <pageSetup paperSize="9" orientation="portrait" horizontalDpi="0" verticalDpi="0" r:id="rId2"/>
    </customSheetView>
  </customSheetViews>
  <phoneticPr fontId="41" type="noConversion"/>
  <pageMargins left="0.7" right="0.7" top="0.78740157499999996" bottom="0.78740157499999996" header="0.3" footer="0.3"/>
  <pageSetup paperSize="9" orientation="portrait" r:id="rId3"/>
  <ignoredErrors>
    <ignoredError sqref="A16:A17 A12:A14"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M34"/>
  <sheetViews>
    <sheetView showGridLines="0" showWhiteSpace="0" topLeftCell="A2" zoomScaleNormal="100" workbookViewId="0">
      <selection activeCell="T14" sqref="T14"/>
    </sheetView>
  </sheetViews>
  <sheetFormatPr baseColWidth="10" defaultColWidth="11.42578125" defaultRowHeight="15"/>
  <cols>
    <col min="1" max="1" width="3.42578125" style="395" customWidth="1"/>
    <col min="2" max="2" width="17.85546875" style="395" customWidth="1"/>
    <col min="3" max="3" width="6.28515625" style="91" customWidth="1"/>
    <col min="4" max="4" width="8.85546875" style="91" customWidth="1"/>
    <col min="5" max="5" width="6.28515625" style="91" customWidth="1"/>
    <col min="6" max="7" width="6.42578125" style="91" customWidth="1"/>
    <col min="8" max="8" width="7" style="91" customWidth="1"/>
    <col min="9" max="9" width="9.85546875" style="91" customWidth="1"/>
    <col min="10" max="10" width="33.5703125" style="494" customWidth="1"/>
    <col min="11" max="11" width="34.42578125" style="395" customWidth="1"/>
    <col min="12" max="12" width="0.5703125" style="395" customWidth="1"/>
    <col min="13" max="13" width="9.140625" style="395" hidden="1" customWidth="1"/>
    <col min="14" max="16384" width="11.42578125" style="395"/>
  </cols>
  <sheetData>
    <row r="1" spans="1:13" hidden="1">
      <c r="B1" s="503" t="str">
        <f ca="1">IF(M11=TRUE,"A1:L15",CONCATENATE("A1:L",(MATCH("",A:A,-1)-1)))</f>
        <v>A1:L28</v>
      </c>
    </row>
    <row r="2" spans="1:13" s="55" customFormat="1" ht="16.5" customHeight="1">
      <c r="A2" s="545" t="s">
        <v>763</v>
      </c>
      <c r="C2" s="72"/>
      <c r="D2" s="72"/>
      <c r="E2" s="72"/>
      <c r="F2" s="72"/>
      <c r="G2" s="72"/>
      <c r="H2" s="72"/>
      <c r="I2" s="72"/>
      <c r="K2" s="145"/>
    </row>
    <row r="3" spans="1:13" s="145" customFormat="1" ht="16.5">
      <c r="A3" s="497" t="s">
        <v>348</v>
      </c>
      <c r="C3" s="17"/>
      <c r="D3" s="17"/>
      <c r="E3" s="17"/>
      <c r="F3" s="17"/>
      <c r="G3" s="17"/>
      <c r="H3" s="17"/>
      <c r="I3" s="17"/>
      <c r="J3" s="55"/>
      <c r="K3" s="496"/>
    </row>
    <row r="4" spans="1:13" s="145" customFormat="1" ht="11.25" customHeight="1">
      <c r="C4" s="17"/>
      <c r="D4" s="17"/>
      <c r="E4" s="17"/>
      <c r="F4" s="17"/>
      <c r="G4" s="17"/>
      <c r="H4" s="17"/>
      <c r="I4" s="17"/>
      <c r="J4" s="55"/>
      <c r="K4" s="496"/>
    </row>
    <row r="5" spans="1:13" s="145" customFormat="1" ht="13.5" customHeight="1">
      <c r="C5" s="72"/>
      <c r="D5" s="72"/>
      <c r="E5" s="72"/>
      <c r="F5" s="72"/>
      <c r="G5" s="72"/>
      <c r="H5" s="72"/>
      <c r="I5" s="72"/>
      <c r="J5" s="72"/>
      <c r="K5" s="496"/>
    </row>
    <row r="6" spans="1:13" s="158" customFormat="1" ht="15" customHeight="1">
      <c r="B6" s="32" t="s">
        <v>133</v>
      </c>
      <c r="C6" s="1005" t="str">
        <f>IF(Basisdaten!C8=0,"",Basisdaten!C8)</f>
        <v/>
      </c>
      <c r="D6" s="1006"/>
      <c r="E6" s="1006"/>
      <c r="F6" s="1006"/>
      <c r="G6" s="1006"/>
      <c r="H6" s="1006"/>
      <c r="I6" s="1006"/>
      <c r="J6" s="1007"/>
      <c r="K6" s="496"/>
    </row>
    <row r="7" spans="1:13" s="158" customFormat="1" ht="6.95" customHeight="1">
      <c r="B7" s="495"/>
      <c r="C7" s="72"/>
      <c r="D7" s="72"/>
      <c r="E7" s="72"/>
      <c r="F7" s="72"/>
      <c r="G7" s="72"/>
      <c r="H7" s="72"/>
      <c r="I7" s="72"/>
      <c r="J7" s="72"/>
      <c r="K7" s="496"/>
    </row>
    <row r="8" spans="1:13" s="158" customFormat="1" ht="15" customHeight="1">
      <c r="B8" s="32" t="s">
        <v>80</v>
      </c>
      <c r="C8" s="1005" t="str">
        <f>IF(Basisdaten!C6=0,"",Basisdaten!C6)</f>
        <v/>
      </c>
      <c r="D8" s="1006"/>
      <c r="E8" s="1006"/>
      <c r="F8" s="1007"/>
      <c r="G8" s="500"/>
      <c r="H8" s="505" t="s">
        <v>436</v>
      </c>
      <c r="J8" s="498" t="str">
        <f>IF(Basisdaten!O12=0,"",Basisdaten!O12)</f>
        <v/>
      </c>
      <c r="K8" s="496"/>
    </row>
    <row r="9" spans="1:13" s="145" customFormat="1" ht="14.25" customHeight="1">
      <c r="C9" s="17"/>
      <c r="D9" s="17"/>
      <c r="E9" s="17"/>
      <c r="F9" s="17"/>
      <c r="G9" s="17"/>
      <c r="H9" s="17"/>
      <c r="I9" s="17"/>
      <c r="J9" s="55"/>
      <c r="K9" s="496"/>
    </row>
    <row r="10" spans="1:13" s="145" customFormat="1" ht="14.25" customHeight="1">
      <c r="B10" s="521" t="str">
        <f ca="1">IF($M$11=TRUE,"Kein Datendefizit vorhanden","")</f>
        <v/>
      </c>
      <c r="C10" s="17"/>
      <c r="D10" s="17"/>
      <c r="E10" s="17"/>
      <c r="F10" s="17"/>
      <c r="G10" s="17"/>
      <c r="H10" s="17"/>
      <c r="I10" s="17"/>
      <c r="J10" s="55"/>
      <c r="K10" s="496"/>
      <c r="M10" s="501" t="s">
        <v>428</v>
      </c>
    </row>
    <row r="11" spans="1:13" s="145" customFormat="1" ht="14.25" customHeight="1">
      <c r="B11" s="499" t="str">
        <f ca="1">IF($M$11=TRUE,"","Übertragung erfolgt automatisch aus Kennzahlenbogen (Ist-Werte, Begründungen und Aktionen)")</f>
        <v>Übertragung erfolgt automatisch aus Kennzahlenbogen (Ist-Werte, Begründungen und Aktionen)</v>
      </c>
      <c r="C11" s="17"/>
      <c r="D11" s="17"/>
      <c r="E11" s="17"/>
      <c r="F11" s="17"/>
      <c r="G11" s="17"/>
      <c r="H11" s="17"/>
      <c r="I11" s="17"/>
      <c r="J11" s="55"/>
      <c r="K11" s="496"/>
      <c r="M11" s="501" t="b">
        <f t="array" aca="1" ref="M11" ca="1">$A$14:$K$34=""</f>
        <v>0</v>
      </c>
    </row>
    <row r="12" spans="1:13" ht="15" customHeight="1">
      <c r="A12" s="1008" t="str">
        <f ca="1">IF($M$11=TRUE,"","KN")</f>
        <v>KN</v>
      </c>
      <c r="B12" s="1008" t="str">
        <f ca="1">IF($M$11=TRUE,"","Kennzahlendefinition")</f>
        <v>Kennzahlendefinition</v>
      </c>
      <c r="C12" s="1010" t="str">
        <f ca="1">IF($M$11=TRUE,"","Vorgaben Datenqualität")</f>
        <v>Vorgaben Datenqualität</v>
      </c>
      <c r="D12" s="1011"/>
      <c r="E12" s="1012"/>
      <c r="F12" s="1010" t="str">
        <f ca="1">IF($M$11=TRUE,"","Ist-Werte")</f>
        <v>Ist-Werte</v>
      </c>
      <c r="G12" s="1011"/>
      <c r="H12" s="1012"/>
      <c r="I12" s="1008" t="str">
        <f ca="1">IF($M$11=TRUE,"","Daten-qualität
1), 2), 3)")</f>
        <v>Daten-qualität
1), 2), 3)</v>
      </c>
      <c r="J12" s="520" t="str">
        <f ca="1">IF($M$11=TRUE,"","Verifizierung Zentrum")</f>
        <v>Verifizierung Zentrum</v>
      </c>
      <c r="K12" s="519"/>
    </row>
    <row r="13" spans="1:13" ht="22.5" customHeight="1">
      <c r="A13" s="1009"/>
      <c r="B13" s="1009"/>
      <c r="C13" s="493" t="str">
        <f ca="1">IF($M$11=TRUE,"","Plausi unklar")</f>
        <v>Plausi unklar</v>
      </c>
      <c r="D13" s="493" t="str">
        <f ca="1">IF($M$11=TRUE,"","Sollvorgabe")</f>
        <v>Sollvorgabe</v>
      </c>
      <c r="E13" s="493" t="str">
        <f ca="1">IF($M$11=TRUE,"","Plausi unklar")</f>
        <v>Plausi unklar</v>
      </c>
      <c r="F13" s="493" t="str">
        <f ca="1">IF($M$11=TRUE,"","Zähler / Anzahl")</f>
        <v>Zähler / Anzahl</v>
      </c>
      <c r="G13" s="493" t="str">
        <f ca="1">IF($M$11=TRUE,"","Nenner")</f>
        <v>Nenner</v>
      </c>
      <c r="H13" s="493" t="str">
        <f ca="1">IF($M$11=TRUE,"","Quote")</f>
        <v>Quote</v>
      </c>
      <c r="I13" s="1009"/>
      <c r="J13" s="512" t="str">
        <f ca="1">IF($M$11=TRUE,"","Begründung / Ursache")</f>
        <v>Begründung / Ursache</v>
      </c>
      <c r="K13" s="492" t="str">
        <f ca="1">IF($M$11=TRUE,"","Eingeleitete / geplante Aktionen")</f>
        <v>Eingeleitete / geplante Aktionen</v>
      </c>
    </row>
    <row r="14" spans="1:13" ht="159.94999999999999" customHeight="1">
      <c r="A14" s="490" t="str">
        <f ca="1">'Hilfstabelle Datendef KB'!O2</f>
        <v>1.1</v>
      </c>
      <c r="B14" s="491" t="str">
        <f ca="1">'Hilfstabelle Datendef KB'!P2</f>
        <v>Epitheliale Tumoren
(exklusive in-situ;
inkl. u.a. Basalzellkarzinom, Plattenepithelkarzinom)</v>
      </c>
      <c r="C14" s="502" t="str">
        <f ca="1">'Hilfstabelle Datendef KB'!Q2</f>
        <v>-----</v>
      </c>
      <c r="D14" s="490" t="str">
        <f ca="1">'Hilfstabelle Datendef KB'!R2</f>
        <v>≥ 100</v>
      </c>
      <c r="E14" s="502" t="str">
        <f ca="1">'Hilfstabelle Datendef KB'!S2</f>
        <v>-----</v>
      </c>
      <c r="F14" s="490">
        <f ca="1">'Hilfstabelle Datendef KB'!T2</f>
        <v>0</v>
      </c>
      <c r="G14" s="490" t="str">
        <f ca="1">'Hilfstabelle Datendef KB'!U2</f>
        <v>-----</v>
      </c>
      <c r="H14" s="504" t="str">
        <f ca="1">'Hilfstabelle Datendef KB'!V2</f>
        <v>-----</v>
      </c>
      <c r="I14" s="490" t="str">
        <f ca="1">'Hilfstabelle Datendef KB'!W2</f>
        <v>Unvollständig</v>
      </c>
      <c r="J14" s="489" t="str">
        <f ca="1">'Hilfstabelle Datendef KB'!X2</f>
        <v>-----</v>
      </c>
      <c r="K14" s="489" t="str">
        <f ca="1">'Hilfstabelle Datendef KB'!Y2</f>
        <v>-----</v>
      </c>
    </row>
    <row r="15" spans="1:13" ht="159.94999999999999" customHeight="1">
      <c r="A15" s="490" t="str">
        <f ca="1">'Hilfstabelle Datendef KB'!O3</f>
        <v>1.2</v>
      </c>
      <c r="B15" s="491" t="str">
        <f ca="1">'Hilfstabelle Datendef KB'!P3</f>
        <v>Invasive Maligne Melanome
(inkl. Malignes Melanom Uvea, Konjunktiva,
Schleimhaut)</v>
      </c>
      <c r="C15" s="502" t="str">
        <f ca="1">'Hilfstabelle Datendef KB'!Q3</f>
        <v>-----</v>
      </c>
      <c r="D15" s="490" t="str">
        <f ca="1">'Hilfstabelle Datendef KB'!R3</f>
        <v>≥ 40</v>
      </c>
      <c r="E15" s="502" t="str">
        <f ca="1">'Hilfstabelle Datendef KB'!S3</f>
        <v>-----</v>
      </c>
      <c r="F15" s="490">
        <f ca="1">'Hilfstabelle Datendef KB'!T3</f>
        <v>0</v>
      </c>
      <c r="G15" s="490" t="str">
        <f ca="1">'Hilfstabelle Datendef KB'!U3</f>
        <v>-----</v>
      </c>
      <c r="H15" s="504" t="str">
        <f ca="1">'Hilfstabelle Datendef KB'!V3</f>
        <v>-----</v>
      </c>
      <c r="I15" s="490" t="str">
        <f ca="1">'Hilfstabelle Datendef KB'!W3</f>
        <v>Unvollständig</v>
      </c>
      <c r="J15" s="489" t="str">
        <f ca="1">'Hilfstabelle Datendef KB'!X3</f>
        <v>-----</v>
      </c>
      <c r="K15" s="489" t="str">
        <f ca="1">'Hilfstabelle Datendef KB'!Y3</f>
        <v>-----</v>
      </c>
    </row>
    <row r="16" spans="1:13" ht="159.94999999999999" customHeight="1">
      <c r="A16" s="490" t="str">
        <f ca="1">'Hilfstabelle Datendef KB'!O4</f>
        <v>1.3</v>
      </c>
      <c r="B16" s="491" t="str">
        <f ca="1">'Hilfstabelle Datendef KB'!P4</f>
        <v>Kutane Lymphome u. andere seltene, maligne Hauttumoren
(Angiosarkom, Merkelzell-Ca, DFSP usw.)</v>
      </c>
      <c r="C16" s="502" t="str">
        <f ca="1">'Hilfstabelle Datendef KB'!Q4</f>
        <v>-----</v>
      </c>
      <c r="D16" s="490" t="str">
        <f ca="1">'Hilfstabelle Datendef KB'!R4</f>
        <v>Derzeit keine Vorgaben</v>
      </c>
      <c r="E16" s="502" t="str">
        <f ca="1">'Hilfstabelle Datendef KB'!S4</f>
        <v>-----</v>
      </c>
      <c r="F16" s="490">
        <f ca="1">'Hilfstabelle Datendef KB'!T4</f>
        <v>0</v>
      </c>
      <c r="G16" s="490" t="str">
        <f ca="1">'Hilfstabelle Datendef KB'!U4</f>
        <v>-----</v>
      </c>
      <c r="H16" s="504" t="str">
        <f ca="1">'Hilfstabelle Datendef KB'!V4</f>
        <v>-----</v>
      </c>
      <c r="I16" s="490" t="str">
        <f ca="1">'Hilfstabelle Datendef KB'!W4</f>
        <v>Unvollständig</v>
      </c>
      <c r="J16" s="489" t="str">
        <f ca="1">'Hilfstabelle Datendef KB'!X4</f>
        <v>-----</v>
      </c>
      <c r="K16" s="489" t="str">
        <f ca="1">'Hilfstabelle Datendef KB'!Y4</f>
        <v>-----</v>
      </c>
    </row>
    <row r="17" spans="1:11" ht="159.94999999999999" customHeight="1">
      <c r="A17" s="490" t="str">
        <f ca="1">'Hilfstabelle Datendef KB'!O5</f>
        <v>1.4</v>
      </c>
      <c r="B17" s="491" t="str">
        <f ca="1">'Hilfstabelle Datendef KB'!P5</f>
        <v>Pat. mit Stadienshift/Rezidiv</v>
      </c>
      <c r="C17" s="502" t="str">
        <f ca="1">'Hilfstabelle Datendef KB'!Q5</f>
        <v>-----</v>
      </c>
      <c r="D17" s="490" t="str">
        <f ca="1">'Hilfstabelle Datendef KB'!R5</f>
        <v>Derzeit keine Vorgaben</v>
      </c>
      <c r="E17" s="502" t="str">
        <f ca="1">'Hilfstabelle Datendef KB'!S5</f>
        <v>-----</v>
      </c>
      <c r="F17" s="490">
        <f ca="1">'Hilfstabelle Datendef KB'!T5</f>
        <v>0</v>
      </c>
      <c r="G17" s="490" t="str">
        <f ca="1">'Hilfstabelle Datendef KB'!U5</f>
        <v>-----</v>
      </c>
      <c r="H17" s="504" t="str">
        <f ca="1">'Hilfstabelle Datendef KB'!V5</f>
        <v>-----</v>
      </c>
      <c r="I17" s="490" t="str">
        <f ca="1">'Hilfstabelle Datendef KB'!W5</f>
        <v>Unvollständig</v>
      </c>
      <c r="J17" s="489" t="str">
        <f ca="1">'Hilfstabelle Datendef KB'!X5</f>
        <v>-----</v>
      </c>
      <c r="K17" s="489" t="str">
        <f ca="1">'Hilfstabelle Datendef KB'!Y5</f>
        <v>-----</v>
      </c>
    </row>
    <row r="18" spans="1:11" ht="159.94999999999999" customHeight="1">
      <c r="A18" s="490">
        <f ca="1">'Hilfstabelle Datendef KB'!O6</f>
        <v>2</v>
      </c>
      <c r="B18" s="491" t="str">
        <f ca="1">'Hilfstabelle Datendef KB'!P6</f>
        <v>Melanom: Fallbesprechung</v>
      </c>
      <c r="C18" s="502" t="str">
        <f ca="1">'Hilfstabelle Datendef KB'!Q6</f>
        <v>-----</v>
      </c>
      <c r="D18" s="490" t="str">
        <f ca="1">'Hilfstabelle Datendef KB'!R6</f>
        <v>≥ 95%</v>
      </c>
      <c r="E18" s="502" t="str">
        <f ca="1">'Hilfstabelle Datendef KB'!S6</f>
        <v>-----</v>
      </c>
      <c r="F18" s="490" t="str">
        <f ca="1">'Hilfstabelle Datendef KB'!T6</f>
        <v>-----</v>
      </c>
      <c r="G18" s="490">
        <f ca="1">'Hilfstabelle Datendef KB'!U6</f>
        <v>0</v>
      </c>
      <c r="H18" s="504" t="str">
        <f ca="1">'Hilfstabelle Datendef KB'!V6</f>
        <v>n.d.</v>
      </c>
      <c r="I18" s="490" t="str">
        <f ca="1">'Hilfstabelle Datendef KB'!W6</f>
        <v>Unvollständig</v>
      </c>
      <c r="J18" s="489" t="str">
        <f ca="1">'Hilfstabelle Datendef KB'!X6</f>
        <v>-----</v>
      </c>
      <c r="K18" s="489" t="str">
        <f ca="1">'Hilfstabelle Datendef KB'!Y6</f>
        <v>-----</v>
      </c>
    </row>
    <row r="19" spans="1:11" ht="159.94999999999999" customHeight="1">
      <c r="A19" s="490">
        <f ca="1">'Hilfstabelle Datendef KB'!O7</f>
        <v>3</v>
      </c>
      <c r="B19" s="491" t="str">
        <f ca="1">'Hilfstabelle Datendef KB'!P7</f>
        <v>Melanom: Therapieabweichung gegenüber Empfehlung Tumorkonferenz</v>
      </c>
      <c r="C19" s="502" t="str">
        <f ca="1">'Hilfstabelle Datendef KB'!Q7</f>
        <v>≤ 3%</v>
      </c>
      <c r="D19" s="490" t="str">
        <f ca="1">'Hilfstabelle Datendef KB'!R7</f>
        <v>≤ 25%</v>
      </c>
      <c r="E19" s="502" t="str">
        <f ca="1">'Hilfstabelle Datendef KB'!S7</f>
        <v>-----</v>
      </c>
      <c r="F19" s="490" t="str">
        <f ca="1">'Hilfstabelle Datendef KB'!T7</f>
        <v>-----</v>
      </c>
      <c r="G19" s="490">
        <f ca="1">'Hilfstabelle Datendef KB'!U7</f>
        <v>0</v>
      </c>
      <c r="H19" s="504" t="str">
        <f ca="1">'Hilfstabelle Datendef KB'!V7</f>
        <v>n.d.</v>
      </c>
      <c r="I19" s="490" t="str">
        <f ca="1">'Hilfstabelle Datendef KB'!W7</f>
        <v>Unvollständig</v>
      </c>
      <c r="J19" s="489" t="str">
        <f ca="1">'Hilfstabelle Datendef KB'!X7</f>
        <v>-----</v>
      </c>
      <c r="K19" s="489" t="str">
        <f ca="1">'Hilfstabelle Datendef KB'!Y7</f>
        <v>-----</v>
      </c>
    </row>
    <row r="20" spans="1:11" ht="159.94999999999999" customHeight="1">
      <c r="A20" s="490">
        <f ca="1">'Hilfstabelle Datendef KB'!O8</f>
        <v>4</v>
      </c>
      <c r="B20" s="491" t="str">
        <f ca="1">'Hilfstabelle Datendef KB'!P8</f>
        <v>Melanom: Psychoonkologische Betreuung</v>
      </c>
      <c r="C20" s="502" t="str">
        <f ca="1">'Hilfstabelle Datendef KB'!Q8</f>
        <v>&lt; 5%</v>
      </c>
      <c r="D20" s="490" t="str">
        <f ca="1">'Hilfstabelle Datendef KB'!R8</f>
        <v>Derzeit keine Vorgaben</v>
      </c>
      <c r="E20" s="502" t="str">
        <f ca="1">'Hilfstabelle Datendef KB'!S8</f>
        <v>&gt; 70%</v>
      </c>
      <c r="F20" s="490" t="str">
        <f ca="1">'Hilfstabelle Datendef KB'!T8</f>
        <v>-----</v>
      </c>
      <c r="G20" s="490">
        <f ca="1">'Hilfstabelle Datendef KB'!U8</f>
        <v>0</v>
      </c>
      <c r="H20" s="504" t="str">
        <f ca="1">'Hilfstabelle Datendef KB'!V8</f>
        <v>n.d.</v>
      </c>
      <c r="I20" s="490" t="str">
        <f ca="1">'Hilfstabelle Datendef KB'!W8</f>
        <v>Unvollständig</v>
      </c>
      <c r="J20" s="489" t="str">
        <f ca="1">'Hilfstabelle Datendef KB'!X8</f>
        <v>-----</v>
      </c>
      <c r="K20" s="489" t="str">
        <f ca="1">'Hilfstabelle Datendef KB'!Y8</f>
        <v>-----</v>
      </c>
    </row>
    <row r="21" spans="1:11" ht="159.94999999999999" customHeight="1">
      <c r="A21" s="490">
        <f ca="1">'Hilfstabelle Datendef KB'!O9</f>
        <v>5</v>
      </c>
      <c r="B21" s="491" t="str">
        <f ca="1">'Hilfstabelle Datendef KB'!P9</f>
        <v>Melanom: 
Beratung Sozialdienst</v>
      </c>
      <c r="C21" s="502" t="str">
        <f ca="1">'Hilfstabelle Datendef KB'!Q9</f>
        <v>&lt; 15%</v>
      </c>
      <c r="D21" s="490" t="str">
        <f ca="1">'Hilfstabelle Datendef KB'!R9</f>
        <v>Derzeit keine Vorgaben</v>
      </c>
      <c r="E21" s="502" t="str">
        <f ca="1">'Hilfstabelle Datendef KB'!S9</f>
        <v>-----</v>
      </c>
      <c r="F21" s="490" t="str">
        <f ca="1">'Hilfstabelle Datendef KB'!T9</f>
        <v>-----</v>
      </c>
      <c r="G21" s="490">
        <f ca="1">'Hilfstabelle Datendef KB'!U9</f>
        <v>0</v>
      </c>
      <c r="H21" s="504" t="str">
        <f ca="1">'Hilfstabelle Datendef KB'!V9</f>
        <v>n.d.</v>
      </c>
      <c r="I21" s="490" t="str">
        <f ca="1">'Hilfstabelle Datendef KB'!W9</f>
        <v>Unvollständig</v>
      </c>
      <c r="J21" s="489" t="str">
        <f ca="1">'Hilfstabelle Datendef KB'!X9</f>
        <v>-----</v>
      </c>
      <c r="K21" s="489" t="str">
        <f ca="1">'Hilfstabelle Datendef KB'!Y9</f>
        <v>-----</v>
      </c>
    </row>
    <row r="22" spans="1:11" ht="159.94999999999999" customHeight="1">
      <c r="A22" s="490">
        <f ca="1">'Hilfstabelle Datendef KB'!O10</f>
        <v>6</v>
      </c>
      <c r="B22" s="491" t="str">
        <f ca="1">'Hilfstabelle Datendef KB'!P10</f>
        <v>Melanom:
Anteil Studienpat.</v>
      </c>
      <c r="C22" s="502" t="str">
        <f ca="1">'Hilfstabelle Datendef KB'!Q10</f>
        <v>-----</v>
      </c>
      <c r="D22" s="490" t="str">
        <f ca="1">'Hilfstabelle Datendef KB'!R10</f>
        <v>≥ 5%</v>
      </c>
      <c r="E22" s="502" t="str">
        <f ca="1">'Hilfstabelle Datendef KB'!S10</f>
        <v>&gt; 80%</v>
      </c>
      <c r="F22" s="490" t="str">
        <f ca="1">'Hilfstabelle Datendef KB'!T10</f>
        <v>-----</v>
      </c>
      <c r="G22" s="490" t="str">
        <f ca="1">'Hilfstabelle Datendef KB'!U10</f>
        <v>-----</v>
      </c>
      <c r="H22" s="504" t="str">
        <f ca="1">'Hilfstabelle Datendef KB'!V10</f>
        <v>n.d.</v>
      </c>
      <c r="I22" s="490" t="str">
        <f ca="1">'Hilfstabelle Datendef KB'!W10</f>
        <v>Unvollständig</v>
      </c>
      <c r="J22" s="489" t="str">
        <f ca="1">'Hilfstabelle Datendef KB'!X10</f>
        <v>-----</v>
      </c>
      <c r="K22" s="489" t="str">
        <f ca="1">'Hilfstabelle Datendef KB'!Y10</f>
        <v>-----</v>
      </c>
    </row>
    <row r="23" spans="1:11" ht="159.94999999999999" customHeight="1">
      <c r="A23" s="490">
        <f ca="1">'Hilfstabelle Datendef KB'!O11</f>
        <v>7</v>
      </c>
      <c r="B23" s="491" t="str">
        <f ca="1">'Hilfstabelle Datendef KB'!P11</f>
        <v xml:space="preserve">Sentinel Node-Biopsie </v>
      </c>
      <c r="C23" s="502" t="str">
        <f ca="1">'Hilfstabelle Datendef KB'!Q11</f>
        <v>-----</v>
      </c>
      <c r="D23" s="490" t="str">
        <f ca="1">'Hilfstabelle Datendef KB'!R11</f>
        <v>≥ 90%</v>
      </c>
      <c r="E23" s="502" t="str">
        <f ca="1">'Hilfstabelle Datendef KB'!S11</f>
        <v>-----</v>
      </c>
      <c r="F23" s="490" t="str">
        <f ca="1">'Hilfstabelle Datendef KB'!T11</f>
        <v>-----</v>
      </c>
      <c r="G23" s="490" t="str">
        <f ca="1">'Hilfstabelle Datendef KB'!U11</f>
        <v>-----</v>
      </c>
      <c r="H23" s="504" t="str">
        <f ca="1">'Hilfstabelle Datendef KB'!V11</f>
        <v>n.d.</v>
      </c>
      <c r="I23" s="490" t="str">
        <f ca="1">'Hilfstabelle Datendef KB'!W11</f>
        <v>Unvollständig</v>
      </c>
      <c r="J23" s="489" t="str">
        <f ca="1">'Hilfstabelle Datendef KB'!X11</f>
        <v>-----</v>
      </c>
      <c r="K23" s="489" t="str">
        <f ca="1">'Hilfstabelle Datendef KB'!Y11</f>
        <v>-----</v>
      </c>
    </row>
    <row r="24" spans="1:11" ht="159.94999999999999" customHeight="1">
      <c r="A24" s="490">
        <f ca="1">'Hilfstabelle Datendef KB'!O12</f>
        <v>8</v>
      </c>
      <c r="B24" s="491" t="str">
        <f ca="1">'Hilfstabelle Datendef KB'!P12</f>
        <v>Operative Eingriffe mit LL-definiertem Sicherheitsabstand  
( = Maligne Melanome, Merkelzellkarzinome, Sarkome und andere seltene, maligne Hauttumoren)</v>
      </c>
      <c r="C24" s="502" t="str">
        <f ca="1">'Hilfstabelle Datendef KB'!Q12</f>
        <v>-----</v>
      </c>
      <c r="D24" s="490" t="str">
        <f ca="1">'Hilfstabelle Datendef KB'!R12</f>
        <v xml:space="preserve">≥ 30 </v>
      </c>
      <c r="E24" s="502" t="str">
        <f ca="1">'Hilfstabelle Datendef KB'!S12</f>
        <v>-----</v>
      </c>
      <c r="F24" s="490" t="str">
        <f ca="1">'Hilfstabelle Datendef KB'!T12</f>
        <v>-----</v>
      </c>
      <c r="G24" s="490" t="str">
        <f ca="1">'Hilfstabelle Datendef KB'!U12</f>
        <v>-----</v>
      </c>
      <c r="H24" s="504" t="str">
        <f ca="1">'Hilfstabelle Datendef KB'!V12</f>
        <v>-----</v>
      </c>
      <c r="I24" s="490" t="str">
        <f ca="1">'Hilfstabelle Datendef KB'!W12</f>
        <v>Unvollständig</v>
      </c>
      <c r="J24" s="489" t="str">
        <f ca="1">'Hilfstabelle Datendef KB'!X12</f>
        <v>-----</v>
      </c>
      <c r="K24" s="489" t="str">
        <f ca="1">'Hilfstabelle Datendef KB'!Y12</f>
        <v>-----</v>
      </c>
    </row>
    <row r="25" spans="1:11" ht="159.94999999999999" customHeight="1">
      <c r="A25" s="490">
        <f ca="1">'Hilfstabelle Datendef KB'!O13</f>
        <v>9</v>
      </c>
      <c r="B25" s="491" t="str">
        <f ca="1">'Hilfstabelle Datendef KB'!P13</f>
        <v>Operative Eingriffe mit histologischer Randkontrolle 
( = Epitheliale Tumoren)</v>
      </c>
      <c r="C25" s="502" t="str">
        <f ca="1">'Hilfstabelle Datendef KB'!Q13</f>
        <v>-----</v>
      </c>
      <c r="D25" s="490" t="str">
        <f ca="1">'Hilfstabelle Datendef KB'!R13</f>
        <v>≥ 100</v>
      </c>
      <c r="E25" s="502" t="str">
        <f ca="1">'Hilfstabelle Datendef KB'!S13</f>
        <v>-----</v>
      </c>
      <c r="F25" s="490" t="str">
        <f ca="1">'Hilfstabelle Datendef KB'!T13</f>
        <v>-----</v>
      </c>
      <c r="G25" s="490" t="str">
        <f ca="1">'Hilfstabelle Datendef KB'!U13</f>
        <v>-----</v>
      </c>
      <c r="H25" s="504" t="str">
        <f ca="1">'Hilfstabelle Datendef KB'!V13</f>
        <v>-----</v>
      </c>
      <c r="I25" s="490" t="str">
        <f ca="1">'Hilfstabelle Datendef KB'!W13</f>
        <v>Unvollständig</v>
      </c>
      <c r="J25" s="489" t="str">
        <f ca="1">'Hilfstabelle Datendef KB'!X13</f>
        <v>-----</v>
      </c>
      <c r="K25" s="489" t="str">
        <f ca="1">'Hilfstabelle Datendef KB'!Y13</f>
        <v>-----</v>
      </c>
    </row>
    <row r="26" spans="1:11" ht="159.94999999999999" customHeight="1">
      <c r="A26" s="490">
        <f ca="1">'Hilfstabelle Datendef KB'!O14</f>
        <v>10</v>
      </c>
      <c r="B26" s="491" t="str">
        <f ca="1">'Hilfstabelle Datendef KB'!P14</f>
        <v>Revisionsoperationen nach Nachblutungen</v>
      </c>
      <c r="C26" s="502" t="str">
        <f ca="1">'Hilfstabelle Datendef KB'!Q14</f>
        <v>-----</v>
      </c>
      <c r="D26" s="490" t="str">
        <f ca="1">'Hilfstabelle Datendef KB'!R14</f>
        <v>≤  3%</v>
      </c>
      <c r="E26" s="502" t="str">
        <f ca="1">'Hilfstabelle Datendef KB'!S14</f>
        <v>-----</v>
      </c>
      <c r="F26" s="490" t="str">
        <f ca="1">'Hilfstabelle Datendef KB'!T14</f>
        <v>-----</v>
      </c>
      <c r="G26" s="490">
        <f ca="1">'Hilfstabelle Datendef KB'!U14</f>
        <v>0</v>
      </c>
      <c r="H26" s="504" t="str">
        <f ca="1">'Hilfstabelle Datendef KB'!V14</f>
        <v>n.d.</v>
      </c>
      <c r="I26" s="490" t="str">
        <f ca="1">'Hilfstabelle Datendef KB'!W14</f>
        <v>Unvollständig</v>
      </c>
      <c r="J26" s="489" t="str">
        <f ca="1">'Hilfstabelle Datendef KB'!X14</f>
        <v>-----</v>
      </c>
      <c r="K26" s="489" t="str">
        <f ca="1">'Hilfstabelle Datendef KB'!Y14</f>
        <v>-----</v>
      </c>
    </row>
    <row r="27" spans="1:11" ht="159.94999999999999" customHeight="1">
      <c r="A27" s="490">
        <f ca="1">'Hilfstabelle Datendef KB'!O15</f>
        <v>11</v>
      </c>
      <c r="B27" s="491" t="str">
        <f ca="1">'Hilfstabelle Datendef KB'!P15</f>
        <v>Revisionsoperationen bei Nachblutungen nach SNB u. LAD</v>
      </c>
      <c r="C27" s="502" t="str">
        <f ca="1">'Hilfstabelle Datendef KB'!Q15</f>
        <v>-----</v>
      </c>
      <c r="D27" s="490" t="str">
        <f ca="1">'Hilfstabelle Datendef KB'!R15</f>
        <v>≤  3%</v>
      </c>
      <c r="E27" s="502" t="str">
        <f ca="1">'Hilfstabelle Datendef KB'!S15</f>
        <v>-----</v>
      </c>
      <c r="F27" s="490" t="str">
        <f ca="1">'Hilfstabelle Datendef KB'!T15</f>
        <v>-----</v>
      </c>
      <c r="G27" s="490" t="str">
        <f ca="1">'Hilfstabelle Datendef KB'!U15</f>
        <v>-----</v>
      </c>
      <c r="H27" s="504" t="str">
        <f ca="1">'Hilfstabelle Datendef KB'!V15</f>
        <v>n.d.</v>
      </c>
      <c r="I27" s="490" t="str">
        <f ca="1">'Hilfstabelle Datendef KB'!W15</f>
        <v>Unvollständig</v>
      </c>
      <c r="J27" s="489" t="str">
        <f ca="1">'Hilfstabelle Datendef KB'!X15</f>
        <v>-----</v>
      </c>
      <c r="K27" s="489" t="str">
        <f ca="1">'Hilfstabelle Datendef KB'!Y15</f>
        <v>-----</v>
      </c>
    </row>
    <row r="28" spans="1:11" ht="159.94999999999999" customHeight="1">
      <c r="A28" s="490">
        <f ca="1">'Hilfstabelle Datendef KB'!O16</f>
        <v>12</v>
      </c>
      <c r="B28" s="491" t="str">
        <f ca="1">'Hilfstabelle Datendef KB'!P16</f>
        <v>Revisionsoperationen nach postoperativen Wundinfektionen</v>
      </c>
      <c r="C28" s="502" t="str">
        <f ca="1">'Hilfstabelle Datendef KB'!Q16</f>
        <v>-----</v>
      </c>
      <c r="D28" s="490" t="str">
        <f ca="1">'Hilfstabelle Datendef KB'!R16</f>
        <v>≤  3%</v>
      </c>
      <c r="E28" s="502" t="str">
        <f ca="1">'Hilfstabelle Datendef KB'!S16</f>
        <v>-----</v>
      </c>
      <c r="F28" s="490" t="str">
        <f ca="1">'Hilfstabelle Datendef KB'!T16</f>
        <v>-----</v>
      </c>
      <c r="G28" s="490">
        <f ca="1">'Hilfstabelle Datendef KB'!U16</f>
        <v>0</v>
      </c>
      <c r="H28" s="504" t="str">
        <f ca="1">'Hilfstabelle Datendef KB'!V16</f>
        <v>n.d.</v>
      </c>
      <c r="I28" s="490" t="str">
        <f ca="1">'Hilfstabelle Datendef KB'!W16</f>
        <v>Unvollständig</v>
      </c>
      <c r="J28" s="489" t="str">
        <f ca="1">'Hilfstabelle Datendef KB'!X16</f>
        <v>-----</v>
      </c>
      <c r="K28" s="489" t="str">
        <f ca="1">'Hilfstabelle Datendef KB'!Y16</f>
        <v>-----</v>
      </c>
    </row>
    <row r="29" spans="1:11" ht="159.94999999999999" customHeight="1">
      <c r="A29" s="490" t="str">
        <f ca="1">'Hilfstabelle Datendef KB'!O17</f>
        <v>13</v>
      </c>
      <c r="B29" s="491" t="str">
        <f ca="1">'Hilfstabelle Datendef KB'!P17</f>
        <v>Melanom:
Sentinel-Node-Biopsie</v>
      </c>
      <c r="C29" s="502" t="str">
        <f ca="1">'Hilfstabelle Datendef KB'!Q17</f>
        <v>-----</v>
      </c>
      <c r="D29" s="490" t="str">
        <f ca="1">'Hilfstabelle Datendef KB'!R17</f>
        <v>≥ 80%</v>
      </c>
      <c r="E29" s="502" t="str">
        <f ca="1">'Hilfstabelle Datendef KB'!S17</f>
        <v>-----</v>
      </c>
      <c r="F29" s="490" t="str">
        <f ca="1">'Hilfstabelle Datendef KB'!T17</f>
        <v>-----</v>
      </c>
      <c r="G29" s="490" t="str">
        <f ca="1">'Hilfstabelle Datendef KB'!U17</f>
        <v>-----</v>
      </c>
      <c r="H29" s="504" t="str">
        <f ca="1">'Hilfstabelle Datendef KB'!V17</f>
        <v>n.d.</v>
      </c>
      <c r="I29" s="490" t="str">
        <f ca="1">'Hilfstabelle Datendef KB'!W17</f>
        <v>Unvollständig</v>
      </c>
      <c r="J29" s="489" t="str">
        <f ca="1">'Hilfstabelle Datendef KB'!X17</f>
        <v>-----</v>
      </c>
      <c r="K29" s="489" t="str">
        <f ca="1">'Hilfstabelle Datendef KB'!Y17</f>
        <v>-----</v>
      </c>
    </row>
    <row r="30" spans="1:11" ht="159.94999999999999" customHeight="1">
      <c r="A30" s="490">
        <f ca="1">'Hilfstabelle Datendef KB'!O18</f>
        <v>14</v>
      </c>
      <c r="B30" s="491" t="str">
        <f ca="1">'Hilfstabelle Datendef KB'!P18</f>
        <v>Melanom:
Sicherheitsabstand (1 cm) bei radikaler Exzision</v>
      </c>
      <c r="C30" s="502" t="str">
        <f ca="1">'Hilfstabelle Datendef KB'!Q18</f>
        <v>&lt; 80%</v>
      </c>
      <c r="D30" s="490" t="str">
        <f ca="1">'Hilfstabelle Datendef KB'!R18</f>
        <v>Derzeit keine Vorgaben</v>
      </c>
      <c r="E30" s="502" t="str">
        <f ca="1">'Hilfstabelle Datendef KB'!S18</f>
        <v>-----</v>
      </c>
      <c r="F30" s="490" t="str">
        <f ca="1">'Hilfstabelle Datendef KB'!T18</f>
        <v>-----</v>
      </c>
      <c r="G30" s="490" t="str">
        <f ca="1">'Hilfstabelle Datendef KB'!U18</f>
        <v>-----</v>
      </c>
      <c r="H30" s="504" t="str">
        <f ca="1">'Hilfstabelle Datendef KB'!V18</f>
        <v>n.d.</v>
      </c>
      <c r="I30" s="490" t="str">
        <f ca="1">'Hilfstabelle Datendef KB'!W18</f>
        <v>Unvollständig</v>
      </c>
      <c r="J30" s="489" t="str">
        <f ca="1">'Hilfstabelle Datendef KB'!X18</f>
        <v>-----</v>
      </c>
      <c r="K30" s="489" t="str">
        <f ca="1">'Hilfstabelle Datendef KB'!Y18</f>
        <v>-----</v>
      </c>
    </row>
    <row r="31" spans="1:11" ht="159.94999999999999" customHeight="1">
      <c r="A31" s="490">
        <f ca="1">'Hilfstabelle Datendef KB'!O19</f>
        <v>15</v>
      </c>
      <c r="B31" s="491" t="str">
        <f ca="1">'Hilfstabelle Datendef KB'!P19</f>
        <v>Melanom: Sicherheitsabstand (2 cm) bei radikaler Exzision</v>
      </c>
      <c r="C31" s="502" t="str">
        <f ca="1">'Hilfstabelle Datendef KB'!Q19</f>
        <v>&lt; 80%</v>
      </c>
      <c r="D31" s="490" t="str">
        <f ca="1">'Hilfstabelle Datendef KB'!R19</f>
        <v>Derzeit keine Vorgaben</v>
      </c>
      <c r="E31" s="502" t="str">
        <f ca="1">'Hilfstabelle Datendef KB'!S19</f>
        <v>-----</v>
      </c>
      <c r="F31" s="490" t="str">
        <f ca="1">'Hilfstabelle Datendef KB'!T19</f>
        <v>-----</v>
      </c>
      <c r="G31" s="490" t="str">
        <f ca="1">'Hilfstabelle Datendef KB'!U19</f>
        <v>-----</v>
      </c>
      <c r="H31" s="504" t="str">
        <f ca="1">'Hilfstabelle Datendef KB'!V19</f>
        <v>n.d.</v>
      </c>
      <c r="I31" s="490" t="str">
        <f ca="1">'Hilfstabelle Datendef KB'!W19</f>
        <v>Unvollständig</v>
      </c>
      <c r="J31" s="489" t="str">
        <f ca="1">'Hilfstabelle Datendef KB'!X19</f>
        <v>-----</v>
      </c>
      <c r="K31" s="489" t="str">
        <f ca="1">'Hilfstabelle Datendef KB'!Y19</f>
        <v>-----</v>
      </c>
    </row>
    <row r="32" spans="1:11" ht="159.94999999999999" customHeight="1">
      <c r="A32" s="490">
        <f ca="1">'Hilfstabelle Datendef KB'!O20</f>
        <v>16</v>
      </c>
      <c r="B32" s="491" t="str">
        <f ca="1">'Hilfstabelle Datendef KB'!P20</f>
        <v xml:space="preserve">Melanom:
Therapeutische Lymphadenektomie </v>
      </c>
      <c r="C32" s="502" t="str">
        <f ca="1">'Hilfstabelle Datendef KB'!Q20</f>
        <v>&lt; 80%</v>
      </c>
      <c r="D32" s="490" t="str">
        <f ca="1">'Hilfstabelle Datendef KB'!R20</f>
        <v>Derzeit keine Vorgaben</v>
      </c>
      <c r="E32" s="502" t="str">
        <f ca="1">'Hilfstabelle Datendef KB'!S20</f>
        <v>-----</v>
      </c>
      <c r="F32" s="490" t="str">
        <f ca="1">'Hilfstabelle Datendef KB'!T20</f>
        <v>-----</v>
      </c>
      <c r="G32" s="490" t="str">
        <f ca="1">'Hilfstabelle Datendef KB'!U20</f>
        <v>-----</v>
      </c>
      <c r="H32" s="504" t="str">
        <f ca="1">'Hilfstabelle Datendef KB'!V20</f>
        <v>n.d.</v>
      </c>
      <c r="I32" s="490" t="str">
        <f ca="1">'Hilfstabelle Datendef KB'!W20</f>
        <v>Unvollständig</v>
      </c>
      <c r="J32" s="489" t="str">
        <f ca="1">'Hilfstabelle Datendef KB'!X20</f>
        <v>-----</v>
      </c>
      <c r="K32" s="489" t="str">
        <f ca="1">'Hilfstabelle Datendef KB'!Y20</f>
        <v>-----</v>
      </c>
    </row>
    <row r="33" spans="1:11" ht="159.94999999999999" customHeight="1">
      <c r="A33" s="490">
        <f ca="1">'Hilfstabelle Datendef KB'!O21</f>
        <v>17</v>
      </c>
      <c r="B33" s="491" t="str">
        <f ca="1">'Hilfstabelle Datendef KB'!P21</f>
        <v>Melanom:
Mutationsanalyse für BRAF</v>
      </c>
      <c r="C33" s="502" t="str">
        <f ca="1">'Hilfstabelle Datendef KB'!Q21</f>
        <v>&lt; 80%</v>
      </c>
      <c r="D33" s="490" t="str">
        <f ca="1">'Hilfstabelle Datendef KB'!R21</f>
        <v>Derzeit keine Vorgaben</v>
      </c>
      <c r="E33" s="502" t="str">
        <f ca="1">'Hilfstabelle Datendef KB'!S21</f>
        <v>-----</v>
      </c>
      <c r="F33" s="490" t="str">
        <f ca="1">'Hilfstabelle Datendef KB'!T21</f>
        <v>-----</v>
      </c>
      <c r="G33" s="490">
        <f ca="1">'Hilfstabelle Datendef KB'!U21</f>
        <v>0</v>
      </c>
      <c r="H33" s="504" t="str">
        <f ca="1">'Hilfstabelle Datendef KB'!V21</f>
        <v>n.d.</v>
      </c>
      <c r="I33" s="490" t="str">
        <f ca="1">'Hilfstabelle Datendef KB'!W21</f>
        <v>Unvollständig</v>
      </c>
      <c r="J33" s="489" t="str">
        <f ca="1">'Hilfstabelle Datendef KB'!X21</f>
        <v>-----</v>
      </c>
      <c r="K33" s="489" t="str">
        <f ca="1">'Hilfstabelle Datendef KB'!Y21</f>
        <v>-----</v>
      </c>
    </row>
    <row r="34" spans="1:11" ht="159.94999999999999" customHeight="1">
      <c r="A34" s="490">
        <f ca="1">'Hilfstabelle Datendef KB'!O22</f>
        <v>18</v>
      </c>
      <c r="B34" s="491" t="str">
        <f ca="1">'Hilfstabelle Datendef KB'!P22</f>
        <v>Melanom: 
LDH-Bestimmung</v>
      </c>
      <c r="C34" s="502" t="str">
        <f ca="1">'Hilfstabelle Datendef KB'!Q22</f>
        <v>&lt; 80%</v>
      </c>
      <c r="D34" s="490" t="str">
        <f ca="1">'Hilfstabelle Datendef KB'!R22</f>
        <v>Derzeit keine Vorgaben</v>
      </c>
      <c r="E34" s="502" t="str">
        <f ca="1">'Hilfstabelle Datendef KB'!S22</f>
        <v>-----</v>
      </c>
      <c r="F34" s="490" t="str">
        <f ca="1">'Hilfstabelle Datendef KB'!T22</f>
        <v>-----</v>
      </c>
      <c r="G34" s="490">
        <f ca="1">'Hilfstabelle Datendef KB'!U22</f>
        <v>0</v>
      </c>
      <c r="H34" s="504" t="str">
        <f ca="1">'Hilfstabelle Datendef KB'!V22</f>
        <v>n.d.</v>
      </c>
      <c r="I34" s="490" t="str">
        <f ca="1">'Hilfstabelle Datendef KB'!W22</f>
        <v>Unvollständig</v>
      </c>
      <c r="J34" s="489" t="str">
        <f ca="1">'Hilfstabelle Datendef KB'!X22</f>
        <v>-----</v>
      </c>
      <c r="K34" s="489" t="str">
        <f ca="1">'Hilfstabelle Datendef KB'!Y22</f>
        <v>-----</v>
      </c>
    </row>
  </sheetData>
  <sheetProtection password="CA09" sheet="1" objects="1" scenarios="1" selectLockedCells="1" selectUn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C8:F8"/>
    <mergeCell ref="C6:J6"/>
    <mergeCell ref="I12:I13"/>
    <mergeCell ref="A12:A13"/>
    <mergeCell ref="B12:B13"/>
    <mergeCell ref="C12:E12"/>
    <mergeCell ref="F12:H12"/>
  </mergeCells>
  <phoneticPr fontId="41" type="noConversion"/>
  <conditionalFormatting sqref="J14:K34 A14:H34">
    <cfRule type="notContainsBlanks" dxfId="192" priority="21" stopIfTrue="1">
      <formula>LEN(TRIM(A14))&gt;0</formula>
    </cfRule>
  </conditionalFormatting>
  <conditionalFormatting sqref="I14:I34">
    <cfRule type="expression" dxfId="191" priority="1" stopIfTrue="1">
      <formula>AND($I14&lt;&gt;"",$I14="Sollvorgabe nicht erfüllt")</formula>
    </cfRule>
    <cfRule type="expression" dxfId="190" priority="17" stopIfTrue="1">
      <formula>AND($I14&lt;&gt;"",$I14="Ausnahme (Plausibilität unklar)")</formula>
    </cfRule>
    <cfRule type="expression" dxfId="189" priority="18" stopIfTrue="1">
      <formula>AND($I14&lt;&gt;"",$I14="I.O. (Plausibilität unklar)")</formula>
    </cfRule>
    <cfRule type="expression" dxfId="188" priority="19" stopIfTrue="1">
      <formula>OR(AND($I14&lt;&gt;"",$I14="Unvollständig"),AND($I14&lt;&gt;"",$I14="Inkorrekt"))</formula>
    </cfRule>
  </conditionalFormatting>
  <conditionalFormatting sqref="A12:A13 J12">
    <cfRule type="expression" dxfId="187" priority="16" stopIfTrue="1">
      <formula>$B$10="Kein Datendefizit vorhanden"</formula>
    </cfRule>
  </conditionalFormatting>
  <conditionalFormatting sqref="B12:B13">
    <cfRule type="expression" dxfId="186" priority="15" stopIfTrue="1">
      <formula>$B$10="Kein Datendefizit vorhanden"</formula>
    </cfRule>
  </conditionalFormatting>
  <conditionalFormatting sqref="C12:E12">
    <cfRule type="expression" dxfId="185" priority="14" stopIfTrue="1">
      <formula>$B$10="Kein Datendefizit vorhanden"</formula>
    </cfRule>
  </conditionalFormatting>
  <conditionalFormatting sqref="C13">
    <cfRule type="expression" dxfId="184" priority="13" stopIfTrue="1">
      <formula>$B$10="Kein Datendefizit vorhanden"</formula>
    </cfRule>
  </conditionalFormatting>
  <conditionalFormatting sqref="D13">
    <cfRule type="expression" dxfId="183" priority="12" stopIfTrue="1">
      <formula>$B$10="Kein Datendefizit vorhanden"</formula>
    </cfRule>
  </conditionalFormatting>
  <conditionalFormatting sqref="E13">
    <cfRule type="expression" dxfId="182" priority="11" stopIfTrue="1">
      <formula>$B$10="Kein Datendefizit vorhanden"</formula>
    </cfRule>
  </conditionalFormatting>
  <conditionalFormatting sqref="F13">
    <cfRule type="expression" dxfId="181" priority="10" stopIfTrue="1">
      <formula>$B$10="Kein Datendefizit vorhanden"</formula>
    </cfRule>
  </conditionalFormatting>
  <conditionalFormatting sqref="G13">
    <cfRule type="expression" dxfId="180" priority="9" stopIfTrue="1">
      <formula>$B$10="Kein Datendefizit vorhanden"</formula>
    </cfRule>
  </conditionalFormatting>
  <conditionalFormatting sqref="H13">
    <cfRule type="expression" dxfId="179" priority="8" stopIfTrue="1">
      <formula>$B$10="Kein Datendefizit vorhanden"</formula>
    </cfRule>
  </conditionalFormatting>
  <conditionalFormatting sqref="F12:H12">
    <cfRule type="expression" dxfId="178" priority="7" stopIfTrue="1">
      <formula>$B$10="Kein Datendefizit vorhanden"</formula>
    </cfRule>
  </conditionalFormatting>
  <conditionalFormatting sqref="I12:I13">
    <cfRule type="expression" dxfId="177" priority="6" stopIfTrue="1">
      <formula>$B$10="Kein Datendefizit vorhanden"</formula>
    </cfRule>
  </conditionalFormatting>
  <conditionalFormatting sqref="J13">
    <cfRule type="expression" dxfId="176" priority="4" stopIfTrue="1">
      <formula>$B$10="Kein Datendefizit vorhanden"</formula>
    </cfRule>
  </conditionalFormatting>
  <conditionalFormatting sqref="K13">
    <cfRule type="expression" dxfId="175" priority="3" stopIfTrue="1">
      <formula>$B$10="Kein Datendefizit vorhanden"</formula>
    </cfRule>
  </conditionalFormatting>
  <conditionalFormatting sqref="K12">
    <cfRule type="expression" dxfId="174" priority="2" stopIfTrue="1">
      <formula>$B$10="Kein Datendefizit vorhanden"</formula>
    </cfRule>
  </conditionalFormatting>
  <pageMargins left="0.39370078740157483" right="3.937007874015748E-2" top="0.59055118110236227" bottom="0.39370078740157483" header="0.11811023622047245" footer="0.11811023622047245"/>
  <pageSetup paperSize="9" orientation="landscape" r:id="rId3"/>
  <headerFooter>
    <oddFooter>&amp;L&amp;"Arial,Standard"&amp;7&amp;F&amp;C&amp;"Arial,Standard"&amp;7 © DKG  Alle Rechte vorbehalten&amp;R&amp;"Arial,Standard"&amp;7&amp;P</oddFooter>
  </headerFooter>
  <ignoredErrors>
    <ignoredError sqref="D13" formula="1"/>
  </ignoredErrors>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Y22"/>
  <sheetViews>
    <sheetView showGridLines="0" showWhiteSpace="0" topLeftCell="F1" zoomScaleNormal="100" workbookViewId="0">
      <pane ySplit="1" topLeftCell="A2" activePane="bottomLeft" state="frozen"/>
      <selection pane="bottomLeft" activeCell="N7" sqref="N7"/>
    </sheetView>
  </sheetViews>
  <sheetFormatPr baseColWidth="10" defaultColWidth="11.42578125" defaultRowHeight="11.25"/>
  <cols>
    <col min="1" max="1" width="17.85546875" style="469" customWidth="1"/>
    <col min="2" max="2" width="9.140625" style="469" customWidth="1"/>
    <col min="3" max="3" width="3.42578125" style="480" customWidth="1"/>
    <col min="4" max="4" width="16.28515625" style="469" customWidth="1"/>
    <col min="5" max="5" width="6.28515625" style="469" customWidth="1"/>
    <col min="6" max="6" width="10.7109375" style="469" customWidth="1"/>
    <col min="7" max="7" width="6.28515625" style="469" customWidth="1"/>
    <col min="8" max="10" width="6.42578125" style="469" customWidth="1"/>
    <col min="11" max="11" width="9.85546875" style="469" customWidth="1"/>
    <col min="12" max="12" width="36.5703125" style="469" customWidth="1"/>
    <col min="13" max="13" width="27.7109375" style="469" customWidth="1"/>
    <col min="14" max="14" width="13.28515625" style="469" customWidth="1"/>
    <col min="15" max="15" width="7.5703125" style="480" customWidth="1"/>
    <col min="16" max="16" width="26.5703125" style="481" customWidth="1"/>
    <col min="17" max="22" width="7.85546875" style="480" customWidth="1"/>
    <col min="23" max="23" width="9.140625" style="480" customWidth="1"/>
    <col min="24" max="25" width="20.140625" style="469" customWidth="1"/>
    <col min="26" max="16384" width="11.42578125" style="469"/>
  </cols>
  <sheetData>
    <row r="1" spans="1:25" ht="37.5" customHeight="1">
      <c r="A1" s="486" t="s">
        <v>61</v>
      </c>
      <c r="B1" s="469" t="s">
        <v>426</v>
      </c>
      <c r="C1" s="478" t="s">
        <v>5</v>
      </c>
      <c r="D1" s="478" t="s">
        <v>368</v>
      </c>
      <c r="E1" s="478" t="s">
        <v>386</v>
      </c>
      <c r="F1" s="478" t="s">
        <v>8</v>
      </c>
      <c r="G1" s="478" t="s">
        <v>386</v>
      </c>
      <c r="H1" s="478" t="s">
        <v>155</v>
      </c>
      <c r="I1" s="478" t="s">
        <v>9</v>
      </c>
      <c r="J1" s="478" t="s">
        <v>19</v>
      </c>
      <c r="K1" s="478" t="s">
        <v>387</v>
      </c>
      <c r="L1" s="478" t="s">
        <v>0</v>
      </c>
      <c r="M1" s="478" t="s">
        <v>1</v>
      </c>
      <c r="O1" s="483" t="s">
        <v>427</v>
      </c>
    </row>
    <row r="2" spans="1:25" ht="62.1" customHeight="1">
      <c r="A2" s="477" t="str">
        <f>IF('Kennzahlenbogen_(KB)'!R12=0,"",'Kennzahlenbogen_(KB)'!R12)</f>
        <v>Unvollständig</v>
      </c>
      <c r="C2" s="479" t="str">
        <f>IF($A2="I.O.","",'Kennzahlenbogen_(KB)'!B12)</f>
        <v>1.1</v>
      </c>
      <c r="D2" s="473" t="str">
        <f>IF($A2="I.O.","",'Kennzahlenbogen_(KB)'!E12)</f>
        <v>Epitheliale Tumoren
(exklusive in-situ;
inkl. u.a. Basalzellkarzinom, Plattenepithelkarzinom)</v>
      </c>
      <c r="E2" s="487" t="str">
        <f>IF(AND('Kennzahlenbogen_(KB)'!L12="",$A2&lt;&gt;"I.O."),"-----",IF($A2="I.O.","",'Kennzahlenbogen_(KB)'!L12))</f>
        <v>-----</v>
      </c>
      <c r="F2" s="487" t="str">
        <f>IF($A2="I.O.","",'Kennzahlenbogen_(KB)'!M12)</f>
        <v>≥ 100</v>
      </c>
      <c r="G2" s="487" t="str">
        <f>IF(AND('Kennzahlenbogen_(KB)'!O12="",$A2&lt;&gt;"I.O."),"-----",IF($A2="I.O.","",'Kennzahlenbogen_(KB)'!O12))</f>
        <v>-----</v>
      </c>
      <c r="H2" s="474">
        <f>IF($A2="I.O.","",IF('Kennzahlenbogen_(KB)'!Q12="","-----",'Kennzahlenbogen_(KB)'!Q12))</f>
        <v>0</v>
      </c>
      <c r="I2" s="474" t="str">
        <f>IF($A2="I.O.","","-----")</f>
        <v>-----</v>
      </c>
      <c r="J2" s="475" t="str">
        <f t="shared" ref="I2:J5" si="0">IF($A2="I.O.","","-----")</f>
        <v>-----</v>
      </c>
      <c r="K2" s="476" t="str">
        <f>IF($A2="I.O.","",'Kennzahlenbogen_(KB)'!R12)</f>
        <v>Unvollständig</v>
      </c>
      <c r="L2" s="470" t="str">
        <f>IF(AND('Kennzahlenbogen_(KB)'!S12="",$A2&lt;&gt;"I.O."),"-----",IF($A2="I.O.","",'Kennzahlenbogen_(KB)'!S12))</f>
        <v>-----</v>
      </c>
      <c r="M2" s="470" t="str">
        <f>IF(AND('Kennzahlenbogen_(KB)'!T12="",$A2&lt;&gt;"I.O."),"-----",IF($A2="I.O.","",'Kennzahlenbogen_(KB)'!T12))</f>
        <v>-----</v>
      </c>
      <c r="O2" s="482" t="str">
        <f t="array" aca="1" ref="O2" ca="1">IF(ROW()-ROW($D$2:$D$22)+1&gt;ROWS($C$2:$C$22)-COUNTBLANK($C$2:$C$22),"",INDIRECT(ADDRESS(SMALL((IF($C$2:$C$22&lt;&gt;"",ROW($C$2:$C$22),ROW()+ROWS($C$2:$C$22))),ROW()-ROW($D$2:$D$22)+1),COLUMN($C$2:$C$22),4)))</f>
        <v>1.1</v>
      </c>
      <c r="P2" s="488" t="str">
        <f t="array" aca="1" ref="P2" ca="1">IF(ROW()-ROW($E$2:$E$22)+1&gt;ROWS($D$2:$D$22)-COUNTBLANK($D$2:$D$22),"",INDIRECT(ADDRESS(SMALL((IF($D$2:$D$22&gt;"",ROW($D$2:$D$22),ROW()+ROWS($D$2:$D$22))),ROW()-ROW($E$2:$E$22)+1),COLUMN($D$2:$D$22),4)))</f>
        <v>Epitheliale Tumoren
(exklusive in-situ;
inkl. u.a. Basalzellkarzinom, Plattenepithelkarzinom)</v>
      </c>
      <c r="Q2" s="485" t="str">
        <f t="array" aca="1" ref="Q2" ca="1">IF(ROW()-ROW($F$2:$F$22)+1&gt;ROWS($E$2:$E$22)-COUNTBLANK($E$2:$E$22),"",INDIRECT(ADDRESS(SMALL((IF($E$2:$E$22&gt;"",ROW($E$2:$E$22),ROW()+ROWS($E$2:$E$22))),ROW()-ROW($F$2:$F$22)+1),COLUMN($E$2:$E$22),4)))</f>
        <v>-----</v>
      </c>
      <c r="R2" s="485" t="str">
        <f t="array" aca="1" ref="R2" ca="1">IF(ROW()-ROW($G$2:$G$22)+1&gt;ROWS($F$2:$F$22)-COUNTBLANK($F$2:$F$22),"",INDIRECT(ADDRESS(SMALL((IF($F$2:$F$22&gt;"",ROW($F$2:$F$22),ROW()+ROWS($F$2:$F$22))),ROW()-ROW($G$2:$G$22)+1),COLUMN($F$2:$F$22),4)))</f>
        <v>≥ 100</v>
      </c>
      <c r="S2" s="485" t="str">
        <f t="array" aca="1" ref="S2" ca="1">IF(ROW()-ROW($H$2:$H$22)+1&gt;ROWS($G$2:$G$22)-COUNTBLANK($G$2:$G$22),"",INDIRECT(ADDRESS(SMALL((IF($G$2:$G$22&lt;&gt;"",ROW($G$2:$G$22),ROW()+ROWS($G$2:$G$22))),ROW()-ROW($H$2:$H$22)+1),COLUMN($G$2:$G$22),4)))</f>
        <v>-----</v>
      </c>
      <c r="T2" s="482">
        <f t="array" aca="1" ref="T2" ca="1">IF(ROW()-ROW($I$2:$I$22)+1&gt;ROWS($H$2:$H$22)-COUNTBLANK($H$2:$H$22),"",INDIRECT(ADDRESS(SMALL((IF($H$2:$H$22&lt;&gt;"",ROW($H$2:$H$22),ROW()+ROWS($H$2:$H$22))),ROW()-ROW($I$2:$I$22)+1),COLUMN($H$2:$H$22),4)))</f>
        <v>0</v>
      </c>
      <c r="U2" s="482" t="str">
        <f t="array" aca="1" ref="U2" ca="1">IF(ROW()-ROW($J$2:$J$22)+1&gt;ROWS($I$2:$I$22)-COUNTBLANK($I$2:$I$22),"",INDIRECT(ADDRESS(SMALL((IF($I$2:$I$22&lt;&gt;"",ROW($I$2:$I$22),ROW()+ROWS($I$2:$I$22))),ROW()-ROW($J$2:$J$22)+1),COLUMN($I$2:$I$22),4)))</f>
        <v>-----</v>
      </c>
      <c r="V2" s="484" t="str">
        <f t="array" aca="1" ref="V2" ca="1">IF(ROW()-ROW($K$2:$K$22)+1&gt;ROWS($J$2:$J$22)-COUNTBLANK($J$2:$J$22),"",INDIRECT(ADDRESS(SMALL((IF($J$2:$J$22&lt;&gt;"",ROW($J$2:$J$22),ROW()+ROWS($J$2:$J$22))),ROW()-ROW($K$2:$K$22)+1),COLUMN($J$2:$J$22),4)))</f>
        <v>-----</v>
      </c>
      <c r="W2" s="482" t="str">
        <f t="array" aca="1" ref="W2" ca="1">IF(ROW()-ROW($L$2:$L$22)+1&gt;ROWS($K$2:$K$22)-COUNTBLANK($K$2:$K$22),"",INDIRECT(ADDRESS(SMALL((IF($K$2:$K$22&lt;&gt;"",ROW($K$2:$K$22),ROW()+ROWS($K$2:$K$22))),ROW()-ROW($L$2:$L$22)+1),COLUMN($K$2:$K$22),4)))</f>
        <v>Unvollständig</v>
      </c>
      <c r="X2" s="477" t="str">
        <f t="array" aca="1" ref="X2" ca="1">IF(ROW()-ROW($M$2:$M$22)+1&gt;ROWS($L$2:$L$22)-COUNTBLANK($L$2:$L$22),"",INDIRECT(ADDRESS(SMALL((IF($L$2:$L$22&lt;&gt;"",ROW($L$2:$L$22),ROW()+ROWS($L$2:$L$22))),ROW()-ROW($M$2:$M$22)+1),COLUMN($L$2:$L$22),4)))</f>
        <v>-----</v>
      </c>
      <c r="Y2" s="477" t="str">
        <f t="array" aca="1" ref="Y2" ca="1">IF(ROW()-ROW($N$2:$N$22)+1&gt;ROWS($M$2:$M$22)-COUNTBLANK($M$2:$M$22),"",INDIRECT(ADDRESS(SMALL((IF($M$2:$M$22&lt;&gt;"",ROW($M$2:$M$22),ROW()+ROWS($M$2:$M$22))),ROW()-ROW($N$2:$N$22)+1),COLUMN($M$2:$M$22),4)))</f>
        <v>-----</v>
      </c>
    </row>
    <row r="3" spans="1:25" ht="62.1" customHeight="1">
      <c r="A3" s="477" t="str">
        <f>IF('Kennzahlenbogen_(KB)'!R15=0,"",'Kennzahlenbogen_(KB)'!R15)</f>
        <v>Unvollständig</v>
      </c>
      <c r="C3" s="479" t="str">
        <f>IF($A3="I.O.","",'Kennzahlenbogen_(KB)'!B15)</f>
        <v>1.2</v>
      </c>
      <c r="D3" s="473" t="str">
        <f>IF($A3="I.O.","",'Kennzahlenbogen_(KB)'!E15)</f>
        <v>Invasive Maligne Melanome
(inkl. Malignes Melanom Uvea, Konjunktiva,
Schleimhaut)</v>
      </c>
      <c r="E3" s="487" t="str">
        <f>IF(AND('Kennzahlenbogen_(KB)'!L15="",$A3&lt;&gt;"I.O."),"-----",IF($A3="I.O.","",'Kennzahlenbogen_(KB)'!L15))</f>
        <v>-----</v>
      </c>
      <c r="F3" s="487" t="str">
        <f>IF($A3="I.O.","",'Kennzahlenbogen_(KB)'!M15)</f>
        <v>≥ 40</v>
      </c>
      <c r="G3" s="487" t="str">
        <f>IF(AND('Kennzahlenbogen_(KB)'!O15="",$A3&lt;&gt;"I.O."),"-----",IF($A3="I.O.","",'Kennzahlenbogen_(KB)'!O15))</f>
        <v>-----</v>
      </c>
      <c r="H3" s="474">
        <f>IF($A3="I.O.","",IF('Kennzahlenbogen_(KB)'!Q15="","-----",'Kennzahlenbogen_(KB)'!Q15))</f>
        <v>0</v>
      </c>
      <c r="I3" s="474" t="str">
        <f t="shared" si="0"/>
        <v>-----</v>
      </c>
      <c r="J3" s="475" t="str">
        <f t="shared" si="0"/>
        <v>-----</v>
      </c>
      <c r="K3" s="476" t="str">
        <f>IF($A3="I.O.","",'Kennzahlenbogen_(KB)'!R15)</f>
        <v>Unvollständig</v>
      </c>
      <c r="L3" s="470" t="str">
        <f>IF(AND('Kennzahlenbogen_(KB)'!S15="",$A3&lt;&gt;"I.O."),"-----",IF($A3="I.O.","",'Kennzahlenbogen_(KB)'!S15))</f>
        <v>-----</v>
      </c>
      <c r="M3" s="470" t="str">
        <f>IF(AND('Kennzahlenbogen_(KB)'!T15="",$A3&lt;&gt;"I.O."),"-----",IF($A3="I.O.","",'Kennzahlenbogen_(KB)'!T15))</f>
        <v>-----</v>
      </c>
      <c r="O3" s="482" t="str">
        <f t="array" aca="1" ref="O3" ca="1">IF(ROW()-ROW($D$2:$D$22)+1&gt;ROWS($C$2:$C$22)-COUNTBLANK($C$2:$C$22),"",INDIRECT(ADDRESS(SMALL((IF($C$2:$C$22&lt;&gt;"",ROW($C$2:$C$22),ROW()+ROWS($C$2:$C$22))),ROW()-ROW($D$2:$D$22)+1),COLUMN($C$2:$C$22),4)))</f>
        <v>1.2</v>
      </c>
      <c r="P3" s="488" t="str">
        <f t="array" aca="1" ref="P3" ca="1">IF(ROW()-ROW($E$2:$E$22)+1&gt;ROWS($D$2:$D$22)-COUNTBLANK($D$2:$D$22),"",INDIRECT(ADDRESS(SMALL((IF($D$2:$D$22&gt;"",ROW($D$2:$D$22),ROW()+ROWS($D$2:$D$22))),ROW()-ROW($E$2:$E$22)+1),COLUMN($D$2:$D$22),4)))</f>
        <v>Invasive Maligne Melanome
(inkl. Malignes Melanom Uvea, Konjunktiva,
Schleimhaut)</v>
      </c>
      <c r="Q3" s="485" t="str">
        <f t="array" aca="1" ref="Q3" ca="1">IF(ROW()-ROW($F$2:$F$22)+1&gt;ROWS($E$2:$E$22)-COUNTBLANK($E$2:$E$22),"",INDIRECT(ADDRESS(SMALL((IF($E$2:$E$22&gt;"",ROW($E$2:$E$22),ROW()+ROWS($E$2:$E$22))),ROW()-ROW($F$2:$F$22)+1),COLUMN($E$2:$E$22),4)))</f>
        <v>-----</v>
      </c>
      <c r="R3" s="485" t="str">
        <f t="array" aca="1" ref="R3" ca="1">IF(ROW()-ROW($G$2:$G$22)+1&gt;ROWS($F$2:$F$22)-COUNTBLANK($F$2:$F$22),"",INDIRECT(ADDRESS(SMALL((IF($F$2:$F$22&gt;"",ROW($F$2:$F$22),ROW()+ROWS($F$2:$F$22))),ROW()-ROW($G$2:$G$22)+1),COLUMN($F$2:$F$22),4)))</f>
        <v>≥ 40</v>
      </c>
      <c r="S3" s="485" t="str">
        <f t="array" aca="1" ref="S3" ca="1">IF(ROW()-ROW($H$2:$H$22)+1&gt;ROWS($G$2:$G$22)-COUNTBLANK($G$2:$G$22),"",INDIRECT(ADDRESS(SMALL((IF($G$2:$G$22&lt;&gt;"",ROW($G$2:$G$22),ROW()+ROWS($G$2:$G$22))),ROW()-ROW($H$2:$H$22)+1),COLUMN($G$2:$G$22),4)))</f>
        <v>-----</v>
      </c>
      <c r="T3" s="482">
        <f t="array" aca="1" ref="T3" ca="1">IF(ROW()-ROW($I$2:$I$22)+1&gt;ROWS($H$2:$H$22)-COUNTBLANK($H$2:$H$22),"",INDIRECT(ADDRESS(SMALL((IF($H$2:$H$22&lt;&gt;"",ROW($H$2:$H$22),ROW()+ROWS($H$2:$H$22))),ROW()-ROW($I$2:$I$22)+1),COLUMN($H$2:$H$22),4)))</f>
        <v>0</v>
      </c>
      <c r="U3" s="482" t="str">
        <f t="array" aca="1" ref="U3" ca="1">IF(ROW()-ROW($J$2:$J$22)+1&gt;ROWS($I$2:$I$22)-COUNTBLANK($I$2:$I$22),"",INDIRECT(ADDRESS(SMALL((IF($I$2:$I$22&lt;&gt;"",ROW($I$2:$I$22),ROW()+ROWS($I$2:$I$22))),ROW()-ROW($J$2:$J$22)+1),COLUMN($I$2:$I$22),4)))</f>
        <v>-----</v>
      </c>
      <c r="V3" s="484" t="str">
        <f t="array" aca="1" ref="V3" ca="1">IF(ROW()-ROW($K$2:$K$22)+1&gt;ROWS($J$2:$J$22)-COUNTBLANK($J$2:$J$22),"",INDIRECT(ADDRESS(SMALL((IF($J$2:$J$22&lt;&gt;"",ROW($J$2:$J$22),ROW()+ROWS($J$2:$J$22))),ROW()-ROW($K$2:$K$22)+1),COLUMN($J$2:$J$22),4)))</f>
        <v>-----</v>
      </c>
      <c r="W3" s="482" t="str">
        <f t="array" aca="1" ref="W3" ca="1">IF(ROW()-ROW($L$2:$L$22)+1&gt;ROWS($K$2:$K$22)-COUNTBLANK($K$2:$K$22),"",INDIRECT(ADDRESS(SMALL((IF($K$2:$K$22&lt;&gt;"",ROW($K$2:$K$22),ROW()+ROWS($K$2:$K$22))),ROW()-ROW($L$2:$L$22)+1),COLUMN($K$2:$K$22),4)))</f>
        <v>Unvollständig</v>
      </c>
      <c r="X3" s="477" t="str">
        <f t="array" aca="1" ref="X3" ca="1">IF(ROW()-ROW($M$2:$M$22)+1&gt;ROWS($L$2:$L$22)-COUNTBLANK($L$2:$L$22),"",INDIRECT(ADDRESS(SMALL((IF($L$2:$L$22&lt;&gt;"",ROW($L$2:$L$22),ROW()+ROWS($L$2:$L$22))),ROW()-ROW($M$2:$M$22)+1),COLUMN($L$2:$L$22),4)))</f>
        <v>-----</v>
      </c>
      <c r="Y3" s="477" t="str">
        <f t="array" aca="1" ref="Y3" ca="1">IF(ROW()-ROW($N$2:$N$22)+1&gt;ROWS($M$2:$M$22)-COUNTBLANK($M$2:$M$22),"",INDIRECT(ADDRESS(SMALL((IF($M$2:$M$22&lt;&gt;"",ROW($M$2:$M$22),ROW()+ROWS($M$2:$M$22))),ROW()-ROW($N$2:$N$22)+1),COLUMN($M$2:$M$22),4)))</f>
        <v>-----</v>
      </c>
    </row>
    <row r="4" spans="1:25" ht="62.1" customHeight="1">
      <c r="A4" s="477" t="str">
        <f>IF('Kennzahlenbogen_(KB)'!R18=0,"",'Kennzahlenbogen_(KB)'!R18)</f>
        <v>Unvollständig</v>
      </c>
      <c r="C4" s="479" t="str">
        <f>IF($A4="I.O.","",'Kennzahlenbogen_(KB)'!B18)</f>
        <v>1.3</v>
      </c>
      <c r="D4" s="473" t="str">
        <f>IF($A4="I.O.","",'Kennzahlenbogen_(KB)'!E18)</f>
        <v>Kutane Lymphome u. andere seltene, maligne Hauttumoren
(Angiosarkom, Merkelzell-Ca, DFSP usw.)</v>
      </c>
      <c r="E4" s="487" t="str">
        <f>IF(AND('Kennzahlenbogen_(KB)'!L18="",$A4&lt;&gt;"I.O."),"-----",IF($A4="I.O.","",'Kennzahlenbogen_(KB)'!L18))</f>
        <v>-----</v>
      </c>
      <c r="F4" s="487" t="str">
        <f>IF($A4="I.O.","",'Kennzahlenbogen_(KB)'!M18)</f>
        <v>Derzeit keine Vorgaben</v>
      </c>
      <c r="G4" s="487" t="str">
        <f>IF(AND('Kennzahlenbogen_(KB)'!O18="",$A4&lt;&gt;"I.O."),"-----",IF($A4="I.O.","",'Kennzahlenbogen_(KB)'!O18))</f>
        <v>-----</v>
      </c>
      <c r="H4" s="474">
        <f>IF($A4="I.O.","",IF('Kennzahlenbogen_(KB)'!Q18="","-----",'Kennzahlenbogen_(KB)'!Q18))</f>
        <v>0</v>
      </c>
      <c r="I4" s="474" t="str">
        <f t="shared" si="0"/>
        <v>-----</v>
      </c>
      <c r="J4" s="475" t="str">
        <f t="shared" si="0"/>
        <v>-----</v>
      </c>
      <c r="K4" s="476" t="str">
        <f>IF($A4="I.O.","",'Kennzahlenbogen_(KB)'!R18)</f>
        <v>Unvollständig</v>
      </c>
      <c r="L4" s="470" t="str">
        <f>IF(AND('Kennzahlenbogen_(KB)'!S18="",$A4&lt;&gt;"I.O."),"-----",IF($A4="I.O.","",'Kennzahlenbogen_(KB)'!S18))</f>
        <v>-----</v>
      </c>
      <c r="M4" s="470" t="str">
        <f>IF(AND('Kennzahlenbogen_(KB)'!T18="",$A4&lt;&gt;"I.O."),"-----",IF($A4="I.O.","",'Kennzahlenbogen_(KB)'!T18))</f>
        <v>-----</v>
      </c>
      <c r="O4" s="482" t="str">
        <f t="array" aca="1" ref="O4" ca="1">IF(ROW()-ROW($D$2:$D$22)+1&gt;ROWS($C$2:$C$22)-COUNTBLANK($C$2:$C$22),"",INDIRECT(ADDRESS(SMALL((IF($C$2:$C$22&lt;&gt;"",ROW($C$2:$C$22),ROW()+ROWS($C$2:$C$22))),ROW()-ROW($D$2:$D$22)+1),COLUMN($C$2:$C$22),4)))</f>
        <v>1.3</v>
      </c>
      <c r="P4" s="488" t="str">
        <f t="array" aca="1" ref="P4" ca="1">IF(ROW()-ROW($E$2:$E$22)+1&gt;ROWS($D$2:$D$22)-COUNTBLANK($D$2:$D$22),"",INDIRECT(ADDRESS(SMALL((IF($D$2:$D$22&gt;"",ROW($D$2:$D$22),ROW()+ROWS($D$2:$D$22))),ROW()-ROW($E$2:$E$22)+1),COLUMN($D$2:$D$22),4)))</f>
        <v>Kutane Lymphome u. andere seltene, maligne Hauttumoren
(Angiosarkom, Merkelzell-Ca, DFSP usw.)</v>
      </c>
      <c r="Q4" s="485" t="str">
        <f t="array" aca="1" ref="Q4" ca="1">IF(ROW()-ROW($F$2:$F$22)+1&gt;ROWS($E$2:$E$22)-COUNTBLANK($E$2:$E$22),"",INDIRECT(ADDRESS(SMALL((IF($E$2:$E$22&gt;"",ROW($E$2:$E$22),ROW()+ROWS($E$2:$E$22))),ROW()-ROW($F$2:$F$22)+1),COLUMN($E$2:$E$22),4)))</f>
        <v>-----</v>
      </c>
      <c r="R4" s="485" t="str">
        <f t="array" aca="1" ref="R4" ca="1">IF(ROW()-ROW($G$2:$G$22)+1&gt;ROWS($F$2:$F$22)-COUNTBLANK($F$2:$F$22),"",INDIRECT(ADDRESS(SMALL((IF($F$2:$F$22&gt;"",ROW($F$2:$F$22),ROW()+ROWS($F$2:$F$22))),ROW()-ROW($G$2:$G$22)+1),COLUMN($F$2:$F$22),4)))</f>
        <v>Derzeit keine Vorgaben</v>
      </c>
      <c r="S4" s="485" t="str">
        <f t="array" aca="1" ref="S4" ca="1">IF(ROW()-ROW($H$2:$H$22)+1&gt;ROWS($G$2:$G$22)-COUNTBLANK($G$2:$G$22),"",INDIRECT(ADDRESS(SMALL((IF($G$2:$G$22&lt;&gt;"",ROW($G$2:$G$22),ROW()+ROWS($G$2:$G$22))),ROW()-ROW($H$2:$H$22)+1),COLUMN($G$2:$G$22),4)))</f>
        <v>-----</v>
      </c>
      <c r="T4" s="482">
        <f t="array" aca="1" ref="T4" ca="1">IF(ROW()-ROW($I$2:$I$22)+1&gt;ROWS($H$2:$H$22)-COUNTBLANK($H$2:$H$22),"",INDIRECT(ADDRESS(SMALL((IF($H$2:$H$22&lt;&gt;"",ROW($H$2:$H$22),ROW()+ROWS($H$2:$H$22))),ROW()-ROW($I$2:$I$22)+1),COLUMN($H$2:$H$22),4)))</f>
        <v>0</v>
      </c>
      <c r="U4" s="482" t="str">
        <f t="array" aca="1" ref="U4" ca="1">IF(ROW()-ROW($J$2:$J$22)+1&gt;ROWS($I$2:$I$22)-COUNTBLANK($I$2:$I$22),"",INDIRECT(ADDRESS(SMALL((IF($I$2:$I$22&lt;&gt;"",ROW($I$2:$I$22),ROW()+ROWS($I$2:$I$22))),ROW()-ROW($J$2:$J$22)+1),COLUMN($I$2:$I$22),4)))</f>
        <v>-----</v>
      </c>
      <c r="V4" s="484" t="str">
        <f t="array" aca="1" ref="V4" ca="1">IF(ROW()-ROW($K$2:$K$22)+1&gt;ROWS($J$2:$J$22)-COUNTBLANK($J$2:$J$22),"",INDIRECT(ADDRESS(SMALL((IF($J$2:$J$22&lt;&gt;"",ROW($J$2:$J$22),ROW()+ROWS($J$2:$J$22))),ROW()-ROW($K$2:$K$22)+1),COLUMN($J$2:$J$22),4)))</f>
        <v>-----</v>
      </c>
      <c r="W4" s="482" t="str">
        <f t="array" aca="1" ref="W4" ca="1">IF(ROW()-ROW($L$2:$L$22)+1&gt;ROWS($K$2:$K$22)-COUNTBLANK($K$2:$K$22),"",INDIRECT(ADDRESS(SMALL((IF($K$2:$K$22&lt;&gt;"",ROW($K$2:$K$22),ROW()+ROWS($K$2:$K$22))),ROW()-ROW($L$2:$L$22)+1),COLUMN($K$2:$K$22),4)))</f>
        <v>Unvollständig</v>
      </c>
      <c r="X4" s="477" t="str">
        <f t="array" aca="1" ref="X4" ca="1">IF(ROW()-ROW($M$2:$M$22)+1&gt;ROWS($L$2:$L$22)-COUNTBLANK($L$2:$L$22),"",INDIRECT(ADDRESS(SMALL((IF($L$2:$L$22&lt;&gt;"",ROW($L$2:$L$22),ROW()+ROWS($L$2:$L$22))),ROW()-ROW($M$2:$M$22)+1),COLUMN($L$2:$L$22),4)))</f>
        <v>-----</v>
      </c>
      <c r="Y4" s="477" t="str">
        <f t="array" aca="1" ref="Y4" ca="1">IF(ROW()-ROW($N$2:$N$22)+1&gt;ROWS($M$2:$M$22)-COUNTBLANK($M$2:$M$22),"",INDIRECT(ADDRESS(SMALL((IF($M$2:$M$22&lt;&gt;"",ROW($M$2:$M$22),ROW()+ROWS($M$2:$M$22))),ROW()-ROW($N$2:$N$22)+1),COLUMN($M$2:$M$22),4)))</f>
        <v>-----</v>
      </c>
    </row>
    <row r="5" spans="1:25" ht="62.1" customHeight="1">
      <c r="A5" s="477" t="str">
        <f>IF('Kennzahlenbogen_(KB)'!R21=0,"",'Kennzahlenbogen_(KB)'!R21)</f>
        <v>Unvollständig</v>
      </c>
      <c r="C5" s="479" t="str">
        <f>IF($A5="I.O.","",'Kennzahlenbogen_(KB)'!B21)</f>
        <v>1.4</v>
      </c>
      <c r="D5" s="473" t="str">
        <f>IF($A5="I.O.","",'Kennzahlenbogen_(KB)'!E21)</f>
        <v>Pat. mit Stadienshift/Rezidiv</v>
      </c>
      <c r="E5" s="487" t="str">
        <f>IF(AND('Kennzahlenbogen_(KB)'!L21="",$A5&lt;&gt;"I.O."),"-----",IF($A5="I.O.","",'Kennzahlenbogen_(KB)'!L21))</f>
        <v>-----</v>
      </c>
      <c r="F5" s="487" t="str">
        <f>IF($A5="I.O.","",'Kennzahlenbogen_(KB)'!M21)</f>
        <v>Derzeit keine Vorgaben</v>
      </c>
      <c r="G5" s="487" t="str">
        <f>IF(AND('Kennzahlenbogen_(KB)'!O21="",$A5&lt;&gt;"I.O."),"-----",IF($A5="I.O.","",'Kennzahlenbogen_(KB)'!O21))</f>
        <v>-----</v>
      </c>
      <c r="H5" s="474">
        <f>IF($A5="I.O.","",IF('Kennzahlenbogen_(KB)'!Q21="","-----",'Kennzahlenbogen_(KB)'!Q21))</f>
        <v>0</v>
      </c>
      <c r="I5" s="474" t="str">
        <f t="shared" si="0"/>
        <v>-----</v>
      </c>
      <c r="J5" s="475" t="str">
        <f t="shared" si="0"/>
        <v>-----</v>
      </c>
      <c r="K5" s="476" t="str">
        <f>IF($A5="I.O.","",'Kennzahlenbogen_(KB)'!R21)</f>
        <v>Unvollständig</v>
      </c>
      <c r="L5" s="470" t="str">
        <f>IF(AND('Kennzahlenbogen_(KB)'!S21="",$A5&lt;&gt;"I.O."),"-----",IF($A5="I.O.","",'Kennzahlenbogen_(KB)'!S21))</f>
        <v>-----</v>
      </c>
      <c r="M5" s="470" t="str">
        <f>IF(AND('Kennzahlenbogen_(KB)'!T21="",$A5&lt;&gt;"I.O."),"-----",IF($A5="I.O.","",'Kennzahlenbogen_(KB)'!T21))</f>
        <v>-----</v>
      </c>
      <c r="O5" s="482" t="str">
        <f t="array" aca="1" ref="O5" ca="1">IF(ROW()-ROW($D$2:$D$22)+1&gt;ROWS($C$2:$C$22)-COUNTBLANK($C$2:$C$22),"",INDIRECT(ADDRESS(SMALL((IF($C$2:$C$22&lt;&gt;"",ROW($C$2:$C$22),ROW()+ROWS($C$2:$C$22))),ROW()-ROW($D$2:$D$22)+1),COLUMN($C$2:$C$22),4)))</f>
        <v>1.4</v>
      </c>
      <c r="P5" s="488" t="str">
        <f t="array" aca="1" ref="P5" ca="1">IF(ROW()-ROW($E$2:$E$22)+1&gt;ROWS($D$2:$D$22)-COUNTBLANK($D$2:$D$22),"",INDIRECT(ADDRESS(SMALL((IF($D$2:$D$22&gt;"",ROW($D$2:$D$22),ROW()+ROWS($D$2:$D$22))),ROW()-ROW($E$2:$E$22)+1),COLUMN($D$2:$D$22),4)))</f>
        <v>Pat. mit Stadienshift/Rezidiv</v>
      </c>
      <c r="Q5" s="485" t="str">
        <f t="array" aca="1" ref="Q5" ca="1">IF(ROW()-ROW($F$2:$F$22)+1&gt;ROWS($E$2:$E$22)-COUNTBLANK($E$2:$E$22),"",INDIRECT(ADDRESS(SMALL((IF($E$2:$E$22&gt;"",ROW($E$2:$E$22),ROW()+ROWS($E$2:$E$22))),ROW()-ROW($F$2:$F$22)+1),COLUMN($E$2:$E$22),4)))</f>
        <v>-----</v>
      </c>
      <c r="R5" s="485" t="str">
        <f t="array" aca="1" ref="R5" ca="1">IF(ROW()-ROW($G$2:$G$22)+1&gt;ROWS($F$2:$F$22)-COUNTBLANK($F$2:$F$22),"",INDIRECT(ADDRESS(SMALL((IF($F$2:$F$22&gt;"",ROW($F$2:$F$22),ROW()+ROWS($F$2:$F$22))),ROW()-ROW($G$2:$G$22)+1),COLUMN($F$2:$F$22),4)))</f>
        <v>Derzeit keine Vorgaben</v>
      </c>
      <c r="S5" s="485" t="str">
        <f t="array" aca="1" ref="S5" ca="1">IF(ROW()-ROW($H$2:$H$22)+1&gt;ROWS($G$2:$G$22)-COUNTBLANK($G$2:$G$22),"",INDIRECT(ADDRESS(SMALL((IF($G$2:$G$22&lt;&gt;"",ROW($G$2:$G$22),ROW()+ROWS($G$2:$G$22))),ROW()-ROW($H$2:$H$22)+1),COLUMN($G$2:$G$22),4)))</f>
        <v>-----</v>
      </c>
      <c r="T5" s="482">
        <f t="array" aca="1" ref="T5" ca="1">IF(ROW()-ROW($I$2:$I$22)+1&gt;ROWS($H$2:$H$22)-COUNTBLANK($H$2:$H$22),"",INDIRECT(ADDRESS(SMALL((IF($H$2:$H$22&lt;&gt;"",ROW($H$2:$H$22),ROW()+ROWS($H$2:$H$22))),ROW()-ROW($I$2:$I$22)+1),COLUMN($H$2:$H$22),4)))</f>
        <v>0</v>
      </c>
      <c r="U5" s="482" t="str">
        <f t="array" aca="1" ref="U5" ca="1">IF(ROW()-ROW($J$2:$J$22)+1&gt;ROWS($I$2:$I$22)-COUNTBLANK($I$2:$I$22),"",INDIRECT(ADDRESS(SMALL((IF($I$2:$I$22&lt;&gt;"",ROW($I$2:$I$22),ROW()+ROWS($I$2:$I$22))),ROW()-ROW($J$2:$J$22)+1),COLUMN($I$2:$I$22),4)))</f>
        <v>-----</v>
      </c>
      <c r="V5" s="484" t="str">
        <f t="array" aca="1" ref="V5" ca="1">IF(ROW()-ROW($K$2:$K$22)+1&gt;ROWS($J$2:$J$22)-COUNTBLANK($J$2:$J$22),"",INDIRECT(ADDRESS(SMALL((IF($J$2:$J$22&lt;&gt;"",ROW($J$2:$J$22),ROW()+ROWS($J$2:$J$22))),ROW()-ROW($K$2:$K$22)+1),COLUMN($J$2:$J$22),4)))</f>
        <v>-----</v>
      </c>
      <c r="W5" s="482" t="str">
        <f t="array" aca="1" ref="W5" ca="1">IF(ROW()-ROW($L$2:$L$22)+1&gt;ROWS($K$2:$K$22)-COUNTBLANK($K$2:$K$22),"",INDIRECT(ADDRESS(SMALL((IF($K$2:$K$22&lt;&gt;"",ROW($K$2:$K$22),ROW()+ROWS($K$2:$K$22))),ROW()-ROW($L$2:$L$22)+1),COLUMN($K$2:$K$22),4)))</f>
        <v>Unvollständig</v>
      </c>
      <c r="X5" s="477" t="str">
        <f t="array" aca="1" ref="X5" ca="1">IF(ROW()-ROW($M$2:$M$22)+1&gt;ROWS($L$2:$L$22)-COUNTBLANK($L$2:$L$22),"",INDIRECT(ADDRESS(SMALL((IF($L$2:$L$22&lt;&gt;"",ROW($L$2:$L$22),ROW()+ROWS($L$2:$L$22))),ROW()-ROW($M$2:$M$22)+1),COLUMN($L$2:$L$22),4)))</f>
        <v>-----</v>
      </c>
      <c r="Y5" s="477" t="str">
        <f t="array" aca="1" ref="Y5" ca="1">IF(ROW()-ROW($N$2:$N$22)+1&gt;ROWS($M$2:$M$22)-COUNTBLANK($M$2:$M$22),"",INDIRECT(ADDRESS(SMALL((IF($M$2:$M$22&lt;&gt;"",ROW($M$2:$M$22),ROW()+ROWS($M$2:$M$22))),ROW()-ROW($N$2:$N$22)+1),COLUMN($M$2:$M$22),4)))</f>
        <v>-----</v>
      </c>
    </row>
    <row r="6" spans="1:25" ht="62.1" customHeight="1">
      <c r="A6" s="477" t="str">
        <f>IF('Kennzahlenbogen_(KB)'!R24=0,"",'Kennzahlenbogen_(KB)'!R24)</f>
        <v>Unvollständig</v>
      </c>
      <c r="C6" s="479">
        <f>IF($A6="I.O.","",'Kennzahlenbogen_(KB)'!B24)</f>
        <v>2</v>
      </c>
      <c r="D6" s="473" t="str">
        <f>IF($A6="I.O.","",'Kennzahlenbogen_(KB)'!E24)</f>
        <v>Melanom: Fallbesprechung</v>
      </c>
      <c r="E6" s="487" t="str">
        <f>IF(AND('Kennzahlenbogen_(KB)'!L24="",$A6&lt;&gt;"I.O."),"-----",IF($A6="I.O.","",'Kennzahlenbogen_(KB)'!L24))</f>
        <v>-----</v>
      </c>
      <c r="F6" s="487" t="str">
        <f>IF($A6="I.O.","",'Kennzahlenbogen_(KB)'!M24)</f>
        <v>≥ 95%</v>
      </c>
      <c r="G6" s="487" t="str">
        <f>IF(AND('Kennzahlenbogen_(KB)'!O24="",$A6&lt;&gt;"I.O."),"-----",IF($A6="I.O.","",'Kennzahlenbogen_(KB)'!O24))</f>
        <v>-----</v>
      </c>
      <c r="H6" s="474" t="str">
        <f>IF($A6="I.O.","",IF('Kennzahlenbogen_(KB)'!Q24="","-----",'Kennzahlenbogen_(KB)'!Q24))</f>
        <v>-----</v>
      </c>
      <c r="I6" s="474">
        <f>IF($A6="I.O.","",IF('Kennzahlenbogen_(KB)'!Q25="","-----",'Kennzahlenbogen_(KB)'!Q25))</f>
        <v>0</v>
      </c>
      <c r="J6" s="475" t="str">
        <f>IF($A6="I.O.","",IF('Kennzahlenbogen_(KB)'!Q26="",0,'Kennzahlenbogen_(KB)'!Q26))</f>
        <v>n.d.</v>
      </c>
      <c r="K6" s="476" t="str">
        <f>IF($A6="I.O.","",'Kennzahlenbogen_(KB)'!R24)</f>
        <v>Unvollständig</v>
      </c>
      <c r="L6" s="470" t="str">
        <f>IF(AND('Kennzahlenbogen_(KB)'!S24="",$A6&lt;&gt;"I.O."),"-----",IF($A6="I.O.","",'Kennzahlenbogen_(KB)'!S24))</f>
        <v>-----</v>
      </c>
      <c r="M6" s="470" t="str">
        <f>IF(AND('Kennzahlenbogen_(KB)'!T24="",$A6&lt;&gt;"I.O."),"-----",IF($A6="I.O.","",'Kennzahlenbogen_(KB)'!T24))</f>
        <v>-----</v>
      </c>
      <c r="O6" s="482">
        <f t="array" aca="1" ref="O6" ca="1">IF(ROW()-ROW($D$2:$D$22)+1&gt;ROWS($C$2:$C$22)-COUNTBLANK($C$2:$C$22),"",INDIRECT(ADDRESS(SMALL((IF($C$2:$C$22&lt;&gt;"",ROW($C$2:$C$22),ROW()+ROWS($C$2:$C$22))),ROW()-ROW($D$2:$D$22)+1),COLUMN($C$2:$C$22),4)))</f>
        <v>2</v>
      </c>
      <c r="P6" s="488" t="str">
        <f t="array" aca="1" ref="P6" ca="1">IF(ROW()-ROW($E$2:$E$22)+1&gt;ROWS($D$2:$D$22)-COUNTBLANK($D$2:$D$22),"",INDIRECT(ADDRESS(SMALL((IF($D$2:$D$22&gt;"",ROW($D$2:$D$22),ROW()+ROWS($D$2:$D$22))),ROW()-ROW($E$2:$E$22)+1),COLUMN($D$2:$D$22),4)))</f>
        <v>Melanom: Fallbesprechung</v>
      </c>
      <c r="Q6" s="485" t="str">
        <f t="array" aca="1" ref="Q6" ca="1">IF(ROW()-ROW($F$2:$F$22)+1&gt;ROWS($E$2:$E$22)-COUNTBLANK($E$2:$E$22),"",INDIRECT(ADDRESS(SMALL((IF($E$2:$E$22&gt;"",ROW($E$2:$E$22),ROW()+ROWS($E$2:$E$22))),ROW()-ROW($F$2:$F$22)+1),COLUMN($E$2:$E$22),4)))</f>
        <v>-----</v>
      </c>
      <c r="R6" s="485" t="str">
        <f t="array" aca="1" ref="R6" ca="1">IF(ROW()-ROW($G$2:$G$22)+1&gt;ROWS($F$2:$F$22)-COUNTBLANK($F$2:$F$22),"",INDIRECT(ADDRESS(SMALL((IF($F$2:$F$22&gt;"",ROW($F$2:$F$22),ROW()+ROWS($F$2:$F$22))),ROW()-ROW($G$2:$G$22)+1),COLUMN($F$2:$F$22),4)))</f>
        <v>≥ 95%</v>
      </c>
      <c r="S6" s="485" t="str">
        <f t="array" aca="1" ref="S6" ca="1">IF(ROW()-ROW($H$2:$H$22)+1&gt;ROWS($G$2:$G$22)-COUNTBLANK($G$2:$G$22),"",INDIRECT(ADDRESS(SMALL((IF($G$2:$G$22&lt;&gt;"",ROW($G$2:$G$22),ROW()+ROWS($G$2:$G$22))),ROW()-ROW($H$2:$H$22)+1),COLUMN($G$2:$G$22),4)))</f>
        <v>-----</v>
      </c>
      <c r="T6" s="482" t="str">
        <f t="array" aca="1" ref="T6" ca="1">IF(ROW()-ROW($I$2:$I$22)+1&gt;ROWS($H$2:$H$22)-COUNTBLANK($H$2:$H$22),"",INDIRECT(ADDRESS(SMALL((IF($H$2:$H$22&lt;&gt;"",ROW($H$2:$H$22),ROW()+ROWS($H$2:$H$22))),ROW()-ROW($I$2:$I$22)+1),COLUMN($H$2:$H$22),4)))</f>
        <v>-----</v>
      </c>
      <c r="U6" s="482">
        <f t="array" aca="1" ref="U6" ca="1">IF(ROW()-ROW($J$2:$J$22)+1&gt;ROWS($I$2:$I$22)-COUNTBLANK($I$2:$I$22),"",INDIRECT(ADDRESS(SMALL((IF($I$2:$I$22&lt;&gt;"",ROW($I$2:$I$22),ROW()+ROWS($I$2:$I$22))),ROW()-ROW($J$2:$J$22)+1),COLUMN($I$2:$I$22),4)))</f>
        <v>0</v>
      </c>
      <c r="V6" s="484" t="str">
        <f t="array" aca="1" ref="V6" ca="1">IF(ROW()-ROW($K$2:$K$22)+1&gt;ROWS($J$2:$J$22)-COUNTBLANK($J$2:$J$22),"",INDIRECT(ADDRESS(SMALL((IF($J$2:$J$22&lt;&gt;"",ROW($J$2:$J$22),ROW()+ROWS($J$2:$J$22))),ROW()-ROW($K$2:$K$22)+1),COLUMN($J$2:$J$22),4)))</f>
        <v>n.d.</v>
      </c>
      <c r="W6" s="482" t="str">
        <f t="array" aca="1" ref="W6" ca="1">IF(ROW()-ROW($L$2:$L$22)+1&gt;ROWS($K$2:$K$22)-COUNTBLANK($K$2:$K$22),"",INDIRECT(ADDRESS(SMALL((IF($K$2:$K$22&lt;&gt;"",ROW($K$2:$K$22),ROW()+ROWS($K$2:$K$22))),ROW()-ROW($L$2:$L$22)+1),COLUMN($K$2:$K$22),4)))</f>
        <v>Unvollständig</v>
      </c>
      <c r="X6" s="477" t="str">
        <f t="array" aca="1" ref="X6" ca="1">IF(ROW()-ROW($M$2:$M$22)+1&gt;ROWS($L$2:$L$22)-COUNTBLANK($L$2:$L$22),"",INDIRECT(ADDRESS(SMALL((IF($L$2:$L$22&lt;&gt;"",ROW($L$2:$L$22),ROW()+ROWS($L$2:$L$22))),ROW()-ROW($M$2:$M$22)+1),COLUMN($L$2:$L$22),4)))</f>
        <v>-----</v>
      </c>
      <c r="Y6" s="477" t="str">
        <f t="array" aca="1" ref="Y6" ca="1">IF(ROW()-ROW($N$2:$N$22)+1&gt;ROWS($M$2:$M$22)-COUNTBLANK($M$2:$M$22),"",INDIRECT(ADDRESS(SMALL((IF($M$2:$M$22&lt;&gt;"",ROW($M$2:$M$22),ROW()+ROWS($M$2:$M$22))),ROW()-ROW($N$2:$N$22)+1),COLUMN($M$2:$M$22),4)))</f>
        <v>-----</v>
      </c>
    </row>
    <row r="7" spans="1:25" ht="62.1" customHeight="1">
      <c r="A7" s="477" t="str">
        <f>IF('Kennzahlenbogen_(KB)'!R27=0,"",'Kennzahlenbogen_(KB)'!R27)</f>
        <v>Unvollständig</v>
      </c>
      <c r="C7" s="479">
        <f>IF($A7="I.O.","",'Kennzahlenbogen_(KB)'!B27)</f>
        <v>3</v>
      </c>
      <c r="D7" s="473" t="str">
        <f>IF($A7="I.O.","",'Kennzahlenbogen_(KB)'!E27)</f>
        <v>Melanom: Therapieabweichung gegenüber Empfehlung Tumorkonferenz</v>
      </c>
      <c r="E7" s="487" t="str">
        <f>IF(AND('Kennzahlenbogen_(KB)'!L27="",$A7&lt;&gt;"I.O."),"-----",IF($A7="I.O.","",'Kennzahlenbogen_(KB)'!L27))</f>
        <v>≤ 3%</v>
      </c>
      <c r="F7" s="487" t="str">
        <f>IF($A7="I.O.","",'Kennzahlenbogen_(KB)'!M27)</f>
        <v>≤ 25%</v>
      </c>
      <c r="G7" s="487" t="str">
        <f>IF(AND('Kennzahlenbogen_(KB)'!O27="",$A7&lt;&gt;"I.O."),"-----",IF($A7="I.O.","",'Kennzahlenbogen_(KB)'!O27))</f>
        <v>-----</v>
      </c>
      <c r="H7" s="474" t="str">
        <f>IF($A7="I.O.","",IF('Kennzahlenbogen_(KB)'!Q27="","-----",'Kennzahlenbogen_(KB)'!Q27))</f>
        <v>-----</v>
      </c>
      <c r="I7" s="474">
        <f>IF($A7="I.O.","",IF('Kennzahlenbogen_(KB)'!Q28="","-----",'Kennzahlenbogen_(KB)'!Q28))</f>
        <v>0</v>
      </c>
      <c r="J7" s="475" t="str">
        <f>IF($A7="I.O.","",IF('Kennzahlenbogen_(KB)'!Q29="",0,'Kennzahlenbogen_(KB)'!Q29))</f>
        <v>n.d.</v>
      </c>
      <c r="K7" s="476" t="str">
        <f>IF($A7="I.O.","",'Kennzahlenbogen_(KB)'!R27)</f>
        <v>Unvollständig</v>
      </c>
      <c r="L7" s="470" t="str">
        <f>IF(AND('Kennzahlenbogen_(KB)'!S27="",$A7&lt;&gt;"I.O."),"-----",IF($A7="I.O.","",'Kennzahlenbogen_(KB)'!S27))</f>
        <v>-----</v>
      </c>
      <c r="M7" s="470" t="str">
        <f>IF(AND('Kennzahlenbogen_(KB)'!T27="",$A7&lt;&gt;"I.O."),"-----",IF($A7="I.O.","",'Kennzahlenbogen_(KB)'!T27))</f>
        <v>-----</v>
      </c>
      <c r="O7" s="482">
        <f t="array" aca="1" ref="O7" ca="1">IF(ROW()-ROW($D$2:$D$22)+1&gt;ROWS($C$2:$C$22)-COUNTBLANK($C$2:$C$22),"",INDIRECT(ADDRESS(SMALL((IF($C$2:$C$22&lt;&gt;"",ROW($C$2:$C$22),ROW()+ROWS($C$2:$C$22))),ROW()-ROW($D$2:$D$22)+1),COLUMN($C$2:$C$22),4)))</f>
        <v>3</v>
      </c>
      <c r="P7" s="488" t="str">
        <f t="array" aca="1" ref="P7" ca="1">IF(ROW()-ROW($E$2:$E$22)+1&gt;ROWS($D$2:$D$22)-COUNTBLANK($D$2:$D$22),"",INDIRECT(ADDRESS(SMALL((IF($D$2:$D$22&gt;"",ROW($D$2:$D$22),ROW()+ROWS($D$2:$D$22))),ROW()-ROW($E$2:$E$22)+1),COLUMN($D$2:$D$22),4)))</f>
        <v>Melanom: Therapieabweichung gegenüber Empfehlung Tumorkonferenz</v>
      </c>
      <c r="Q7" s="485" t="str">
        <f t="array" aca="1" ref="Q7" ca="1">IF(ROW()-ROW($F$2:$F$22)+1&gt;ROWS($E$2:$E$22)-COUNTBLANK($E$2:$E$22),"",INDIRECT(ADDRESS(SMALL((IF($E$2:$E$22&gt;"",ROW($E$2:$E$22),ROW()+ROWS($E$2:$E$22))),ROW()-ROW($F$2:$F$22)+1),COLUMN($E$2:$E$22),4)))</f>
        <v>≤ 3%</v>
      </c>
      <c r="R7" s="485" t="str">
        <f t="array" aca="1" ref="R7" ca="1">IF(ROW()-ROW($G$2:$G$22)+1&gt;ROWS($F$2:$F$22)-COUNTBLANK($F$2:$F$22),"",INDIRECT(ADDRESS(SMALL((IF($F$2:$F$22&gt;"",ROW($F$2:$F$22),ROW()+ROWS($F$2:$F$22))),ROW()-ROW($G$2:$G$22)+1),COLUMN($F$2:$F$22),4)))</f>
        <v>≤ 25%</v>
      </c>
      <c r="S7" s="485" t="str">
        <f t="array" aca="1" ref="S7" ca="1">IF(ROW()-ROW($H$2:$H$22)+1&gt;ROWS($G$2:$G$22)-COUNTBLANK($G$2:$G$22),"",INDIRECT(ADDRESS(SMALL((IF($G$2:$G$22&lt;&gt;"",ROW($G$2:$G$22),ROW()+ROWS($G$2:$G$22))),ROW()-ROW($H$2:$H$22)+1),COLUMN($G$2:$G$22),4)))</f>
        <v>-----</v>
      </c>
      <c r="T7" s="482" t="str">
        <f t="array" aca="1" ref="T7" ca="1">IF(ROW()-ROW($I$2:$I$22)+1&gt;ROWS($H$2:$H$22)-COUNTBLANK($H$2:$H$22),"",INDIRECT(ADDRESS(SMALL((IF($H$2:$H$22&lt;&gt;"",ROW($H$2:$H$22),ROW()+ROWS($H$2:$H$22))),ROW()-ROW($I$2:$I$22)+1),COLUMN($H$2:$H$22),4)))</f>
        <v>-----</v>
      </c>
      <c r="U7" s="482">
        <f t="array" aca="1" ref="U7" ca="1">IF(ROW()-ROW($J$2:$J$22)+1&gt;ROWS($I$2:$I$22)-COUNTBLANK($I$2:$I$22),"",INDIRECT(ADDRESS(SMALL((IF($I$2:$I$22&lt;&gt;"",ROW($I$2:$I$22),ROW()+ROWS($I$2:$I$22))),ROW()-ROW($J$2:$J$22)+1),COLUMN($I$2:$I$22),4)))</f>
        <v>0</v>
      </c>
      <c r="V7" s="484" t="str">
        <f t="array" aca="1" ref="V7" ca="1">IF(ROW()-ROW($K$2:$K$22)+1&gt;ROWS($J$2:$J$22)-COUNTBLANK($J$2:$J$22),"",INDIRECT(ADDRESS(SMALL((IF($J$2:$J$22&lt;&gt;"",ROW($J$2:$J$22),ROW()+ROWS($J$2:$J$22))),ROW()-ROW($K$2:$K$22)+1),COLUMN($J$2:$J$22),4)))</f>
        <v>n.d.</v>
      </c>
      <c r="W7" s="482" t="str">
        <f t="array" aca="1" ref="W7" ca="1">IF(ROW()-ROW($L$2:$L$22)+1&gt;ROWS($K$2:$K$22)-COUNTBLANK($K$2:$K$22),"",INDIRECT(ADDRESS(SMALL((IF($K$2:$K$22&lt;&gt;"",ROW($K$2:$K$22),ROW()+ROWS($K$2:$K$22))),ROW()-ROW($L$2:$L$22)+1),COLUMN($K$2:$K$22),4)))</f>
        <v>Unvollständig</v>
      </c>
      <c r="X7" s="477" t="str">
        <f t="array" aca="1" ref="X7" ca="1">IF(ROW()-ROW($M$2:$M$22)+1&gt;ROWS($L$2:$L$22)-COUNTBLANK($L$2:$L$22),"",INDIRECT(ADDRESS(SMALL((IF($L$2:$L$22&lt;&gt;"",ROW($L$2:$L$22),ROW()+ROWS($L$2:$L$22))),ROW()-ROW($M$2:$M$22)+1),COLUMN($L$2:$L$22),4)))</f>
        <v>-----</v>
      </c>
      <c r="Y7" s="477" t="str">
        <f t="array" aca="1" ref="Y7" ca="1">IF(ROW()-ROW($N$2:$N$22)+1&gt;ROWS($M$2:$M$22)-COUNTBLANK($M$2:$M$22),"",INDIRECT(ADDRESS(SMALL((IF($M$2:$M$22&lt;&gt;"",ROW($M$2:$M$22),ROW()+ROWS($M$2:$M$22))),ROW()-ROW($N$2:$N$22)+1),COLUMN($M$2:$M$22),4)))</f>
        <v>-----</v>
      </c>
    </row>
    <row r="8" spans="1:25" ht="62.1" customHeight="1">
      <c r="A8" s="477" t="str">
        <f>IF('Kennzahlenbogen_(KB)'!R30=0,"",'Kennzahlenbogen_(KB)'!R30)</f>
        <v>Unvollständig</v>
      </c>
      <c r="C8" s="479">
        <f>IF($A8="I.O.","",'Kennzahlenbogen_(KB)'!B30)</f>
        <v>4</v>
      </c>
      <c r="D8" s="473" t="str">
        <f>IF($A8="I.O.","",'Kennzahlenbogen_(KB)'!E30)</f>
        <v>Melanom: Psychoonkologische Betreuung</v>
      </c>
      <c r="E8" s="487" t="str">
        <f>IF(AND('Kennzahlenbogen_(KB)'!L30="",$A8&lt;&gt;"I.O."),"-----",IF($A8="I.O.","",'Kennzahlenbogen_(KB)'!L30))</f>
        <v>&lt; 5%</v>
      </c>
      <c r="F8" s="487" t="str">
        <f>IF($A8="I.O.","",'Kennzahlenbogen_(KB)'!M30)</f>
        <v>Derzeit keine Vorgaben</v>
      </c>
      <c r="G8" s="487" t="str">
        <f>IF(AND('Kennzahlenbogen_(KB)'!O30="",$A8&lt;&gt;"I.O."),"-----",IF($A8="I.O.","",'Kennzahlenbogen_(KB)'!O30))</f>
        <v>&gt; 70%</v>
      </c>
      <c r="H8" s="474" t="str">
        <f>IF($A8="I.O.","",IF('Kennzahlenbogen_(KB)'!Q30="","-----",'Kennzahlenbogen_(KB)'!Q30))</f>
        <v>-----</v>
      </c>
      <c r="I8" s="474">
        <f>IF($A8="I.O.","",IF('Kennzahlenbogen_(KB)'!Q31="","-----",'Kennzahlenbogen_(KB)'!Q31))</f>
        <v>0</v>
      </c>
      <c r="J8" s="475" t="str">
        <f>IF($A8="I.O.","",IF('Kennzahlenbogen_(KB)'!Q32="",0,'Kennzahlenbogen_(KB)'!Q32))</f>
        <v>n.d.</v>
      </c>
      <c r="K8" s="476" t="str">
        <f>IF($A8="I.O.","",'Kennzahlenbogen_(KB)'!R30)</f>
        <v>Unvollständig</v>
      </c>
      <c r="L8" s="470" t="str">
        <f>IF(AND('Kennzahlenbogen_(KB)'!S30="",$A8&lt;&gt;"I.O."),"-----",IF($A8="I.O.","",'Kennzahlenbogen_(KB)'!S30))</f>
        <v>-----</v>
      </c>
      <c r="M8" s="470" t="str">
        <f>IF(AND('Kennzahlenbogen_(KB)'!T30="",$A8&lt;&gt;"I.O."),"-----",IF($A8="I.O.","",'Kennzahlenbogen_(KB)'!T30))</f>
        <v>-----</v>
      </c>
      <c r="O8" s="482">
        <f t="array" aca="1" ref="O8" ca="1">IF(ROW()-ROW($D$2:$D$22)+1&gt;ROWS($C$2:$C$22)-COUNTBLANK($C$2:$C$22),"",INDIRECT(ADDRESS(SMALL((IF($C$2:$C$22&lt;&gt;"",ROW($C$2:$C$22),ROW()+ROWS($C$2:$C$22))),ROW()-ROW($D$2:$D$22)+1),COLUMN($C$2:$C$22),4)))</f>
        <v>4</v>
      </c>
      <c r="P8" s="488" t="str">
        <f t="array" aca="1" ref="P8" ca="1">IF(ROW()-ROW($E$2:$E$22)+1&gt;ROWS($D$2:$D$22)-COUNTBLANK($D$2:$D$22),"",INDIRECT(ADDRESS(SMALL((IF($D$2:$D$22&gt;"",ROW($D$2:$D$22),ROW()+ROWS($D$2:$D$22))),ROW()-ROW($E$2:$E$22)+1),COLUMN($D$2:$D$22),4)))</f>
        <v>Melanom: Psychoonkologische Betreuung</v>
      </c>
      <c r="Q8" s="485" t="str">
        <f t="array" aca="1" ref="Q8" ca="1">IF(ROW()-ROW($F$2:$F$22)+1&gt;ROWS($E$2:$E$22)-COUNTBLANK($E$2:$E$22),"",INDIRECT(ADDRESS(SMALL((IF($E$2:$E$22&gt;"",ROW($E$2:$E$22),ROW()+ROWS($E$2:$E$22))),ROW()-ROW($F$2:$F$22)+1),COLUMN($E$2:$E$22),4)))</f>
        <v>&lt; 5%</v>
      </c>
      <c r="R8" s="485" t="str">
        <f t="array" aca="1" ref="R8" ca="1">IF(ROW()-ROW($G$2:$G$22)+1&gt;ROWS($F$2:$F$22)-COUNTBLANK($F$2:$F$22),"",INDIRECT(ADDRESS(SMALL((IF($F$2:$F$22&gt;"",ROW($F$2:$F$22),ROW()+ROWS($F$2:$F$22))),ROW()-ROW($G$2:$G$22)+1),COLUMN($F$2:$F$22),4)))</f>
        <v>Derzeit keine Vorgaben</v>
      </c>
      <c r="S8" s="485" t="str">
        <f t="array" aca="1" ref="S8" ca="1">IF(ROW()-ROW($H$2:$H$22)+1&gt;ROWS($G$2:$G$22)-COUNTBLANK($G$2:$G$22),"",INDIRECT(ADDRESS(SMALL((IF($G$2:$G$22&lt;&gt;"",ROW($G$2:$G$22),ROW()+ROWS($G$2:$G$22))),ROW()-ROW($H$2:$H$22)+1),COLUMN($G$2:$G$22),4)))</f>
        <v>&gt; 70%</v>
      </c>
      <c r="T8" s="482" t="str">
        <f t="array" aca="1" ref="T8" ca="1">IF(ROW()-ROW($I$2:$I$22)+1&gt;ROWS($H$2:$H$22)-COUNTBLANK($H$2:$H$22),"",INDIRECT(ADDRESS(SMALL((IF($H$2:$H$22&lt;&gt;"",ROW($H$2:$H$22),ROW()+ROWS($H$2:$H$22))),ROW()-ROW($I$2:$I$22)+1),COLUMN($H$2:$H$22),4)))</f>
        <v>-----</v>
      </c>
      <c r="U8" s="482">
        <f t="array" aca="1" ref="U8" ca="1">IF(ROW()-ROW($J$2:$J$22)+1&gt;ROWS($I$2:$I$22)-COUNTBLANK($I$2:$I$22),"",INDIRECT(ADDRESS(SMALL((IF($I$2:$I$22&lt;&gt;"",ROW($I$2:$I$22),ROW()+ROWS($I$2:$I$22))),ROW()-ROW($J$2:$J$22)+1),COLUMN($I$2:$I$22),4)))</f>
        <v>0</v>
      </c>
      <c r="V8" s="484" t="str">
        <f t="array" aca="1" ref="V8" ca="1">IF(ROW()-ROW($K$2:$K$22)+1&gt;ROWS($J$2:$J$22)-COUNTBLANK($J$2:$J$22),"",INDIRECT(ADDRESS(SMALL((IF($J$2:$J$22&lt;&gt;"",ROW($J$2:$J$22),ROW()+ROWS($J$2:$J$22))),ROW()-ROW($K$2:$K$22)+1),COLUMN($J$2:$J$22),4)))</f>
        <v>n.d.</v>
      </c>
      <c r="W8" s="482" t="str">
        <f t="array" aca="1" ref="W8" ca="1">IF(ROW()-ROW($L$2:$L$22)+1&gt;ROWS($K$2:$K$22)-COUNTBLANK($K$2:$K$22),"",INDIRECT(ADDRESS(SMALL((IF($K$2:$K$22&lt;&gt;"",ROW($K$2:$K$22),ROW()+ROWS($K$2:$K$22))),ROW()-ROW($L$2:$L$22)+1),COLUMN($K$2:$K$22),4)))</f>
        <v>Unvollständig</v>
      </c>
      <c r="X8" s="477" t="str">
        <f t="array" aca="1" ref="X8" ca="1">IF(ROW()-ROW($M$2:$M$22)+1&gt;ROWS($L$2:$L$22)-COUNTBLANK($L$2:$L$22),"",INDIRECT(ADDRESS(SMALL((IF($L$2:$L$22&lt;&gt;"",ROW($L$2:$L$22),ROW()+ROWS($L$2:$L$22))),ROW()-ROW($M$2:$M$22)+1),COLUMN($L$2:$L$22),4)))</f>
        <v>-----</v>
      </c>
      <c r="Y8" s="477" t="str">
        <f t="array" aca="1" ref="Y8" ca="1">IF(ROW()-ROW($N$2:$N$22)+1&gt;ROWS($M$2:$M$22)-COUNTBLANK($M$2:$M$22),"",INDIRECT(ADDRESS(SMALL((IF($M$2:$M$22&lt;&gt;"",ROW($M$2:$M$22),ROW()+ROWS($M$2:$M$22))),ROW()-ROW($N$2:$N$22)+1),COLUMN($M$2:$M$22),4)))</f>
        <v>-----</v>
      </c>
    </row>
    <row r="9" spans="1:25" ht="62.1" customHeight="1">
      <c r="A9" s="477" t="str">
        <f>IF('Kennzahlenbogen_(KB)'!R33=0,"",'Kennzahlenbogen_(KB)'!R33)</f>
        <v>Unvollständig</v>
      </c>
      <c r="C9" s="479">
        <f>IF($A9="I.O.","",'Kennzahlenbogen_(KB)'!B33)</f>
        <v>5</v>
      </c>
      <c r="D9" s="473" t="str">
        <f>IF($A9="I.O.","",'Kennzahlenbogen_(KB)'!E33)</f>
        <v>Melanom: 
Beratung Sozialdienst</v>
      </c>
      <c r="E9" s="487" t="str">
        <f>IF(AND('Kennzahlenbogen_(KB)'!L33="",$A9&lt;&gt;"I.O."),"-----",IF($A9="I.O.","",'Kennzahlenbogen_(KB)'!L33))</f>
        <v>&lt; 15%</v>
      </c>
      <c r="F9" s="487" t="str">
        <f>IF($A9="I.O.","",'Kennzahlenbogen_(KB)'!M33)</f>
        <v>Derzeit keine Vorgaben</v>
      </c>
      <c r="G9" s="487" t="str">
        <f>IF(AND('Kennzahlenbogen_(KB)'!O33="",$A9&lt;&gt;"I.O."),"-----",IF($A9="I.O.","",'Kennzahlenbogen_(KB)'!O33))</f>
        <v>-----</v>
      </c>
      <c r="H9" s="474" t="str">
        <f>IF($A9="I.O.","",IF('Kennzahlenbogen_(KB)'!Q33="","-----",'Kennzahlenbogen_(KB)'!Q33))</f>
        <v>-----</v>
      </c>
      <c r="I9" s="474">
        <f>IF($A9="I.O.","",IF('Kennzahlenbogen_(KB)'!Q34="","-----",'Kennzahlenbogen_(KB)'!Q34))</f>
        <v>0</v>
      </c>
      <c r="J9" s="475" t="str">
        <f>IF($A9="I.O.","",IF('Kennzahlenbogen_(KB)'!Q35="",0,'Kennzahlenbogen_(KB)'!Q35))</f>
        <v>n.d.</v>
      </c>
      <c r="K9" s="476" t="str">
        <f>IF($A9="I.O.","",'Kennzahlenbogen_(KB)'!R33)</f>
        <v>Unvollständig</v>
      </c>
      <c r="L9" s="470" t="str">
        <f>IF(AND('Kennzahlenbogen_(KB)'!S33="",$A9&lt;&gt;"I.O."),"-----",IF($A9="I.O.","",'Kennzahlenbogen_(KB)'!S33))</f>
        <v>-----</v>
      </c>
      <c r="M9" s="470" t="str">
        <f>IF(AND('Kennzahlenbogen_(KB)'!T33="",$A9&lt;&gt;"I.O."),"-----",IF($A9="I.O.","",'Kennzahlenbogen_(KB)'!T33))</f>
        <v>-----</v>
      </c>
      <c r="O9" s="482">
        <f t="array" aca="1" ref="O9" ca="1">IF(ROW()-ROW($D$2:$D$22)+1&gt;ROWS($C$2:$C$22)-COUNTBLANK($C$2:$C$22),"",INDIRECT(ADDRESS(SMALL((IF($C$2:$C$22&lt;&gt;"",ROW($C$2:$C$22),ROW()+ROWS($C$2:$C$22))),ROW()-ROW($D$2:$D$22)+1),COLUMN($C$2:$C$22),4)))</f>
        <v>5</v>
      </c>
      <c r="P9" s="488" t="str">
        <f t="array" aca="1" ref="P9" ca="1">IF(ROW()-ROW($E$2:$E$22)+1&gt;ROWS($D$2:$D$22)-COUNTBLANK($D$2:$D$22),"",INDIRECT(ADDRESS(SMALL((IF($D$2:$D$22&gt;"",ROW($D$2:$D$22),ROW()+ROWS($D$2:$D$22))),ROW()-ROW($E$2:$E$22)+1),COLUMN($D$2:$D$22),4)))</f>
        <v>Melanom: 
Beratung Sozialdienst</v>
      </c>
      <c r="Q9" s="485" t="str">
        <f t="array" aca="1" ref="Q9" ca="1">IF(ROW()-ROW($F$2:$F$22)+1&gt;ROWS($E$2:$E$22)-COUNTBLANK($E$2:$E$22),"",INDIRECT(ADDRESS(SMALL((IF($E$2:$E$22&gt;"",ROW($E$2:$E$22),ROW()+ROWS($E$2:$E$22))),ROW()-ROW($F$2:$F$22)+1),COLUMN($E$2:$E$22),4)))</f>
        <v>&lt; 15%</v>
      </c>
      <c r="R9" s="485" t="str">
        <f t="array" aca="1" ref="R9" ca="1">IF(ROW()-ROW($G$2:$G$22)+1&gt;ROWS($F$2:$F$22)-COUNTBLANK($F$2:$F$22),"",INDIRECT(ADDRESS(SMALL((IF($F$2:$F$22&gt;"",ROW($F$2:$F$22),ROW()+ROWS($F$2:$F$22))),ROW()-ROW($G$2:$G$22)+1),COLUMN($F$2:$F$22),4)))</f>
        <v>Derzeit keine Vorgaben</v>
      </c>
      <c r="S9" s="485" t="str">
        <f t="array" aca="1" ref="S9" ca="1">IF(ROW()-ROW($H$2:$H$22)+1&gt;ROWS($G$2:$G$22)-COUNTBLANK($G$2:$G$22),"",INDIRECT(ADDRESS(SMALL((IF($G$2:$G$22&lt;&gt;"",ROW($G$2:$G$22),ROW()+ROWS($G$2:$G$22))),ROW()-ROW($H$2:$H$22)+1),COLUMN($G$2:$G$22),4)))</f>
        <v>-----</v>
      </c>
      <c r="T9" s="482" t="str">
        <f t="array" aca="1" ref="T9" ca="1">IF(ROW()-ROW($I$2:$I$22)+1&gt;ROWS($H$2:$H$22)-COUNTBLANK($H$2:$H$22),"",INDIRECT(ADDRESS(SMALL((IF($H$2:$H$22&lt;&gt;"",ROW($H$2:$H$22),ROW()+ROWS($H$2:$H$22))),ROW()-ROW($I$2:$I$22)+1),COLUMN($H$2:$H$22),4)))</f>
        <v>-----</v>
      </c>
      <c r="U9" s="482">
        <f t="array" aca="1" ref="U9" ca="1">IF(ROW()-ROW($J$2:$J$22)+1&gt;ROWS($I$2:$I$22)-COUNTBLANK($I$2:$I$22),"",INDIRECT(ADDRESS(SMALL((IF($I$2:$I$22&lt;&gt;"",ROW($I$2:$I$22),ROW()+ROWS($I$2:$I$22))),ROW()-ROW($J$2:$J$22)+1),COLUMN($I$2:$I$22),4)))</f>
        <v>0</v>
      </c>
      <c r="V9" s="484" t="str">
        <f t="array" aca="1" ref="V9" ca="1">IF(ROW()-ROW($K$2:$K$22)+1&gt;ROWS($J$2:$J$22)-COUNTBLANK($J$2:$J$22),"",INDIRECT(ADDRESS(SMALL((IF($J$2:$J$22&lt;&gt;"",ROW($J$2:$J$22),ROW()+ROWS($J$2:$J$22))),ROW()-ROW($K$2:$K$22)+1),COLUMN($J$2:$J$22),4)))</f>
        <v>n.d.</v>
      </c>
      <c r="W9" s="482" t="str">
        <f t="array" aca="1" ref="W9" ca="1">IF(ROW()-ROW($L$2:$L$22)+1&gt;ROWS($K$2:$K$22)-COUNTBLANK($K$2:$K$22),"",INDIRECT(ADDRESS(SMALL((IF($K$2:$K$22&lt;&gt;"",ROW($K$2:$K$22),ROW()+ROWS($K$2:$K$22))),ROW()-ROW($L$2:$L$22)+1),COLUMN($K$2:$K$22),4)))</f>
        <v>Unvollständig</v>
      </c>
      <c r="X9" s="477" t="str">
        <f t="array" aca="1" ref="X9" ca="1">IF(ROW()-ROW($M$2:$M$22)+1&gt;ROWS($L$2:$L$22)-COUNTBLANK($L$2:$L$22),"",INDIRECT(ADDRESS(SMALL((IF($L$2:$L$22&lt;&gt;"",ROW($L$2:$L$22),ROW()+ROWS($L$2:$L$22))),ROW()-ROW($M$2:$M$22)+1),COLUMN($L$2:$L$22),4)))</f>
        <v>-----</v>
      </c>
      <c r="Y9" s="477" t="str">
        <f t="array" aca="1" ref="Y9" ca="1">IF(ROW()-ROW($N$2:$N$22)+1&gt;ROWS($M$2:$M$22)-COUNTBLANK($M$2:$M$22),"",INDIRECT(ADDRESS(SMALL((IF($M$2:$M$22&lt;&gt;"",ROW($M$2:$M$22),ROW()+ROWS($M$2:$M$22))),ROW()-ROW($N$2:$N$22)+1),COLUMN($M$2:$M$22),4)))</f>
        <v>-----</v>
      </c>
    </row>
    <row r="10" spans="1:25" ht="62.1" customHeight="1">
      <c r="A10" s="477" t="str">
        <f>IF('Kennzahlenbogen_(KB)'!R36=0,"",'Kennzahlenbogen_(KB)'!R36)</f>
        <v>Unvollständig</v>
      </c>
      <c r="C10" s="479">
        <f>IF($A10="I.O.","",'Kennzahlenbogen_(KB)'!B36)</f>
        <v>6</v>
      </c>
      <c r="D10" s="473" t="str">
        <f>IF($A10="I.O.","",'Kennzahlenbogen_(KB)'!E36)</f>
        <v>Melanom:
Anteil Studienpat.</v>
      </c>
      <c r="E10" s="487" t="str">
        <f>IF(AND('Kennzahlenbogen_(KB)'!L36="",$A10&lt;&gt;"I.O."),"-----",IF($A10="I.O.","",'Kennzahlenbogen_(KB)'!L36))</f>
        <v>-----</v>
      </c>
      <c r="F10" s="487" t="str">
        <f>IF($A10="I.O.","",'Kennzahlenbogen_(KB)'!M36)</f>
        <v>≥ 5%</v>
      </c>
      <c r="G10" s="487" t="str">
        <f>IF(AND('Kennzahlenbogen_(KB)'!O36="",$A10&lt;&gt;"I.O."),"-----",IF($A10="I.O.","",'Kennzahlenbogen_(KB)'!O36))</f>
        <v>&gt; 80%</v>
      </c>
      <c r="H10" s="474" t="str">
        <f>IF($A10="I.O.","",IF('Kennzahlenbogen_(KB)'!Q36="","-----",'Kennzahlenbogen_(KB)'!Q36))</f>
        <v>-----</v>
      </c>
      <c r="I10" s="474" t="str">
        <f>IF($A10="I.O.","",IF('Kennzahlenbogen_(KB)'!Q37="","-----",'Kennzahlenbogen_(KB)'!Q37))</f>
        <v>-----</v>
      </c>
      <c r="J10" s="475" t="str">
        <f>IF($A10="I.O.","",IF('Kennzahlenbogen_(KB)'!Q38="",0,'Kennzahlenbogen_(KB)'!Q38))</f>
        <v>n.d.</v>
      </c>
      <c r="K10" s="476" t="str">
        <f>IF($A10="I.O.","",'Kennzahlenbogen_(KB)'!R36)</f>
        <v>Unvollständig</v>
      </c>
      <c r="L10" s="470" t="str">
        <f>IF(AND('Kennzahlenbogen_(KB)'!S36="",$A10&lt;&gt;"I.O."),"-----",IF($A10="I.O.","",'Kennzahlenbogen_(KB)'!S36))</f>
        <v>-----</v>
      </c>
      <c r="M10" s="470" t="str">
        <f>IF(AND('Kennzahlenbogen_(KB)'!T36="",$A10&lt;&gt;"I.O."),"-----",IF($A10="I.O.","",'Kennzahlenbogen_(KB)'!T36))</f>
        <v>-----</v>
      </c>
      <c r="O10" s="482">
        <f t="array" aca="1" ref="O10" ca="1">IF(ROW()-ROW($D$2:$D$22)+1&gt;ROWS($C$2:$C$22)-COUNTBLANK($C$2:$C$22),"",INDIRECT(ADDRESS(SMALL((IF($C$2:$C$22&lt;&gt;"",ROW($C$2:$C$22),ROW()+ROWS($C$2:$C$22))),ROW()-ROW($D$2:$D$22)+1),COLUMN($C$2:$C$22),4)))</f>
        <v>6</v>
      </c>
      <c r="P10" s="488" t="str">
        <f t="array" aca="1" ref="P10" ca="1">IF(ROW()-ROW($E$2:$E$22)+1&gt;ROWS($D$2:$D$22)-COUNTBLANK($D$2:$D$22),"",INDIRECT(ADDRESS(SMALL((IF($D$2:$D$22&gt;"",ROW($D$2:$D$22),ROW()+ROWS($D$2:$D$22))),ROW()-ROW($E$2:$E$22)+1),COLUMN($D$2:$D$22),4)))</f>
        <v>Melanom:
Anteil Studienpat.</v>
      </c>
      <c r="Q10" s="485" t="str">
        <f t="array" aca="1" ref="Q10" ca="1">IF(ROW()-ROW($F$2:$F$22)+1&gt;ROWS($E$2:$E$22)-COUNTBLANK($E$2:$E$22),"",INDIRECT(ADDRESS(SMALL((IF($E$2:$E$22&gt;"",ROW($E$2:$E$22),ROW()+ROWS($E$2:$E$22))),ROW()-ROW($F$2:$F$22)+1),COLUMN($E$2:$E$22),4)))</f>
        <v>-----</v>
      </c>
      <c r="R10" s="485" t="str">
        <f t="array" aca="1" ref="R10" ca="1">IF(ROW()-ROW($G$2:$G$22)+1&gt;ROWS($F$2:$F$22)-COUNTBLANK($F$2:$F$22),"",INDIRECT(ADDRESS(SMALL((IF($F$2:$F$22&gt;"",ROW($F$2:$F$22),ROW()+ROWS($F$2:$F$22))),ROW()-ROW($G$2:$G$22)+1),COLUMN($F$2:$F$22),4)))</f>
        <v>≥ 5%</v>
      </c>
      <c r="S10" s="485" t="str">
        <f t="array" aca="1" ref="S10" ca="1">IF(ROW()-ROW($H$2:$H$22)+1&gt;ROWS($G$2:$G$22)-COUNTBLANK($G$2:$G$22),"",INDIRECT(ADDRESS(SMALL((IF($G$2:$G$22&lt;&gt;"",ROW($G$2:$G$22),ROW()+ROWS($G$2:$G$22))),ROW()-ROW($H$2:$H$22)+1),COLUMN($G$2:$G$22),4)))</f>
        <v>&gt; 80%</v>
      </c>
      <c r="T10" s="482" t="str">
        <f t="array" aca="1" ref="T10" ca="1">IF(ROW()-ROW($I$2:$I$22)+1&gt;ROWS($H$2:$H$22)-COUNTBLANK($H$2:$H$22),"",INDIRECT(ADDRESS(SMALL((IF($H$2:$H$22&lt;&gt;"",ROW($H$2:$H$22),ROW()+ROWS($H$2:$H$22))),ROW()-ROW($I$2:$I$22)+1),COLUMN($H$2:$H$22),4)))</f>
        <v>-----</v>
      </c>
      <c r="U10" s="482" t="str">
        <f t="array" aca="1" ref="U10" ca="1">IF(ROW()-ROW($J$2:$J$22)+1&gt;ROWS($I$2:$I$22)-COUNTBLANK($I$2:$I$22),"",INDIRECT(ADDRESS(SMALL((IF($I$2:$I$22&lt;&gt;"",ROW($I$2:$I$22),ROW()+ROWS($I$2:$I$22))),ROW()-ROW($J$2:$J$22)+1),COLUMN($I$2:$I$22),4)))</f>
        <v>-----</v>
      </c>
      <c r="V10" s="484" t="str">
        <f t="array" aca="1" ref="V10" ca="1">IF(ROW()-ROW($K$2:$K$22)+1&gt;ROWS($J$2:$J$22)-COUNTBLANK($J$2:$J$22),"",INDIRECT(ADDRESS(SMALL((IF($J$2:$J$22&lt;&gt;"",ROW($J$2:$J$22),ROW()+ROWS($J$2:$J$22))),ROW()-ROW($K$2:$K$22)+1),COLUMN($J$2:$J$22),4)))</f>
        <v>n.d.</v>
      </c>
      <c r="W10" s="482" t="str">
        <f t="array" aca="1" ref="W10" ca="1">IF(ROW()-ROW($L$2:$L$22)+1&gt;ROWS($K$2:$K$22)-COUNTBLANK($K$2:$K$22),"",INDIRECT(ADDRESS(SMALL((IF($K$2:$K$22&lt;&gt;"",ROW($K$2:$K$22),ROW()+ROWS($K$2:$K$22))),ROW()-ROW($L$2:$L$22)+1),COLUMN($K$2:$K$22),4)))</f>
        <v>Unvollständig</v>
      </c>
      <c r="X10" s="477" t="str">
        <f t="array" aca="1" ref="X10" ca="1">IF(ROW()-ROW($M$2:$M$22)+1&gt;ROWS($L$2:$L$22)-COUNTBLANK($L$2:$L$22),"",INDIRECT(ADDRESS(SMALL((IF($L$2:$L$22&lt;&gt;"",ROW($L$2:$L$22),ROW()+ROWS($L$2:$L$22))),ROW()-ROW($M$2:$M$22)+1),COLUMN($L$2:$L$22),4)))</f>
        <v>-----</v>
      </c>
      <c r="Y10" s="477" t="str">
        <f t="array" aca="1" ref="Y10" ca="1">IF(ROW()-ROW($N$2:$N$22)+1&gt;ROWS($M$2:$M$22)-COUNTBLANK($M$2:$M$22),"",INDIRECT(ADDRESS(SMALL((IF($M$2:$M$22&lt;&gt;"",ROW($M$2:$M$22),ROW()+ROWS($M$2:$M$22))),ROW()-ROW($N$2:$N$22)+1),COLUMN($M$2:$M$22),4)))</f>
        <v>-----</v>
      </c>
    </row>
    <row r="11" spans="1:25" ht="62.1" customHeight="1">
      <c r="A11" s="477" t="str">
        <f>IF('Kennzahlenbogen_(KB)'!R39=0,"",'Kennzahlenbogen_(KB)'!R39)</f>
        <v>Unvollständig</v>
      </c>
      <c r="C11" s="479">
        <f>IF($A11="I.O.","",'Kennzahlenbogen_(KB)'!B39)</f>
        <v>7</v>
      </c>
      <c r="D11" s="473" t="str">
        <f>IF($A11="I.O.","",'Kennzahlenbogen_(KB)'!E39)</f>
        <v xml:space="preserve">Sentinel Node-Biopsie </v>
      </c>
      <c r="E11" s="487" t="str">
        <f>IF(AND('Kennzahlenbogen_(KB)'!L39="",$A11&lt;&gt;"I.O."),"-----",IF($A11="I.O.","",'Kennzahlenbogen_(KB)'!L39))</f>
        <v>-----</v>
      </c>
      <c r="F11" s="487" t="str">
        <f>IF($A11="I.O.","",'Kennzahlenbogen_(KB)'!M39)</f>
        <v>≥ 90%</v>
      </c>
      <c r="G11" s="487" t="str">
        <f>IF(AND('Kennzahlenbogen_(KB)'!O39="",$A11&lt;&gt;"I.O."),"-----",IF($A11="I.O.","",'Kennzahlenbogen_(KB)'!O39))</f>
        <v>-----</v>
      </c>
      <c r="H11" s="474" t="str">
        <f>IF($A11="I.O.","",IF('Kennzahlenbogen_(KB)'!Q39="","-----",'Kennzahlenbogen_(KB)'!Q39))</f>
        <v>-----</v>
      </c>
      <c r="I11" s="474" t="str">
        <f>IF($A11="I.O.","",IF('Kennzahlenbogen_(KB)'!Q40="","-----",'Kennzahlenbogen_(KB)'!Q40))</f>
        <v>-----</v>
      </c>
      <c r="J11" s="475" t="str">
        <f>IF($A11="I.O.","",IF('Kennzahlenbogen_(KB)'!Q41="",0,'Kennzahlenbogen_(KB)'!Q41))</f>
        <v>n.d.</v>
      </c>
      <c r="K11" s="476" t="str">
        <f>IF($A11="I.O.","",'Kennzahlenbogen_(KB)'!R39)</f>
        <v>Unvollständig</v>
      </c>
      <c r="L11" s="470" t="str">
        <f>IF(AND('Kennzahlenbogen_(KB)'!S39="",$A11&lt;&gt;"I.O."),"-----",IF($A11="I.O.","",'Kennzahlenbogen_(KB)'!S39))</f>
        <v>-----</v>
      </c>
      <c r="M11" s="470" t="str">
        <f>IF(AND('Kennzahlenbogen_(KB)'!T39="",$A11&lt;&gt;"I.O."),"-----",IF($A11="I.O.","",'Kennzahlenbogen_(KB)'!T39))</f>
        <v>-----</v>
      </c>
      <c r="O11" s="482">
        <f t="array" aca="1" ref="O11" ca="1">IF(ROW()-ROW($D$2:$D$22)+1&gt;ROWS($C$2:$C$22)-COUNTBLANK($C$2:$C$22),"",INDIRECT(ADDRESS(SMALL((IF($C$2:$C$22&lt;&gt;"",ROW($C$2:$C$22),ROW()+ROWS($C$2:$C$22))),ROW()-ROW($D$2:$D$22)+1),COLUMN($C$2:$C$22),4)))</f>
        <v>7</v>
      </c>
      <c r="P11" s="488" t="str">
        <f t="array" aca="1" ref="P11" ca="1">IF(ROW()-ROW($E$2:$E$22)+1&gt;ROWS($D$2:$D$22)-COUNTBLANK($D$2:$D$22),"",INDIRECT(ADDRESS(SMALL((IF($D$2:$D$22&gt;"",ROW($D$2:$D$22),ROW()+ROWS($D$2:$D$22))),ROW()-ROW($E$2:$E$22)+1),COLUMN($D$2:$D$22),4)))</f>
        <v xml:space="preserve">Sentinel Node-Biopsie </v>
      </c>
      <c r="Q11" s="485" t="str">
        <f t="array" aca="1" ref="Q11" ca="1">IF(ROW()-ROW($F$2:$F$22)+1&gt;ROWS($E$2:$E$22)-COUNTBLANK($E$2:$E$22),"",INDIRECT(ADDRESS(SMALL((IF($E$2:$E$22&gt;"",ROW($E$2:$E$22),ROW()+ROWS($E$2:$E$22))),ROW()-ROW($F$2:$F$22)+1),COLUMN($E$2:$E$22),4)))</f>
        <v>-----</v>
      </c>
      <c r="R11" s="485" t="str">
        <f t="array" aca="1" ref="R11" ca="1">IF(ROW()-ROW($G$2:$G$22)+1&gt;ROWS($F$2:$F$22)-COUNTBLANK($F$2:$F$22),"",INDIRECT(ADDRESS(SMALL((IF($F$2:$F$22&gt;"",ROW($F$2:$F$22),ROW()+ROWS($F$2:$F$22))),ROW()-ROW($G$2:$G$22)+1),COLUMN($F$2:$F$22),4)))</f>
        <v>≥ 90%</v>
      </c>
      <c r="S11" s="485" t="str">
        <f t="array" aca="1" ref="S11" ca="1">IF(ROW()-ROW($H$2:$H$22)+1&gt;ROWS($G$2:$G$22)-COUNTBLANK($G$2:$G$22),"",INDIRECT(ADDRESS(SMALL((IF($G$2:$G$22&lt;&gt;"",ROW($G$2:$G$22),ROW()+ROWS($G$2:$G$22))),ROW()-ROW($H$2:$H$22)+1),COLUMN($G$2:$G$22),4)))</f>
        <v>-----</v>
      </c>
      <c r="T11" s="482" t="str">
        <f t="array" aca="1" ref="T11" ca="1">IF(ROW()-ROW($I$2:$I$22)+1&gt;ROWS($H$2:$H$22)-COUNTBLANK($H$2:$H$22),"",INDIRECT(ADDRESS(SMALL((IF($H$2:$H$22&lt;&gt;"",ROW($H$2:$H$22),ROW()+ROWS($H$2:$H$22))),ROW()-ROW($I$2:$I$22)+1),COLUMN($H$2:$H$22),4)))</f>
        <v>-----</v>
      </c>
      <c r="U11" s="482" t="str">
        <f t="array" aca="1" ref="U11" ca="1">IF(ROW()-ROW($J$2:$J$22)+1&gt;ROWS($I$2:$I$22)-COUNTBLANK($I$2:$I$22),"",INDIRECT(ADDRESS(SMALL((IF($I$2:$I$22&lt;&gt;"",ROW($I$2:$I$22),ROW()+ROWS($I$2:$I$22))),ROW()-ROW($J$2:$J$22)+1),COLUMN($I$2:$I$22),4)))</f>
        <v>-----</v>
      </c>
      <c r="V11" s="484" t="str">
        <f t="array" aca="1" ref="V11" ca="1">IF(ROW()-ROW($K$2:$K$22)+1&gt;ROWS($J$2:$J$22)-COUNTBLANK($J$2:$J$22),"",INDIRECT(ADDRESS(SMALL((IF($J$2:$J$22&lt;&gt;"",ROW($J$2:$J$22),ROW()+ROWS($J$2:$J$22))),ROW()-ROW($K$2:$K$22)+1),COLUMN($J$2:$J$22),4)))</f>
        <v>n.d.</v>
      </c>
      <c r="W11" s="482" t="str">
        <f t="array" aca="1" ref="W11" ca="1">IF(ROW()-ROW($L$2:$L$22)+1&gt;ROWS($K$2:$K$22)-COUNTBLANK($K$2:$K$22),"",INDIRECT(ADDRESS(SMALL((IF($K$2:$K$22&lt;&gt;"",ROW($K$2:$K$22),ROW()+ROWS($K$2:$K$22))),ROW()-ROW($L$2:$L$22)+1),COLUMN($K$2:$K$22),4)))</f>
        <v>Unvollständig</v>
      </c>
      <c r="X11" s="477" t="str">
        <f t="array" aca="1" ref="X11" ca="1">IF(ROW()-ROW($M$2:$M$22)+1&gt;ROWS($L$2:$L$22)-COUNTBLANK($L$2:$L$22),"",INDIRECT(ADDRESS(SMALL((IF($L$2:$L$22&lt;&gt;"",ROW($L$2:$L$22),ROW()+ROWS($L$2:$L$22))),ROW()-ROW($M$2:$M$22)+1),COLUMN($L$2:$L$22),4)))</f>
        <v>-----</v>
      </c>
      <c r="Y11" s="477" t="str">
        <f t="array" aca="1" ref="Y11" ca="1">IF(ROW()-ROW($N$2:$N$22)+1&gt;ROWS($M$2:$M$22)-COUNTBLANK($M$2:$M$22),"",INDIRECT(ADDRESS(SMALL((IF($M$2:$M$22&lt;&gt;"",ROW($M$2:$M$22),ROW()+ROWS($M$2:$M$22))),ROW()-ROW($N$2:$N$22)+1),COLUMN($M$2:$M$22),4)))</f>
        <v>-----</v>
      </c>
    </row>
    <row r="12" spans="1:25" ht="94.5" customHeight="1">
      <c r="A12" s="477" t="str">
        <f>IF('Kennzahlenbogen_(KB)'!R42=0,"",'Kennzahlenbogen_(KB)'!R42)</f>
        <v>Unvollständig</v>
      </c>
      <c r="C12" s="479">
        <f>IF($A12="I.O.","",'Kennzahlenbogen_(KB)'!B42)</f>
        <v>8</v>
      </c>
      <c r="D12" s="473" t="str">
        <f>IF($A12="I.O.","",'Kennzahlenbogen_(KB)'!E42)</f>
        <v>Operative Eingriffe mit LL-definiertem Sicherheitsabstand  
( = Maligne Melanome, Merkelzellkarzinome, Sarkome und andere seltene, maligne Hauttumoren)</v>
      </c>
      <c r="E12" s="487" t="str">
        <f>IF(AND('Kennzahlenbogen_(KB)'!L42="",$A12&lt;&gt;"I.O."),"-----",IF($A12="I.O.","",'Kennzahlenbogen_(KB)'!L42))</f>
        <v>-----</v>
      </c>
      <c r="F12" s="487" t="str">
        <f>IF($A12="I.O.","",'Kennzahlenbogen_(KB)'!M42)</f>
        <v xml:space="preserve">≥ 30 </v>
      </c>
      <c r="G12" s="487" t="str">
        <f>IF(AND('Kennzahlenbogen_(KB)'!O42="",$A12&lt;&gt;"I.O."),"-----",IF($A12="I.O.","",'Kennzahlenbogen_(KB)'!O42))</f>
        <v>-----</v>
      </c>
      <c r="H12" s="474" t="str">
        <f>IF($A12="I.O.","",IF('Kennzahlenbogen_(KB)'!Q42="","-----",'Kennzahlenbogen_(KB)'!Q42))</f>
        <v>-----</v>
      </c>
      <c r="I12" s="474" t="str">
        <f>IF($A12="I.O.","","-----")</f>
        <v>-----</v>
      </c>
      <c r="J12" s="475" t="str">
        <f>IF($A12="I.O.","","-----")</f>
        <v>-----</v>
      </c>
      <c r="K12" s="476" t="str">
        <f>IF($A12="I.O.","",'Kennzahlenbogen_(KB)'!R42)</f>
        <v>Unvollständig</v>
      </c>
      <c r="L12" s="470" t="str">
        <f>IF(AND('Kennzahlenbogen_(KB)'!S42="",$A12&lt;&gt;"I.O."),"-----",IF($A12="I.O.","",'Kennzahlenbogen_(KB)'!S42))</f>
        <v>-----</v>
      </c>
      <c r="M12" s="470" t="str">
        <f>IF(AND('Kennzahlenbogen_(KB)'!T42="",$A12&lt;&gt;"I.O."),"-----",IF($A12="I.O.","",'Kennzahlenbogen_(KB)'!T42))</f>
        <v>-----</v>
      </c>
      <c r="O12" s="482">
        <f t="array" aca="1" ref="O12" ca="1">IF(ROW()-ROW($D$2:$D$22)+1&gt;ROWS($C$2:$C$22)-COUNTBLANK($C$2:$C$22),"",INDIRECT(ADDRESS(SMALL((IF($C$2:$C$22&lt;&gt;"",ROW($C$2:$C$22),ROW()+ROWS($C$2:$C$22))),ROW()-ROW($D$2:$D$22)+1),COLUMN($C$2:$C$22),4)))</f>
        <v>8</v>
      </c>
      <c r="P12" s="488" t="str">
        <f t="array" aca="1" ref="P12" ca="1">IF(ROW()-ROW($E$2:$E$22)+1&gt;ROWS($D$2:$D$22)-COUNTBLANK($D$2:$D$22),"",INDIRECT(ADDRESS(SMALL((IF($D$2:$D$22&gt;"",ROW($D$2:$D$22),ROW()+ROWS($D$2:$D$22))),ROW()-ROW($E$2:$E$22)+1),COLUMN($D$2:$D$22),4)))</f>
        <v>Operative Eingriffe mit LL-definiertem Sicherheitsabstand  
( = Maligne Melanome, Merkelzellkarzinome, Sarkome und andere seltene, maligne Hauttumoren)</v>
      </c>
      <c r="Q12" s="485" t="str">
        <f t="array" aca="1" ref="Q12" ca="1">IF(ROW()-ROW($F$2:$F$22)+1&gt;ROWS($E$2:$E$22)-COUNTBLANK($E$2:$E$22),"",INDIRECT(ADDRESS(SMALL((IF($E$2:$E$22&gt;"",ROW($E$2:$E$22),ROW()+ROWS($E$2:$E$22))),ROW()-ROW($F$2:$F$22)+1),COLUMN($E$2:$E$22),4)))</f>
        <v>-----</v>
      </c>
      <c r="R12" s="485" t="str">
        <f t="array" aca="1" ref="R12" ca="1">IF(ROW()-ROW($G$2:$G$22)+1&gt;ROWS($F$2:$F$22)-COUNTBLANK($F$2:$F$22),"",INDIRECT(ADDRESS(SMALL((IF($F$2:$F$22&gt;"",ROW($F$2:$F$22),ROW()+ROWS($F$2:$F$22))),ROW()-ROW($G$2:$G$22)+1),COLUMN($F$2:$F$22),4)))</f>
        <v xml:space="preserve">≥ 30 </v>
      </c>
      <c r="S12" s="485" t="str">
        <f t="array" aca="1" ref="S12" ca="1">IF(ROW()-ROW($H$2:$H$22)+1&gt;ROWS($G$2:$G$22)-COUNTBLANK($G$2:$G$22),"",INDIRECT(ADDRESS(SMALL((IF($G$2:$G$22&lt;&gt;"",ROW($G$2:$G$22),ROW()+ROWS($G$2:$G$22))),ROW()-ROW($H$2:$H$22)+1),COLUMN($G$2:$G$22),4)))</f>
        <v>-----</v>
      </c>
      <c r="T12" s="482" t="str">
        <f t="array" aca="1" ref="T12" ca="1">IF(ROW()-ROW($I$2:$I$22)+1&gt;ROWS($H$2:$H$22)-COUNTBLANK($H$2:$H$22),"",INDIRECT(ADDRESS(SMALL((IF($H$2:$H$22&lt;&gt;"",ROW($H$2:$H$22),ROW()+ROWS($H$2:$H$22))),ROW()-ROW($I$2:$I$22)+1),COLUMN($H$2:$H$22),4)))</f>
        <v>-----</v>
      </c>
      <c r="U12" s="482" t="str">
        <f t="array" aca="1" ref="U12" ca="1">IF(ROW()-ROW($J$2:$J$22)+1&gt;ROWS($I$2:$I$22)-COUNTBLANK($I$2:$I$22),"",INDIRECT(ADDRESS(SMALL((IF($I$2:$I$22&lt;&gt;"",ROW($I$2:$I$22),ROW()+ROWS($I$2:$I$22))),ROW()-ROW($J$2:$J$22)+1),COLUMN($I$2:$I$22),4)))</f>
        <v>-----</v>
      </c>
      <c r="V12" s="484" t="str">
        <f t="array" aca="1" ref="V12" ca="1">IF(ROW()-ROW($K$2:$K$22)+1&gt;ROWS($J$2:$J$22)-COUNTBLANK($J$2:$J$22),"",INDIRECT(ADDRESS(SMALL((IF($J$2:$J$22&lt;&gt;"",ROW($J$2:$J$22),ROW()+ROWS($J$2:$J$22))),ROW()-ROW($K$2:$K$22)+1),COLUMN($J$2:$J$22),4)))</f>
        <v>-----</v>
      </c>
      <c r="W12" s="482" t="str">
        <f t="array" aca="1" ref="W12" ca="1">IF(ROW()-ROW($L$2:$L$22)+1&gt;ROWS($K$2:$K$22)-COUNTBLANK($K$2:$K$22),"",INDIRECT(ADDRESS(SMALL((IF($K$2:$K$22&lt;&gt;"",ROW($K$2:$K$22),ROW()+ROWS($K$2:$K$22))),ROW()-ROW($L$2:$L$22)+1),COLUMN($K$2:$K$22),4)))</f>
        <v>Unvollständig</v>
      </c>
      <c r="X12" s="477" t="str">
        <f t="array" aca="1" ref="X12" ca="1">IF(ROW()-ROW($M$2:$M$22)+1&gt;ROWS($L$2:$L$22)-COUNTBLANK($L$2:$L$22),"",INDIRECT(ADDRESS(SMALL((IF($L$2:$L$22&lt;&gt;"",ROW($L$2:$L$22),ROW()+ROWS($L$2:$L$22))),ROW()-ROW($M$2:$M$22)+1),COLUMN($L$2:$L$22),4)))</f>
        <v>-----</v>
      </c>
      <c r="Y12" s="477" t="str">
        <f t="array" aca="1" ref="Y12" ca="1">IF(ROW()-ROW($N$2:$N$22)+1&gt;ROWS($M$2:$M$22)-COUNTBLANK($M$2:$M$22),"",INDIRECT(ADDRESS(SMALL((IF($M$2:$M$22&lt;&gt;"",ROW($M$2:$M$22),ROW()+ROWS($M$2:$M$22))),ROW()-ROW($N$2:$N$22)+1),COLUMN($M$2:$M$22),4)))</f>
        <v>-----</v>
      </c>
    </row>
    <row r="13" spans="1:25" ht="94.5" customHeight="1">
      <c r="A13" s="477" t="str">
        <f>IF('Kennzahlenbogen_(KB)'!R45=0,"",'Kennzahlenbogen_(KB)'!R45)</f>
        <v>Unvollständig</v>
      </c>
      <c r="C13" s="479">
        <f>IF($A13="I.O.","",'Kennzahlenbogen_(KB)'!B45)</f>
        <v>9</v>
      </c>
      <c r="D13" s="473" t="str">
        <f>IF($A13="I.O.","",'Kennzahlenbogen_(KB)'!E45)</f>
        <v>Operative Eingriffe mit histologischer Randkontrolle 
( = Epitheliale Tumoren)</v>
      </c>
      <c r="E13" s="487" t="str">
        <f>IF(AND('Kennzahlenbogen_(KB)'!L45="",$A13&lt;&gt;"I.O."),"-----",IF($A13="I.O.","",'Kennzahlenbogen_(KB)'!L45))</f>
        <v>-----</v>
      </c>
      <c r="F13" s="487" t="str">
        <f>IF($A13="I.O.","",'Kennzahlenbogen_(KB)'!M45)</f>
        <v>≥ 100</v>
      </c>
      <c r="G13" s="487" t="str">
        <f>IF(AND('Kennzahlenbogen_(KB)'!O45="",$A13&lt;&gt;"I.O."),"-----",IF($A13="I.O.","",'Kennzahlenbogen_(KB)'!O45))</f>
        <v>-----</v>
      </c>
      <c r="H13" s="474" t="str">
        <f>IF($A13="I.O.","",IF('Kennzahlenbogen_(KB)'!Q45="","-----",'Kennzahlenbogen_(KB)'!Q45))</f>
        <v>-----</v>
      </c>
      <c r="I13" s="474" t="str">
        <f>IF($A13="I.O.","","-----")</f>
        <v>-----</v>
      </c>
      <c r="J13" s="475" t="str">
        <f>IF($A13="I.O.","","-----")</f>
        <v>-----</v>
      </c>
      <c r="K13" s="476" t="str">
        <f>IF($A13="I.O.","",'Kennzahlenbogen_(KB)'!R45)</f>
        <v>Unvollständig</v>
      </c>
      <c r="L13" s="470" t="str">
        <f>IF(AND('Kennzahlenbogen_(KB)'!S45="",$A13&lt;&gt;"I.O."),"-----",IF($A13="I.O.","",'Kennzahlenbogen_(KB)'!S45))</f>
        <v>-----</v>
      </c>
      <c r="M13" s="470" t="str">
        <f>IF(AND('Kennzahlenbogen_(KB)'!T45="",$A13&lt;&gt;"I.O."),"-----",IF($A13="I.O.","",'Kennzahlenbogen_(KB)'!T45))</f>
        <v>-----</v>
      </c>
      <c r="O13" s="482">
        <f t="array" aca="1" ref="O13" ca="1">IF(ROW()-ROW($D$2:$D$22)+1&gt;ROWS($C$2:$C$22)-COUNTBLANK($C$2:$C$22),"",INDIRECT(ADDRESS(SMALL((IF($C$2:$C$22&lt;&gt;"",ROW($C$2:$C$22),ROW()+ROWS($C$2:$C$22))),ROW()-ROW($D$2:$D$22)+1),COLUMN($C$2:$C$22),4)))</f>
        <v>9</v>
      </c>
      <c r="P13" s="488" t="str">
        <f t="array" aca="1" ref="P13" ca="1">IF(ROW()-ROW($E$2:$E$22)+1&gt;ROWS($D$2:$D$22)-COUNTBLANK($D$2:$D$22),"",INDIRECT(ADDRESS(SMALL((IF($D$2:$D$22&gt;"",ROW($D$2:$D$22),ROW()+ROWS($D$2:$D$22))),ROW()-ROW($E$2:$E$22)+1),COLUMN($D$2:$D$22),4)))</f>
        <v>Operative Eingriffe mit histologischer Randkontrolle 
( = Epitheliale Tumoren)</v>
      </c>
      <c r="Q13" s="485" t="str">
        <f t="array" aca="1" ref="Q13" ca="1">IF(ROW()-ROW($F$2:$F$22)+1&gt;ROWS($E$2:$E$22)-COUNTBLANK($E$2:$E$22),"",INDIRECT(ADDRESS(SMALL((IF($E$2:$E$22&gt;"",ROW($E$2:$E$22),ROW()+ROWS($E$2:$E$22))),ROW()-ROW($F$2:$F$22)+1),COLUMN($E$2:$E$22),4)))</f>
        <v>-----</v>
      </c>
      <c r="R13" s="485" t="str">
        <f t="array" aca="1" ref="R13" ca="1">IF(ROW()-ROW($G$2:$G$22)+1&gt;ROWS($F$2:$F$22)-COUNTBLANK($F$2:$F$22),"",INDIRECT(ADDRESS(SMALL((IF($F$2:$F$22&gt;"",ROW($F$2:$F$22),ROW()+ROWS($F$2:$F$22))),ROW()-ROW($G$2:$G$22)+1),COLUMN($F$2:$F$22),4)))</f>
        <v>≥ 100</v>
      </c>
      <c r="S13" s="485" t="str">
        <f t="array" aca="1" ref="S13" ca="1">IF(ROW()-ROW($H$2:$H$22)+1&gt;ROWS($G$2:$G$22)-COUNTBLANK($G$2:$G$22),"",INDIRECT(ADDRESS(SMALL((IF($G$2:$G$22&lt;&gt;"",ROW($G$2:$G$22),ROW()+ROWS($G$2:$G$22))),ROW()-ROW($H$2:$H$22)+1),COLUMN($G$2:$G$22),4)))</f>
        <v>-----</v>
      </c>
      <c r="T13" s="482" t="str">
        <f t="array" aca="1" ref="T13" ca="1">IF(ROW()-ROW($I$2:$I$22)+1&gt;ROWS($H$2:$H$22)-COUNTBLANK($H$2:$H$22),"",INDIRECT(ADDRESS(SMALL((IF($H$2:$H$22&lt;&gt;"",ROW($H$2:$H$22),ROW()+ROWS($H$2:$H$22))),ROW()-ROW($I$2:$I$22)+1),COLUMN($H$2:$H$22),4)))</f>
        <v>-----</v>
      </c>
      <c r="U13" s="482" t="str">
        <f t="array" aca="1" ref="U13" ca="1">IF(ROW()-ROW($J$2:$J$22)+1&gt;ROWS($I$2:$I$22)-COUNTBLANK($I$2:$I$22),"",INDIRECT(ADDRESS(SMALL((IF($I$2:$I$22&lt;&gt;"",ROW($I$2:$I$22),ROW()+ROWS($I$2:$I$22))),ROW()-ROW($J$2:$J$22)+1),COLUMN($I$2:$I$22),4)))</f>
        <v>-----</v>
      </c>
      <c r="V13" s="484" t="str">
        <f t="array" aca="1" ref="V13" ca="1">IF(ROW()-ROW($K$2:$K$22)+1&gt;ROWS($J$2:$J$22)-COUNTBLANK($J$2:$J$22),"",INDIRECT(ADDRESS(SMALL((IF($J$2:$J$22&lt;&gt;"",ROW($J$2:$J$22),ROW()+ROWS($J$2:$J$22))),ROW()-ROW($K$2:$K$22)+1),COLUMN($J$2:$J$22),4)))</f>
        <v>-----</v>
      </c>
      <c r="W13" s="482" t="str">
        <f t="array" aca="1" ref="W13" ca="1">IF(ROW()-ROW($L$2:$L$22)+1&gt;ROWS($K$2:$K$22)-COUNTBLANK($K$2:$K$22),"",INDIRECT(ADDRESS(SMALL((IF($K$2:$K$22&lt;&gt;"",ROW($K$2:$K$22),ROW()+ROWS($K$2:$K$22))),ROW()-ROW($L$2:$L$22)+1),COLUMN($K$2:$K$22),4)))</f>
        <v>Unvollständig</v>
      </c>
      <c r="X13" s="477" t="str">
        <f t="array" aca="1" ref="X13" ca="1">IF(ROW()-ROW($M$2:$M$22)+1&gt;ROWS($L$2:$L$22)-COUNTBLANK($L$2:$L$22),"",INDIRECT(ADDRESS(SMALL((IF($L$2:$L$22&lt;&gt;"",ROW($L$2:$L$22),ROW()+ROWS($L$2:$L$22))),ROW()-ROW($M$2:$M$22)+1),COLUMN($L$2:$L$22),4)))</f>
        <v>-----</v>
      </c>
      <c r="Y13" s="477" t="str">
        <f t="array" aca="1" ref="Y13" ca="1">IF(ROW()-ROW($N$2:$N$22)+1&gt;ROWS($M$2:$M$22)-COUNTBLANK($M$2:$M$22),"",INDIRECT(ADDRESS(SMALL((IF($M$2:$M$22&lt;&gt;"",ROW($M$2:$M$22),ROW()+ROWS($M$2:$M$22))),ROW()-ROW($N$2:$N$22)+1),COLUMN($M$2:$M$22),4)))</f>
        <v>-----</v>
      </c>
    </row>
    <row r="14" spans="1:25" ht="62.1" customHeight="1">
      <c r="A14" s="477" t="str">
        <f>IF('Kennzahlenbogen_(KB)'!R48=0,"",'Kennzahlenbogen_(KB)'!R48)</f>
        <v>Unvollständig</v>
      </c>
      <c r="C14" s="479">
        <f>IF($A14="I.O.","",'Kennzahlenbogen_(KB)'!B48)</f>
        <v>10</v>
      </c>
      <c r="D14" s="473" t="str">
        <f>IF($A14="I.O.","",'Kennzahlenbogen_(KB)'!E48)</f>
        <v>Revisionsoperationen nach Nachblutungen</v>
      </c>
      <c r="E14" s="487" t="str">
        <f>IF(AND('Kennzahlenbogen_(KB)'!L48="",$A14&lt;&gt;"I.O."),"-----",IF($A14="I.O.","",'Kennzahlenbogen_(KB)'!L48))</f>
        <v>-----</v>
      </c>
      <c r="F14" s="487" t="str">
        <f>IF($A14="I.O.","",'Kennzahlenbogen_(KB)'!M48)</f>
        <v>≤  3%</v>
      </c>
      <c r="G14" s="487" t="str">
        <f>IF(AND('Kennzahlenbogen_(KB)'!O48="",$A14&lt;&gt;"I.O."),"-----",IF($A14="I.O.","",'Kennzahlenbogen_(KB)'!O48))</f>
        <v>-----</v>
      </c>
      <c r="H14" s="474" t="str">
        <f>IF($A14="I.O.","",IF('Kennzahlenbogen_(KB)'!Q48="","-----",'Kennzahlenbogen_(KB)'!Q48))</f>
        <v>-----</v>
      </c>
      <c r="I14" s="474">
        <f>IF($A14="I.O.","",IF('Kennzahlenbogen_(KB)'!Q49="","-----",'Kennzahlenbogen_(KB)'!Q49))</f>
        <v>0</v>
      </c>
      <c r="J14" s="475" t="str">
        <f>IF($A14="I.O.","",IF('Kennzahlenbogen_(KB)'!Q50="",0,'Kennzahlenbogen_(KB)'!Q50))</f>
        <v>n.d.</v>
      </c>
      <c r="K14" s="476" t="str">
        <f>IF($A14="I.O.","",'Kennzahlenbogen_(KB)'!R48)</f>
        <v>Unvollständig</v>
      </c>
      <c r="L14" s="470" t="str">
        <f>IF(AND('Kennzahlenbogen_(KB)'!S48="",$A14&lt;&gt;"I.O."),"-----",IF($A14="I.O.","",'Kennzahlenbogen_(KB)'!S48))</f>
        <v>-----</v>
      </c>
      <c r="M14" s="470" t="str">
        <f>IF(AND('Kennzahlenbogen_(KB)'!T48="",$A14&lt;&gt;"I.O."),"-----",IF($A14="I.O.","",'Kennzahlenbogen_(KB)'!T48))</f>
        <v>-----</v>
      </c>
      <c r="O14" s="482">
        <f t="array" aca="1" ref="O14" ca="1">IF(ROW()-ROW($D$2:$D$22)+1&gt;ROWS($C$2:$C$22)-COUNTBLANK($C$2:$C$22),"",INDIRECT(ADDRESS(SMALL((IF($C$2:$C$22&lt;&gt;"",ROW($C$2:$C$22),ROW()+ROWS($C$2:$C$22))),ROW()-ROW($D$2:$D$22)+1),COLUMN($C$2:$C$22),4)))</f>
        <v>10</v>
      </c>
      <c r="P14" s="488" t="str">
        <f t="array" aca="1" ref="P14" ca="1">IF(ROW()-ROW($E$2:$E$22)+1&gt;ROWS($D$2:$D$22)-COUNTBLANK($D$2:$D$22),"",INDIRECT(ADDRESS(SMALL((IF($D$2:$D$22&gt;"",ROW($D$2:$D$22),ROW()+ROWS($D$2:$D$22))),ROW()-ROW($E$2:$E$22)+1),COLUMN($D$2:$D$22),4)))</f>
        <v>Revisionsoperationen nach Nachblutungen</v>
      </c>
      <c r="Q14" s="485" t="str">
        <f t="array" aca="1" ref="Q14" ca="1">IF(ROW()-ROW($F$2:$F$22)+1&gt;ROWS($E$2:$E$22)-COUNTBLANK($E$2:$E$22),"",INDIRECT(ADDRESS(SMALL((IF($E$2:$E$22&gt;"",ROW($E$2:$E$22),ROW()+ROWS($E$2:$E$22))),ROW()-ROW($F$2:$F$22)+1),COLUMN($E$2:$E$22),4)))</f>
        <v>-----</v>
      </c>
      <c r="R14" s="485" t="str">
        <f t="array" aca="1" ref="R14" ca="1">IF(ROW()-ROW($G$2:$G$22)+1&gt;ROWS($F$2:$F$22)-COUNTBLANK($F$2:$F$22),"",INDIRECT(ADDRESS(SMALL((IF($F$2:$F$22&gt;"",ROW($F$2:$F$22),ROW()+ROWS($F$2:$F$22))),ROW()-ROW($G$2:$G$22)+1),COLUMN($F$2:$F$22),4)))</f>
        <v>≤  3%</v>
      </c>
      <c r="S14" s="485" t="str">
        <f t="array" aca="1" ref="S14" ca="1">IF(ROW()-ROW($H$2:$H$22)+1&gt;ROWS($G$2:$G$22)-COUNTBLANK($G$2:$G$22),"",INDIRECT(ADDRESS(SMALL((IF($G$2:$G$22&lt;&gt;"",ROW($G$2:$G$22),ROW()+ROWS($G$2:$G$22))),ROW()-ROW($H$2:$H$22)+1),COLUMN($G$2:$G$22),4)))</f>
        <v>-----</v>
      </c>
      <c r="T14" s="482" t="str">
        <f t="array" aca="1" ref="T14" ca="1">IF(ROW()-ROW($I$2:$I$22)+1&gt;ROWS($H$2:$H$22)-COUNTBLANK($H$2:$H$22),"",INDIRECT(ADDRESS(SMALL((IF($H$2:$H$22&lt;&gt;"",ROW($H$2:$H$22),ROW()+ROWS($H$2:$H$22))),ROW()-ROW($I$2:$I$22)+1),COLUMN($H$2:$H$22),4)))</f>
        <v>-----</v>
      </c>
      <c r="U14" s="482">
        <f t="array" aca="1" ref="U14" ca="1">IF(ROW()-ROW($J$2:$J$22)+1&gt;ROWS($I$2:$I$22)-COUNTBLANK($I$2:$I$22),"",INDIRECT(ADDRESS(SMALL((IF($I$2:$I$22&lt;&gt;"",ROW($I$2:$I$22),ROW()+ROWS($I$2:$I$22))),ROW()-ROW($J$2:$J$22)+1),COLUMN($I$2:$I$22),4)))</f>
        <v>0</v>
      </c>
      <c r="V14" s="484" t="str">
        <f t="array" aca="1" ref="V14" ca="1">IF(ROW()-ROW($K$2:$K$22)+1&gt;ROWS($J$2:$J$22)-COUNTBLANK($J$2:$J$22),"",INDIRECT(ADDRESS(SMALL((IF($J$2:$J$22&lt;&gt;"",ROW($J$2:$J$22),ROW()+ROWS($J$2:$J$22))),ROW()-ROW($K$2:$K$22)+1),COLUMN($J$2:$J$22),4)))</f>
        <v>n.d.</v>
      </c>
      <c r="W14" s="482" t="str">
        <f t="array" aca="1" ref="W14" ca="1">IF(ROW()-ROW($L$2:$L$22)+1&gt;ROWS($K$2:$K$22)-COUNTBLANK($K$2:$K$22),"",INDIRECT(ADDRESS(SMALL((IF($K$2:$K$22&lt;&gt;"",ROW($K$2:$K$22),ROW()+ROWS($K$2:$K$22))),ROW()-ROW($L$2:$L$22)+1),COLUMN($K$2:$K$22),4)))</f>
        <v>Unvollständig</v>
      </c>
      <c r="X14" s="477" t="str">
        <f t="array" aca="1" ref="X14" ca="1">IF(ROW()-ROW($M$2:$M$22)+1&gt;ROWS($L$2:$L$22)-COUNTBLANK($L$2:$L$22),"",INDIRECT(ADDRESS(SMALL((IF($L$2:$L$22&lt;&gt;"",ROW($L$2:$L$22),ROW()+ROWS($L$2:$L$22))),ROW()-ROW($M$2:$M$22)+1),COLUMN($L$2:$L$22),4)))</f>
        <v>-----</v>
      </c>
      <c r="Y14" s="477" t="str">
        <f t="array" aca="1" ref="Y14" ca="1">IF(ROW()-ROW($N$2:$N$22)+1&gt;ROWS($M$2:$M$22)-COUNTBLANK($M$2:$M$22),"",INDIRECT(ADDRESS(SMALL((IF($M$2:$M$22&lt;&gt;"",ROW($M$2:$M$22),ROW()+ROWS($M$2:$M$22))),ROW()-ROW($N$2:$N$22)+1),COLUMN($M$2:$M$22),4)))</f>
        <v>-----</v>
      </c>
    </row>
    <row r="15" spans="1:25" ht="62.1" customHeight="1">
      <c r="A15" s="477" t="str">
        <f>IF('Kennzahlenbogen_(KB)'!R51=0,"",'Kennzahlenbogen_(KB)'!R51)</f>
        <v>Unvollständig</v>
      </c>
      <c r="C15" s="479">
        <f>IF($A15="I.O.","",'Kennzahlenbogen_(KB)'!B51)</f>
        <v>11</v>
      </c>
      <c r="D15" s="473" t="str">
        <f>IF($A15="I.O.","",'Kennzahlenbogen_(KB)'!E51)</f>
        <v>Revisionsoperationen bei Nachblutungen nach SNB u. LAD</v>
      </c>
      <c r="E15" s="487" t="str">
        <f>IF(AND('Kennzahlenbogen_(KB)'!L51="",$A15&lt;&gt;"I.O."),"-----",IF($A15="I.O.","",'Kennzahlenbogen_(KB)'!L51))</f>
        <v>-----</v>
      </c>
      <c r="F15" s="487" t="str">
        <f>IF($A15="I.O.","",'Kennzahlenbogen_(KB)'!M51)</f>
        <v>≤  3%</v>
      </c>
      <c r="G15" s="487" t="str">
        <f>IF(AND('Kennzahlenbogen_(KB)'!O51="",$A15&lt;&gt;"I.O."),"-----",IF($A15="I.O.","",'Kennzahlenbogen_(KB)'!O51))</f>
        <v>-----</v>
      </c>
      <c r="H15" s="474" t="str">
        <f>IF($A15="I.O.","",IF('Kennzahlenbogen_(KB)'!Q51="","-----",'Kennzahlenbogen_(KB)'!Q51))</f>
        <v>-----</v>
      </c>
      <c r="I15" s="474" t="str">
        <f>IF($A15="I.O.","",IF('Kennzahlenbogen_(KB)'!Q52="","-----",'Kennzahlenbogen_(KB)'!Q52))</f>
        <v>-----</v>
      </c>
      <c r="J15" s="475" t="str">
        <f>IF($A15="I.O.","",IF('Kennzahlenbogen_(KB)'!Q53="",0,'Kennzahlenbogen_(KB)'!Q53))</f>
        <v>n.d.</v>
      </c>
      <c r="K15" s="476" t="str">
        <f>IF($A15="I.O.","",'Kennzahlenbogen_(KB)'!R51)</f>
        <v>Unvollständig</v>
      </c>
      <c r="L15" s="470" t="str">
        <f>IF(AND('Kennzahlenbogen_(KB)'!S51="",$A15&lt;&gt;"I.O."),"-----",IF($A15="I.O.","",'Kennzahlenbogen_(KB)'!S51))</f>
        <v>-----</v>
      </c>
      <c r="M15" s="470" t="str">
        <f>IF(AND('Kennzahlenbogen_(KB)'!T51="",$A15&lt;&gt;"I.O."),"-----",IF($A15="I.O.","",'Kennzahlenbogen_(KB)'!T51))</f>
        <v>-----</v>
      </c>
      <c r="O15" s="482">
        <f t="array" aca="1" ref="O15" ca="1">IF(ROW()-ROW($D$2:$D$22)+1&gt;ROWS($C$2:$C$22)-COUNTBLANK($C$2:$C$22),"",INDIRECT(ADDRESS(SMALL((IF($C$2:$C$22&lt;&gt;"",ROW($C$2:$C$22),ROW()+ROWS($C$2:$C$22))),ROW()-ROW($D$2:$D$22)+1),COLUMN($C$2:$C$22),4)))</f>
        <v>11</v>
      </c>
      <c r="P15" s="488" t="str">
        <f t="array" aca="1" ref="P15" ca="1">IF(ROW()-ROW($E$2:$E$22)+1&gt;ROWS($D$2:$D$22)-COUNTBLANK($D$2:$D$22),"",INDIRECT(ADDRESS(SMALL((IF($D$2:$D$22&gt;"",ROW($D$2:$D$22),ROW()+ROWS($D$2:$D$22))),ROW()-ROW($E$2:$E$22)+1),COLUMN($D$2:$D$22),4)))</f>
        <v>Revisionsoperationen bei Nachblutungen nach SNB u. LAD</v>
      </c>
      <c r="Q15" s="485" t="str">
        <f t="array" aca="1" ref="Q15" ca="1">IF(ROW()-ROW($F$2:$F$22)+1&gt;ROWS($E$2:$E$22)-COUNTBLANK($E$2:$E$22),"",INDIRECT(ADDRESS(SMALL((IF($E$2:$E$22&gt;"",ROW($E$2:$E$22),ROW()+ROWS($E$2:$E$22))),ROW()-ROW($F$2:$F$22)+1),COLUMN($E$2:$E$22),4)))</f>
        <v>-----</v>
      </c>
      <c r="R15" s="485" t="str">
        <f t="array" aca="1" ref="R15" ca="1">IF(ROW()-ROW($G$2:$G$22)+1&gt;ROWS($F$2:$F$22)-COUNTBLANK($F$2:$F$22),"",INDIRECT(ADDRESS(SMALL((IF($F$2:$F$22&gt;"",ROW($F$2:$F$22),ROW()+ROWS($F$2:$F$22))),ROW()-ROW($G$2:$G$22)+1),COLUMN($F$2:$F$22),4)))</f>
        <v>≤  3%</v>
      </c>
      <c r="S15" s="485" t="str">
        <f t="array" aca="1" ref="S15" ca="1">IF(ROW()-ROW($H$2:$H$22)+1&gt;ROWS($G$2:$G$22)-COUNTBLANK($G$2:$G$22),"",INDIRECT(ADDRESS(SMALL((IF($G$2:$G$22&lt;&gt;"",ROW($G$2:$G$22),ROW()+ROWS($G$2:$G$22))),ROW()-ROW($H$2:$H$22)+1),COLUMN($G$2:$G$22),4)))</f>
        <v>-----</v>
      </c>
      <c r="T15" s="482" t="str">
        <f t="array" aca="1" ref="T15" ca="1">IF(ROW()-ROW($I$2:$I$22)+1&gt;ROWS($H$2:$H$22)-COUNTBLANK($H$2:$H$22),"",INDIRECT(ADDRESS(SMALL((IF($H$2:$H$22&lt;&gt;"",ROW($H$2:$H$22),ROW()+ROWS($H$2:$H$22))),ROW()-ROW($I$2:$I$22)+1),COLUMN($H$2:$H$22),4)))</f>
        <v>-----</v>
      </c>
      <c r="U15" s="482" t="str">
        <f t="array" aca="1" ref="U15" ca="1">IF(ROW()-ROW($J$2:$J$22)+1&gt;ROWS($I$2:$I$22)-COUNTBLANK($I$2:$I$22),"",INDIRECT(ADDRESS(SMALL((IF($I$2:$I$22&lt;&gt;"",ROW($I$2:$I$22),ROW()+ROWS($I$2:$I$22))),ROW()-ROW($J$2:$J$22)+1),COLUMN($I$2:$I$22),4)))</f>
        <v>-----</v>
      </c>
      <c r="V15" s="484" t="str">
        <f t="array" aca="1" ref="V15" ca="1">IF(ROW()-ROW($K$2:$K$22)+1&gt;ROWS($J$2:$J$22)-COUNTBLANK($J$2:$J$22),"",INDIRECT(ADDRESS(SMALL((IF($J$2:$J$22&lt;&gt;"",ROW($J$2:$J$22),ROW()+ROWS($J$2:$J$22))),ROW()-ROW($K$2:$K$22)+1),COLUMN($J$2:$J$22),4)))</f>
        <v>n.d.</v>
      </c>
      <c r="W15" s="482" t="str">
        <f t="array" aca="1" ref="W15" ca="1">IF(ROW()-ROW($L$2:$L$22)+1&gt;ROWS($K$2:$K$22)-COUNTBLANK($K$2:$K$22),"",INDIRECT(ADDRESS(SMALL((IF($K$2:$K$22&lt;&gt;"",ROW($K$2:$K$22),ROW()+ROWS($K$2:$K$22))),ROW()-ROW($L$2:$L$22)+1),COLUMN($K$2:$K$22),4)))</f>
        <v>Unvollständig</v>
      </c>
      <c r="X15" s="477" t="str">
        <f t="array" aca="1" ref="X15" ca="1">IF(ROW()-ROW($M$2:$M$22)+1&gt;ROWS($L$2:$L$22)-COUNTBLANK($L$2:$L$22),"",INDIRECT(ADDRESS(SMALL((IF($L$2:$L$22&lt;&gt;"",ROW($L$2:$L$22),ROW()+ROWS($L$2:$L$22))),ROW()-ROW($M$2:$M$22)+1),COLUMN($L$2:$L$22),4)))</f>
        <v>-----</v>
      </c>
      <c r="Y15" s="477" t="str">
        <f t="array" aca="1" ref="Y15" ca="1">IF(ROW()-ROW($N$2:$N$22)+1&gt;ROWS($M$2:$M$22)-COUNTBLANK($M$2:$M$22),"",INDIRECT(ADDRESS(SMALL((IF($M$2:$M$22&lt;&gt;"",ROW($M$2:$M$22),ROW()+ROWS($M$2:$M$22))),ROW()-ROW($N$2:$N$22)+1),COLUMN($M$2:$M$22),4)))</f>
        <v>-----</v>
      </c>
    </row>
    <row r="16" spans="1:25" ht="62.1" customHeight="1">
      <c r="A16" s="477" t="str">
        <f>IF('Kennzahlenbogen_(KB)'!R54=0,"",'Kennzahlenbogen_(KB)'!R54)</f>
        <v>Unvollständig</v>
      </c>
      <c r="C16" s="479">
        <f>IF($A16="I.O.","",'Kennzahlenbogen_(KB)'!B54)</f>
        <v>12</v>
      </c>
      <c r="D16" s="473" t="str">
        <f>IF($A16="I.O.","",'Kennzahlenbogen_(KB)'!E54)</f>
        <v>Revisionsoperationen nach postoperativen Wundinfektionen</v>
      </c>
      <c r="E16" s="487" t="str">
        <f>IF(AND('Kennzahlenbogen_(KB)'!L54="",$A16&lt;&gt;"I.O."),"-----",IF($A16="I.O.","",'Kennzahlenbogen_(KB)'!L54))</f>
        <v>-----</v>
      </c>
      <c r="F16" s="487" t="str">
        <f>IF($A16="I.O.","",'Kennzahlenbogen_(KB)'!M54)</f>
        <v>≤  3%</v>
      </c>
      <c r="G16" s="487" t="str">
        <f>IF(AND('Kennzahlenbogen_(KB)'!O54="",$A16&lt;&gt;"I.O."),"-----",IF($A16="I.O.","",'Kennzahlenbogen_(KB)'!O54))</f>
        <v>-----</v>
      </c>
      <c r="H16" s="474" t="str">
        <f>IF($A16="I.O.","",IF('Kennzahlenbogen_(KB)'!Q54="","-----",'Kennzahlenbogen_(KB)'!Q54))</f>
        <v>-----</v>
      </c>
      <c r="I16" s="474">
        <f>IF($A16="I.O.","",IF('Kennzahlenbogen_(KB)'!Q55="","-----",'Kennzahlenbogen_(KB)'!Q55))</f>
        <v>0</v>
      </c>
      <c r="J16" s="475" t="str">
        <f>IF($A16="I.O.","",IF('Kennzahlenbogen_(KB)'!Q56="",0,'Kennzahlenbogen_(KB)'!Q56))</f>
        <v>n.d.</v>
      </c>
      <c r="K16" s="476" t="str">
        <f>IF($A16="I.O.","",'Kennzahlenbogen_(KB)'!R54)</f>
        <v>Unvollständig</v>
      </c>
      <c r="L16" s="470" t="str">
        <f>IF(AND('Kennzahlenbogen_(KB)'!S54="",$A16&lt;&gt;"I.O."),"-----",IF($A16="I.O.","",'Kennzahlenbogen_(KB)'!S54))</f>
        <v>-----</v>
      </c>
      <c r="M16" s="470" t="str">
        <f>IF(AND('Kennzahlenbogen_(KB)'!T54="",$A16&lt;&gt;"I.O."),"-----",IF($A16="I.O.","",'Kennzahlenbogen_(KB)'!T54))</f>
        <v>-----</v>
      </c>
      <c r="O16" s="482">
        <f t="array" aca="1" ref="O16" ca="1">IF(ROW()-ROW($D$2:$D$22)+1&gt;ROWS($C$2:$C$22)-COUNTBLANK($C$2:$C$22),"",INDIRECT(ADDRESS(SMALL((IF($C$2:$C$22&lt;&gt;"",ROW($C$2:$C$22),ROW()+ROWS($C$2:$C$22))),ROW()-ROW($D$2:$D$22)+1),COLUMN($C$2:$C$22),4)))</f>
        <v>12</v>
      </c>
      <c r="P16" s="488" t="str">
        <f t="array" aca="1" ref="P16" ca="1">IF(ROW()-ROW($E$2:$E$22)+1&gt;ROWS($D$2:$D$22)-COUNTBLANK($D$2:$D$22),"",INDIRECT(ADDRESS(SMALL((IF($D$2:$D$22&gt;"",ROW($D$2:$D$22),ROW()+ROWS($D$2:$D$22))),ROW()-ROW($E$2:$E$22)+1),COLUMN($D$2:$D$22),4)))</f>
        <v>Revisionsoperationen nach postoperativen Wundinfektionen</v>
      </c>
      <c r="Q16" s="485" t="str">
        <f t="array" aca="1" ref="Q16" ca="1">IF(ROW()-ROW($F$2:$F$22)+1&gt;ROWS($E$2:$E$22)-COUNTBLANK($E$2:$E$22),"",INDIRECT(ADDRESS(SMALL((IF($E$2:$E$22&gt;"",ROW($E$2:$E$22),ROW()+ROWS($E$2:$E$22))),ROW()-ROW($F$2:$F$22)+1),COLUMN($E$2:$E$22),4)))</f>
        <v>-----</v>
      </c>
      <c r="R16" s="485" t="str">
        <f t="array" aca="1" ref="R16" ca="1">IF(ROW()-ROW($G$2:$G$22)+1&gt;ROWS($F$2:$F$22)-COUNTBLANK($F$2:$F$22),"",INDIRECT(ADDRESS(SMALL((IF($F$2:$F$22&gt;"",ROW($F$2:$F$22),ROW()+ROWS($F$2:$F$22))),ROW()-ROW($G$2:$G$22)+1),COLUMN($F$2:$F$22),4)))</f>
        <v>≤  3%</v>
      </c>
      <c r="S16" s="485" t="str">
        <f t="array" aca="1" ref="S16" ca="1">IF(ROW()-ROW($H$2:$H$22)+1&gt;ROWS($G$2:$G$22)-COUNTBLANK($G$2:$G$22),"",INDIRECT(ADDRESS(SMALL((IF($G$2:$G$22&lt;&gt;"",ROW($G$2:$G$22),ROW()+ROWS($G$2:$G$22))),ROW()-ROW($H$2:$H$22)+1),COLUMN($G$2:$G$22),4)))</f>
        <v>-----</v>
      </c>
      <c r="T16" s="482" t="str">
        <f t="array" aca="1" ref="T16" ca="1">IF(ROW()-ROW($I$2:$I$22)+1&gt;ROWS($H$2:$H$22)-COUNTBLANK($H$2:$H$22),"",INDIRECT(ADDRESS(SMALL((IF($H$2:$H$22&lt;&gt;"",ROW($H$2:$H$22),ROW()+ROWS($H$2:$H$22))),ROW()-ROW($I$2:$I$22)+1),COLUMN($H$2:$H$22),4)))</f>
        <v>-----</v>
      </c>
      <c r="U16" s="482">
        <f t="array" aca="1" ref="U16" ca="1">IF(ROW()-ROW($J$2:$J$22)+1&gt;ROWS($I$2:$I$22)-COUNTBLANK($I$2:$I$22),"",INDIRECT(ADDRESS(SMALL((IF($I$2:$I$22&lt;&gt;"",ROW($I$2:$I$22),ROW()+ROWS($I$2:$I$22))),ROW()-ROW($J$2:$J$22)+1),COLUMN($I$2:$I$22),4)))</f>
        <v>0</v>
      </c>
      <c r="V16" s="484" t="str">
        <f t="array" aca="1" ref="V16" ca="1">IF(ROW()-ROW($K$2:$K$22)+1&gt;ROWS($J$2:$J$22)-COUNTBLANK($J$2:$J$22),"",INDIRECT(ADDRESS(SMALL((IF($J$2:$J$22&lt;&gt;"",ROW($J$2:$J$22),ROW()+ROWS($J$2:$J$22))),ROW()-ROW($K$2:$K$22)+1),COLUMN($J$2:$J$22),4)))</f>
        <v>n.d.</v>
      </c>
      <c r="W16" s="482" t="str">
        <f t="array" aca="1" ref="W16" ca="1">IF(ROW()-ROW($L$2:$L$22)+1&gt;ROWS($K$2:$K$22)-COUNTBLANK($K$2:$K$22),"",INDIRECT(ADDRESS(SMALL((IF($K$2:$K$22&lt;&gt;"",ROW($K$2:$K$22),ROW()+ROWS($K$2:$K$22))),ROW()-ROW($L$2:$L$22)+1),COLUMN($K$2:$K$22),4)))</f>
        <v>Unvollständig</v>
      </c>
      <c r="X16" s="477" t="str">
        <f t="array" aca="1" ref="X16" ca="1">IF(ROW()-ROW($M$2:$M$22)+1&gt;ROWS($L$2:$L$22)-COUNTBLANK($L$2:$L$22),"",INDIRECT(ADDRESS(SMALL((IF($L$2:$L$22&lt;&gt;"",ROW($L$2:$L$22),ROW()+ROWS($L$2:$L$22))),ROW()-ROW($M$2:$M$22)+1),COLUMN($L$2:$L$22),4)))</f>
        <v>-----</v>
      </c>
      <c r="Y16" s="477" t="str">
        <f t="array" aca="1" ref="Y16" ca="1">IF(ROW()-ROW($N$2:$N$22)+1&gt;ROWS($M$2:$M$22)-COUNTBLANK($M$2:$M$22),"",INDIRECT(ADDRESS(SMALL((IF($M$2:$M$22&lt;&gt;"",ROW($M$2:$M$22),ROW()+ROWS($M$2:$M$22))),ROW()-ROW($N$2:$N$22)+1),COLUMN($M$2:$M$22),4)))</f>
        <v>-----</v>
      </c>
    </row>
    <row r="17" spans="1:25" ht="62.1" customHeight="1">
      <c r="A17" s="477" t="str">
        <f>IF('Kennzahlenbogen_(KB)'!R57=0,"",'Kennzahlenbogen_(KB)'!R57)</f>
        <v>Unvollständig</v>
      </c>
      <c r="C17" s="479" t="str">
        <f>IF($A17="I.O.","",'Kennzahlenbogen_(KB)'!B57)</f>
        <v>13</v>
      </c>
      <c r="D17" s="473" t="str">
        <f>IF($A17="I.O.","",'Kennzahlenbogen_(KB)'!E57)</f>
        <v>Melanom:
Sentinel-Node-Biopsie</v>
      </c>
      <c r="E17" s="487" t="str">
        <f>IF(AND('Kennzahlenbogen_(KB)'!L57="",$A17&lt;&gt;"I.O."),"-----",IF($A17="I.O.","",'Kennzahlenbogen_(KB)'!L57))</f>
        <v>-----</v>
      </c>
      <c r="F17" s="487" t="str">
        <f>IF($A17="I.O.","",'Kennzahlenbogen_(KB)'!M57)</f>
        <v>≥ 80%</v>
      </c>
      <c r="G17" s="487" t="str">
        <f>IF(AND('Kennzahlenbogen_(KB)'!O57="",$A17&lt;&gt;"I.O."),"-----",IF($A17="I.O.","",'Kennzahlenbogen_(KB)'!O57))</f>
        <v>-----</v>
      </c>
      <c r="H17" s="474" t="str">
        <f>IF($A17="I.O.","",IF('Kennzahlenbogen_(KB)'!Q57="","-----",'Kennzahlenbogen_(KB)'!Q57))</f>
        <v>-----</v>
      </c>
      <c r="I17" s="474" t="str">
        <f>IF($A17="I.O.","",IF('Kennzahlenbogen_(KB)'!Q58="","-----",'Kennzahlenbogen_(KB)'!Q58))</f>
        <v>-----</v>
      </c>
      <c r="J17" s="475" t="str">
        <f>IF($A17="I.O.","",IF('Kennzahlenbogen_(KB)'!Q59="",0,'Kennzahlenbogen_(KB)'!Q59))</f>
        <v>n.d.</v>
      </c>
      <c r="K17" s="476" t="str">
        <f>IF($A17="I.O.","",'Kennzahlenbogen_(KB)'!R57)</f>
        <v>Unvollständig</v>
      </c>
      <c r="L17" s="470" t="str">
        <f>IF(AND('Kennzahlenbogen_(KB)'!S57="",$A17&lt;&gt;"I.O."),"-----",IF($A17="I.O.","",'Kennzahlenbogen_(KB)'!S57))</f>
        <v>-----</v>
      </c>
      <c r="M17" s="470" t="str">
        <f>IF(AND('Kennzahlenbogen_(KB)'!T57="",$A17&lt;&gt;"I.O."),"-----",IF($A17="I.O.","",'Kennzahlenbogen_(KB)'!T57))</f>
        <v>-----</v>
      </c>
      <c r="O17" s="482" t="str">
        <f t="array" aca="1" ref="O17" ca="1">IF(ROW()-ROW($D$2:$D$22)+1&gt;ROWS($C$2:$C$22)-COUNTBLANK($C$2:$C$22),"",INDIRECT(ADDRESS(SMALL((IF($C$2:$C$22&lt;&gt;"",ROW($C$2:$C$22),ROW()+ROWS($C$2:$C$22))),ROW()-ROW($D$2:$D$22)+1),COLUMN($C$2:$C$22),4)))</f>
        <v>13</v>
      </c>
      <c r="P17" s="488" t="str">
        <f t="array" aca="1" ref="P17" ca="1">IF(ROW()-ROW($E$2:$E$22)+1&gt;ROWS($D$2:$D$22)-COUNTBLANK($D$2:$D$22),"",INDIRECT(ADDRESS(SMALL((IF($D$2:$D$22&gt;"",ROW($D$2:$D$22),ROW()+ROWS($D$2:$D$22))),ROW()-ROW($E$2:$E$22)+1),COLUMN($D$2:$D$22),4)))</f>
        <v>Melanom:
Sentinel-Node-Biopsie</v>
      </c>
      <c r="Q17" s="485" t="str">
        <f t="array" aca="1" ref="Q17" ca="1">IF(ROW()-ROW($F$2:$F$22)+1&gt;ROWS($E$2:$E$22)-COUNTBLANK($E$2:$E$22),"",INDIRECT(ADDRESS(SMALL((IF($E$2:$E$22&gt;"",ROW($E$2:$E$22),ROW()+ROWS($E$2:$E$22))),ROW()-ROW($F$2:$F$22)+1),COLUMN($E$2:$E$22),4)))</f>
        <v>-----</v>
      </c>
      <c r="R17" s="485" t="str">
        <f t="array" aca="1" ref="R17" ca="1">IF(ROW()-ROW($G$2:$G$22)+1&gt;ROWS($F$2:$F$22)-COUNTBLANK($F$2:$F$22),"",INDIRECT(ADDRESS(SMALL((IF($F$2:$F$22&gt;"",ROW($F$2:$F$22),ROW()+ROWS($F$2:$F$22))),ROW()-ROW($G$2:$G$22)+1),COLUMN($F$2:$F$22),4)))</f>
        <v>≥ 80%</v>
      </c>
      <c r="S17" s="485" t="str">
        <f t="array" aca="1" ref="S17" ca="1">IF(ROW()-ROW($H$2:$H$22)+1&gt;ROWS($G$2:$G$22)-COUNTBLANK($G$2:$G$22),"",INDIRECT(ADDRESS(SMALL((IF($G$2:$G$22&lt;&gt;"",ROW($G$2:$G$22),ROW()+ROWS($G$2:$G$22))),ROW()-ROW($H$2:$H$22)+1),COLUMN($G$2:$G$22),4)))</f>
        <v>-----</v>
      </c>
      <c r="T17" s="482" t="str">
        <f t="array" aca="1" ref="T17" ca="1">IF(ROW()-ROW($I$2:$I$22)+1&gt;ROWS($H$2:$H$22)-COUNTBLANK($H$2:$H$22),"",INDIRECT(ADDRESS(SMALL((IF($H$2:$H$22&lt;&gt;"",ROW($H$2:$H$22),ROW()+ROWS($H$2:$H$22))),ROW()-ROW($I$2:$I$22)+1),COLUMN($H$2:$H$22),4)))</f>
        <v>-----</v>
      </c>
      <c r="U17" s="482" t="str">
        <f t="array" aca="1" ref="U17" ca="1">IF(ROW()-ROW($J$2:$J$22)+1&gt;ROWS($I$2:$I$22)-COUNTBLANK($I$2:$I$22),"",INDIRECT(ADDRESS(SMALL((IF($I$2:$I$22&lt;&gt;"",ROW($I$2:$I$22),ROW()+ROWS($I$2:$I$22))),ROW()-ROW($J$2:$J$22)+1),COLUMN($I$2:$I$22),4)))</f>
        <v>-----</v>
      </c>
      <c r="V17" s="484" t="str">
        <f t="array" aca="1" ref="V17" ca="1">IF(ROW()-ROW($K$2:$K$22)+1&gt;ROWS($J$2:$J$22)-COUNTBLANK($J$2:$J$22),"",INDIRECT(ADDRESS(SMALL((IF($J$2:$J$22&lt;&gt;"",ROW($J$2:$J$22),ROW()+ROWS($J$2:$J$22))),ROW()-ROW($K$2:$K$22)+1),COLUMN($J$2:$J$22),4)))</f>
        <v>n.d.</v>
      </c>
      <c r="W17" s="482" t="str">
        <f t="array" aca="1" ref="W17" ca="1">IF(ROW()-ROW($L$2:$L$22)+1&gt;ROWS($K$2:$K$22)-COUNTBLANK($K$2:$K$22),"",INDIRECT(ADDRESS(SMALL((IF($K$2:$K$22&lt;&gt;"",ROW($K$2:$K$22),ROW()+ROWS($K$2:$K$22))),ROW()-ROW($L$2:$L$22)+1),COLUMN($K$2:$K$22),4)))</f>
        <v>Unvollständig</v>
      </c>
      <c r="X17" s="477" t="str">
        <f t="array" aca="1" ref="X17" ca="1">IF(ROW()-ROW($M$2:$M$22)+1&gt;ROWS($L$2:$L$22)-COUNTBLANK($L$2:$L$22),"",INDIRECT(ADDRESS(SMALL((IF($L$2:$L$22&lt;&gt;"",ROW($L$2:$L$22),ROW()+ROWS($L$2:$L$22))),ROW()-ROW($M$2:$M$22)+1),COLUMN($L$2:$L$22),4)))</f>
        <v>-----</v>
      </c>
      <c r="Y17" s="477" t="str">
        <f t="array" aca="1" ref="Y17" ca="1">IF(ROW()-ROW($N$2:$N$22)+1&gt;ROWS($M$2:$M$22)-COUNTBLANK($M$2:$M$22),"",INDIRECT(ADDRESS(SMALL((IF($M$2:$M$22&lt;&gt;"",ROW($M$2:$M$22),ROW()+ROWS($M$2:$M$22))),ROW()-ROW($N$2:$N$22)+1),COLUMN($M$2:$M$22),4)))</f>
        <v>-----</v>
      </c>
    </row>
    <row r="18" spans="1:25" ht="62.1" customHeight="1">
      <c r="A18" s="477" t="str">
        <f>IF('Kennzahlenbogen_(KB)'!R60=0,"",'Kennzahlenbogen_(KB)'!R60)</f>
        <v>Unvollständig</v>
      </c>
      <c r="C18" s="479">
        <f>IF($A18="I.O.","",'Kennzahlenbogen_(KB)'!B60)</f>
        <v>14</v>
      </c>
      <c r="D18" s="473" t="str">
        <f>IF($A18="I.O.","",'Kennzahlenbogen_(KB)'!E60)</f>
        <v>Melanom:
Sicherheitsabstand (1 cm) bei radikaler Exzision</v>
      </c>
      <c r="E18" s="487" t="str">
        <f>IF(AND('Kennzahlenbogen_(KB)'!L60="",$A18&lt;&gt;"I.O."),"-----",IF($A18="I.O.","",'Kennzahlenbogen_(KB)'!L60))</f>
        <v>&lt; 80%</v>
      </c>
      <c r="F18" s="487" t="str">
        <f>IF($A18="I.O.","",'Kennzahlenbogen_(KB)'!M60)</f>
        <v>Derzeit keine Vorgaben</v>
      </c>
      <c r="G18" s="487" t="str">
        <f>IF(AND('Kennzahlenbogen_(KB)'!O60="",$A18&lt;&gt;"I.O."),"-----",IF($A18="I.O.","",'Kennzahlenbogen_(KB)'!O60))</f>
        <v>-----</v>
      </c>
      <c r="H18" s="474" t="str">
        <f>IF($A18="I.O.","",IF('Kennzahlenbogen_(KB)'!Q60="","-----",'Kennzahlenbogen_(KB)'!Q60))</f>
        <v>-----</v>
      </c>
      <c r="I18" s="474" t="str">
        <f>IF($A18="I.O.","",IF('Kennzahlenbogen_(KB)'!Q61="","-----",'Kennzahlenbogen_(KB)'!Q61))</f>
        <v>-----</v>
      </c>
      <c r="J18" s="475" t="str">
        <f>IF($A18="I.O.","",IF('Kennzahlenbogen_(KB)'!Q62="",0,'Kennzahlenbogen_(KB)'!Q62))</f>
        <v>n.d.</v>
      </c>
      <c r="K18" s="476" t="str">
        <f>IF($A18="I.O.","",'Kennzahlenbogen_(KB)'!R60)</f>
        <v>Unvollständig</v>
      </c>
      <c r="L18" s="470" t="str">
        <f>IF(AND('Kennzahlenbogen_(KB)'!S60="",$A18&lt;&gt;"I.O."),"-----",IF($A18="I.O.","",'Kennzahlenbogen_(KB)'!S60))</f>
        <v>-----</v>
      </c>
      <c r="M18" s="470" t="str">
        <f>IF(AND('Kennzahlenbogen_(KB)'!T60="",$A18&lt;&gt;"I.O."),"-----",IF($A18="I.O.","",'Kennzahlenbogen_(KB)'!T60))</f>
        <v>-----</v>
      </c>
      <c r="O18" s="482">
        <f t="array" aca="1" ref="O18" ca="1">IF(ROW()-ROW($D$2:$D$22)+1&gt;ROWS($C$2:$C$22)-COUNTBLANK($C$2:$C$22),"",INDIRECT(ADDRESS(SMALL((IF($C$2:$C$22&lt;&gt;"",ROW($C$2:$C$22),ROW()+ROWS($C$2:$C$22))),ROW()-ROW($D$2:$D$22)+1),COLUMN($C$2:$C$22),4)))</f>
        <v>14</v>
      </c>
      <c r="P18" s="488" t="str">
        <f t="array" aca="1" ref="P18" ca="1">IF(ROW()-ROW($E$2:$E$22)+1&gt;ROWS($D$2:$D$22)-COUNTBLANK($D$2:$D$22),"",INDIRECT(ADDRESS(SMALL((IF($D$2:$D$22&gt;"",ROW($D$2:$D$22),ROW()+ROWS($D$2:$D$22))),ROW()-ROW($E$2:$E$22)+1),COLUMN($D$2:$D$22),4)))</f>
        <v>Melanom:
Sicherheitsabstand (1 cm) bei radikaler Exzision</v>
      </c>
      <c r="Q18" s="485" t="str">
        <f t="array" aca="1" ref="Q18" ca="1">IF(ROW()-ROW($F$2:$F$22)+1&gt;ROWS($E$2:$E$22)-COUNTBLANK($E$2:$E$22),"",INDIRECT(ADDRESS(SMALL((IF($E$2:$E$22&gt;"",ROW($E$2:$E$22),ROW()+ROWS($E$2:$E$22))),ROW()-ROW($F$2:$F$22)+1),COLUMN($E$2:$E$22),4)))</f>
        <v>&lt; 80%</v>
      </c>
      <c r="R18" s="485" t="str">
        <f t="array" aca="1" ref="R18" ca="1">IF(ROW()-ROW($G$2:$G$22)+1&gt;ROWS($F$2:$F$22)-COUNTBLANK($F$2:$F$22),"",INDIRECT(ADDRESS(SMALL((IF($F$2:$F$22&gt;"",ROW($F$2:$F$22),ROW()+ROWS($F$2:$F$22))),ROW()-ROW($G$2:$G$22)+1),COLUMN($F$2:$F$22),4)))</f>
        <v>Derzeit keine Vorgaben</v>
      </c>
      <c r="S18" s="485" t="str">
        <f t="array" aca="1" ref="S18" ca="1">IF(ROW()-ROW($H$2:$H$22)+1&gt;ROWS($G$2:$G$22)-COUNTBLANK($G$2:$G$22),"",INDIRECT(ADDRESS(SMALL((IF($G$2:$G$22&lt;&gt;"",ROW($G$2:$G$22),ROW()+ROWS($G$2:$G$22))),ROW()-ROW($H$2:$H$22)+1),COLUMN($G$2:$G$22),4)))</f>
        <v>-----</v>
      </c>
      <c r="T18" s="482" t="str">
        <f t="array" aca="1" ref="T18" ca="1">IF(ROW()-ROW($I$2:$I$22)+1&gt;ROWS($H$2:$H$22)-COUNTBLANK($H$2:$H$22),"",INDIRECT(ADDRESS(SMALL((IF($H$2:$H$22&lt;&gt;"",ROW($H$2:$H$22),ROW()+ROWS($H$2:$H$22))),ROW()-ROW($I$2:$I$22)+1),COLUMN($H$2:$H$22),4)))</f>
        <v>-----</v>
      </c>
      <c r="U18" s="482" t="str">
        <f t="array" aca="1" ref="U18" ca="1">IF(ROW()-ROW($J$2:$J$22)+1&gt;ROWS($I$2:$I$22)-COUNTBLANK($I$2:$I$22),"",INDIRECT(ADDRESS(SMALL((IF($I$2:$I$22&lt;&gt;"",ROW($I$2:$I$22),ROW()+ROWS($I$2:$I$22))),ROW()-ROW($J$2:$J$22)+1),COLUMN($I$2:$I$22),4)))</f>
        <v>-----</v>
      </c>
      <c r="V18" s="484" t="str">
        <f t="array" aca="1" ref="V18" ca="1">IF(ROW()-ROW($K$2:$K$22)+1&gt;ROWS($J$2:$J$22)-COUNTBLANK($J$2:$J$22),"",INDIRECT(ADDRESS(SMALL((IF($J$2:$J$22&lt;&gt;"",ROW($J$2:$J$22),ROW()+ROWS($J$2:$J$22))),ROW()-ROW($K$2:$K$22)+1),COLUMN($J$2:$J$22),4)))</f>
        <v>n.d.</v>
      </c>
      <c r="W18" s="482" t="str">
        <f t="array" aca="1" ref="W18" ca="1">IF(ROW()-ROW($L$2:$L$22)+1&gt;ROWS($K$2:$K$22)-COUNTBLANK($K$2:$K$22),"",INDIRECT(ADDRESS(SMALL((IF($K$2:$K$22&lt;&gt;"",ROW($K$2:$K$22),ROW()+ROWS($K$2:$K$22))),ROW()-ROW($L$2:$L$22)+1),COLUMN($K$2:$K$22),4)))</f>
        <v>Unvollständig</v>
      </c>
      <c r="X18" s="477" t="str">
        <f t="array" aca="1" ref="X18" ca="1">IF(ROW()-ROW($M$2:$M$22)+1&gt;ROWS($L$2:$L$22)-COUNTBLANK($L$2:$L$22),"",INDIRECT(ADDRESS(SMALL((IF($L$2:$L$22&lt;&gt;"",ROW($L$2:$L$22),ROW()+ROWS($L$2:$L$22))),ROW()-ROW($M$2:$M$22)+1),COLUMN($L$2:$L$22),4)))</f>
        <v>-----</v>
      </c>
      <c r="Y18" s="477" t="str">
        <f t="array" aca="1" ref="Y18" ca="1">IF(ROW()-ROW($N$2:$N$22)+1&gt;ROWS($M$2:$M$22)-COUNTBLANK($M$2:$M$22),"",INDIRECT(ADDRESS(SMALL((IF($M$2:$M$22&lt;&gt;"",ROW($M$2:$M$22),ROW()+ROWS($M$2:$M$22))),ROW()-ROW($N$2:$N$22)+1),COLUMN($M$2:$M$22),4)))</f>
        <v>-----</v>
      </c>
    </row>
    <row r="19" spans="1:25" ht="62.1" customHeight="1">
      <c r="A19" s="477" t="str">
        <f>IF('Kennzahlenbogen_(KB)'!R63=0,"",'Kennzahlenbogen_(KB)'!R63)</f>
        <v>Unvollständig</v>
      </c>
      <c r="C19" s="479">
        <f>IF($A19="I.O.","",'Kennzahlenbogen_(KB)'!B63)</f>
        <v>15</v>
      </c>
      <c r="D19" s="473" t="str">
        <f>IF($A19="I.O.","",'Kennzahlenbogen_(KB)'!E63)</f>
        <v>Melanom: Sicherheitsabstand (2 cm) bei radikaler Exzision</v>
      </c>
      <c r="E19" s="487" t="str">
        <f>IF(AND('Kennzahlenbogen_(KB)'!L63="",$A19&lt;&gt;"I.O."),"-----",IF($A19="I.O.","",'Kennzahlenbogen_(KB)'!L63))</f>
        <v>&lt; 80%</v>
      </c>
      <c r="F19" s="487" t="str">
        <f>IF($A19="I.O.","",'Kennzahlenbogen_(KB)'!M63)</f>
        <v>Derzeit keine Vorgaben</v>
      </c>
      <c r="G19" s="487" t="str">
        <f>IF(AND('Kennzahlenbogen_(KB)'!O63="",$A19&lt;&gt;"I.O."),"-----",IF($A19="I.O.","",'Kennzahlenbogen_(KB)'!O63))</f>
        <v>-----</v>
      </c>
      <c r="H19" s="474" t="str">
        <f>IF($A19="I.O.","",IF('Kennzahlenbogen_(KB)'!Q63="","-----",'Kennzahlenbogen_(KB)'!Q63))</f>
        <v>-----</v>
      </c>
      <c r="I19" s="474" t="str">
        <f>IF($A19="I.O.","",IF('Kennzahlenbogen_(KB)'!Q64="","-----",'Kennzahlenbogen_(KB)'!Q64))</f>
        <v>-----</v>
      </c>
      <c r="J19" s="475" t="str">
        <f>IF($A19="I.O.","",IF('Kennzahlenbogen_(KB)'!Q65="",0,'Kennzahlenbogen_(KB)'!Q65))</f>
        <v>n.d.</v>
      </c>
      <c r="K19" s="476" t="str">
        <f>IF($A19="I.O.","",'Kennzahlenbogen_(KB)'!R63)</f>
        <v>Unvollständig</v>
      </c>
      <c r="L19" s="470" t="str">
        <f>IF(AND('Kennzahlenbogen_(KB)'!S63="",$A19&lt;&gt;"I.O."),"-----",IF($A19="I.O.","",'Kennzahlenbogen_(KB)'!S63))</f>
        <v>-----</v>
      </c>
      <c r="M19" s="470" t="str">
        <f>IF(AND('Kennzahlenbogen_(KB)'!T63="",$A19&lt;&gt;"I.O."),"-----",IF($A19="I.O.","",'Kennzahlenbogen_(KB)'!T63))</f>
        <v>-----</v>
      </c>
      <c r="O19" s="482">
        <f t="array" aca="1" ref="O19" ca="1">IF(ROW()-ROW($D$2:$D$22)+1&gt;ROWS($C$2:$C$22)-COUNTBLANK($C$2:$C$22),"",INDIRECT(ADDRESS(SMALL((IF($C$2:$C$22&lt;&gt;"",ROW($C$2:$C$22),ROW()+ROWS($C$2:$C$22))),ROW()-ROW($D$2:$D$22)+1),COLUMN($C$2:$C$22),4)))</f>
        <v>15</v>
      </c>
      <c r="P19" s="488" t="str">
        <f t="array" aca="1" ref="P19" ca="1">IF(ROW()-ROW($E$2:$E$22)+1&gt;ROWS($D$2:$D$22)-COUNTBLANK($D$2:$D$22),"",INDIRECT(ADDRESS(SMALL((IF($D$2:$D$22&gt;"",ROW($D$2:$D$22),ROW()+ROWS($D$2:$D$22))),ROW()-ROW($E$2:$E$22)+1),COLUMN($D$2:$D$22),4)))</f>
        <v>Melanom: Sicherheitsabstand (2 cm) bei radikaler Exzision</v>
      </c>
      <c r="Q19" s="485" t="str">
        <f t="array" aca="1" ref="Q19" ca="1">IF(ROW()-ROW($F$2:$F$22)+1&gt;ROWS($E$2:$E$22)-COUNTBLANK($E$2:$E$22),"",INDIRECT(ADDRESS(SMALL((IF($E$2:$E$22&gt;"",ROW($E$2:$E$22),ROW()+ROWS($E$2:$E$22))),ROW()-ROW($F$2:$F$22)+1),COLUMN($E$2:$E$22),4)))</f>
        <v>&lt; 80%</v>
      </c>
      <c r="R19" s="485" t="str">
        <f t="array" aca="1" ref="R19" ca="1">IF(ROW()-ROW($G$2:$G$22)+1&gt;ROWS($F$2:$F$22)-COUNTBLANK($F$2:$F$22),"",INDIRECT(ADDRESS(SMALL((IF($F$2:$F$22&gt;"",ROW($F$2:$F$22),ROW()+ROWS($F$2:$F$22))),ROW()-ROW($G$2:$G$22)+1),COLUMN($F$2:$F$22),4)))</f>
        <v>Derzeit keine Vorgaben</v>
      </c>
      <c r="S19" s="485" t="str">
        <f t="array" aca="1" ref="S19" ca="1">IF(ROW()-ROW($H$2:$H$22)+1&gt;ROWS($G$2:$G$22)-COUNTBLANK($G$2:$G$22),"",INDIRECT(ADDRESS(SMALL((IF($G$2:$G$22&lt;&gt;"",ROW($G$2:$G$22),ROW()+ROWS($G$2:$G$22))),ROW()-ROW($H$2:$H$22)+1),COLUMN($G$2:$G$22),4)))</f>
        <v>-----</v>
      </c>
      <c r="T19" s="482" t="str">
        <f t="array" aca="1" ref="T19" ca="1">IF(ROW()-ROW($I$2:$I$22)+1&gt;ROWS($H$2:$H$22)-COUNTBLANK($H$2:$H$22),"",INDIRECT(ADDRESS(SMALL((IF($H$2:$H$22&lt;&gt;"",ROW($H$2:$H$22),ROW()+ROWS($H$2:$H$22))),ROW()-ROW($I$2:$I$22)+1),COLUMN($H$2:$H$22),4)))</f>
        <v>-----</v>
      </c>
      <c r="U19" s="482" t="str">
        <f t="array" aca="1" ref="U19" ca="1">IF(ROW()-ROW($J$2:$J$22)+1&gt;ROWS($I$2:$I$22)-COUNTBLANK($I$2:$I$22),"",INDIRECT(ADDRESS(SMALL((IF($I$2:$I$22&lt;&gt;"",ROW($I$2:$I$22),ROW()+ROWS($I$2:$I$22))),ROW()-ROW($J$2:$J$22)+1),COLUMN($I$2:$I$22),4)))</f>
        <v>-----</v>
      </c>
      <c r="V19" s="484" t="str">
        <f t="array" aca="1" ref="V19" ca="1">IF(ROW()-ROW($K$2:$K$22)+1&gt;ROWS($J$2:$J$22)-COUNTBLANK($J$2:$J$22),"",INDIRECT(ADDRESS(SMALL((IF($J$2:$J$22&lt;&gt;"",ROW($J$2:$J$22),ROW()+ROWS($J$2:$J$22))),ROW()-ROW($K$2:$K$22)+1),COLUMN($J$2:$J$22),4)))</f>
        <v>n.d.</v>
      </c>
      <c r="W19" s="482" t="str">
        <f t="array" aca="1" ref="W19" ca="1">IF(ROW()-ROW($L$2:$L$22)+1&gt;ROWS($K$2:$K$22)-COUNTBLANK($K$2:$K$22),"",INDIRECT(ADDRESS(SMALL((IF($K$2:$K$22&lt;&gt;"",ROW($K$2:$K$22),ROW()+ROWS($K$2:$K$22))),ROW()-ROW($L$2:$L$22)+1),COLUMN($K$2:$K$22),4)))</f>
        <v>Unvollständig</v>
      </c>
      <c r="X19" s="477" t="str">
        <f t="array" aca="1" ref="X19" ca="1">IF(ROW()-ROW($M$2:$M$22)+1&gt;ROWS($L$2:$L$22)-COUNTBLANK($L$2:$L$22),"",INDIRECT(ADDRESS(SMALL((IF($L$2:$L$22&lt;&gt;"",ROW($L$2:$L$22),ROW()+ROWS($L$2:$L$22))),ROW()-ROW($M$2:$M$22)+1),COLUMN($L$2:$L$22),4)))</f>
        <v>-----</v>
      </c>
      <c r="Y19" s="477" t="str">
        <f t="array" aca="1" ref="Y19" ca="1">IF(ROW()-ROW($N$2:$N$22)+1&gt;ROWS($M$2:$M$22)-COUNTBLANK($M$2:$M$22),"",INDIRECT(ADDRESS(SMALL((IF($M$2:$M$22&lt;&gt;"",ROW($M$2:$M$22),ROW()+ROWS($M$2:$M$22))),ROW()-ROW($N$2:$N$22)+1),COLUMN($M$2:$M$22),4)))</f>
        <v>-----</v>
      </c>
    </row>
    <row r="20" spans="1:25" ht="62.1" customHeight="1">
      <c r="A20" s="477" t="str">
        <f>IF('Kennzahlenbogen_(KB)'!R66=0,"",'Kennzahlenbogen_(KB)'!R66)</f>
        <v>Unvollständig</v>
      </c>
      <c r="C20" s="479">
        <f>IF($A20="I.O.","",'Kennzahlenbogen_(KB)'!B66)</f>
        <v>16</v>
      </c>
      <c r="D20" s="473" t="str">
        <f>IF($A20="I.O.","",'Kennzahlenbogen_(KB)'!E66)</f>
        <v xml:space="preserve">Melanom:
Therapeutische Lymphadenektomie </v>
      </c>
      <c r="E20" s="487" t="str">
        <f>IF(AND('Kennzahlenbogen_(KB)'!L66="",$A20&lt;&gt;"I.O."),"-----",IF($A20="I.O.","",'Kennzahlenbogen_(KB)'!L66))</f>
        <v>&lt; 80%</v>
      </c>
      <c r="F20" s="487" t="str">
        <f>IF($A20="I.O.","",'Kennzahlenbogen_(KB)'!M66)</f>
        <v>Derzeit keine Vorgaben</v>
      </c>
      <c r="G20" s="487" t="str">
        <f>IF(AND('Kennzahlenbogen_(KB)'!O66="",$A20&lt;&gt;"I.O."),"-----",IF($A20="I.O.","",'Kennzahlenbogen_(KB)'!O66))</f>
        <v>-----</v>
      </c>
      <c r="H20" s="474" t="str">
        <f>IF($A20="I.O.","",IF('Kennzahlenbogen_(KB)'!Q66="","-----",'Kennzahlenbogen_(KB)'!Q66))</f>
        <v>-----</v>
      </c>
      <c r="I20" s="474" t="str">
        <f>IF($A20="I.O.","",IF('Kennzahlenbogen_(KB)'!Q67="","-----",'Kennzahlenbogen_(KB)'!Q67))</f>
        <v>-----</v>
      </c>
      <c r="J20" s="475" t="str">
        <f>IF($A20="I.O.","",IF('Kennzahlenbogen_(KB)'!Q68="",0,'Kennzahlenbogen_(KB)'!Q68))</f>
        <v>n.d.</v>
      </c>
      <c r="K20" s="476" t="str">
        <f>IF($A20="I.O.","",'Kennzahlenbogen_(KB)'!R66)</f>
        <v>Unvollständig</v>
      </c>
      <c r="L20" s="470" t="str">
        <f>IF(AND('Kennzahlenbogen_(KB)'!S66="",$A20&lt;&gt;"I.O."),"-----",IF($A20="I.O.","",'Kennzahlenbogen_(KB)'!S66))</f>
        <v>-----</v>
      </c>
      <c r="M20" s="470" t="str">
        <f>IF(AND('Kennzahlenbogen_(KB)'!T66="",$A20&lt;&gt;"I.O."),"-----",IF($A20="I.O.","",'Kennzahlenbogen_(KB)'!T66))</f>
        <v>-----</v>
      </c>
      <c r="O20" s="482">
        <f t="array" aca="1" ref="O20" ca="1">IF(ROW()-ROW($D$2:$D$22)+1&gt;ROWS($C$2:$C$22)-COUNTBLANK($C$2:$C$22),"",INDIRECT(ADDRESS(SMALL((IF($C$2:$C$22&lt;&gt;"",ROW($C$2:$C$22),ROW()+ROWS($C$2:$C$22))),ROW()-ROW($D$2:$D$22)+1),COLUMN($C$2:$C$22),4)))</f>
        <v>16</v>
      </c>
      <c r="P20" s="488" t="str">
        <f t="array" aca="1" ref="P20" ca="1">IF(ROW()-ROW($E$2:$E$22)+1&gt;ROWS($D$2:$D$22)-COUNTBLANK($D$2:$D$22),"",INDIRECT(ADDRESS(SMALL((IF($D$2:$D$22&gt;"",ROW($D$2:$D$22),ROW()+ROWS($D$2:$D$22))),ROW()-ROW($E$2:$E$22)+1),COLUMN($D$2:$D$22),4)))</f>
        <v xml:space="preserve">Melanom:
Therapeutische Lymphadenektomie </v>
      </c>
      <c r="Q20" s="485" t="str">
        <f t="array" aca="1" ref="Q20" ca="1">IF(ROW()-ROW($F$2:$F$22)+1&gt;ROWS($E$2:$E$22)-COUNTBLANK($E$2:$E$22),"",INDIRECT(ADDRESS(SMALL((IF($E$2:$E$22&gt;"",ROW($E$2:$E$22),ROW()+ROWS($E$2:$E$22))),ROW()-ROW($F$2:$F$22)+1),COLUMN($E$2:$E$22),4)))</f>
        <v>&lt; 80%</v>
      </c>
      <c r="R20" s="485" t="str">
        <f t="array" aca="1" ref="R20" ca="1">IF(ROW()-ROW($G$2:$G$22)+1&gt;ROWS($F$2:$F$22)-COUNTBLANK($F$2:$F$22),"",INDIRECT(ADDRESS(SMALL((IF($F$2:$F$22&gt;"",ROW($F$2:$F$22),ROW()+ROWS($F$2:$F$22))),ROW()-ROW($G$2:$G$22)+1),COLUMN($F$2:$F$22),4)))</f>
        <v>Derzeit keine Vorgaben</v>
      </c>
      <c r="S20" s="485" t="str">
        <f t="array" aca="1" ref="S20" ca="1">IF(ROW()-ROW($H$2:$H$22)+1&gt;ROWS($G$2:$G$22)-COUNTBLANK($G$2:$G$22),"",INDIRECT(ADDRESS(SMALL((IF($G$2:$G$22&lt;&gt;"",ROW($G$2:$G$22),ROW()+ROWS($G$2:$G$22))),ROW()-ROW($H$2:$H$22)+1),COLUMN($G$2:$G$22),4)))</f>
        <v>-----</v>
      </c>
      <c r="T20" s="482" t="str">
        <f t="array" aca="1" ref="T20" ca="1">IF(ROW()-ROW($I$2:$I$22)+1&gt;ROWS($H$2:$H$22)-COUNTBLANK($H$2:$H$22),"",INDIRECT(ADDRESS(SMALL((IF($H$2:$H$22&lt;&gt;"",ROW($H$2:$H$22),ROW()+ROWS($H$2:$H$22))),ROW()-ROW($I$2:$I$22)+1),COLUMN($H$2:$H$22),4)))</f>
        <v>-----</v>
      </c>
      <c r="U20" s="482" t="str">
        <f t="array" aca="1" ref="U20" ca="1">IF(ROW()-ROW($J$2:$J$22)+1&gt;ROWS($I$2:$I$22)-COUNTBLANK($I$2:$I$22),"",INDIRECT(ADDRESS(SMALL((IF($I$2:$I$22&lt;&gt;"",ROW($I$2:$I$22),ROW()+ROWS($I$2:$I$22))),ROW()-ROW($J$2:$J$22)+1),COLUMN($I$2:$I$22),4)))</f>
        <v>-----</v>
      </c>
      <c r="V20" s="484" t="str">
        <f t="array" aca="1" ref="V20" ca="1">IF(ROW()-ROW($K$2:$K$22)+1&gt;ROWS($J$2:$J$22)-COUNTBLANK($J$2:$J$22),"",INDIRECT(ADDRESS(SMALL((IF($J$2:$J$22&lt;&gt;"",ROW($J$2:$J$22),ROW()+ROWS($J$2:$J$22))),ROW()-ROW($K$2:$K$22)+1),COLUMN($J$2:$J$22),4)))</f>
        <v>n.d.</v>
      </c>
      <c r="W20" s="482" t="str">
        <f t="array" aca="1" ref="W20" ca="1">IF(ROW()-ROW($L$2:$L$22)+1&gt;ROWS($K$2:$K$22)-COUNTBLANK($K$2:$K$22),"",INDIRECT(ADDRESS(SMALL((IF($K$2:$K$22&lt;&gt;"",ROW($K$2:$K$22),ROW()+ROWS($K$2:$K$22))),ROW()-ROW($L$2:$L$22)+1),COLUMN($K$2:$K$22),4)))</f>
        <v>Unvollständig</v>
      </c>
      <c r="X20" s="477" t="str">
        <f t="array" aca="1" ref="X20" ca="1">IF(ROW()-ROW($M$2:$M$22)+1&gt;ROWS($L$2:$L$22)-COUNTBLANK($L$2:$L$22),"",INDIRECT(ADDRESS(SMALL((IF($L$2:$L$22&lt;&gt;"",ROW($L$2:$L$22),ROW()+ROWS($L$2:$L$22))),ROW()-ROW($M$2:$M$22)+1),COLUMN($L$2:$L$22),4)))</f>
        <v>-----</v>
      </c>
      <c r="Y20" s="477" t="str">
        <f t="array" aca="1" ref="Y20" ca="1">IF(ROW()-ROW($N$2:$N$22)+1&gt;ROWS($M$2:$M$22)-COUNTBLANK($M$2:$M$22),"",INDIRECT(ADDRESS(SMALL((IF($M$2:$M$22&lt;&gt;"",ROW($M$2:$M$22),ROW()+ROWS($M$2:$M$22))),ROW()-ROW($N$2:$N$22)+1),COLUMN($M$2:$M$22),4)))</f>
        <v>-----</v>
      </c>
    </row>
    <row r="21" spans="1:25" ht="62.1" customHeight="1">
      <c r="A21" s="477" t="str">
        <f>IF('Kennzahlenbogen_(KB)'!R69=0,"",'Kennzahlenbogen_(KB)'!R69)</f>
        <v>Unvollständig</v>
      </c>
      <c r="C21" s="479">
        <f>IF($A21="I.O.","",'Kennzahlenbogen_(KB)'!B69)</f>
        <v>17</v>
      </c>
      <c r="D21" s="473" t="str">
        <f>IF($A21="I.O.","",'Kennzahlenbogen_(KB)'!E69)</f>
        <v>Melanom:
Mutationsanalyse für BRAF</v>
      </c>
      <c r="E21" s="487" t="str">
        <f>IF(AND('Kennzahlenbogen_(KB)'!L69="",$A21&lt;&gt;"I.O."),"-----",IF($A21="I.O.","",'Kennzahlenbogen_(KB)'!L69))</f>
        <v>&lt; 80%</v>
      </c>
      <c r="F21" s="487" t="str">
        <f>IF($A21="I.O.","",'Kennzahlenbogen_(KB)'!M69)</f>
        <v>Derzeit keine Vorgaben</v>
      </c>
      <c r="G21" s="487" t="str">
        <f>IF(AND('Kennzahlenbogen_(KB)'!O69="",$A21&lt;&gt;"I.O."),"-----",IF($A21="I.O.","",'Kennzahlenbogen_(KB)'!O69))</f>
        <v>-----</v>
      </c>
      <c r="H21" s="474" t="str">
        <f>IF($A21="I.O.","",IF('Kennzahlenbogen_(KB)'!Q69="","-----",'Kennzahlenbogen_(KB)'!Q69))</f>
        <v>-----</v>
      </c>
      <c r="I21" s="474">
        <f>IF($A21="I.O.","",IF('Kennzahlenbogen_(KB)'!Q70="","-----",'Kennzahlenbogen_(KB)'!Q70))</f>
        <v>0</v>
      </c>
      <c r="J21" s="475" t="str">
        <f>IF($A21="I.O.","",IF('Kennzahlenbogen_(KB)'!Q71="",0,'Kennzahlenbogen_(KB)'!Q71))</f>
        <v>n.d.</v>
      </c>
      <c r="K21" s="476" t="str">
        <f>IF($A21="I.O.","",'Kennzahlenbogen_(KB)'!R69)</f>
        <v>Unvollständig</v>
      </c>
      <c r="L21" s="470" t="str">
        <f>IF(AND('Kennzahlenbogen_(KB)'!S69="",$A21&lt;&gt;"I.O."),"-----",IF($A21="I.O.","",'Kennzahlenbogen_(KB)'!S69))</f>
        <v>-----</v>
      </c>
      <c r="M21" s="470" t="str">
        <f>IF(AND('Kennzahlenbogen_(KB)'!T69="",$A21&lt;&gt;"I.O."),"-----",IF($A21="I.O.","",'Kennzahlenbogen_(KB)'!T69))</f>
        <v>-----</v>
      </c>
      <c r="O21" s="482">
        <f t="array" aca="1" ref="O21" ca="1">IF(ROW()-ROW($D$2:$D$22)+1&gt;ROWS($C$2:$C$22)-COUNTBLANK($C$2:$C$22),"",INDIRECT(ADDRESS(SMALL((IF($C$2:$C$22&lt;&gt;"",ROW($C$2:$C$22),ROW()+ROWS($C$2:$C$22))),ROW()-ROW($D$2:$D$22)+1),COLUMN($C$2:$C$22),4)))</f>
        <v>17</v>
      </c>
      <c r="P21" s="488" t="str">
        <f t="array" aca="1" ref="P21" ca="1">IF(ROW()-ROW($E$2:$E$22)+1&gt;ROWS($D$2:$D$22)-COUNTBLANK($D$2:$D$22),"",INDIRECT(ADDRESS(SMALL((IF($D$2:$D$22&gt;"",ROW($D$2:$D$22),ROW()+ROWS($D$2:$D$22))),ROW()-ROW($E$2:$E$22)+1),COLUMN($D$2:$D$22),4)))</f>
        <v>Melanom:
Mutationsanalyse für BRAF</v>
      </c>
      <c r="Q21" s="485" t="str">
        <f t="array" aca="1" ref="Q21" ca="1">IF(ROW()-ROW($F$2:$F$22)+1&gt;ROWS($E$2:$E$22)-COUNTBLANK($E$2:$E$22),"",INDIRECT(ADDRESS(SMALL((IF($E$2:$E$22&gt;"",ROW($E$2:$E$22),ROW()+ROWS($E$2:$E$22))),ROW()-ROW($F$2:$F$22)+1),COLUMN($E$2:$E$22),4)))</f>
        <v>&lt; 80%</v>
      </c>
      <c r="R21" s="485" t="str">
        <f t="array" aca="1" ref="R21" ca="1">IF(ROW()-ROW($G$2:$G$22)+1&gt;ROWS($F$2:$F$22)-COUNTBLANK($F$2:$F$22),"",INDIRECT(ADDRESS(SMALL((IF($F$2:$F$22&gt;"",ROW($F$2:$F$22),ROW()+ROWS($F$2:$F$22))),ROW()-ROW($G$2:$G$22)+1),COLUMN($F$2:$F$22),4)))</f>
        <v>Derzeit keine Vorgaben</v>
      </c>
      <c r="S21" s="485" t="str">
        <f t="array" aca="1" ref="S21" ca="1">IF(ROW()-ROW($H$2:$H$22)+1&gt;ROWS($G$2:$G$22)-COUNTBLANK($G$2:$G$22),"",INDIRECT(ADDRESS(SMALL((IF($G$2:$G$22&lt;&gt;"",ROW($G$2:$G$22),ROW()+ROWS($G$2:$G$22))),ROW()-ROW($H$2:$H$22)+1),COLUMN($G$2:$G$22),4)))</f>
        <v>-----</v>
      </c>
      <c r="T21" s="482" t="str">
        <f t="array" aca="1" ref="T21" ca="1">IF(ROW()-ROW($I$2:$I$22)+1&gt;ROWS($H$2:$H$22)-COUNTBLANK($H$2:$H$22),"",INDIRECT(ADDRESS(SMALL((IF($H$2:$H$22&lt;&gt;"",ROW($H$2:$H$22),ROW()+ROWS($H$2:$H$22))),ROW()-ROW($I$2:$I$22)+1),COLUMN($H$2:$H$22),4)))</f>
        <v>-----</v>
      </c>
      <c r="U21" s="482">
        <f t="array" aca="1" ref="U21" ca="1">IF(ROW()-ROW($J$2:$J$22)+1&gt;ROWS($I$2:$I$22)-COUNTBLANK($I$2:$I$22),"",INDIRECT(ADDRESS(SMALL((IF($I$2:$I$22&lt;&gt;"",ROW($I$2:$I$22),ROW()+ROWS($I$2:$I$22))),ROW()-ROW($J$2:$J$22)+1),COLUMN($I$2:$I$22),4)))</f>
        <v>0</v>
      </c>
      <c r="V21" s="484" t="str">
        <f t="array" aca="1" ref="V21" ca="1">IF(ROW()-ROW($K$2:$K$22)+1&gt;ROWS($J$2:$J$22)-COUNTBLANK($J$2:$J$22),"",INDIRECT(ADDRESS(SMALL((IF($J$2:$J$22&lt;&gt;"",ROW($J$2:$J$22),ROW()+ROWS($J$2:$J$22))),ROW()-ROW($K$2:$K$22)+1),COLUMN($J$2:$J$22),4)))</f>
        <v>n.d.</v>
      </c>
      <c r="W21" s="482" t="str">
        <f t="array" aca="1" ref="W21" ca="1">IF(ROW()-ROW($L$2:$L$22)+1&gt;ROWS($K$2:$K$22)-COUNTBLANK($K$2:$K$22),"",INDIRECT(ADDRESS(SMALL((IF($K$2:$K$22&lt;&gt;"",ROW($K$2:$K$22),ROW()+ROWS($K$2:$K$22))),ROW()-ROW($L$2:$L$22)+1),COLUMN($K$2:$K$22),4)))</f>
        <v>Unvollständig</v>
      </c>
      <c r="X21" s="477" t="str">
        <f t="array" aca="1" ref="X21" ca="1">IF(ROW()-ROW($M$2:$M$22)+1&gt;ROWS($L$2:$L$22)-COUNTBLANK($L$2:$L$22),"",INDIRECT(ADDRESS(SMALL((IF($L$2:$L$22&lt;&gt;"",ROW($L$2:$L$22),ROW()+ROWS($L$2:$L$22))),ROW()-ROW($M$2:$M$22)+1),COLUMN($L$2:$L$22),4)))</f>
        <v>-----</v>
      </c>
      <c r="Y21" s="477" t="str">
        <f t="array" aca="1" ref="Y21" ca="1">IF(ROW()-ROW($N$2:$N$22)+1&gt;ROWS($M$2:$M$22)-COUNTBLANK($M$2:$M$22),"",INDIRECT(ADDRESS(SMALL((IF($M$2:$M$22&lt;&gt;"",ROW($M$2:$M$22),ROW()+ROWS($M$2:$M$22))),ROW()-ROW($N$2:$N$22)+1),COLUMN($M$2:$M$22),4)))</f>
        <v>-----</v>
      </c>
    </row>
    <row r="22" spans="1:25" ht="62.1" customHeight="1">
      <c r="A22" s="477" t="str">
        <f>IF('Kennzahlenbogen_(KB)'!R72=0,"",'Kennzahlenbogen_(KB)'!R72)</f>
        <v>Unvollständig</v>
      </c>
      <c r="C22" s="479">
        <f>IF($A22="I.O.","",'Kennzahlenbogen_(KB)'!B72)</f>
        <v>18</v>
      </c>
      <c r="D22" s="473" t="str">
        <f>IF($A22="I.O.","",'Kennzahlenbogen_(KB)'!E72)</f>
        <v>Melanom: 
LDH-Bestimmung</v>
      </c>
      <c r="E22" s="487" t="str">
        <f>IF(AND('Kennzahlenbogen_(KB)'!L72="",$A22&lt;&gt;"I.O."),"-----",IF($A22="I.O.","",'Kennzahlenbogen_(KB)'!L72))</f>
        <v>&lt; 80%</v>
      </c>
      <c r="F22" s="487" t="str">
        <f>IF($A22="I.O.","",'Kennzahlenbogen_(KB)'!M72)</f>
        <v>Derzeit keine Vorgaben</v>
      </c>
      <c r="G22" s="487" t="str">
        <f>IF(AND('Kennzahlenbogen_(KB)'!O72="",$A22&lt;&gt;"I.O."),"-----",IF($A22="I.O.","",'Kennzahlenbogen_(KB)'!O72))</f>
        <v>-----</v>
      </c>
      <c r="H22" s="474" t="str">
        <f>IF($A22="I.O.","",IF('Kennzahlenbogen_(KB)'!Q72="","-----",'Kennzahlenbogen_(KB)'!Q72))</f>
        <v>-----</v>
      </c>
      <c r="I22" s="474">
        <f>IF($A22="I.O.","",IF('Kennzahlenbogen_(KB)'!Q73="","-----",'Kennzahlenbogen_(KB)'!Q73))</f>
        <v>0</v>
      </c>
      <c r="J22" s="475" t="str">
        <f>IF($A22="I.O.","",IF('Kennzahlenbogen_(KB)'!Q74="",0,'Kennzahlenbogen_(KB)'!Q74))</f>
        <v>n.d.</v>
      </c>
      <c r="K22" s="476" t="str">
        <f>IF($A22="I.O.","",'Kennzahlenbogen_(KB)'!R72)</f>
        <v>Unvollständig</v>
      </c>
      <c r="L22" s="470" t="str">
        <f>IF(AND('Kennzahlenbogen_(KB)'!S72="",$A22&lt;&gt;"I.O."),"-----",IF($A22="I.O.","",'Kennzahlenbogen_(KB)'!S72))</f>
        <v>-----</v>
      </c>
      <c r="M22" s="470" t="str">
        <f>IF(AND('Kennzahlenbogen_(KB)'!T72="",$A22&lt;&gt;"I.O."),"-----",IF($A22="I.O.","",'Kennzahlenbogen_(KB)'!T72))</f>
        <v>-----</v>
      </c>
      <c r="O22" s="482">
        <f t="array" aca="1" ref="O22" ca="1">IF(ROW()-ROW($D$2:$D$22)+1&gt;ROWS($C$2:$C$22)-COUNTBLANK($C$2:$C$22),"",INDIRECT(ADDRESS(SMALL((IF($C$2:$C$22&lt;&gt;"",ROW($C$2:$C$22),ROW()+ROWS($C$2:$C$22))),ROW()-ROW($D$2:$D$22)+1),COLUMN($C$2:$C$22),4)))</f>
        <v>18</v>
      </c>
      <c r="P22" s="488" t="str">
        <f t="array" aca="1" ref="P22" ca="1">IF(ROW()-ROW($E$2:$E$22)+1&gt;ROWS($D$2:$D$22)-COUNTBLANK($D$2:$D$22),"",INDIRECT(ADDRESS(SMALL((IF($D$2:$D$22&gt;"",ROW($D$2:$D$22),ROW()+ROWS($D$2:$D$22))),ROW()-ROW($E$2:$E$22)+1),COLUMN($D$2:$D$22),4)))</f>
        <v>Melanom: 
LDH-Bestimmung</v>
      </c>
      <c r="Q22" s="485" t="str">
        <f t="array" aca="1" ref="Q22" ca="1">IF(ROW()-ROW($F$2:$F$22)+1&gt;ROWS($E$2:$E$22)-COUNTBLANK($E$2:$E$22),"",INDIRECT(ADDRESS(SMALL((IF($E$2:$E$22&gt;"",ROW($E$2:$E$22),ROW()+ROWS($E$2:$E$22))),ROW()-ROW($F$2:$F$22)+1),COLUMN($E$2:$E$22),4)))</f>
        <v>&lt; 80%</v>
      </c>
      <c r="R22" s="485" t="str">
        <f t="array" aca="1" ref="R22" ca="1">IF(ROW()-ROW($G$2:$G$22)+1&gt;ROWS($F$2:$F$22)-COUNTBLANK($F$2:$F$22),"",INDIRECT(ADDRESS(SMALL((IF($F$2:$F$22&gt;"",ROW($F$2:$F$22),ROW()+ROWS($F$2:$F$22))),ROW()-ROW($G$2:$G$22)+1),COLUMN($F$2:$F$22),4)))</f>
        <v>Derzeit keine Vorgaben</v>
      </c>
      <c r="S22" s="485" t="str">
        <f t="array" aca="1" ref="S22" ca="1">IF(ROW()-ROW($H$2:$H$22)+1&gt;ROWS($G$2:$G$22)-COUNTBLANK($G$2:$G$22),"",INDIRECT(ADDRESS(SMALL((IF($G$2:$G$22&lt;&gt;"",ROW($G$2:$G$22),ROW()+ROWS($G$2:$G$22))),ROW()-ROW($H$2:$H$22)+1),COLUMN($G$2:$G$22),4)))</f>
        <v>-----</v>
      </c>
      <c r="T22" s="482" t="str">
        <f t="array" aca="1" ref="T22" ca="1">IF(ROW()-ROW($I$2:$I$22)+1&gt;ROWS($H$2:$H$22)-COUNTBLANK($H$2:$H$22),"",INDIRECT(ADDRESS(SMALL((IF($H$2:$H$22&lt;&gt;"",ROW($H$2:$H$22),ROW()+ROWS($H$2:$H$22))),ROW()-ROW($I$2:$I$22)+1),COLUMN($H$2:$H$22),4)))</f>
        <v>-----</v>
      </c>
      <c r="U22" s="482">
        <f t="array" aca="1" ref="U22" ca="1">IF(ROW()-ROW($J$2:$J$22)+1&gt;ROWS($I$2:$I$22)-COUNTBLANK($I$2:$I$22),"",INDIRECT(ADDRESS(SMALL((IF($I$2:$I$22&lt;&gt;"",ROW($I$2:$I$22),ROW()+ROWS($I$2:$I$22))),ROW()-ROW($J$2:$J$22)+1),COLUMN($I$2:$I$22),4)))</f>
        <v>0</v>
      </c>
      <c r="V22" s="484" t="str">
        <f t="array" aca="1" ref="V22" ca="1">IF(ROW()-ROW($K$2:$K$22)+1&gt;ROWS($J$2:$J$22)-COUNTBLANK($J$2:$J$22),"",INDIRECT(ADDRESS(SMALL((IF($J$2:$J$22&lt;&gt;"",ROW($J$2:$J$22),ROW()+ROWS($J$2:$J$22))),ROW()-ROW($K$2:$K$22)+1),COLUMN($J$2:$J$22),4)))</f>
        <v>n.d.</v>
      </c>
      <c r="W22" s="482" t="str">
        <f t="array" aca="1" ref="W22" ca="1">IF(ROW()-ROW($L$2:$L$22)+1&gt;ROWS($K$2:$K$22)-COUNTBLANK($K$2:$K$22),"",INDIRECT(ADDRESS(SMALL((IF($K$2:$K$22&lt;&gt;"",ROW($K$2:$K$22),ROW()+ROWS($K$2:$K$22))),ROW()-ROW($L$2:$L$22)+1),COLUMN($K$2:$K$22),4)))</f>
        <v>Unvollständig</v>
      </c>
      <c r="X22" s="477" t="str">
        <f t="array" aca="1" ref="X22" ca="1">IF(ROW()-ROW($M$2:$M$22)+1&gt;ROWS($L$2:$L$22)-COUNTBLANK($L$2:$L$22),"",INDIRECT(ADDRESS(SMALL((IF($L$2:$L$22&lt;&gt;"",ROW($L$2:$L$22),ROW()+ROWS($L$2:$L$22))),ROW()-ROW($M$2:$M$22)+1),COLUMN($L$2:$L$22),4)))</f>
        <v>-----</v>
      </c>
      <c r="Y22" s="477" t="str">
        <f t="array" aca="1" ref="Y22" ca="1">IF(ROW()-ROW($N$2:$N$22)+1&gt;ROWS($M$2:$M$22)-COUNTBLANK($M$2:$M$22),"",INDIRECT(ADDRESS(SMALL((IF($M$2:$M$22&lt;&gt;"",ROW($M$2:$M$22),ROW()+ROWS($M$2:$M$22))),ROW()-ROW($N$2:$N$22)+1),COLUMN($M$2:$M$22),4)))</f>
        <v>-----</v>
      </c>
    </row>
  </sheetData>
  <sheetProtection formatColumns="0" formatRows="0" selectLockedCells="1" sort="0"/>
  <phoneticPr fontId="41" type="noConversion"/>
  <conditionalFormatting sqref="K2:K22">
    <cfRule type="expression" dxfId="173" priority="1" stopIfTrue="1">
      <formula>OR(K2="Unvollständig",K2="Inkorrekt")</formula>
    </cfRule>
    <cfRule type="cellIs" dxfId="172" priority="20" stopIfTrue="1" operator="equal">
      <formula>"Ausnahme (Plausibilität unklar)"</formula>
    </cfRule>
    <cfRule type="cellIs" dxfId="171" priority="35" stopIfTrue="1" operator="equal">
      <formula>"I.O. (Plausibilität unklar)"</formula>
    </cfRule>
    <cfRule type="cellIs" dxfId="170" priority="51" stopIfTrue="1" operator="equal">
      <formula>"Sollvorgabe nicht erfüllt"</formula>
    </cfRule>
    <cfRule type="cellIs" dxfId="169" priority="67" stopIfTrue="1" operator="equal">
      <formula>"I.O."</formula>
    </cfRule>
  </conditionalFormatting>
  <pageMargins left="0.39370078740157483" right="3.937007874015748E-2" top="0.59055118110236227" bottom="0.39370078740157483" header="0.11811023622047245" footer="0.11811023622047245"/>
  <pageSetup paperSize="9" orientation="landscape" r:id="rId1"/>
  <headerFooter>
    <oddFooter>&amp;L&amp;"Arial,Standard"&amp;7&amp;F&amp;C&amp;"Arial,Standard"&amp;7 © DKG  Alle Rechte vorbehalten&amp;R&amp;"Arial,Standard"&amp;7&amp;P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AX83"/>
  <sheetViews>
    <sheetView showGridLines="0" zoomScaleNormal="100" workbookViewId="0">
      <selection activeCell="E19" sqref="E19"/>
    </sheetView>
  </sheetViews>
  <sheetFormatPr baseColWidth="10" defaultColWidth="9" defaultRowHeight="14.25"/>
  <cols>
    <col min="1" max="1" width="1.7109375" style="4" customWidth="1"/>
    <col min="2" max="2" width="16" style="4" customWidth="1"/>
    <col min="3" max="3" width="9.7109375" style="4" customWidth="1"/>
    <col min="4" max="4" width="8.85546875" style="4" customWidth="1"/>
    <col min="5" max="12" width="4.140625" style="4" customWidth="1"/>
    <col min="13" max="13" width="4.140625" style="664" customWidth="1"/>
    <col min="14" max="16" width="4.140625" style="4" customWidth="1"/>
    <col min="17" max="17" width="4.7109375" style="4" customWidth="1"/>
    <col min="18" max="18" width="4.140625" style="4" customWidth="1"/>
    <col min="19" max="19" width="0.5703125" style="4" customWidth="1"/>
    <col min="20" max="20" width="8.7109375" style="4" customWidth="1"/>
    <col min="21" max="21" width="9.5703125" style="4" customWidth="1"/>
    <col min="22" max="22" width="8.85546875" style="4" customWidth="1"/>
    <col min="23" max="23" width="0.5703125" style="4" customWidth="1"/>
    <col min="24" max="24" width="7.85546875" style="4" customWidth="1"/>
    <col min="25" max="25" width="8.28515625" style="4" customWidth="1"/>
    <col min="26" max="26" width="0.5703125" style="4" customWidth="1"/>
    <col min="27" max="27" width="17.7109375" style="4" customWidth="1"/>
    <col min="28" max="28" width="4.7109375" style="4" customWidth="1"/>
    <col min="29" max="29" width="5.42578125" style="4" customWidth="1"/>
    <col min="30" max="32" width="4.85546875" style="4" customWidth="1"/>
    <col min="33" max="34" width="0.42578125" style="4" customWidth="1"/>
    <col min="35" max="35" width="4.85546875" style="4" customWidth="1"/>
    <col min="36" max="36" width="4.5703125" style="4" customWidth="1"/>
    <col min="37" max="38" width="4.42578125" style="4" customWidth="1"/>
    <col min="39" max="39" width="4.85546875" style="4" customWidth="1"/>
    <col min="40" max="40" width="4.42578125" style="4" customWidth="1"/>
    <col min="41" max="42" width="4.85546875" style="4" customWidth="1"/>
    <col min="43" max="43" width="0.5703125" style="4" customWidth="1"/>
    <col min="44" max="44" width="6" style="4" customWidth="1"/>
    <col min="45" max="45" width="6.42578125" style="40" customWidth="1"/>
    <col min="46" max="239" width="11.42578125" style="4" customWidth="1"/>
    <col min="240" max="16384" width="9" style="4"/>
  </cols>
  <sheetData>
    <row r="1" spans="2:50" ht="9.9499999999999993" customHeight="1">
      <c r="D1" s="33"/>
      <c r="E1" s="33"/>
      <c r="F1" s="33"/>
      <c r="G1" s="33"/>
      <c r="H1" s="33"/>
      <c r="I1" s="33"/>
      <c r="J1" s="33"/>
      <c r="K1" s="33"/>
      <c r="L1" s="33"/>
      <c r="M1" s="33"/>
      <c r="N1" s="33"/>
      <c r="O1" s="33"/>
      <c r="P1" s="33"/>
      <c r="Q1" s="33"/>
      <c r="R1" s="33"/>
      <c r="AD1" s="24"/>
      <c r="AE1" s="24"/>
      <c r="AF1" s="24"/>
      <c r="AG1" s="24"/>
      <c r="AH1" s="24"/>
      <c r="AI1" s="24"/>
      <c r="AJ1" s="24"/>
      <c r="AK1" s="24"/>
    </row>
    <row r="2" spans="2:50" ht="12.95" customHeight="1">
      <c r="B2" s="524" t="str">
        <f>Basisdaten!B2</f>
        <v>Anlage EB Version J1.1 (Auditjahr 2022 / Kennzahlenjahr 2021)</v>
      </c>
      <c r="C2" s="9"/>
      <c r="D2" s="9"/>
      <c r="E2" s="9"/>
      <c r="F2" s="9"/>
      <c r="G2" s="9"/>
      <c r="H2" s="9"/>
      <c r="I2" s="9"/>
      <c r="J2" s="9"/>
      <c r="K2" s="9"/>
      <c r="L2" s="9"/>
      <c r="M2" s="665"/>
      <c r="N2" s="9"/>
      <c r="O2" s="9"/>
      <c r="P2" s="9"/>
      <c r="Q2" s="9"/>
      <c r="R2" s="9"/>
      <c r="S2" s="9"/>
      <c r="T2" s="9"/>
      <c r="U2" s="9"/>
      <c r="V2" s="9"/>
      <c r="W2" s="9"/>
      <c r="AD2" s="24"/>
      <c r="AE2" s="24"/>
      <c r="AF2" s="24"/>
      <c r="AG2" s="24"/>
      <c r="AH2" s="24"/>
      <c r="AI2" s="24"/>
      <c r="AJ2" s="24"/>
      <c r="AK2" s="24"/>
    </row>
    <row r="3" spans="2:50" ht="19.5" customHeight="1">
      <c r="B3" s="60" t="s">
        <v>775</v>
      </c>
      <c r="AD3" s="24"/>
      <c r="AE3" s="24"/>
      <c r="AF3" s="24"/>
      <c r="AG3" s="24"/>
      <c r="AH3" s="24"/>
      <c r="AI3" s="24"/>
      <c r="AJ3" s="34"/>
      <c r="AK3" s="25"/>
      <c r="AL3" s="25"/>
      <c r="AM3" s="25"/>
      <c r="AN3" s="25"/>
    </row>
    <row r="4" spans="2:50" ht="12" customHeight="1">
      <c r="B4" s="28"/>
      <c r="AD4" s="24"/>
      <c r="AE4" s="24"/>
      <c r="AF4" s="24"/>
      <c r="AG4" s="24"/>
      <c r="AH4" s="24"/>
      <c r="AI4" s="24"/>
      <c r="AJ4" s="34"/>
      <c r="AK4" s="25"/>
      <c r="AL4" s="25"/>
      <c r="AM4" s="25"/>
      <c r="AN4" s="25"/>
    </row>
    <row r="5" spans="2:50" ht="15" customHeight="1">
      <c r="B5" s="9"/>
      <c r="C5" s="9"/>
      <c r="D5" s="9"/>
      <c r="E5" s="9"/>
      <c r="F5" s="9"/>
      <c r="G5" s="9"/>
      <c r="H5" s="9"/>
      <c r="I5" s="9"/>
      <c r="J5" s="9"/>
      <c r="K5" s="9"/>
      <c r="L5" s="9"/>
      <c r="M5" s="665"/>
      <c r="N5" s="9"/>
      <c r="O5" s="9"/>
      <c r="P5" s="9"/>
      <c r="Q5" s="9"/>
      <c r="R5" s="9"/>
      <c r="S5" s="9"/>
      <c r="T5" s="9"/>
      <c r="U5" s="9"/>
      <c r="V5" s="9"/>
      <c r="W5" s="9"/>
      <c r="X5" s="9"/>
      <c r="Y5" s="9"/>
      <c r="Z5" s="9"/>
      <c r="AA5" s="9"/>
      <c r="AB5" s="9"/>
      <c r="AC5" s="9"/>
      <c r="AD5" s="9"/>
      <c r="AE5" s="9"/>
      <c r="AF5" s="9"/>
      <c r="AG5" s="9"/>
      <c r="AH5" s="9"/>
      <c r="AI5" s="164"/>
      <c r="AJ5" s="165"/>
      <c r="AK5" s="34"/>
      <c r="AL5" s="34"/>
      <c r="AM5" s="34"/>
      <c r="AN5" s="34"/>
    </row>
    <row r="6" spans="2:50" s="30" customFormat="1" ht="15" customHeight="1">
      <c r="B6" s="510" t="s">
        <v>133</v>
      </c>
      <c r="C6" s="1103" t="str">
        <f>IF(Basisdaten!C8=0,"",Basisdaten!C8)</f>
        <v/>
      </c>
      <c r="D6" s="1104"/>
      <c r="E6" s="1104"/>
      <c r="F6" s="1104"/>
      <c r="G6" s="1104"/>
      <c r="H6" s="1104"/>
      <c r="I6" s="1104"/>
      <c r="J6" s="1104"/>
      <c r="K6" s="1104"/>
      <c r="L6" s="1104"/>
      <c r="M6" s="1104"/>
      <c r="N6" s="1104"/>
      <c r="O6" s="1104"/>
      <c r="P6" s="1104"/>
      <c r="Q6" s="1104"/>
      <c r="R6" s="1104"/>
      <c r="S6" s="1104"/>
      <c r="T6" s="1104"/>
      <c r="U6" s="1104"/>
      <c r="V6" s="1104"/>
      <c r="W6" s="1104"/>
      <c r="X6" s="1104"/>
      <c r="Y6" s="1104"/>
      <c r="Z6" s="1105"/>
      <c r="AA6" s="161"/>
      <c r="AB6" s="161"/>
      <c r="AC6" s="161"/>
      <c r="AD6" s="166"/>
      <c r="AE6" s="161"/>
      <c r="AF6" s="161"/>
      <c r="AG6" s="161"/>
      <c r="AH6" s="161"/>
      <c r="AI6" s="161"/>
      <c r="AJ6" s="161"/>
    </row>
    <row r="7" spans="2:50" s="30" customFormat="1" ht="6.95" customHeight="1">
      <c r="B7" s="168"/>
      <c r="C7" s="167"/>
      <c r="D7" s="15"/>
      <c r="E7" s="15"/>
      <c r="F7" s="15"/>
      <c r="G7" s="15"/>
      <c r="H7" s="15"/>
      <c r="I7" s="15"/>
      <c r="J7" s="15"/>
      <c r="K7" s="15"/>
      <c r="L7" s="15"/>
      <c r="M7" s="15"/>
      <c r="N7" s="15"/>
      <c r="O7" s="15"/>
      <c r="P7" s="15"/>
      <c r="Q7" s="15"/>
      <c r="R7" s="15"/>
      <c r="S7" s="15"/>
      <c r="T7" s="15"/>
      <c r="U7" s="15"/>
      <c r="V7" s="15"/>
      <c r="W7" s="15"/>
      <c r="X7" s="15"/>
      <c r="Y7" s="15"/>
      <c r="Z7" s="15"/>
      <c r="AA7" s="161"/>
      <c r="AB7" s="161"/>
      <c r="AC7" s="161"/>
      <c r="AD7" s="161"/>
      <c r="AE7" s="166"/>
      <c r="AF7" s="161"/>
      <c r="AG7" s="161"/>
      <c r="AH7" s="161"/>
      <c r="AI7" s="161"/>
      <c r="AJ7" s="161"/>
    </row>
    <row r="8" spans="2:50" s="30" customFormat="1" ht="15" customHeight="1">
      <c r="B8" s="511" t="s">
        <v>80</v>
      </c>
      <c r="C8" s="1116" t="str">
        <f>IF(Basisdaten!C6=0,"",Basisdaten!C6)</f>
        <v/>
      </c>
      <c r="D8" s="1117"/>
      <c r="E8" s="1118"/>
      <c r="F8" s="527"/>
      <c r="G8" s="527"/>
      <c r="H8" s="527"/>
      <c r="I8" s="527"/>
      <c r="J8" s="527"/>
      <c r="K8" s="527"/>
      <c r="L8" s="527"/>
      <c r="M8" s="527"/>
      <c r="N8" s="527"/>
      <c r="O8" s="527"/>
      <c r="P8" s="527"/>
      <c r="Q8" s="527"/>
      <c r="R8" s="274"/>
      <c r="S8" s="274"/>
      <c r="T8" s="1036" t="s">
        <v>469</v>
      </c>
      <c r="U8" s="1036"/>
      <c r="V8" s="1037"/>
      <c r="W8" s="1038"/>
      <c r="X8" s="1108" t="str">
        <f>IF(Basisdaten!O12=0,"",Basisdaten!O12)</f>
        <v/>
      </c>
      <c r="Y8" s="1109"/>
      <c r="Z8" s="1110"/>
      <c r="AA8" s="161"/>
      <c r="AB8" s="161"/>
      <c r="AC8" s="161"/>
      <c r="AD8" s="166"/>
      <c r="AE8" s="161"/>
      <c r="AF8" s="161"/>
      <c r="AG8" s="161"/>
      <c r="AH8" s="161"/>
      <c r="AI8" s="161"/>
      <c r="AJ8" s="161"/>
    </row>
    <row r="9" spans="2:50" s="30" customFormat="1" ht="9.75" customHeight="1">
      <c r="B9" s="161"/>
      <c r="C9" s="154"/>
      <c r="D9" s="168"/>
      <c r="E9" s="168"/>
      <c r="F9" s="168"/>
      <c r="G9" s="168"/>
      <c r="H9" s="168"/>
      <c r="I9" s="168"/>
      <c r="J9" s="168"/>
      <c r="K9" s="168"/>
      <c r="L9" s="168"/>
      <c r="M9" s="168"/>
      <c r="N9" s="168"/>
      <c r="O9" s="168"/>
      <c r="P9" s="168"/>
      <c r="Q9" s="168"/>
      <c r="R9" s="168"/>
      <c r="S9" s="9"/>
      <c r="T9" s="161"/>
      <c r="U9" s="161"/>
      <c r="V9" s="161"/>
      <c r="W9" s="161"/>
      <c r="X9" s="161"/>
      <c r="Y9" s="161"/>
      <c r="Z9" s="161"/>
      <c r="AA9" s="161"/>
      <c r="AB9" s="161"/>
      <c r="AC9" s="161"/>
      <c r="AD9" s="161"/>
      <c r="AE9" s="166"/>
      <c r="AF9" s="161"/>
      <c r="AG9" s="161"/>
      <c r="AH9" s="161"/>
      <c r="AI9" s="161"/>
      <c r="AJ9" s="161"/>
    </row>
    <row r="10" spans="2:50" s="30" customFormat="1" ht="11.25" customHeight="1">
      <c r="B10" s="1047"/>
      <c r="C10" s="1048"/>
      <c r="D10" s="1048"/>
      <c r="E10" s="1048"/>
      <c r="F10" s="1048"/>
      <c r="G10" s="1048"/>
      <c r="H10" s="1048"/>
      <c r="I10" s="1048"/>
      <c r="J10" s="1048"/>
      <c r="K10" s="1048"/>
      <c r="L10" s="1048"/>
      <c r="M10" s="1048"/>
      <c r="N10" s="1048"/>
      <c r="O10" s="1048"/>
      <c r="P10" s="1048"/>
      <c r="Q10" s="1048"/>
      <c r="R10" s="1048"/>
      <c r="S10" s="1048"/>
      <c r="T10" s="1048"/>
      <c r="U10" s="1048"/>
      <c r="V10" s="1048"/>
      <c r="W10" s="1048"/>
      <c r="X10" s="1048"/>
      <c r="Y10" s="1048"/>
      <c r="Z10" s="1048"/>
      <c r="AA10" s="1048"/>
      <c r="AB10" s="161"/>
      <c r="AC10" s="161"/>
      <c r="AD10" s="161"/>
      <c r="AE10" s="166"/>
      <c r="AF10" s="161"/>
      <c r="AG10" s="161"/>
      <c r="AH10" s="161"/>
      <c r="AI10" s="161"/>
      <c r="AJ10" s="161"/>
    </row>
    <row r="11" spans="2:50" s="51" customFormat="1" ht="21" customHeight="1">
      <c r="B11" s="60" t="s">
        <v>347</v>
      </c>
      <c r="C11" s="52"/>
      <c r="D11" s="53"/>
      <c r="E11" s="53"/>
      <c r="F11" s="53"/>
      <c r="G11" s="53"/>
      <c r="H11" s="53"/>
      <c r="I11" s="53"/>
      <c r="J11" s="53"/>
      <c r="K11" s="53"/>
      <c r="L11" s="53"/>
      <c r="M11" s="53"/>
      <c r="N11" s="53"/>
      <c r="O11" s="53"/>
      <c r="P11" s="53"/>
      <c r="Q11" s="53"/>
      <c r="R11" s="53"/>
      <c r="S11" s="169"/>
      <c r="T11" s="53"/>
      <c r="U11" s="53"/>
      <c r="V11" s="53"/>
      <c r="W11" s="170"/>
      <c r="X11" s="52"/>
      <c r="Y11" s="52"/>
      <c r="Z11" s="52"/>
      <c r="AA11" s="52"/>
      <c r="AB11" s="52"/>
      <c r="AC11" s="52"/>
      <c r="AD11" s="53"/>
      <c r="AE11" s="53"/>
      <c r="AF11" s="53"/>
      <c r="AG11" s="52"/>
      <c r="AH11" s="52"/>
      <c r="AI11" s="53"/>
      <c r="AJ11" s="53"/>
      <c r="AK11" s="53"/>
      <c r="AL11" s="53"/>
      <c r="AM11" s="53"/>
      <c r="AN11" s="52"/>
      <c r="AO11" s="53"/>
      <c r="AP11" s="53"/>
      <c r="AQ11" s="53"/>
      <c r="AR11" s="53"/>
      <c r="AS11" s="53"/>
    </row>
    <row r="12" spans="2:50" s="51" customFormat="1" ht="13.5" customHeight="1">
      <c r="B12" s="1049" t="str">
        <f>IF(OR(B13="",B13="Matrix kann eingereicht werden"),"In Ordnung",IF(B13="die inkorrekten und unvollständigen Einträge beheben","Nicht in Ordnung"))</f>
        <v>In Ordnung</v>
      </c>
      <c r="C12" s="1050"/>
      <c r="D12" s="1051"/>
      <c r="E12" s="1039" t="s">
        <v>78</v>
      </c>
      <c r="F12" s="1040"/>
      <c r="G12" s="1040"/>
      <c r="H12" s="1040"/>
      <c r="I12" s="1040"/>
      <c r="J12" s="1040"/>
      <c r="K12" s="1040"/>
      <c r="L12" s="1040"/>
      <c r="M12" s="1040"/>
      <c r="N12" s="1040"/>
      <c r="O12" s="1040"/>
      <c r="P12" s="1040"/>
      <c r="Q12" s="1040"/>
      <c r="R12" s="1040"/>
      <c r="S12" s="1041"/>
      <c r="T12" s="1111" t="s">
        <v>13</v>
      </c>
      <c r="U12" s="1112"/>
      <c r="V12" s="1113"/>
      <c r="W12" s="1042" t="s">
        <v>98</v>
      </c>
      <c r="X12" s="1043"/>
      <c r="Y12" s="1044"/>
      <c r="Z12" s="1042" t="s">
        <v>435</v>
      </c>
      <c r="AA12" s="1044"/>
      <c r="AB12" s="161"/>
      <c r="AC12" s="161"/>
      <c r="AD12" s="161"/>
      <c r="AE12" s="161"/>
      <c r="AF12" s="52"/>
      <c r="AG12" s="52"/>
      <c r="AH12" s="52"/>
      <c r="AI12" s="52"/>
      <c r="AJ12" s="52"/>
      <c r="AK12" s="52"/>
      <c r="AL12" s="52"/>
      <c r="AM12" s="52"/>
      <c r="AN12" s="52"/>
      <c r="AO12" s="52"/>
      <c r="AP12" s="52"/>
      <c r="AQ12" s="52"/>
      <c r="AR12" s="52"/>
      <c r="AS12" s="52"/>
      <c r="AT12" s="52"/>
      <c r="AU12" s="52"/>
      <c r="AV12" s="52"/>
      <c r="AW12" s="52"/>
      <c r="AX12" s="52"/>
    </row>
    <row r="13" spans="2:50" s="30" customFormat="1" ht="18.75" customHeight="1">
      <c r="B13" s="1119" t="str">
        <f>Berechnung2!B6</f>
        <v/>
      </c>
      <c r="C13" s="1120"/>
      <c r="D13" s="1120"/>
      <c r="E13" s="1057">
        <f>Berechnung2!C6</f>
        <v>0</v>
      </c>
      <c r="F13" s="1058"/>
      <c r="G13" s="1058"/>
      <c r="H13" s="1058"/>
      <c r="I13" s="1058"/>
      <c r="J13" s="1058"/>
      <c r="K13" s="1058"/>
      <c r="L13" s="1058"/>
      <c r="M13" s="1058"/>
      <c r="N13" s="1058"/>
      <c r="O13" s="1058"/>
      <c r="P13" s="1058"/>
      <c r="Q13" s="1058"/>
      <c r="R13" s="1058"/>
      <c r="S13" s="1059"/>
      <c r="T13" s="1052">
        <f>Berechnung2!D6</f>
        <v>0</v>
      </c>
      <c r="U13" s="1053"/>
      <c r="V13" s="1054"/>
      <c r="W13" s="1069">
        <f>Berechnung2!E6</f>
        <v>0</v>
      </c>
      <c r="X13" s="1070"/>
      <c r="Y13" s="1071"/>
      <c r="Z13" s="1069">
        <f>Berechnung2!F6</f>
        <v>0</v>
      </c>
      <c r="AA13" s="1071"/>
      <c r="AB13" s="9"/>
      <c r="AC13" s="9"/>
      <c r="AD13" s="9"/>
      <c r="AE13" s="9"/>
      <c r="AF13" s="161"/>
      <c r="AG13" s="161"/>
      <c r="AH13" s="161"/>
      <c r="AI13" s="161"/>
      <c r="AX13" s="18"/>
    </row>
    <row r="14" spans="2:50" s="30" customFormat="1" ht="14.25" customHeight="1" thickBot="1">
      <c r="B14" s="161"/>
      <c r="C14" s="167"/>
      <c r="D14" s="53"/>
      <c r="E14" s="53"/>
      <c r="F14" s="53"/>
      <c r="G14" s="53"/>
      <c r="H14" s="53"/>
      <c r="I14" s="53"/>
      <c r="J14" s="53"/>
      <c r="K14" s="53"/>
      <c r="L14" s="53"/>
      <c r="M14" s="53"/>
      <c r="N14" s="53"/>
      <c r="O14" s="53"/>
      <c r="P14" s="53"/>
      <c r="Q14" s="53"/>
      <c r="R14" s="53"/>
      <c r="S14" s="53"/>
      <c r="T14" s="53"/>
      <c r="U14" s="53"/>
      <c r="V14" s="53"/>
      <c r="W14" s="53"/>
      <c r="X14" s="53"/>
      <c r="Y14" s="171"/>
      <c r="Z14" s="163"/>
      <c r="AA14" s="171"/>
      <c r="AB14" s="161"/>
      <c r="AC14" s="9"/>
      <c r="AD14" s="9"/>
      <c r="AE14" s="9"/>
      <c r="AF14" s="9"/>
      <c r="AG14" s="9"/>
      <c r="AH14" s="9"/>
      <c r="AI14" s="9"/>
      <c r="AJ14" s="9"/>
      <c r="AS14" s="18"/>
    </row>
    <row r="15" spans="2:50" ht="21.75" customHeight="1" thickTop="1" thickBot="1">
      <c r="B15" s="287"/>
      <c r="C15" s="288"/>
      <c r="D15" s="1072" t="s">
        <v>572</v>
      </c>
      <c r="E15" s="1072"/>
      <c r="F15" s="1072"/>
      <c r="G15" s="1072"/>
      <c r="H15" s="1072"/>
      <c r="I15" s="1072"/>
      <c r="J15" s="1072"/>
      <c r="K15" s="1072"/>
      <c r="L15" s="1072"/>
      <c r="M15" s="1072"/>
      <c r="N15" s="1072"/>
      <c r="O15" s="1072"/>
      <c r="P15" s="1072"/>
      <c r="Q15" s="1072"/>
      <c r="R15" s="1073"/>
      <c r="S15" s="1045"/>
      <c r="T15" s="1076" t="s">
        <v>86</v>
      </c>
      <c r="U15" s="1077"/>
      <c r="V15" s="1077"/>
      <c r="W15" s="1077"/>
      <c r="X15" s="1077"/>
      <c r="Y15" s="1078"/>
      <c r="Z15" s="1045"/>
      <c r="AA15" s="289" t="s">
        <v>573</v>
      </c>
      <c r="AB15" s="9"/>
      <c r="AC15" s="9"/>
      <c r="AD15" s="9"/>
      <c r="AE15" s="9"/>
      <c r="AF15" s="9"/>
      <c r="AG15" s="9"/>
      <c r="AH15" s="9"/>
      <c r="AI15" s="9"/>
      <c r="AJ15" s="9"/>
      <c r="AS15" s="4"/>
    </row>
    <row r="16" spans="2:50" ht="16.5" customHeight="1" thickBot="1">
      <c r="B16" s="290" t="s">
        <v>165</v>
      </c>
      <c r="C16" s="172" t="s">
        <v>167</v>
      </c>
      <c r="D16" s="173" t="s">
        <v>162</v>
      </c>
      <c r="E16" s="172" t="s">
        <v>182</v>
      </c>
      <c r="F16" s="172" t="s">
        <v>14</v>
      </c>
      <c r="G16" s="172" t="s">
        <v>461</v>
      </c>
      <c r="H16" s="172" t="s">
        <v>183</v>
      </c>
      <c r="I16" s="172" t="s">
        <v>15</v>
      </c>
      <c r="J16" s="172" t="s">
        <v>163</v>
      </c>
      <c r="K16" s="172" t="s">
        <v>462</v>
      </c>
      <c r="L16" s="172" t="s">
        <v>85</v>
      </c>
      <c r="M16" s="172" t="s">
        <v>164</v>
      </c>
      <c r="N16" s="172" t="s">
        <v>463</v>
      </c>
      <c r="O16" s="172" t="s">
        <v>186</v>
      </c>
      <c r="P16" s="172" t="s">
        <v>464</v>
      </c>
      <c r="Q16" s="172" t="s">
        <v>465</v>
      </c>
      <c r="R16" s="172" t="s">
        <v>688</v>
      </c>
      <c r="S16" s="1046"/>
      <c r="T16" s="172" t="s">
        <v>466</v>
      </c>
      <c r="U16" s="172" t="s">
        <v>467</v>
      </c>
      <c r="V16" s="661" t="s">
        <v>689</v>
      </c>
      <c r="W16" s="1085"/>
      <c r="X16" s="661" t="s">
        <v>468</v>
      </c>
      <c r="Y16" s="172" t="s">
        <v>690</v>
      </c>
      <c r="Z16" s="1046"/>
      <c r="AA16" s="291" t="s">
        <v>691</v>
      </c>
      <c r="AB16" s="9"/>
      <c r="AC16" s="9"/>
      <c r="AD16" s="9"/>
      <c r="AE16" s="57"/>
      <c r="AF16" s="9"/>
      <c r="AG16" s="9"/>
      <c r="AH16" s="9"/>
      <c r="AI16" s="9"/>
      <c r="AJ16" s="9"/>
      <c r="AS16" s="4"/>
    </row>
    <row r="17" spans="1:45" ht="56.25" customHeight="1" thickBot="1">
      <c r="B17" s="1055" t="s">
        <v>59</v>
      </c>
      <c r="C17" s="1114" t="s">
        <v>16</v>
      </c>
      <c r="D17" s="1060" t="s">
        <v>776</v>
      </c>
      <c r="E17" s="1064" t="s">
        <v>602</v>
      </c>
      <c r="F17" s="1065"/>
      <c r="G17" s="1065"/>
      <c r="H17" s="1065"/>
      <c r="I17" s="1065"/>
      <c r="J17" s="1065"/>
      <c r="K17" s="1065"/>
      <c r="L17" s="1065"/>
      <c r="M17" s="1065"/>
      <c r="N17" s="1066"/>
      <c r="O17" s="1062" t="s">
        <v>603</v>
      </c>
      <c r="P17" s="1063"/>
      <c r="Q17" s="1067" t="s">
        <v>649</v>
      </c>
      <c r="R17" s="1067" t="s">
        <v>604</v>
      </c>
      <c r="S17" s="1046"/>
      <c r="T17" s="1067" t="s">
        <v>807</v>
      </c>
      <c r="U17" s="1067" t="s">
        <v>184</v>
      </c>
      <c r="V17" s="1106" t="s">
        <v>742</v>
      </c>
      <c r="W17" s="1086"/>
      <c r="X17" s="1060" t="s">
        <v>574</v>
      </c>
      <c r="Y17" s="1067" t="s">
        <v>575</v>
      </c>
      <c r="Z17" s="1046"/>
      <c r="AA17" s="1083" t="s">
        <v>185</v>
      </c>
      <c r="AB17" s="9"/>
      <c r="AC17" s="9"/>
      <c r="AD17" s="9"/>
      <c r="AE17" s="9"/>
      <c r="AF17" s="9"/>
      <c r="AG17" s="9"/>
      <c r="AH17" s="9"/>
      <c r="AI17" s="9"/>
      <c r="AJ17" s="9"/>
      <c r="AS17" s="4"/>
    </row>
    <row r="18" spans="1:45" ht="84" customHeight="1" thickBot="1">
      <c r="B18" s="1056"/>
      <c r="C18" s="1115"/>
      <c r="D18" s="1061"/>
      <c r="E18" s="651" t="s">
        <v>408</v>
      </c>
      <c r="F18" s="651" t="s">
        <v>409</v>
      </c>
      <c r="G18" s="651" t="s">
        <v>410</v>
      </c>
      <c r="H18" s="651" t="s">
        <v>411</v>
      </c>
      <c r="I18" s="651" t="s">
        <v>412</v>
      </c>
      <c r="J18" s="651" t="s">
        <v>413</v>
      </c>
      <c r="K18" s="651" t="s">
        <v>414</v>
      </c>
      <c r="L18" s="651" t="s">
        <v>357</v>
      </c>
      <c r="M18" s="651" t="s">
        <v>687</v>
      </c>
      <c r="N18" s="633" t="s">
        <v>181</v>
      </c>
      <c r="O18" s="651" t="s">
        <v>605</v>
      </c>
      <c r="P18" s="651" t="s">
        <v>181</v>
      </c>
      <c r="Q18" s="1068"/>
      <c r="R18" s="1068"/>
      <c r="S18" s="1046"/>
      <c r="T18" s="1068"/>
      <c r="U18" s="1068"/>
      <c r="V18" s="1107"/>
      <c r="W18" s="1086"/>
      <c r="X18" s="1061"/>
      <c r="Y18" s="1068"/>
      <c r="Z18" s="1046"/>
      <c r="AA18" s="1084"/>
      <c r="AB18" s="9"/>
      <c r="AC18" s="9"/>
      <c r="AD18" s="9"/>
      <c r="AE18" s="9"/>
      <c r="AF18" s="9"/>
      <c r="AG18" s="9"/>
      <c r="AH18" s="9"/>
      <c r="AI18" s="9"/>
      <c r="AJ18" s="9"/>
      <c r="AS18" s="4"/>
    </row>
    <row r="19" spans="1:45" ht="24.95" customHeight="1" thickBot="1">
      <c r="B19" s="292" t="str">
        <f>IF(Berechnung2!$B$26&gt;6,IF(Berechnung2!$B$26=7,"EZ",IF(Berechnung2!$B$26&gt;7,"relevant","?")),"nicht relevant")</f>
        <v>nicht relevant</v>
      </c>
      <c r="C19" s="238">
        <v>2015</v>
      </c>
      <c r="D19" s="239">
        <f t="shared" ref="D19:D24" si="0">SUM(E19:R19)</f>
        <v>0</v>
      </c>
      <c r="E19" s="210"/>
      <c r="F19" s="210"/>
      <c r="G19" s="210"/>
      <c r="H19" s="210"/>
      <c r="I19" s="210"/>
      <c r="J19" s="210"/>
      <c r="K19" s="210"/>
      <c r="L19" s="210"/>
      <c r="M19" s="706"/>
      <c r="N19" s="210"/>
      <c r="O19" s="210"/>
      <c r="P19" s="210"/>
      <c r="Q19" s="210"/>
      <c r="R19" s="210"/>
      <c r="S19" s="1046"/>
      <c r="T19" s="650"/>
      <c r="U19" s="210"/>
      <c r="V19" s="649" t="str">
        <f t="shared" ref="V19:V23" si="1">IF(AND(T19="",U19=""),"",IF(SUM(T19:U19)=0,"",T19/SUM(T19:U19)))</f>
        <v/>
      </c>
      <c r="W19" s="1086"/>
      <c r="X19" s="210"/>
      <c r="Y19" s="648"/>
      <c r="Z19" s="1046"/>
      <c r="AA19" s="302"/>
      <c r="AB19" s="9"/>
      <c r="AC19" s="9"/>
      <c r="AD19" s="9"/>
      <c r="AE19" s="9"/>
      <c r="AF19" s="9"/>
      <c r="AG19" s="9"/>
      <c r="AH19" s="9"/>
      <c r="AI19" s="9"/>
      <c r="AJ19" s="9"/>
      <c r="AS19" s="4"/>
    </row>
    <row r="20" spans="1:45" ht="24.95" customHeight="1" thickBot="1">
      <c r="B20" s="292" t="str">
        <f>IF(Berechnung2!$B$26&gt;5,IF(Berechnung2!$B$26=6,"EZ",IF(Berechnung2!$B$26&gt;6,"relevant","?")),"nicht relevant")</f>
        <v>nicht relevant</v>
      </c>
      <c r="C20" s="238">
        <v>2016</v>
      </c>
      <c r="D20" s="239">
        <f t="shared" si="0"/>
        <v>0</v>
      </c>
      <c r="E20" s="210"/>
      <c r="F20" s="210"/>
      <c r="G20" s="210"/>
      <c r="H20" s="210"/>
      <c r="I20" s="210"/>
      <c r="J20" s="210"/>
      <c r="K20" s="210"/>
      <c r="L20" s="210"/>
      <c r="M20" s="706"/>
      <c r="N20" s="210"/>
      <c r="O20" s="210"/>
      <c r="P20" s="210"/>
      <c r="Q20" s="210"/>
      <c r="R20" s="210"/>
      <c r="S20" s="1046"/>
      <c r="T20" s="650"/>
      <c r="U20" s="650"/>
      <c r="V20" s="649" t="str">
        <f t="shared" si="1"/>
        <v/>
      </c>
      <c r="W20" s="1086"/>
      <c r="X20" s="650"/>
      <c r="Y20" s="648"/>
      <c r="Z20" s="1046"/>
      <c r="AA20" s="302"/>
      <c r="AB20" s="9"/>
      <c r="AC20" s="9"/>
      <c r="AD20" s="9"/>
      <c r="AE20" s="9"/>
      <c r="AF20" s="9"/>
      <c r="AG20" s="9"/>
      <c r="AH20" s="9"/>
      <c r="AI20" s="9"/>
      <c r="AJ20" s="9"/>
      <c r="AS20" s="4"/>
    </row>
    <row r="21" spans="1:45" s="17" customFormat="1" ht="24.95" customHeight="1" thickBot="1">
      <c r="B21" s="292" t="str">
        <f>IF(Berechnung2!$B$26&gt;4,IF(Berechnung2!$B$26=5,"EZ",IF(Berechnung2!$B$26&gt;5,"relevant","?")),"nicht relevant")</f>
        <v>nicht relevant</v>
      </c>
      <c r="C21" s="238">
        <v>2017</v>
      </c>
      <c r="D21" s="239">
        <f t="shared" si="0"/>
        <v>0</v>
      </c>
      <c r="E21" s="210"/>
      <c r="F21" s="210"/>
      <c r="G21" s="210"/>
      <c r="H21" s="210"/>
      <c r="I21" s="210"/>
      <c r="J21" s="210"/>
      <c r="K21" s="210"/>
      <c r="L21" s="210"/>
      <c r="M21" s="210"/>
      <c r="N21" s="210"/>
      <c r="O21" s="210"/>
      <c r="P21" s="210"/>
      <c r="Q21" s="210"/>
      <c r="R21" s="210"/>
      <c r="S21" s="1046"/>
      <c r="T21" s="650"/>
      <c r="U21" s="650"/>
      <c r="V21" s="649" t="str">
        <f>IF(AND(T21="",U21=""),"",IF(SUM(T21:U21)=0,"",T21/SUM(T21:U21)))</f>
        <v/>
      </c>
      <c r="W21" s="1086"/>
      <c r="X21" s="650"/>
      <c r="Y21" s="648"/>
      <c r="Z21" s="1046"/>
      <c r="AA21" s="302"/>
      <c r="AB21" s="72"/>
      <c r="AC21" s="72"/>
      <c r="AD21" s="72"/>
      <c r="AE21" s="72"/>
      <c r="AF21" s="72"/>
      <c r="AG21" s="72"/>
      <c r="AH21" s="72"/>
      <c r="AI21" s="587"/>
      <c r="AJ21" s="72"/>
    </row>
    <row r="22" spans="1:45" s="17" customFormat="1" ht="24.95" customHeight="1" thickBot="1">
      <c r="B22" s="292" t="str">
        <f>IF(Berechnung2!$B$26&gt;3,IF(Berechnung2!$B$26=4,"EZ",IF(Berechnung2!$B$26&gt;4,"relevant","?")),"nicht relevant")</f>
        <v>nicht relevant</v>
      </c>
      <c r="C22" s="238">
        <v>2018</v>
      </c>
      <c r="D22" s="239">
        <f t="shared" si="0"/>
        <v>0</v>
      </c>
      <c r="E22" s="210"/>
      <c r="F22" s="210"/>
      <c r="G22" s="210"/>
      <c r="H22" s="210"/>
      <c r="I22" s="210"/>
      <c r="J22" s="210"/>
      <c r="K22" s="210"/>
      <c r="L22" s="210"/>
      <c r="M22" s="210"/>
      <c r="N22" s="210"/>
      <c r="O22" s="210"/>
      <c r="P22" s="210"/>
      <c r="Q22" s="210"/>
      <c r="R22" s="210"/>
      <c r="S22" s="1046"/>
      <c r="T22" s="650"/>
      <c r="U22" s="650"/>
      <c r="V22" s="649" t="str">
        <f t="shared" si="1"/>
        <v/>
      </c>
      <c r="W22" s="1086"/>
      <c r="X22" s="650"/>
      <c r="Y22" s="648"/>
      <c r="Z22" s="1046"/>
      <c r="AA22" s="302"/>
      <c r="AB22" s="72"/>
      <c r="AC22" s="9"/>
      <c r="AD22" s="9"/>
      <c r="AE22" s="9"/>
      <c r="AF22" s="9"/>
      <c r="AG22" s="9"/>
      <c r="AH22" s="9"/>
      <c r="AI22" s="9"/>
      <c r="AJ22" s="9"/>
    </row>
    <row r="23" spans="1:45" s="17" customFormat="1" ht="24.95" customHeight="1" thickBot="1">
      <c r="B23" s="293" t="str">
        <f>IF(Berechnung2!$B$26&gt;2,IF(Berechnung2!$B$26=3,"EZ",IF(Berechnung2!$B$26&gt;3,"relevant","?")),"nicht relevant")</f>
        <v>nicht relevant</v>
      </c>
      <c r="C23" s="276">
        <v>2019</v>
      </c>
      <c r="D23" s="239">
        <f t="shared" si="0"/>
        <v>0</v>
      </c>
      <c r="E23" s="236"/>
      <c r="F23" s="237"/>
      <c r="G23" s="237"/>
      <c r="H23" s="237"/>
      <c r="I23" s="237"/>
      <c r="J23" s="237"/>
      <c r="K23" s="237"/>
      <c r="L23" s="237"/>
      <c r="M23" s="237"/>
      <c r="N23" s="237"/>
      <c r="O23" s="237"/>
      <c r="P23" s="237"/>
      <c r="Q23" s="237"/>
      <c r="R23" s="237"/>
      <c r="S23" s="1046"/>
      <c r="T23" s="650"/>
      <c r="U23" s="650"/>
      <c r="V23" s="649" t="str">
        <f t="shared" si="1"/>
        <v/>
      </c>
      <c r="W23" s="1086"/>
      <c r="X23" s="650"/>
      <c r="Y23" s="648"/>
      <c r="Z23" s="1046"/>
      <c r="AA23" s="302"/>
      <c r="AB23" s="72"/>
      <c r="AC23" s="9"/>
      <c r="AD23" s="9"/>
      <c r="AE23" s="9"/>
      <c r="AF23" s="9"/>
      <c r="AG23" s="9"/>
      <c r="AH23" s="9"/>
      <c r="AI23" s="9"/>
      <c r="AJ23" s="9"/>
    </row>
    <row r="24" spans="1:45" s="17" customFormat="1" ht="24.95" customHeight="1" thickBot="1">
      <c r="B24" s="293" t="str">
        <f>IF(Berechnung2!$B$26&gt;1,IF(Berechnung2!$B$26=2,"EZ",IF(Berechnung2!$B$26&gt;2,"relevant","?")),"nicht relevant")</f>
        <v>nicht relevant</v>
      </c>
      <c r="C24" s="276" t="s">
        <v>750</v>
      </c>
      <c r="D24" s="688">
        <f t="shared" si="0"/>
        <v>0</v>
      </c>
      <c r="E24" s="236"/>
      <c r="F24" s="237"/>
      <c r="G24" s="237"/>
      <c r="H24" s="237"/>
      <c r="I24" s="237"/>
      <c r="J24" s="237"/>
      <c r="K24" s="237"/>
      <c r="L24" s="237"/>
      <c r="M24" s="237"/>
      <c r="N24" s="237"/>
      <c r="O24" s="237"/>
      <c r="P24" s="237"/>
      <c r="Q24" s="237"/>
      <c r="R24" s="237"/>
      <c r="S24" s="1046"/>
      <c r="T24" s="1093"/>
      <c r="U24" s="1094"/>
      <c r="V24" s="1095"/>
      <c r="W24" s="1086"/>
      <c r="X24" s="1099"/>
      <c r="Y24" s="1100"/>
      <c r="Z24" s="1046"/>
      <c r="AA24" s="707"/>
      <c r="AB24" s="72"/>
      <c r="AC24" s="9"/>
      <c r="AD24" s="9"/>
      <c r="AE24" s="9"/>
      <c r="AF24" s="9"/>
      <c r="AG24" s="9"/>
      <c r="AH24" s="9"/>
      <c r="AI24" s="9"/>
      <c r="AJ24" s="9"/>
    </row>
    <row r="25" spans="1:45" s="17" customFormat="1" ht="24.95" customHeight="1" thickBot="1">
      <c r="B25" s="294" t="str">
        <f>IF(Berechnung2!$B$26&gt;0,IF(Berechnung2!$B$26=1,"EZ",IF(Berechnung2!$B$26&gt;1,"relevant","?")),"nicht relevant")</f>
        <v>nicht relevant</v>
      </c>
      <c r="C25" s="295" t="s">
        <v>769</v>
      </c>
      <c r="D25" s="689">
        <f t="shared" ref="D25" si="2">SUM(E25:R25)</f>
        <v>0</v>
      </c>
      <c r="E25" s="295" t="str">
        <f>IF(AND(Basisdaten!D30="",Basisdaten!D32=""),"",SUM(Basisdaten!D30,Basisdaten!D32))</f>
        <v/>
      </c>
      <c r="F25" s="295" t="str">
        <f>IF(AND(Basisdaten!E30="",Basisdaten!E32=""),"",SUM(Basisdaten!E30,Basisdaten!E32))</f>
        <v/>
      </c>
      <c r="G25" s="295" t="str">
        <f>IF(AND(Basisdaten!F30="",Basisdaten!F32=""),"",SUM(Basisdaten!F30,Basisdaten!F32))</f>
        <v/>
      </c>
      <c r="H25" s="295" t="str">
        <f>IF(AND(Basisdaten!G30="",Basisdaten!G32=""),"",SUM(Basisdaten!G30,Basisdaten!G32))</f>
        <v/>
      </c>
      <c r="I25" s="295" t="str">
        <f>IF(AND(Basisdaten!H30="",Basisdaten!H32=""),"",SUM(Basisdaten!H30,Basisdaten!H32))</f>
        <v/>
      </c>
      <c r="J25" s="295" t="str">
        <f>IF(AND(Basisdaten!I30="",Basisdaten!I32=""),"",SUM(Basisdaten!I30,Basisdaten!I32))</f>
        <v/>
      </c>
      <c r="K25" s="295" t="str">
        <f>IF(AND(Basisdaten!J30="",Basisdaten!J32=""),"",SUM(Basisdaten!J30,Basisdaten!J32))</f>
        <v/>
      </c>
      <c r="L25" s="295" t="str">
        <f>IF(AND(Basisdaten!K30="",Basisdaten!K32=""),"",SUM(Basisdaten!K30,Basisdaten!K32))</f>
        <v/>
      </c>
      <c r="M25" s="295" t="str">
        <f>IF(AND(Basisdaten!L30="",Basisdaten!L32=""),"",SUM(Basisdaten!L30,Basisdaten!L32))</f>
        <v/>
      </c>
      <c r="N25" s="295" t="str">
        <f>IF(AND(Basisdaten!M30="",Basisdaten!M32=""),"",SUM(Basisdaten!M30,Basisdaten!M32))</f>
        <v/>
      </c>
      <c r="O25" s="295" t="str">
        <f>IF(AND(Basisdaten!N30="",Basisdaten!N32=""),"",SUM(Basisdaten!N30,Basisdaten!N32))</f>
        <v/>
      </c>
      <c r="P25" s="295" t="str">
        <f>IF(AND(Basisdaten!O30="",Basisdaten!O32=""),"",SUM(Basisdaten!O30,Basisdaten!O32))</f>
        <v/>
      </c>
      <c r="Q25" s="295" t="str">
        <f>IF(AND(Basisdaten!P30="",Basisdaten!P32=""),"",SUM(Basisdaten!P30,Basisdaten!P32))</f>
        <v/>
      </c>
      <c r="R25" s="295" t="str">
        <f>IF(AND(Basisdaten!Q30="",Basisdaten!Q32=""),"",SUM(Basisdaten!Q30,Basisdaten!Q32))</f>
        <v/>
      </c>
      <c r="S25" s="682"/>
      <c r="T25" s="1096"/>
      <c r="U25" s="1097"/>
      <c r="V25" s="1098"/>
      <c r="W25" s="683"/>
      <c r="X25" s="1101"/>
      <c r="Y25" s="1102"/>
      <c r="Z25" s="682"/>
      <c r="AA25" s="708"/>
      <c r="AB25" s="72"/>
      <c r="AC25" s="665"/>
      <c r="AD25" s="665"/>
      <c r="AE25" s="665"/>
      <c r="AF25" s="665"/>
      <c r="AG25" s="665"/>
      <c r="AH25" s="665"/>
      <c r="AI25" s="665"/>
      <c r="AJ25" s="665"/>
    </row>
    <row r="26" spans="1:45" s="51" customFormat="1" ht="3.75" customHeight="1" thickTop="1">
      <c r="S26" s="283"/>
      <c r="T26" s="280"/>
      <c r="U26" s="280"/>
      <c r="V26" s="280"/>
      <c r="W26" s="279"/>
      <c r="X26" s="280"/>
      <c r="Y26" s="280"/>
      <c r="Z26" s="278"/>
      <c r="AJ26" s="281"/>
      <c r="AS26" s="282"/>
    </row>
    <row r="27" spans="1:45" s="51" customFormat="1" ht="3.75" customHeight="1" thickBot="1">
      <c r="S27" s="283"/>
      <c r="T27" s="280"/>
      <c r="U27" s="280"/>
      <c r="V27" s="280"/>
      <c r="W27" s="279"/>
      <c r="X27" s="280"/>
      <c r="Y27" s="280"/>
      <c r="Z27" s="278"/>
      <c r="AJ27" s="281"/>
      <c r="AS27" s="282"/>
    </row>
    <row r="28" spans="1:45" s="9" customFormat="1" ht="24.95" customHeight="1" thickBot="1">
      <c r="A28" s="51"/>
      <c r="B28" s="1089"/>
      <c r="C28" s="1089"/>
      <c r="D28" s="52"/>
      <c r="F28" s="571"/>
      <c r="G28" s="571"/>
      <c r="H28" s="571"/>
      <c r="I28" s="571"/>
      <c r="J28" s="571"/>
      <c r="K28" s="571"/>
      <c r="L28" s="571"/>
      <c r="M28" s="571"/>
      <c r="N28" s="571"/>
      <c r="O28" s="571" t="s">
        <v>770</v>
      </c>
      <c r="Q28" s="571"/>
      <c r="R28" s="571"/>
      <c r="S28" s="571"/>
      <c r="T28" s="571"/>
      <c r="U28" s="572"/>
      <c r="V28" s="506" t="str">
        <f>IF(B23="EZ","-----",IF(B23= "nicht relevant","-----",IF(COUNTBLANK(V21:V23)=3,"",SUMIF(B21:B23,"relevant",V21:V23)/COUNTIF(B21:B23,"relevant"))))</f>
        <v>-----</v>
      </c>
      <c r="W28" s="279"/>
      <c r="X28" s="52"/>
      <c r="Y28" s="277"/>
      <c r="Z28" s="278"/>
      <c r="AA28" s="51"/>
      <c r="AI28" s="174"/>
      <c r="AR28" s="19"/>
    </row>
    <row r="29" spans="1:45" s="9" customFormat="1" ht="11.25" customHeight="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J29" s="174"/>
      <c r="AS29" s="19"/>
    </row>
    <row r="30" spans="1:45" s="9" customFormat="1" ht="20.25" hidden="1" customHeight="1">
      <c r="B30" s="104" t="s">
        <v>105</v>
      </c>
      <c r="M30" s="665"/>
      <c r="T30" s="175"/>
      <c r="U30" s="175"/>
      <c r="V30" s="181" t="str">
        <f>IF(V23="EZ","---",IF(B23= "nicht relevant","---",IF(COUNTBLANK(V21:V23)=3,"",SUMIF(B21:B23,"relevant",V21:V23)/COUNTIF(B21:B23,"relevant"))))</f>
        <v>---</v>
      </c>
      <c r="Z30" s="49"/>
      <c r="AJ30" s="174"/>
      <c r="AS30" s="19"/>
    </row>
    <row r="31" spans="1:45" ht="94.5" customHeight="1">
      <c r="B31" s="1090" t="s">
        <v>835</v>
      </c>
      <c r="C31" s="1090"/>
      <c r="D31" s="1090"/>
      <c r="E31" s="1090"/>
      <c r="F31" s="1090"/>
      <c r="G31" s="1090"/>
      <c r="H31" s="1090"/>
      <c r="I31" s="1090"/>
      <c r="J31" s="1090"/>
      <c r="K31" s="1090"/>
      <c r="L31" s="1090"/>
      <c r="M31" s="1090"/>
      <c r="N31" s="1090"/>
      <c r="O31" s="1090"/>
      <c r="P31" s="1090"/>
      <c r="Q31" s="1090"/>
      <c r="R31" s="1090"/>
      <c r="S31" s="1090"/>
      <c r="T31" s="1090"/>
      <c r="U31" s="1090"/>
      <c r="V31" s="1090"/>
      <c r="W31" s="1090"/>
      <c r="X31" s="1090"/>
      <c r="Y31" s="1090"/>
      <c r="Z31" s="1090"/>
      <c r="AA31" s="1090"/>
      <c r="AB31" s="1090"/>
      <c r="AC31" s="265"/>
      <c r="AD31" s="1"/>
      <c r="AE31" s="1"/>
      <c r="AF31" s="51"/>
      <c r="AG31" s="51"/>
      <c r="AH31" s="51"/>
      <c r="AI31" s="51"/>
      <c r="AJ31" s="51"/>
      <c r="AK31" s="23"/>
      <c r="AL31" s="23"/>
      <c r="AM31" s="23"/>
    </row>
    <row r="32" spans="1:45" s="9" customFormat="1" ht="183.75" customHeight="1">
      <c r="B32" s="1121" t="s">
        <v>839</v>
      </c>
      <c r="C32" s="1121"/>
      <c r="D32" s="1121"/>
      <c r="E32" s="1121"/>
      <c r="F32" s="1121"/>
      <c r="G32" s="1121"/>
      <c r="H32" s="1121"/>
      <c r="I32" s="1121"/>
      <c r="J32" s="1121"/>
      <c r="K32" s="1121"/>
      <c r="L32" s="1121"/>
      <c r="M32" s="1121"/>
      <c r="N32" s="1121"/>
      <c r="O32" s="1121"/>
      <c r="P32" s="1121"/>
      <c r="Q32" s="1121"/>
      <c r="R32" s="1121"/>
      <c r="S32" s="1121"/>
      <c r="T32" s="1121"/>
      <c r="U32" s="1121"/>
      <c r="V32" s="1121"/>
      <c r="W32" s="1121"/>
      <c r="X32" s="1121"/>
      <c r="Y32" s="1121"/>
      <c r="Z32" s="1121"/>
      <c r="AA32" s="1121"/>
      <c r="AB32" s="49"/>
      <c r="AC32" s="177"/>
      <c r="AD32" s="197"/>
      <c r="AE32" s="197"/>
      <c r="AF32" s="196"/>
      <c r="AG32" s="196"/>
      <c r="AH32" s="196"/>
      <c r="AI32" s="196"/>
      <c r="AJ32" s="195"/>
      <c r="AK32" s="178"/>
      <c r="AL32" s="178"/>
      <c r="AM32" s="178"/>
      <c r="AN32" s="57"/>
      <c r="AO32" s="57"/>
      <c r="AP32" s="57"/>
      <c r="AQ32" s="57"/>
      <c r="AR32" s="57"/>
      <c r="AS32" s="58"/>
    </row>
    <row r="33" spans="2:45" s="9" customFormat="1" ht="3" customHeight="1">
      <c r="B33" s="176"/>
      <c r="C33" s="176"/>
      <c r="D33" s="176"/>
      <c r="E33" s="176"/>
      <c r="F33" s="176"/>
      <c r="G33" s="176"/>
      <c r="H33" s="176"/>
      <c r="I33" s="176"/>
      <c r="J33" s="176"/>
      <c r="K33" s="176"/>
      <c r="L33" s="176"/>
      <c r="M33" s="622"/>
      <c r="N33" s="176"/>
      <c r="O33" s="176"/>
      <c r="P33" s="176"/>
      <c r="Q33" s="176"/>
      <c r="R33" s="176"/>
      <c r="S33" s="176"/>
      <c r="T33" s="176"/>
      <c r="U33" s="176"/>
      <c r="V33" s="176"/>
      <c r="W33" s="176"/>
      <c r="X33" s="176"/>
      <c r="Y33" s="176"/>
      <c r="Z33" s="176"/>
      <c r="AA33" s="176"/>
      <c r="AB33" s="176"/>
      <c r="AC33" s="177"/>
      <c r="AD33" s="197"/>
      <c r="AE33" s="197"/>
      <c r="AF33" s="196"/>
      <c r="AG33" s="196"/>
      <c r="AH33" s="196"/>
      <c r="AI33" s="196"/>
      <c r="AJ33" s="195"/>
      <c r="AK33" s="194"/>
      <c r="AL33" s="194"/>
      <c r="AM33" s="194"/>
      <c r="AN33" s="59"/>
      <c r="AO33" s="59"/>
      <c r="AP33" s="59"/>
      <c r="AQ33" s="59"/>
      <c r="AR33" s="59"/>
      <c r="AS33" s="59"/>
    </row>
    <row r="34" spans="2:45" s="5" customFormat="1" ht="15.75" customHeight="1">
      <c r="B34" s="517" t="s">
        <v>336</v>
      </c>
      <c r="C34" s="518"/>
      <c r="D34" s="57"/>
      <c r="E34" s="57"/>
      <c r="F34" s="57"/>
      <c r="G34" s="57"/>
      <c r="H34" s="57"/>
      <c r="I34" s="57"/>
      <c r="J34" s="57"/>
      <c r="K34" s="57"/>
      <c r="L34" s="57"/>
      <c r="M34" s="614"/>
      <c r="N34" s="57"/>
      <c r="O34" s="57"/>
      <c r="P34" s="57"/>
      <c r="Q34" s="57"/>
      <c r="R34" s="57"/>
      <c r="S34" s="57"/>
      <c r="T34" s="57"/>
      <c r="U34" s="57"/>
      <c r="V34" s="57"/>
      <c r="W34" s="57"/>
      <c r="X34" s="57"/>
      <c r="Y34" s="57"/>
      <c r="Z34" s="57"/>
      <c r="AA34" s="57"/>
      <c r="AB34" s="178"/>
      <c r="AC34" s="207"/>
      <c r="AD34" s="179"/>
      <c r="AE34" s="179"/>
      <c r="AF34" s="179"/>
      <c r="AG34" s="179"/>
      <c r="AH34" s="179"/>
      <c r="AI34" s="179"/>
      <c r="AJ34" s="179"/>
      <c r="AK34" s="143"/>
      <c r="AL34" s="143"/>
      <c r="AM34" s="143"/>
    </row>
    <row r="35" spans="2:45" s="5" customFormat="1" ht="4.5" customHeight="1">
      <c r="B35" s="180"/>
      <c r="C35" s="57"/>
      <c r="D35" s="57"/>
      <c r="E35" s="57"/>
      <c r="F35" s="57"/>
      <c r="G35" s="57"/>
      <c r="H35" s="57"/>
      <c r="I35" s="57"/>
      <c r="J35" s="57"/>
      <c r="K35" s="57"/>
      <c r="L35" s="57"/>
      <c r="M35" s="614"/>
      <c r="N35" s="57"/>
      <c r="O35" s="57"/>
      <c r="P35" s="57"/>
      <c r="Q35" s="57"/>
      <c r="R35" s="57"/>
      <c r="S35" s="57"/>
      <c r="T35" s="57"/>
      <c r="U35" s="57"/>
      <c r="V35" s="57"/>
      <c r="W35" s="57"/>
      <c r="X35" s="57"/>
      <c r="Y35" s="57"/>
      <c r="Z35" s="57"/>
      <c r="AA35" s="57"/>
      <c r="AB35" s="57"/>
      <c r="AC35" s="207"/>
      <c r="AD35" s="202"/>
      <c r="AE35" s="202"/>
      <c r="AF35" s="202"/>
      <c r="AG35" s="202"/>
      <c r="AH35" s="202"/>
      <c r="AI35" s="202"/>
      <c r="AJ35" s="202"/>
      <c r="AK35" s="143"/>
      <c r="AL35" s="143"/>
      <c r="AM35" s="143"/>
    </row>
    <row r="36" spans="2:45" ht="14.25" customHeight="1">
      <c r="B36" s="188" t="s">
        <v>352</v>
      </c>
      <c r="C36" s="1122" t="s">
        <v>130</v>
      </c>
      <c r="D36" s="1123"/>
      <c r="E36" s="1079" t="s">
        <v>61</v>
      </c>
      <c r="F36" s="1080"/>
      <c r="G36" s="1080"/>
      <c r="H36" s="1080"/>
      <c r="I36" s="1080"/>
      <c r="J36" s="1080"/>
      <c r="K36" s="1080"/>
      <c r="L36" s="1080"/>
      <c r="M36" s="1080"/>
      <c r="N36" s="1080"/>
      <c r="O36" s="1080"/>
      <c r="P36" s="1080"/>
      <c r="Q36" s="1080"/>
      <c r="R36" s="1081"/>
      <c r="S36" s="1091" t="s">
        <v>131</v>
      </c>
      <c r="T36" s="1092"/>
      <c r="U36" s="1092"/>
      <c r="V36" s="1092"/>
      <c r="W36" s="1092"/>
      <c r="X36" s="1092"/>
      <c r="Y36" s="1092"/>
      <c r="Z36" s="1092"/>
      <c r="AA36" s="1092"/>
      <c r="AB36" s="301"/>
      <c r="AC36" s="207"/>
      <c r="AD36" s="202"/>
      <c r="AE36" s="202"/>
      <c r="AF36" s="202"/>
      <c r="AG36" s="23"/>
      <c r="AH36" s="23"/>
      <c r="AI36" s="23"/>
      <c r="AJ36" s="23"/>
      <c r="AK36" s="23"/>
      <c r="AL36" s="23"/>
      <c r="AS36" s="4"/>
    </row>
    <row r="37" spans="2:45" s="145" customFormat="1" ht="18" customHeight="1">
      <c r="B37" s="285" t="s">
        <v>114</v>
      </c>
      <c r="C37" s="1025" t="s">
        <v>338</v>
      </c>
      <c r="D37" s="1026"/>
      <c r="E37" s="1088"/>
      <c r="F37" s="1088"/>
      <c r="G37" s="1088"/>
      <c r="H37" s="1088"/>
      <c r="I37" s="1088"/>
      <c r="J37" s="1088"/>
      <c r="K37" s="1088"/>
      <c r="L37" s="1088"/>
      <c r="M37" s="1088"/>
      <c r="N37" s="1088"/>
      <c r="O37" s="1088"/>
      <c r="P37" s="1088"/>
      <c r="Q37" s="1088"/>
      <c r="R37" s="1088"/>
      <c r="S37" s="1033" t="s">
        <v>146</v>
      </c>
      <c r="T37" s="1034"/>
      <c r="U37" s="1034"/>
      <c r="V37" s="1034"/>
      <c r="W37" s="1034"/>
      <c r="X37" s="1034"/>
      <c r="Y37" s="1034"/>
      <c r="Z37" s="1034"/>
      <c r="AA37" s="1035"/>
      <c r="AB37" s="300"/>
      <c r="AC37" s="207"/>
      <c r="AD37" s="207"/>
      <c r="AE37" s="207"/>
      <c r="AF37" s="207"/>
      <c r="AG37" s="208"/>
      <c r="AH37" s="208"/>
      <c r="AI37" s="208"/>
      <c r="AJ37" s="208"/>
      <c r="AK37" s="208"/>
      <c r="AL37" s="208"/>
    </row>
    <row r="38" spans="2:45" s="145" customFormat="1" ht="18" customHeight="1">
      <c r="B38" s="285" t="s">
        <v>114</v>
      </c>
      <c r="C38" s="1025" t="s">
        <v>132</v>
      </c>
      <c r="D38" s="1026"/>
      <c r="E38" s="1087"/>
      <c r="F38" s="1087"/>
      <c r="G38" s="1087"/>
      <c r="H38" s="1087"/>
      <c r="I38" s="1087"/>
      <c r="J38" s="1087"/>
      <c r="K38" s="1087"/>
      <c r="L38" s="1087"/>
      <c r="M38" s="1087"/>
      <c r="N38" s="1087"/>
      <c r="O38" s="1087"/>
      <c r="P38" s="1087"/>
      <c r="Q38" s="1087"/>
      <c r="R38" s="1087"/>
      <c r="S38" s="1082" t="s">
        <v>362</v>
      </c>
      <c r="T38" s="1082"/>
      <c r="U38" s="1082"/>
      <c r="V38" s="1082"/>
      <c r="W38" s="1082"/>
      <c r="X38" s="1082"/>
      <c r="Y38" s="1082"/>
      <c r="Z38" s="1082"/>
      <c r="AA38" s="1082"/>
      <c r="AB38" s="300"/>
      <c r="AC38" s="207"/>
      <c r="AD38" s="207"/>
      <c r="AE38" s="207"/>
      <c r="AF38" s="207"/>
      <c r="AG38" s="208"/>
      <c r="AH38" s="208"/>
      <c r="AI38" s="208"/>
      <c r="AJ38" s="208"/>
      <c r="AK38" s="208"/>
      <c r="AL38" s="208"/>
    </row>
    <row r="39" spans="2:45" s="145" customFormat="1" ht="30" customHeight="1">
      <c r="B39" s="285" t="s">
        <v>165</v>
      </c>
      <c r="C39" s="1030" t="s">
        <v>353</v>
      </c>
      <c r="D39" s="1031"/>
      <c r="E39" s="1032" t="s">
        <v>435</v>
      </c>
      <c r="F39" s="1032"/>
      <c r="G39" s="1032"/>
      <c r="H39" s="1032"/>
      <c r="I39" s="1032"/>
      <c r="J39" s="1032"/>
      <c r="K39" s="1032"/>
      <c r="L39" s="1032"/>
      <c r="M39" s="1032"/>
      <c r="N39" s="1032"/>
      <c r="O39" s="1032"/>
      <c r="P39" s="1032"/>
      <c r="Q39" s="1032"/>
      <c r="R39" s="1032"/>
      <c r="S39" s="1033" t="s">
        <v>363</v>
      </c>
      <c r="T39" s="1034"/>
      <c r="U39" s="1034"/>
      <c r="V39" s="1034"/>
      <c r="W39" s="1034"/>
      <c r="X39" s="1034"/>
      <c r="Y39" s="1034"/>
      <c r="Z39" s="1034"/>
      <c r="AA39" s="1035"/>
      <c r="AB39" s="299"/>
      <c r="AC39" s="207"/>
      <c r="AD39" s="207"/>
      <c r="AE39" s="207"/>
      <c r="AF39" s="207"/>
      <c r="AG39" s="208"/>
      <c r="AH39" s="208"/>
      <c r="AI39" s="208"/>
      <c r="AJ39" s="208"/>
      <c r="AK39" s="208"/>
      <c r="AL39" s="208"/>
    </row>
    <row r="40" spans="2:45" s="145" customFormat="1" ht="31.5" customHeight="1">
      <c r="B40" s="286" t="s">
        <v>466</v>
      </c>
      <c r="C40" s="1025" t="s">
        <v>358</v>
      </c>
      <c r="D40" s="1026"/>
      <c r="E40" s="1027" t="s">
        <v>98</v>
      </c>
      <c r="F40" s="1028"/>
      <c r="G40" s="1028"/>
      <c r="H40" s="1028"/>
      <c r="I40" s="1028"/>
      <c r="J40" s="1028"/>
      <c r="K40" s="1028"/>
      <c r="L40" s="1028"/>
      <c r="M40" s="1028"/>
      <c r="N40" s="1028"/>
      <c r="O40" s="1028"/>
      <c r="P40" s="1028"/>
      <c r="Q40" s="1028"/>
      <c r="R40" s="1029"/>
      <c r="S40" s="1018" t="s">
        <v>808</v>
      </c>
      <c r="T40" s="1074"/>
      <c r="U40" s="1074"/>
      <c r="V40" s="1074"/>
      <c r="W40" s="1074"/>
      <c r="X40" s="1074"/>
      <c r="Y40" s="1074"/>
      <c r="Z40" s="1074"/>
      <c r="AA40" s="1075"/>
      <c r="AB40" s="298"/>
      <c r="AC40" s="207"/>
      <c r="AD40" s="207"/>
      <c r="AE40" s="207"/>
      <c r="AF40" s="207"/>
      <c r="AG40" s="208"/>
      <c r="AH40" s="208"/>
      <c r="AI40" s="208"/>
      <c r="AJ40" s="208"/>
      <c r="AK40" s="208"/>
      <c r="AL40" s="208"/>
    </row>
    <row r="41" spans="2:45" s="145" customFormat="1" ht="30" customHeight="1">
      <c r="B41" s="286" t="s">
        <v>467</v>
      </c>
      <c r="C41" s="1025" t="s">
        <v>358</v>
      </c>
      <c r="D41" s="1026"/>
      <c r="E41" s="1027" t="s">
        <v>98</v>
      </c>
      <c r="F41" s="1028"/>
      <c r="G41" s="1028"/>
      <c r="H41" s="1028"/>
      <c r="I41" s="1028"/>
      <c r="J41" s="1028"/>
      <c r="K41" s="1028"/>
      <c r="L41" s="1028"/>
      <c r="M41" s="1028"/>
      <c r="N41" s="1028"/>
      <c r="O41" s="1028"/>
      <c r="P41" s="1028"/>
      <c r="Q41" s="1028"/>
      <c r="R41" s="1029"/>
      <c r="S41" s="1018" t="s">
        <v>777</v>
      </c>
      <c r="T41" s="1074"/>
      <c r="U41" s="1074"/>
      <c r="V41" s="1074"/>
      <c r="W41" s="1074"/>
      <c r="X41" s="1074"/>
      <c r="Y41" s="1074"/>
      <c r="Z41" s="1074"/>
      <c r="AA41" s="1075"/>
      <c r="AB41" s="297"/>
      <c r="AC41" s="193"/>
      <c r="AD41" s="207"/>
      <c r="AE41" s="207"/>
      <c r="AF41" s="207"/>
      <c r="AG41" s="208"/>
      <c r="AH41" s="208"/>
      <c r="AI41" s="208"/>
      <c r="AJ41" s="208"/>
      <c r="AK41" s="208"/>
      <c r="AL41" s="208"/>
    </row>
    <row r="42" spans="2:45" s="145" customFormat="1" ht="30" customHeight="1">
      <c r="B42" s="286" t="s">
        <v>468</v>
      </c>
      <c r="C42" s="1025" t="s">
        <v>474</v>
      </c>
      <c r="D42" s="1026"/>
      <c r="E42" s="1027" t="s">
        <v>98</v>
      </c>
      <c r="F42" s="1028"/>
      <c r="G42" s="1028"/>
      <c r="H42" s="1028"/>
      <c r="I42" s="1028"/>
      <c r="J42" s="1028"/>
      <c r="K42" s="1028"/>
      <c r="L42" s="1028"/>
      <c r="M42" s="1028"/>
      <c r="N42" s="1028"/>
      <c r="O42" s="1028"/>
      <c r="P42" s="1028"/>
      <c r="Q42" s="1028"/>
      <c r="R42" s="1029"/>
      <c r="S42" s="1018" t="s">
        <v>809</v>
      </c>
      <c r="T42" s="1019"/>
      <c r="U42" s="1019"/>
      <c r="V42" s="1019"/>
      <c r="W42" s="1019"/>
      <c r="X42" s="1019"/>
      <c r="Y42" s="1019"/>
      <c r="Z42" s="1019"/>
      <c r="AA42" s="1020"/>
      <c r="AB42" s="297"/>
      <c r="AC42" s="192"/>
      <c r="AD42" s="207"/>
      <c r="AE42" s="207"/>
      <c r="AF42" s="207"/>
      <c r="AG42" s="208"/>
      <c r="AH42" s="208"/>
      <c r="AI42" s="208"/>
      <c r="AJ42" s="208"/>
      <c r="AK42" s="208"/>
      <c r="AL42" s="208"/>
    </row>
    <row r="43" spans="2:45" s="145" customFormat="1" ht="24" customHeight="1">
      <c r="B43" s="286" t="s">
        <v>690</v>
      </c>
      <c r="C43" s="1025" t="s">
        <v>474</v>
      </c>
      <c r="D43" s="1026"/>
      <c r="E43" s="1027" t="s">
        <v>98</v>
      </c>
      <c r="F43" s="1028"/>
      <c r="G43" s="1028"/>
      <c r="H43" s="1028"/>
      <c r="I43" s="1028"/>
      <c r="J43" s="1028"/>
      <c r="K43" s="1028"/>
      <c r="L43" s="1028"/>
      <c r="M43" s="1028"/>
      <c r="N43" s="1028"/>
      <c r="O43" s="1028"/>
      <c r="P43" s="1028"/>
      <c r="Q43" s="1028"/>
      <c r="R43" s="1029"/>
      <c r="S43" s="1018" t="s">
        <v>810</v>
      </c>
      <c r="T43" s="1019"/>
      <c r="U43" s="1019"/>
      <c r="V43" s="1019"/>
      <c r="W43" s="1019"/>
      <c r="X43" s="1019"/>
      <c r="Y43" s="1019"/>
      <c r="Z43" s="1019"/>
      <c r="AA43" s="1020"/>
      <c r="AB43" s="297"/>
      <c r="AC43" s="207"/>
      <c r="AD43" s="207"/>
      <c r="AE43" s="207"/>
      <c r="AF43" s="207"/>
      <c r="AG43" s="208"/>
      <c r="AH43" s="208"/>
      <c r="AI43" s="208"/>
      <c r="AJ43" s="208"/>
      <c r="AK43" s="208"/>
      <c r="AL43" s="208"/>
    </row>
    <row r="44" spans="2:45" s="145" customFormat="1" ht="18" customHeight="1">
      <c r="B44" s="286" t="s">
        <v>692</v>
      </c>
      <c r="C44" s="1025" t="s">
        <v>694</v>
      </c>
      <c r="D44" s="1026"/>
      <c r="E44" s="1014" t="s">
        <v>13</v>
      </c>
      <c r="F44" s="1014"/>
      <c r="G44" s="1014"/>
      <c r="H44" s="1014"/>
      <c r="I44" s="1014"/>
      <c r="J44" s="1014"/>
      <c r="K44" s="1014"/>
      <c r="L44" s="1014"/>
      <c r="M44" s="1014"/>
      <c r="N44" s="1014"/>
      <c r="O44" s="1014"/>
      <c r="P44" s="1014"/>
      <c r="Q44" s="1014"/>
      <c r="R44" s="1015"/>
      <c r="S44" s="1018" t="s">
        <v>771</v>
      </c>
      <c r="T44" s="1019"/>
      <c r="U44" s="1019"/>
      <c r="V44" s="1019"/>
      <c r="W44" s="1019"/>
      <c r="X44" s="1019"/>
      <c r="Y44" s="1019"/>
      <c r="Z44" s="1019"/>
      <c r="AA44" s="1020"/>
      <c r="AB44" s="300"/>
      <c r="AC44" s="193"/>
      <c r="AD44" s="193"/>
      <c r="AE44" s="193"/>
      <c r="AF44" s="193"/>
      <c r="AG44" s="208"/>
      <c r="AH44" s="208"/>
      <c r="AI44" s="208"/>
      <c r="AJ44" s="208"/>
      <c r="AK44" s="208"/>
      <c r="AL44" s="208"/>
    </row>
    <row r="45" spans="2:45" s="145" customFormat="1" ht="18" customHeight="1">
      <c r="B45" s="286" t="s">
        <v>162</v>
      </c>
      <c r="C45" s="1024" t="s">
        <v>364</v>
      </c>
      <c r="D45" s="1024"/>
      <c r="E45" s="1016" t="s">
        <v>78</v>
      </c>
      <c r="F45" s="1016"/>
      <c r="G45" s="1016"/>
      <c r="H45" s="1016"/>
      <c r="I45" s="1016"/>
      <c r="J45" s="1016"/>
      <c r="K45" s="1016"/>
      <c r="L45" s="1016"/>
      <c r="M45" s="1016"/>
      <c r="N45" s="1016"/>
      <c r="O45" s="1016"/>
      <c r="P45" s="1016"/>
      <c r="Q45" s="1016"/>
      <c r="R45" s="1017"/>
      <c r="S45" s="1018" t="s">
        <v>778</v>
      </c>
      <c r="T45" s="1019"/>
      <c r="U45" s="1019"/>
      <c r="V45" s="1019"/>
      <c r="W45" s="1019"/>
      <c r="X45" s="1019"/>
      <c r="Y45" s="1019"/>
      <c r="Z45" s="1019"/>
      <c r="AA45" s="1020"/>
      <c r="AB45" s="300"/>
      <c r="AC45" s="193"/>
      <c r="AD45" s="192"/>
      <c r="AE45" s="192"/>
      <c r="AF45" s="192"/>
      <c r="AG45" s="208"/>
      <c r="AH45" s="208"/>
      <c r="AI45" s="208"/>
      <c r="AJ45" s="208"/>
      <c r="AK45" s="208"/>
      <c r="AL45" s="208"/>
    </row>
    <row r="46" spans="2:45" s="145" customFormat="1" ht="18" customHeight="1">
      <c r="B46" s="286" t="s">
        <v>693</v>
      </c>
      <c r="C46" s="1024" t="s">
        <v>695</v>
      </c>
      <c r="D46" s="1024"/>
      <c r="E46" s="1016" t="s">
        <v>78</v>
      </c>
      <c r="F46" s="1016"/>
      <c r="G46" s="1016"/>
      <c r="H46" s="1016"/>
      <c r="I46" s="1016"/>
      <c r="J46" s="1016"/>
      <c r="K46" s="1016"/>
      <c r="L46" s="1016"/>
      <c r="M46" s="1016"/>
      <c r="N46" s="1016"/>
      <c r="O46" s="1016"/>
      <c r="P46" s="1016"/>
      <c r="Q46" s="1016"/>
      <c r="R46" s="1017"/>
      <c r="S46" s="1018" t="s">
        <v>359</v>
      </c>
      <c r="T46" s="1019"/>
      <c r="U46" s="1019"/>
      <c r="V46" s="1019"/>
      <c r="W46" s="1019"/>
      <c r="X46" s="1019"/>
      <c r="Y46" s="1019"/>
      <c r="Z46" s="1019"/>
      <c r="AA46" s="1020"/>
      <c r="AB46" s="300"/>
      <c r="AC46" s="193"/>
      <c r="AD46" s="207"/>
      <c r="AE46" s="207"/>
      <c r="AF46" s="207"/>
      <c r="AG46" s="208"/>
      <c r="AH46" s="208"/>
      <c r="AI46" s="208"/>
      <c r="AJ46" s="208"/>
      <c r="AK46" s="208"/>
      <c r="AL46" s="208"/>
    </row>
    <row r="47" spans="2:45" s="145" customFormat="1" ht="18" customHeight="1">
      <c r="B47" s="286" t="s">
        <v>692</v>
      </c>
      <c r="C47" s="1024" t="s">
        <v>696</v>
      </c>
      <c r="D47" s="1024"/>
      <c r="E47" s="1016" t="s">
        <v>78</v>
      </c>
      <c r="F47" s="1016"/>
      <c r="G47" s="1016"/>
      <c r="H47" s="1016"/>
      <c r="I47" s="1016"/>
      <c r="J47" s="1016"/>
      <c r="K47" s="1016"/>
      <c r="L47" s="1016"/>
      <c r="M47" s="1016"/>
      <c r="N47" s="1016"/>
      <c r="O47" s="1016"/>
      <c r="P47" s="1016"/>
      <c r="Q47" s="1016"/>
      <c r="R47" s="1017"/>
      <c r="S47" s="1018" t="s">
        <v>772</v>
      </c>
      <c r="T47" s="1019"/>
      <c r="U47" s="1019"/>
      <c r="V47" s="1019"/>
      <c r="W47" s="1019"/>
      <c r="X47" s="1019"/>
      <c r="Y47" s="1019"/>
      <c r="Z47" s="1019"/>
      <c r="AA47" s="1020"/>
      <c r="AB47" s="300"/>
      <c r="AC47" s="9"/>
      <c r="AD47" s="193"/>
      <c r="AE47" s="193"/>
      <c r="AF47" s="193"/>
      <c r="AG47" s="208"/>
      <c r="AH47" s="208"/>
      <c r="AI47" s="208"/>
      <c r="AJ47" s="208"/>
      <c r="AK47" s="208"/>
      <c r="AL47" s="208"/>
    </row>
    <row r="48" spans="2:45" s="145" customFormat="1" ht="24" customHeight="1">
      <c r="B48" s="286" t="s">
        <v>691</v>
      </c>
      <c r="C48" s="1023" t="s">
        <v>350</v>
      </c>
      <c r="D48" s="1024"/>
      <c r="E48" s="1021"/>
      <c r="F48" s="1021"/>
      <c r="G48" s="1021"/>
      <c r="H48" s="1021"/>
      <c r="I48" s="1021"/>
      <c r="J48" s="1021"/>
      <c r="K48" s="1021"/>
      <c r="L48" s="1021"/>
      <c r="M48" s="1021"/>
      <c r="N48" s="1021"/>
      <c r="O48" s="1021"/>
      <c r="P48" s="1021"/>
      <c r="Q48" s="1021"/>
      <c r="R48" s="1022"/>
      <c r="S48" s="1018" t="s">
        <v>811</v>
      </c>
      <c r="T48" s="1019"/>
      <c r="U48" s="1019"/>
      <c r="V48" s="1019"/>
      <c r="W48" s="1019"/>
      <c r="X48" s="1019"/>
      <c r="Y48" s="1019"/>
      <c r="Z48" s="1019"/>
      <c r="AA48" s="1020"/>
      <c r="AB48" s="296"/>
      <c r="AC48" s="1"/>
      <c r="AD48" s="193"/>
      <c r="AE48" s="193"/>
      <c r="AF48" s="193"/>
      <c r="AG48" s="208"/>
      <c r="AH48" s="208"/>
      <c r="AI48" s="208"/>
      <c r="AJ48" s="208"/>
      <c r="AK48" s="208"/>
      <c r="AL48" s="208"/>
    </row>
    <row r="49" spans="2:45" s="145" customFormat="1" ht="17.100000000000001" customHeight="1">
      <c r="B49" s="200"/>
      <c r="C49" s="205"/>
      <c r="D49" s="205"/>
      <c r="E49" s="205"/>
      <c r="F49" s="205"/>
      <c r="G49" s="205"/>
      <c r="H49" s="205"/>
      <c r="I49" s="205"/>
      <c r="J49" s="205"/>
      <c r="K49" s="205"/>
      <c r="L49" s="205"/>
      <c r="M49" s="205"/>
      <c r="N49" s="205"/>
      <c r="O49" s="205"/>
      <c r="P49" s="205"/>
      <c r="Q49" s="205"/>
      <c r="R49" s="205"/>
      <c r="S49" s="205"/>
      <c r="T49" s="204"/>
      <c r="U49" s="204"/>
      <c r="V49" s="204"/>
      <c r="W49" s="204"/>
      <c r="X49" s="204"/>
      <c r="Y49" s="204"/>
      <c r="Z49" s="1"/>
      <c r="AA49" s="1"/>
      <c r="AB49" s="1"/>
      <c r="AC49" s="1"/>
      <c r="AD49" s="207"/>
      <c r="AE49" s="207"/>
      <c r="AF49" s="207"/>
      <c r="AG49" s="207"/>
      <c r="AH49" s="208"/>
      <c r="AI49" s="208"/>
      <c r="AJ49" s="208"/>
      <c r="AK49" s="208"/>
      <c r="AL49" s="208"/>
      <c r="AM49" s="208"/>
    </row>
    <row r="50" spans="2:45" ht="15">
      <c r="B50" s="199"/>
      <c r="C50" s="206"/>
      <c r="D50" s="206"/>
      <c r="E50" s="206"/>
      <c r="F50" s="206"/>
      <c r="G50" s="206"/>
      <c r="H50" s="206"/>
      <c r="I50" s="206"/>
      <c r="J50" s="206"/>
      <c r="K50" s="206"/>
      <c r="L50" s="206"/>
      <c r="M50" s="206"/>
      <c r="N50" s="206"/>
      <c r="O50" s="206"/>
      <c r="P50" s="206"/>
      <c r="Q50" s="206"/>
      <c r="R50" s="206"/>
      <c r="S50" s="206"/>
      <c r="T50" s="269"/>
      <c r="U50" s="204"/>
      <c r="V50" s="204"/>
      <c r="W50" s="204"/>
      <c r="X50" s="204"/>
      <c r="Y50" s="204"/>
      <c r="Z50" s="18"/>
      <c r="AA50" s="18"/>
      <c r="AB50" s="18"/>
      <c r="AC50" s="1"/>
      <c r="AD50" s="51"/>
      <c r="AE50" s="51"/>
      <c r="AF50" s="51"/>
      <c r="AG50" s="51"/>
      <c r="AH50" s="51"/>
      <c r="AI50" s="51"/>
      <c r="AJ50" s="51"/>
      <c r="AK50" s="23"/>
      <c r="AL50" s="23"/>
      <c r="AM50" s="23"/>
    </row>
    <row r="51" spans="2:45" ht="15">
      <c r="B51" s="205"/>
      <c r="C51" s="205"/>
      <c r="D51" s="205"/>
      <c r="E51" s="205"/>
      <c r="F51" s="205"/>
      <c r="G51" s="205"/>
      <c r="H51" s="205"/>
      <c r="I51" s="205"/>
      <c r="J51" s="205"/>
      <c r="K51" s="205"/>
      <c r="L51" s="205"/>
      <c r="M51" s="205"/>
      <c r="N51" s="205"/>
      <c r="O51" s="205"/>
      <c r="P51" s="205"/>
      <c r="Q51" s="205"/>
      <c r="R51" s="205"/>
      <c r="S51" s="205"/>
      <c r="T51" s="204"/>
      <c r="U51" s="204"/>
      <c r="V51" s="204"/>
      <c r="W51" s="204"/>
      <c r="X51" s="204"/>
      <c r="Y51" s="204"/>
      <c r="Z51" s="1"/>
      <c r="AA51" s="1"/>
      <c r="AB51" s="1"/>
      <c r="AC51" s="1"/>
      <c r="AD51" s="1"/>
      <c r="AE51" s="1"/>
      <c r="AF51" s="9"/>
      <c r="AG51" s="9"/>
      <c r="AH51" s="9"/>
      <c r="AI51" s="9"/>
      <c r="AJ51" s="9"/>
    </row>
    <row r="52" spans="2:45" s="9" customFormat="1" ht="15">
      <c r="B52" s="200"/>
      <c r="C52" s="201"/>
      <c r="D52" s="201"/>
      <c r="E52" s="201"/>
      <c r="F52" s="201"/>
      <c r="G52" s="201"/>
      <c r="H52" s="201"/>
      <c r="I52" s="201"/>
      <c r="J52" s="201"/>
      <c r="K52" s="201"/>
      <c r="L52" s="201"/>
      <c r="M52" s="684"/>
      <c r="N52" s="201"/>
      <c r="O52" s="201"/>
      <c r="P52" s="201"/>
      <c r="Q52" s="201"/>
      <c r="R52" s="201"/>
      <c r="S52" s="201"/>
      <c r="T52" s="201"/>
      <c r="U52" s="201"/>
      <c r="V52" s="201"/>
      <c r="W52" s="201"/>
      <c r="X52" s="201"/>
      <c r="Y52" s="201"/>
      <c r="Z52" s="1"/>
      <c r="AA52" s="1"/>
      <c r="AB52" s="1"/>
      <c r="AC52" s="1"/>
      <c r="AD52" s="18"/>
      <c r="AE52" s="18"/>
      <c r="AS52" s="19"/>
    </row>
    <row r="53" spans="2:45" ht="15">
      <c r="B53" s="1013"/>
      <c r="C53" s="1013"/>
      <c r="D53" s="1013"/>
      <c r="E53" s="1013"/>
      <c r="F53" s="1013"/>
      <c r="G53" s="1013"/>
      <c r="H53" s="1013"/>
      <c r="I53" s="1013"/>
      <c r="J53" s="1013"/>
      <c r="K53" s="1013"/>
      <c r="L53" s="1013"/>
      <c r="M53" s="1013"/>
      <c r="N53" s="1013"/>
      <c r="O53" s="1013"/>
      <c r="P53" s="1013"/>
      <c r="Q53" s="1013"/>
      <c r="R53" s="1013"/>
      <c r="S53" s="1013"/>
      <c r="T53" s="1013"/>
      <c r="U53" s="1013"/>
      <c r="V53" s="1013"/>
      <c r="W53" s="1013"/>
      <c r="X53" s="1013"/>
      <c r="Y53" s="1013"/>
      <c r="Z53" s="1"/>
      <c r="AA53" s="1"/>
      <c r="AB53" s="1"/>
      <c r="AD53" s="1"/>
      <c r="AE53" s="1"/>
    </row>
    <row r="54" spans="2:45" ht="15">
      <c r="B54" s="200"/>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1"/>
      <c r="AA54" s="1"/>
      <c r="AB54" s="1"/>
      <c r="AD54" s="1"/>
      <c r="AE54" s="1"/>
    </row>
    <row r="55" spans="2:45" ht="15">
      <c r="B55" s="199"/>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
      <c r="AA55" s="1"/>
      <c r="AB55" s="1"/>
      <c r="AD55" s="1"/>
      <c r="AE55" s="1"/>
    </row>
    <row r="56" spans="2:45" ht="15">
      <c r="AC56" s="75"/>
      <c r="AD56" s="1"/>
      <c r="AE56" s="1"/>
    </row>
    <row r="57" spans="2:45" ht="15">
      <c r="AD57" s="1"/>
      <c r="AE57" s="1"/>
    </row>
    <row r="58" spans="2:45" hidden="1"/>
    <row r="59" spans="2:45" hidden="1">
      <c r="B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212">
        <f>Berechnung2!P31</f>
        <v>0</v>
      </c>
    </row>
    <row r="60" spans="2:45" hidden="1">
      <c r="AC60" s="212">
        <f>Berechnung2!P32</f>
        <v>0</v>
      </c>
    </row>
    <row r="61" spans="2:45" hidden="1">
      <c r="B61" s="28" t="s">
        <v>161</v>
      </c>
      <c r="AC61" s="212">
        <f>Berechnung2!P33</f>
        <v>0</v>
      </c>
      <c r="AD61" s="75"/>
      <c r="AE61" s="75"/>
      <c r="AF61" s="75"/>
      <c r="AG61" s="75"/>
    </row>
    <row r="62" spans="2:45" hidden="1">
      <c r="B62" s="211" t="str">
        <f>Berechnung2!B31</f>
        <v>ART</v>
      </c>
      <c r="C62" s="212">
        <f>Berechnung2!C31</f>
        <v>0</v>
      </c>
      <c r="D62" s="212">
        <f>Berechnung2!D31</f>
        <v>0</v>
      </c>
      <c r="E62" s="212"/>
      <c r="F62" s="212"/>
      <c r="G62" s="212"/>
      <c r="H62" s="212"/>
      <c r="I62" s="212"/>
      <c r="J62" s="212"/>
      <c r="K62" s="212"/>
      <c r="L62" s="212"/>
      <c r="M62" s="212"/>
      <c r="N62" s="212"/>
      <c r="O62" s="212"/>
      <c r="P62" s="212"/>
      <c r="Q62" s="212"/>
      <c r="R62" s="212"/>
      <c r="S62" s="212">
        <f>Berechnung2!F31</f>
        <v>0</v>
      </c>
      <c r="T62" s="212" t="str">
        <f>Berechnung2!G31</f>
        <v>Werte</v>
      </c>
      <c r="U62" s="212"/>
      <c r="V62" s="212">
        <f>Berechnung2!H31</f>
        <v>0</v>
      </c>
      <c r="W62" s="212">
        <f>Berechnung2!I31</f>
        <v>0</v>
      </c>
      <c r="X62" s="212">
        <f>Berechnung2!J31</f>
        <v>0</v>
      </c>
      <c r="Y62" s="212">
        <f>Berechnung2!K31</f>
        <v>0</v>
      </c>
      <c r="Z62" s="212">
        <f>Berechnung2!L31</f>
        <v>0</v>
      </c>
      <c r="AA62" s="212">
        <f>Berechnung2!N31</f>
        <v>0</v>
      </c>
      <c r="AB62" s="212">
        <f>Berechnung2!O31</f>
        <v>0</v>
      </c>
      <c r="AC62" s="212">
        <f>Berechnung2!P34</f>
        <v>0</v>
      </c>
      <c r="AD62" s="212" t="str">
        <f>Berechnung2!Q31</f>
        <v>Fehlermeldungen Matrix</v>
      </c>
    </row>
    <row r="63" spans="2:45" hidden="1">
      <c r="B63" s="214">
        <f>Berechnung2!B32</f>
        <v>0</v>
      </c>
      <c r="C63" s="212">
        <f>Berechnung2!C32</f>
        <v>0</v>
      </c>
      <c r="D63" s="212">
        <f>Berechnung2!D32</f>
        <v>0</v>
      </c>
      <c r="E63" s="212"/>
      <c r="F63" s="212"/>
      <c r="G63" s="212"/>
      <c r="H63" s="212"/>
      <c r="I63" s="212"/>
      <c r="J63" s="212"/>
      <c r="K63" s="212"/>
      <c r="L63" s="212"/>
      <c r="M63" s="212"/>
      <c r="N63" s="212"/>
      <c r="O63" s="212"/>
      <c r="P63" s="212"/>
      <c r="Q63" s="212"/>
      <c r="R63" s="212"/>
      <c r="S63" s="212">
        <f>Berechnung2!F32</f>
        <v>0</v>
      </c>
      <c r="T63" s="212">
        <f>Berechnung2!G32</f>
        <v>0</v>
      </c>
      <c r="U63" s="212"/>
      <c r="V63" s="212">
        <f>Berechnung2!H32</f>
        <v>0</v>
      </c>
      <c r="W63" s="212">
        <f>Berechnung2!I32</f>
        <v>0</v>
      </c>
      <c r="X63" s="212">
        <f>Berechnung2!J32</f>
        <v>0</v>
      </c>
      <c r="Y63" s="212">
        <f>Berechnung2!K32</f>
        <v>0</v>
      </c>
      <c r="Z63" s="212">
        <f>Berechnung2!L32</f>
        <v>0</v>
      </c>
      <c r="AA63" s="212">
        <f>Berechnung2!N32</f>
        <v>0</v>
      </c>
      <c r="AB63" s="212">
        <f>Berechnung2!O32</f>
        <v>0</v>
      </c>
      <c r="AC63" s="212">
        <f>Berechnung2!P35</f>
        <v>0</v>
      </c>
      <c r="AD63" s="212" t="str">
        <f>Berechnung2!Q32</f>
        <v>Ganze Zahl zwischen 0 und 5000 eingeben.</v>
      </c>
    </row>
    <row r="64" spans="2:45" hidden="1">
      <c r="B64" s="214">
        <f>Berechnung2!B33</f>
        <v>0</v>
      </c>
      <c r="C64" s="212">
        <f>Berechnung2!C33</f>
        <v>0</v>
      </c>
      <c r="D64" s="212" t="str">
        <f>Berechnung2!D33</f>
        <v>unvollständig</v>
      </c>
      <c r="E64" s="212"/>
      <c r="F64" s="212"/>
      <c r="G64" s="212"/>
      <c r="H64" s="212"/>
      <c r="I64" s="212"/>
      <c r="J64" s="212"/>
      <c r="K64" s="212"/>
      <c r="L64" s="212"/>
      <c r="M64" s="212"/>
      <c r="N64" s="212"/>
      <c r="O64" s="212"/>
      <c r="P64" s="212"/>
      <c r="Q64" s="212"/>
      <c r="R64" s="212"/>
      <c r="S64" s="212">
        <f>Berechnung2!F33</f>
        <v>0</v>
      </c>
      <c r="T64" s="212">
        <f>Berechnung2!G33</f>
        <v>0</v>
      </c>
      <c r="U64" s="212"/>
      <c r="V64" s="212">
        <f>Berechnung2!H33</f>
        <v>0</v>
      </c>
      <c r="W64" s="212">
        <f>Berechnung2!I33</f>
        <v>0</v>
      </c>
      <c r="X64" s="212">
        <f>Berechnung2!J33</f>
        <v>0</v>
      </c>
      <c r="Y64" s="212">
        <f>Berechnung2!K33</f>
        <v>0</v>
      </c>
      <c r="Z64" s="212">
        <f>Berechnung2!L33</f>
        <v>0</v>
      </c>
      <c r="AA64" s="212">
        <f>Berechnung2!N33</f>
        <v>0</v>
      </c>
      <c r="AB64" s="212">
        <f>Berechnung2!O33</f>
        <v>0</v>
      </c>
      <c r="AC64" s="212">
        <f>Berechnung2!P36</f>
        <v>0</v>
      </c>
      <c r="AD64" s="212">
        <f>Berechnung2!Q33</f>
        <v>0</v>
      </c>
      <c r="AE64" s="10"/>
      <c r="AF64" s="10"/>
      <c r="AG64" s="10"/>
      <c r="AH64" s="10"/>
      <c r="AI64" s="10"/>
      <c r="AJ64" s="10"/>
      <c r="AK64" s="10"/>
      <c r="AL64" s="10"/>
      <c r="AM64" s="10"/>
    </row>
    <row r="65" spans="2:39" hidden="1">
      <c r="B65" s="214" t="str">
        <f>Berechnung2!B34</f>
        <v>zu geringe Anzahl der Primärfälle</v>
      </c>
      <c r="C65" s="212">
        <f>Berechnung2!C34</f>
        <v>0</v>
      </c>
      <c r="D65" s="212" t="str">
        <f>Berechnung2!D34</f>
        <v>plausi</v>
      </c>
      <c r="E65" s="212"/>
      <c r="F65" s="212"/>
      <c r="G65" s="212"/>
      <c r="H65" s="212"/>
      <c r="I65" s="212"/>
      <c r="J65" s="212"/>
      <c r="K65" s="212"/>
      <c r="L65" s="212"/>
      <c r="M65" s="212"/>
      <c r="N65" s="212"/>
      <c r="O65" s="212"/>
      <c r="P65" s="212"/>
      <c r="Q65" s="212"/>
      <c r="R65" s="212"/>
      <c r="S65" s="212" t="str">
        <f>Berechnung2!F34</f>
        <v>&lt;</v>
      </c>
      <c r="T65" s="212">
        <f>Berechnung2!G34</f>
        <v>0</v>
      </c>
      <c r="U65" s="212"/>
      <c r="V65" s="215">
        <f>Berechnung2!H34</f>
        <v>5</v>
      </c>
      <c r="W65" s="212">
        <f>Berechnung2!I34</f>
        <v>0</v>
      </c>
      <c r="X65" s="212">
        <f>Berechnung2!J34</f>
        <v>0</v>
      </c>
      <c r="Y65" s="212">
        <f>Berechnung2!K34</f>
        <v>0</v>
      </c>
      <c r="Z65" s="212">
        <f>Berechnung2!L34</f>
        <v>0</v>
      </c>
      <c r="AA65" s="212">
        <f>Berechnung2!N34</f>
        <v>0</v>
      </c>
      <c r="AB65" s="212">
        <f>Berechnung2!O34</f>
        <v>0</v>
      </c>
      <c r="AC65" s="212">
        <f>Berechnung2!P37</f>
        <v>0</v>
      </c>
      <c r="AD65" s="212">
        <f>Berechnung2!Q34</f>
        <v>0</v>
      </c>
      <c r="AE65" s="10"/>
      <c r="AF65" s="10"/>
      <c r="AG65" s="10"/>
      <c r="AH65" s="10"/>
      <c r="AI65" s="10"/>
      <c r="AJ65" s="10"/>
      <c r="AK65" s="10"/>
      <c r="AL65" s="10"/>
      <c r="AM65" s="10"/>
    </row>
    <row r="66" spans="2:39" hidden="1">
      <c r="B66" s="214" t="str">
        <f>Berechnung2!B35</f>
        <v>geringe Follow-Up Quote</v>
      </c>
      <c r="C66" s="212">
        <f>Berechnung2!C35</f>
        <v>0</v>
      </c>
      <c r="D66" s="212" t="str">
        <f>Berechnung2!D35</f>
        <v>plausi</v>
      </c>
      <c r="E66" s="212"/>
      <c r="F66" s="212"/>
      <c r="G66" s="212"/>
      <c r="H66" s="212"/>
      <c r="I66" s="212"/>
      <c r="J66" s="212"/>
      <c r="K66" s="212"/>
      <c r="L66" s="212"/>
      <c r="M66" s="212"/>
      <c r="N66" s="212"/>
      <c r="O66" s="212"/>
      <c r="P66" s="212"/>
      <c r="Q66" s="212"/>
      <c r="R66" s="212"/>
      <c r="S66" s="212" t="str">
        <f>Berechnung2!F35</f>
        <v>&lt;</v>
      </c>
      <c r="T66" s="216">
        <f>Berechnung2!G35</f>
        <v>0</v>
      </c>
      <c r="U66" s="216"/>
      <c r="V66" s="217">
        <f>Berechnung2!H35</f>
        <v>0</v>
      </c>
      <c r="W66" s="217">
        <f>Berechnung2!I35</f>
        <v>0</v>
      </c>
      <c r="X66" s="217">
        <f>Berechnung2!J35</f>
        <v>0.49998999999999999</v>
      </c>
      <c r="Y66" s="217">
        <f>Berechnung2!K35</f>
        <v>0.49998999999999999</v>
      </c>
      <c r="Z66" s="212">
        <f>Berechnung2!L35</f>
        <v>0</v>
      </c>
      <c r="AA66" s="212">
        <f>Berechnung2!N35</f>
        <v>0</v>
      </c>
      <c r="AB66" s="212">
        <f>Berechnung2!O35</f>
        <v>0</v>
      </c>
      <c r="AC66" s="212">
        <f>Berechnung2!P39</f>
        <v>0</v>
      </c>
      <c r="AD66" s="212">
        <f>Berechnung2!Q35</f>
        <v>0</v>
      </c>
      <c r="AE66" s="10"/>
      <c r="AF66" s="10"/>
      <c r="AG66" s="10"/>
      <c r="AH66" s="10"/>
      <c r="AI66" s="10"/>
      <c r="AJ66" s="10"/>
      <c r="AK66" s="10"/>
      <c r="AL66" s="10"/>
      <c r="AM66" s="10"/>
    </row>
    <row r="67" spans="2:39" hidden="1">
      <c r="B67" s="214" t="str">
        <f>Berechnung2!B36</f>
        <v>geringe Follow-Up Quote der Jahre 2017-2019</v>
      </c>
      <c r="C67" s="212">
        <f>Berechnung2!C36</f>
        <v>0</v>
      </c>
      <c r="D67" s="212" t="str">
        <f>Berechnung2!D36</f>
        <v>sollvorgabe</v>
      </c>
      <c r="E67" s="212"/>
      <c r="F67" s="212"/>
      <c r="G67" s="212"/>
      <c r="H67" s="212"/>
      <c r="I67" s="212"/>
      <c r="J67" s="212"/>
      <c r="K67" s="212"/>
      <c r="L67" s="212"/>
      <c r="M67" s="212"/>
      <c r="N67" s="212"/>
      <c r="O67" s="212"/>
      <c r="P67" s="212"/>
      <c r="Q67" s="212"/>
      <c r="R67" s="212"/>
      <c r="S67" s="212" t="str">
        <f>Berechnung2!F36</f>
        <v>&lt;</v>
      </c>
      <c r="T67" s="216">
        <f>Berechnung2!G36</f>
        <v>0</v>
      </c>
      <c r="U67" s="216"/>
      <c r="V67" s="217">
        <f>Berechnung2!H36</f>
        <v>0</v>
      </c>
      <c r="W67" s="217">
        <f>Berechnung2!I36</f>
        <v>0</v>
      </c>
      <c r="X67" s="217">
        <f>Berechnung2!J36</f>
        <v>0.59999000000000002</v>
      </c>
      <c r="Y67" s="217">
        <f>Berechnung2!K36</f>
        <v>0.59999000000000002</v>
      </c>
      <c r="Z67" s="212">
        <f>Berechnung2!L36</f>
        <v>0</v>
      </c>
      <c r="AA67" s="212">
        <f>Berechnung2!N36</f>
        <v>0</v>
      </c>
      <c r="AB67" s="212">
        <f>Berechnung2!O36</f>
        <v>0</v>
      </c>
      <c r="AC67" s="212">
        <f>Berechnung2!P40</f>
        <v>0</v>
      </c>
      <c r="AD67" s="212">
        <f>Berechnung2!Q36</f>
        <v>0</v>
      </c>
      <c r="AE67" s="10"/>
      <c r="AF67" s="10"/>
      <c r="AG67" s="10"/>
      <c r="AH67" s="10"/>
      <c r="AI67" s="10"/>
      <c r="AJ67" s="10"/>
      <c r="AK67" s="10"/>
      <c r="AL67" s="10"/>
      <c r="AM67" s="10"/>
    </row>
    <row r="68" spans="2:39" hidden="1">
      <c r="B68" s="214" t="str">
        <f>Berechnung2!B37</f>
        <v>zu hohe Follow-Up Quote der Jahre 2017-2019</v>
      </c>
      <c r="C68" s="212">
        <f>Berechnung2!C37</f>
        <v>0</v>
      </c>
      <c r="D68" s="212" t="str">
        <f>Berechnung2!D37</f>
        <v>plausi</v>
      </c>
      <c r="E68" s="212"/>
      <c r="F68" s="212"/>
      <c r="G68" s="212"/>
      <c r="H68" s="212"/>
      <c r="I68" s="212"/>
      <c r="J68" s="212"/>
      <c r="K68" s="212"/>
      <c r="L68" s="212"/>
      <c r="M68" s="212"/>
      <c r="N68" s="212"/>
      <c r="O68" s="212"/>
      <c r="P68" s="212"/>
      <c r="Q68" s="212"/>
      <c r="R68" s="212"/>
      <c r="S68" s="212" t="str">
        <f>Berechnung2!F37</f>
        <v>&gt;</v>
      </c>
      <c r="T68" s="212">
        <f>Berechnung2!G37</f>
        <v>0</v>
      </c>
      <c r="U68" s="212"/>
      <c r="V68" s="217">
        <f>Berechnung2!H37</f>
        <v>0</v>
      </c>
      <c r="W68" s="217">
        <f>Berechnung2!I37</f>
        <v>0.95001000000000002</v>
      </c>
      <c r="X68" s="217">
        <f>Berechnung2!J37</f>
        <v>1</v>
      </c>
      <c r="Y68" s="217">
        <f>Berechnung2!K37</f>
        <v>0.95001000000000002</v>
      </c>
      <c r="Z68" s="212">
        <f>Berechnung2!L37</f>
        <v>0</v>
      </c>
      <c r="AA68" s="212">
        <f>Berechnung2!N37</f>
        <v>0</v>
      </c>
      <c r="AB68" s="212">
        <f>Berechnung2!O37</f>
        <v>0</v>
      </c>
      <c r="AC68" s="212">
        <f>Berechnung2!P41</f>
        <v>0</v>
      </c>
      <c r="AD68" s="212">
        <f>Berechnung2!Q37</f>
        <v>0</v>
      </c>
      <c r="AE68" s="10"/>
      <c r="AF68" s="10"/>
      <c r="AG68" s="10"/>
      <c r="AH68" s="10"/>
      <c r="AI68" s="10"/>
      <c r="AJ68" s="10"/>
      <c r="AK68" s="10"/>
      <c r="AL68" s="10"/>
      <c r="AM68" s="10"/>
    </row>
    <row r="69" spans="2:39" hidden="1">
      <c r="B69" s="214" t="str">
        <f>Berechnung2!B39</f>
        <v>zu viele Pat Keine Rückmeldungen</v>
      </c>
      <c r="C69" s="212">
        <f>Berechnung2!C39</f>
        <v>0</v>
      </c>
      <c r="D69" s="212" t="str">
        <f>Berechnung2!D39</f>
        <v>inkorrekt</v>
      </c>
      <c r="E69" s="212"/>
      <c r="F69" s="212"/>
      <c r="G69" s="212"/>
      <c r="H69" s="212"/>
      <c r="I69" s="212"/>
      <c r="J69" s="212"/>
      <c r="K69" s="212"/>
      <c r="L69" s="212"/>
      <c r="M69" s="212"/>
      <c r="N69" s="212"/>
      <c r="O69" s="212"/>
      <c r="P69" s="212"/>
      <c r="Q69" s="212"/>
      <c r="R69" s="212"/>
      <c r="S69" s="212">
        <f>Berechnung2!F39</f>
        <v>0</v>
      </c>
      <c r="T69" s="212">
        <f>Berechnung2!G39</f>
        <v>0</v>
      </c>
      <c r="U69" s="212"/>
      <c r="V69" s="212">
        <f>Berechnung2!H39</f>
        <v>0</v>
      </c>
      <c r="W69" s="212">
        <f>Berechnung2!I39</f>
        <v>0</v>
      </c>
      <c r="X69" s="212">
        <f>Berechnung2!J39</f>
        <v>0</v>
      </c>
      <c r="Y69" s="212">
        <f>Berechnung2!K39</f>
        <v>0</v>
      </c>
      <c r="Z69" s="212">
        <f>Berechnung2!L39</f>
        <v>0</v>
      </c>
      <c r="AA69" s="212">
        <f>Berechnung2!N39</f>
        <v>0</v>
      </c>
      <c r="AB69" s="212">
        <f>Berechnung2!O39</f>
        <v>0</v>
      </c>
      <c r="AC69" s="212">
        <f>Berechnung2!P42</f>
        <v>0</v>
      </c>
      <c r="AD69" s="212">
        <f>Berechnung2!Q39</f>
        <v>0</v>
      </c>
      <c r="AE69" s="10"/>
      <c r="AF69" s="10"/>
      <c r="AG69" s="10"/>
      <c r="AH69" s="10"/>
      <c r="AI69" s="10"/>
      <c r="AJ69" s="10"/>
      <c r="AK69" s="10"/>
      <c r="AL69" s="10"/>
      <c r="AM69" s="10"/>
    </row>
    <row r="70" spans="2:39" hidden="1">
      <c r="B70" s="214" t="str">
        <f>Berechnung2!B40</f>
        <v>zu viele Pat Tumorbedingt gestorben</v>
      </c>
      <c r="C70" s="212">
        <f>Berechnung2!C40</f>
        <v>0</v>
      </c>
      <c r="D70" s="212" t="str">
        <f>Berechnung2!D40</f>
        <v>inkorrekt</v>
      </c>
      <c r="E70" s="212"/>
      <c r="F70" s="212"/>
      <c r="G70" s="212"/>
      <c r="H70" s="212"/>
      <c r="I70" s="212"/>
      <c r="J70" s="212"/>
      <c r="K70" s="212"/>
      <c r="L70" s="212"/>
      <c r="M70" s="212"/>
      <c r="N70" s="212"/>
      <c r="O70" s="212"/>
      <c r="P70" s="212"/>
      <c r="Q70" s="212"/>
      <c r="R70" s="212"/>
      <c r="S70" s="212">
        <f>Berechnung2!F40</f>
        <v>0</v>
      </c>
      <c r="T70" s="212">
        <f>Berechnung2!G40</f>
        <v>0</v>
      </c>
      <c r="U70" s="212"/>
      <c r="V70" s="212">
        <f>Berechnung2!H40</f>
        <v>0</v>
      </c>
      <c r="W70" s="212">
        <f>Berechnung2!I40</f>
        <v>0</v>
      </c>
      <c r="X70" s="212">
        <f>Berechnung2!J40</f>
        <v>0</v>
      </c>
      <c r="Y70" s="212">
        <f>Berechnung2!K40</f>
        <v>0</v>
      </c>
      <c r="Z70" s="212">
        <f>Berechnung2!L40</f>
        <v>0</v>
      </c>
      <c r="AA70" s="212">
        <f>Berechnung2!N40</f>
        <v>0</v>
      </c>
      <c r="AB70" s="212">
        <f>Berechnung2!O40</f>
        <v>0</v>
      </c>
      <c r="AC70" s="212">
        <f>Berechnung2!P53</f>
        <v>0</v>
      </c>
      <c r="AD70" s="212">
        <f>Berechnung2!Q40</f>
        <v>0</v>
      </c>
      <c r="AE70" s="10"/>
      <c r="AF70" s="10"/>
      <c r="AG70" s="10"/>
      <c r="AH70" s="10"/>
      <c r="AI70" s="10"/>
      <c r="AJ70" s="10"/>
      <c r="AK70" s="10"/>
      <c r="AL70" s="10"/>
      <c r="AM70" s="10"/>
    </row>
    <row r="71" spans="2:39" hidden="1">
      <c r="B71" s="214" t="str">
        <f>Berechnung2!B41</f>
        <v>zu viele Pat Gestorben</v>
      </c>
      <c r="C71" s="212">
        <f>Berechnung2!C41</f>
        <v>0</v>
      </c>
      <c r="D71" s="212" t="str">
        <f>Berechnung2!D41</f>
        <v>inkorrekt</v>
      </c>
      <c r="E71" s="212"/>
      <c r="F71" s="212"/>
      <c r="G71" s="212"/>
      <c r="H71" s="212"/>
      <c r="I71" s="212"/>
      <c r="J71" s="212"/>
      <c r="K71" s="212"/>
      <c r="L71" s="212"/>
      <c r="M71" s="212"/>
      <c r="N71" s="212"/>
      <c r="O71" s="212"/>
      <c r="P71" s="212"/>
      <c r="Q71" s="212"/>
      <c r="R71" s="212"/>
      <c r="S71" s="212">
        <f>Berechnung2!F41</f>
        <v>0</v>
      </c>
      <c r="T71" s="212">
        <f>Berechnung2!G41</f>
        <v>0</v>
      </c>
      <c r="U71" s="212"/>
      <c r="V71" s="212">
        <f>Berechnung2!H41</f>
        <v>0</v>
      </c>
      <c r="W71" s="212">
        <f>Berechnung2!I41</f>
        <v>0</v>
      </c>
      <c r="X71" s="212">
        <f>Berechnung2!J41</f>
        <v>0</v>
      </c>
      <c r="Y71" s="212">
        <f>Berechnung2!K41</f>
        <v>0</v>
      </c>
      <c r="Z71" s="212">
        <f>Berechnung2!L41</f>
        <v>0</v>
      </c>
      <c r="AA71" s="212">
        <f>Berechnung2!N41</f>
        <v>0</v>
      </c>
      <c r="AB71" s="212">
        <f>Berechnung2!O41</f>
        <v>0</v>
      </c>
      <c r="AC71" s="212">
        <f>Berechnung2!P54</f>
        <v>0</v>
      </c>
      <c r="AD71" s="212">
        <f>Berechnung2!Q51</f>
        <v>0</v>
      </c>
      <c r="AE71" s="10"/>
      <c r="AF71" s="10"/>
      <c r="AG71" s="10"/>
      <c r="AH71" s="10"/>
      <c r="AI71" s="10"/>
      <c r="AJ71" s="10"/>
      <c r="AK71" s="10"/>
      <c r="AL71" s="10"/>
      <c r="AM71" s="10"/>
    </row>
    <row r="72" spans="2:39" hidden="1">
      <c r="B72" s="214">
        <f>Berechnung2!B42</f>
        <v>0</v>
      </c>
      <c r="C72" s="212">
        <f>Berechnung2!C42</f>
        <v>0</v>
      </c>
      <c r="D72" s="212">
        <f>Berechnung2!D42</f>
        <v>0</v>
      </c>
      <c r="E72" s="212"/>
      <c r="F72" s="212"/>
      <c r="G72" s="212"/>
      <c r="H72" s="212"/>
      <c r="I72" s="212"/>
      <c r="J72" s="212"/>
      <c r="K72" s="212"/>
      <c r="L72" s="212"/>
      <c r="M72" s="212"/>
      <c r="N72" s="212"/>
      <c r="O72" s="212"/>
      <c r="P72" s="212"/>
      <c r="Q72" s="212"/>
      <c r="R72" s="212"/>
      <c r="S72" s="212">
        <f>Berechnung2!F42</f>
        <v>0</v>
      </c>
      <c r="T72" s="212">
        <f>Berechnung2!G42</f>
        <v>0</v>
      </c>
      <c r="U72" s="212"/>
      <c r="V72" s="212">
        <f>Berechnung2!H42</f>
        <v>0</v>
      </c>
      <c r="W72" s="212">
        <f>Berechnung2!I42</f>
        <v>0</v>
      </c>
      <c r="X72" s="212">
        <f>Berechnung2!J42</f>
        <v>0</v>
      </c>
      <c r="Y72" s="212">
        <f>Berechnung2!K42</f>
        <v>0</v>
      </c>
      <c r="Z72" s="212">
        <f>Berechnung2!L42</f>
        <v>0</v>
      </c>
      <c r="AA72" s="212">
        <f>Berechnung2!N42</f>
        <v>0</v>
      </c>
      <c r="AB72" s="212">
        <f>Berechnung2!O42</f>
        <v>0</v>
      </c>
      <c r="AC72" s="212">
        <f>Berechnung2!P55</f>
        <v>0</v>
      </c>
      <c r="AD72" s="212">
        <f>Berechnung2!Q52</f>
        <v>0</v>
      </c>
      <c r="AE72" s="10"/>
      <c r="AF72" s="10"/>
      <c r="AG72" s="10"/>
      <c r="AH72" s="10"/>
      <c r="AI72" s="10"/>
      <c r="AJ72" s="10"/>
      <c r="AK72" s="10"/>
      <c r="AL72" s="10"/>
      <c r="AM72" s="10"/>
    </row>
    <row r="73" spans="2:39" hidden="1">
      <c r="B73" s="214" t="str">
        <f>Berechnung2!B53</f>
        <v>OAS</v>
      </c>
      <c r="C73" s="212">
        <f>Berechnung2!C43</f>
        <v>0</v>
      </c>
      <c r="D73" s="212">
        <f>Berechnung2!C53</f>
        <v>0</v>
      </c>
      <c r="E73" s="212"/>
      <c r="F73" s="212"/>
      <c r="G73" s="212"/>
      <c r="H73" s="212"/>
      <c r="I73" s="212"/>
      <c r="J73" s="212"/>
      <c r="K73" s="212"/>
      <c r="L73" s="212"/>
      <c r="M73" s="212"/>
      <c r="N73" s="212"/>
      <c r="O73" s="212"/>
      <c r="P73" s="212"/>
      <c r="Q73" s="212"/>
      <c r="R73" s="212"/>
      <c r="S73" s="212">
        <f>Berechnung2!F53</f>
        <v>0</v>
      </c>
      <c r="T73" s="212" t="str">
        <f>Berechnung2!G53</f>
        <v>untere Grenze</v>
      </c>
      <c r="U73" s="212"/>
      <c r="V73" s="212">
        <f>Berechnung2!H53</f>
        <v>0</v>
      </c>
      <c r="W73" s="212">
        <f>Berechnung2!I53</f>
        <v>0</v>
      </c>
      <c r="X73" s="212">
        <f>Berechnung2!J53</f>
        <v>0</v>
      </c>
      <c r="Y73" s="212" t="str">
        <f>Berechnung2!K53</f>
        <v>obere Grenze</v>
      </c>
      <c r="Z73" s="212">
        <f>Berechnung2!L53</f>
        <v>0</v>
      </c>
      <c r="AA73" s="212">
        <f>Berechnung2!N53</f>
        <v>0</v>
      </c>
      <c r="AB73" s="212" t="str">
        <f>Berechnung2!O53</f>
        <v>OAS auffällig niedrig oder hoch</v>
      </c>
      <c r="AC73" s="212">
        <f>Berechnung2!P56</f>
        <v>0</v>
      </c>
      <c r="AD73" s="212">
        <f>Berechnung2!Q53</f>
        <v>0</v>
      </c>
      <c r="AE73" s="10"/>
      <c r="AF73" s="10"/>
      <c r="AG73" s="10"/>
      <c r="AH73" s="10"/>
      <c r="AI73" s="10"/>
      <c r="AJ73" s="10"/>
      <c r="AK73" s="10"/>
      <c r="AL73" s="10"/>
      <c r="AM73" s="10"/>
    </row>
    <row r="74" spans="2:39" hidden="1">
      <c r="B74" s="214">
        <f>Berechnung2!B54</f>
        <v>0</v>
      </c>
      <c r="C74" s="212">
        <f>Berechnung2!C54</f>
        <v>1E-3</v>
      </c>
      <c r="D74" s="267">
        <f>Berechnung2!C54</f>
        <v>1E-3</v>
      </c>
      <c r="E74" s="267">
        <f>Berechnung2!F54</f>
        <v>0</v>
      </c>
      <c r="F74" s="267"/>
      <c r="G74" s="267"/>
      <c r="H74" s="267"/>
      <c r="I74" s="267"/>
      <c r="J74" s="267"/>
      <c r="K74" s="267"/>
      <c r="L74" s="267"/>
      <c r="M74" s="267"/>
      <c r="N74" s="267"/>
      <c r="O74" s="267"/>
      <c r="P74" s="267"/>
      <c r="Q74" s="267"/>
      <c r="R74" s="267"/>
      <c r="S74" s="267">
        <f>Berechnung2!F54</f>
        <v>0</v>
      </c>
      <c r="T74" s="217">
        <f>Berechnung2!G54</f>
        <v>0.59899999999999998</v>
      </c>
      <c r="U74" s="217"/>
      <c r="V74" s="217">
        <f>Berechnung2!H54</f>
        <v>0.6</v>
      </c>
      <c r="W74" s="217">
        <f>Berechnung2!I54</f>
        <v>0</v>
      </c>
      <c r="X74" s="217">
        <f>Berechnung2!J54</f>
        <v>0.94899999999999995</v>
      </c>
      <c r="Y74" s="217">
        <f>Berechnung2!K54</f>
        <v>0.95</v>
      </c>
      <c r="Z74" s="212">
        <f>Berechnung2!L54</f>
        <v>0</v>
      </c>
      <c r="AA74" s="212">
        <f>Berechnung2!N54</f>
        <v>0</v>
      </c>
      <c r="AB74" s="212" t="str">
        <f>Berechnung2!O54</f>
        <v>OAS auffällig niedrig oder hoch</v>
      </c>
      <c r="AC74" s="212">
        <f>Berechnung2!P57</f>
        <v>0</v>
      </c>
      <c r="AD74" s="212">
        <f>Berechnung2!Q54</f>
        <v>0</v>
      </c>
      <c r="AE74" s="10"/>
      <c r="AF74" s="10"/>
      <c r="AG74" s="10"/>
      <c r="AH74" s="10"/>
      <c r="AI74" s="10"/>
      <c r="AJ74" s="10"/>
      <c r="AK74" s="10"/>
      <c r="AL74" s="10"/>
      <c r="AM74" s="10"/>
    </row>
    <row r="75" spans="2:39" hidden="1">
      <c r="B75" s="214">
        <f>Berechnung2!B55</f>
        <v>0</v>
      </c>
      <c r="C75" s="212">
        <f>Berechnung2!C55</f>
        <v>1E-3</v>
      </c>
      <c r="D75" s="267">
        <f>Berechnung2!C55</f>
        <v>1E-3</v>
      </c>
      <c r="E75" s="267">
        <f>Berechnung2!F55</f>
        <v>0</v>
      </c>
      <c r="F75" s="267"/>
      <c r="G75" s="267"/>
      <c r="H75" s="267"/>
      <c r="I75" s="267"/>
      <c r="J75" s="267"/>
      <c r="K75" s="267"/>
      <c r="L75" s="267"/>
      <c r="M75" s="267"/>
      <c r="N75" s="267"/>
      <c r="O75" s="267"/>
      <c r="P75" s="267"/>
      <c r="Q75" s="267"/>
      <c r="R75" s="267"/>
      <c r="S75" s="267">
        <f>Berechnung2!F55</f>
        <v>0</v>
      </c>
      <c r="T75" s="217">
        <f>Berechnung2!G55</f>
        <v>0.59899999999999998</v>
      </c>
      <c r="U75" s="217"/>
      <c r="V75" s="217">
        <f>Berechnung2!H55</f>
        <v>0.6</v>
      </c>
      <c r="W75" s="217">
        <f>Berechnung2!I55</f>
        <v>0</v>
      </c>
      <c r="X75" s="217">
        <f>Berechnung2!J55</f>
        <v>0.94899999999999995</v>
      </c>
      <c r="Y75" s="217">
        <f>Berechnung2!K55</f>
        <v>0.95</v>
      </c>
      <c r="Z75" s="212">
        <f>Berechnung2!L55</f>
        <v>0</v>
      </c>
      <c r="AA75" s="212">
        <f>Berechnung2!N55</f>
        <v>0</v>
      </c>
      <c r="AB75" s="212" t="str">
        <f>Berechnung2!O55</f>
        <v>OAS auffällig niedrig oder hoch</v>
      </c>
      <c r="AC75" s="212">
        <f>Berechnung2!P58</f>
        <v>0</v>
      </c>
      <c r="AD75" s="212">
        <f>Berechnung2!Q55</f>
        <v>0</v>
      </c>
      <c r="AE75" s="10"/>
      <c r="AF75" s="10"/>
      <c r="AG75" s="10"/>
      <c r="AH75" s="10"/>
      <c r="AI75" s="10"/>
      <c r="AJ75" s="10"/>
      <c r="AK75" s="10"/>
      <c r="AL75" s="10"/>
      <c r="AM75" s="10"/>
    </row>
    <row r="76" spans="2:39" hidden="1">
      <c r="B76" s="214">
        <f>Berechnung2!B56</f>
        <v>0</v>
      </c>
      <c r="C76" s="212">
        <f>Berechnung2!C56</f>
        <v>1E-3</v>
      </c>
      <c r="D76" s="267">
        <f>Berechnung2!C56</f>
        <v>1E-3</v>
      </c>
      <c r="E76" s="267">
        <f>Berechnung2!F56</f>
        <v>0</v>
      </c>
      <c r="F76" s="267"/>
      <c r="G76" s="267"/>
      <c r="H76" s="267"/>
      <c r="I76" s="267"/>
      <c r="J76" s="267"/>
      <c r="K76" s="267"/>
      <c r="L76" s="267"/>
      <c r="M76" s="267"/>
      <c r="N76" s="267"/>
      <c r="O76" s="267"/>
      <c r="P76" s="267"/>
      <c r="Q76" s="267"/>
      <c r="R76" s="267"/>
      <c r="S76" s="267">
        <f>Berechnung2!F56</f>
        <v>0</v>
      </c>
      <c r="T76" s="217">
        <f>Berechnung2!G56</f>
        <v>0.59899999999999998</v>
      </c>
      <c r="U76" s="217"/>
      <c r="V76" s="217">
        <f>Berechnung2!H56</f>
        <v>0.6</v>
      </c>
      <c r="W76" s="217">
        <f>Berechnung2!I56</f>
        <v>0</v>
      </c>
      <c r="X76" s="217">
        <f>Berechnung2!J56</f>
        <v>0.94899999999999995</v>
      </c>
      <c r="Y76" s="217">
        <f>Berechnung2!K56</f>
        <v>0.95</v>
      </c>
      <c r="Z76" s="212">
        <f>Berechnung2!L56</f>
        <v>0</v>
      </c>
      <c r="AA76" s="212">
        <f>Berechnung2!N56</f>
        <v>0</v>
      </c>
      <c r="AB76" s="212" t="str">
        <f>Berechnung2!O56</f>
        <v>OAS auffällig niedrig oder hoch</v>
      </c>
      <c r="AC76" s="212">
        <f>Berechnung2!P59</f>
        <v>0</v>
      </c>
      <c r="AD76" s="212">
        <f>Berechnung2!Q56</f>
        <v>0</v>
      </c>
      <c r="AE76" s="10"/>
      <c r="AF76" s="10"/>
      <c r="AG76" s="10"/>
      <c r="AH76" s="10"/>
      <c r="AI76" s="10"/>
      <c r="AJ76" s="10"/>
      <c r="AK76" s="10"/>
      <c r="AL76" s="10"/>
      <c r="AM76" s="10"/>
    </row>
    <row r="77" spans="2:39" hidden="1">
      <c r="B77" s="214">
        <f>Berechnung2!B57</f>
        <v>0</v>
      </c>
      <c r="C77" s="212">
        <f>Berechnung2!C57</f>
        <v>1E-3</v>
      </c>
      <c r="D77" s="267">
        <f>Berechnung2!C57</f>
        <v>1E-3</v>
      </c>
      <c r="E77" s="267">
        <f>Berechnung2!F57</f>
        <v>0</v>
      </c>
      <c r="F77" s="267"/>
      <c r="G77" s="267"/>
      <c r="H77" s="267"/>
      <c r="I77" s="267"/>
      <c r="J77" s="267"/>
      <c r="K77" s="267"/>
      <c r="L77" s="267"/>
      <c r="M77" s="267"/>
      <c r="N77" s="267"/>
      <c r="O77" s="267"/>
      <c r="P77" s="267"/>
      <c r="Q77" s="267"/>
      <c r="R77" s="267"/>
      <c r="S77" s="267">
        <f>Berechnung2!F57</f>
        <v>0</v>
      </c>
      <c r="T77" s="217">
        <f>Berechnung2!G57</f>
        <v>0.84899999999999998</v>
      </c>
      <c r="U77" s="217"/>
      <c r="V77" s="217">
        <f>Berechnung2!H57</f>
        <v>0.85</v>
      </c>
      <c r="W77" s="217">
        <f>Berechnung2!I57</f>
        <v>0</v>
      </c>
      <c r="X77" s="217">
        <f>Berechnung2!J57</f>
        <v>0.98899999999999999</v>
      </c>
      <c r="Y77" s="217">
        <f>Berechnung2!K57</f>
        <v>0.99</v>
      </c>
      <c r="Z77" s="212">
        <f>Berechnung2!L57</f>
        <v>0</v>
      </c>
      <c r="AA77" s="212">
        <f>Berechnung2!N57</f>
        <v>0</v>
      </c>
      <c r="AB77" s="212" t="str">
        <f>Berechnung2!O57</f>
        <v>OAS auffällig niedrig oder hoch</v>
      </c>
      <c r="AC77" s="212">
        <f>Berechnung2!P60</f>
        <v>0</v>
      </c>
      <c r="AD77" s="212">
        <f>Berechnung2!Q57</f>
        <v>0</v>
      </c>
      <c r="AE77" s="10"/>
      <c r="AF77" s="10"/>
      <c r="AG77" s="10"/>
      <c r="AH77" s="10"/>
      <c r="AI77" s="10"/>
      <c r="AJ77" s="10"/>
      <c r="AK77" s="10"/>
      <c r="AL77" s="10"/>
      <c r="AM77" s="10"/>
    </row>
    <row r="78" spans="2:39" hidden="1">
      <c r="B78" s="214">
        <f>Berechnung2!B58</f>
        <v>0</v>
      </c>
      <c r="C78" s="212">
        <f>Berechnung2!C58</f>
        <v>1E-3</v>
      </c>
      <c r="D78" s="267">
        <f>Berechnung2!C58</f>
        <v>1E-3</v>
      </c>
      <c r="E78" s="267">
        <f>Berechnung2!F58</f>
        <v>0</v>
      </c>
      <c r="F78" s="267"/>
      <c r="G78" s="267"/>
      <c r="H78" s="267"/>
      <c r="I78" s="267"/>
      <c r="J78" s="267"/>
      <c r="K78" s="267"/>
      <c r="L78" s="267"/>
      <c r="M78" s="267"/>
      <c r="N78" s="267"/>
      <c r="O78" s="267"/>
      <c r="P78" s="267"/>
      <c r="Q78" s="267"/>
      <c r="R78" s="267"/>
      <c r="S78" s="267">
        <f>Berechnung2!F58</f>
        <v>0</v>
      </c>
      <c r="T78" s="217">
        <f>Berechnung2!G58</f>
        <v>0.94899999999999995</v>
      </c>
      <c r="U78" s="217"/>
      <c r="V78" s="217">
        <f>Berechnung2!H58</f>
        <v>0.95</v>
      </c>
      <c r="W78" s="217">
        <f>Berechnung2!I58</f>
        <v>0</v>
      </c>
      <c r="X78" s="217">
        <f>Berechnung2!J58</f>
        <v>0.98899999999999999</v>
      </c>
      <c r="Y78" s="217">
        <f>Berechnung2!K58</f>
        <v>0.99</v>
      </c>
      <c r="Z78" s="212">
        <f>Berechnung2!L58</f>
        <v>0</v>
      </c>
      <c r="AA78" s="212">
        <f>Berechnung2!N58</f>
        <v>0</v>
      </c>
      <c r="AB78" s="212" t="str">
        <f>Berechnung2!O58</f>
        <v>OAS auffällig niedrig oder hoch</v>
      </c>
      <c r="AC78" s="212">
        <f>Berechnung2!P61</f>
        <v>0</v>
      </c>
      <c r="AD78" s="212">
        <f>Berechnung2!Q58</f>
        <v>0</v>
      </c>
      <c r="AE78" s="10"/>
      <c r="AF78" s="10"/>
      <c r="AG78" s="10"/>
      <c r="AH78" s="10"/>
      <c r="AI78" s="10"/>
      <c r="AJ78" s="10"/>
      <c r="AK78" s="10"/>
      <c r="AL78" s="10"/>
      <c r="AM78" s="10"/>
    </row>
    <row r="79" spans="2:39" hidden="1">
      <c r="B79" s="214">
        <f>Berechnung2!B59</f>
        <v>0</v>
      </c>
      <c r="C79" s="212">
        <f>Berechnung2!C59</f>
        <v>0</v>
      </c>
      <c r="D79" s="267">
        <f>Berechnung2!D59</f>
        <v>0</v>
      </c>
      <c r="E79" s="267">
        <f>Berechnung2!F59</f>
        <v>0</v>
      </c>
      <c r="F79" s="267"/>
      <c r="G79" s="267"/>
      <c r="H79" s="267"/>
      <c r="I79" s="267"/>
      <c r="J79" s="267"/>
      <c r="K79" s="267"/>
      <c r="L79" s="267"/>
      <c r="M79" s="267"/>
      <c r="N79" s="267"/>
      <c r="O79" s="267"/>
      <c r="P79" s="267"/>
      <c r="Q79" s="267"/>
      <c r="R79" s="267"/>
      <c r="S79" s="267">
        <f>Berechnung2!F59</f>
        <v>0</v>
      </c>
      <c r="T79" s="217">
        <f>Berechnung2!G59</f>
        <v>0</v>
      </c>
      <c r="U79" s="217"/>
      <c r="V79" s="217">
        <f>Berechnung2!H59</f>
        <v>0</v>
      </c>
      <c r="W79" s="217">
        <f>Berechnung2!I59</f>
        <v>0</v>
      </c>
      <c r="X79" s="217">
        <f>Berechnung2!J59</f>
        <v>0</v>
      </c>
      <c r="Y79" s="217">
        <f>Berechnung2!K59</f>
        <v>0</v>
      </c>
      <c r="Z79" s="212">
        <f>Berechnung2!L59</f>
        <v>0</v>
      </c>
      <c r="AA79" s="212">
        <f>Berechnung2!N59</f>
        <v>0</v>
      </c>
      <c r="AB79" s="212">
        <f>Berechnung2!O59</f>
        <v>0</v>
      </c>
      <c r="AC79" s="213"/>
      <c r="AD79" s="212">
        <f>Berechnung2!Q59</f>
        <v>0</v>
      </c>
      <c r="AE79" s="10"/>
      <c r="AF79" s="10"/>
      <c r="AG79" s="10"/>
      <c r="AH79" s="10"/>
      <c r="AI79" s="10"/>
      <c r="AJ79" s="10"/>
      <c r="AK79" s="10"/>
      <c r="AL79" s="10"/>
      <c r="AM79" s="10"/>
    </row>
    <row r="80" spans="2:39" hidden="1">
      <c r="B80" s="214">
        <f>Berechnung2!B60</f>
        <v>0</v>
      </c>
      <c r="C80" s="212">
        <f>Berechnung2!C60</f>
        <v>0</v>
      </c>
      <c r="D80" s="267">
        <f>Berechnung2!D60</f>
        <v>0</v>
      </c>
      <c r="E80" s="267">
        <f>Berechnung2!F60</f>
        <v>0</v>
      </c>
      <c r="F80" s="267"/>
      <c r="G80" s="267"/>
      <c r="H80" s="267"/>
      <c r="I80" s="267"/>
      <c r="J80" s="267"/>
      <c r="K80" s="267"/>
      <c r="L80" s="267"/>
      <c r="M80" s="267"/>
      <c r="N80" s="267"/>
      <c r="O80" s="267"/>
      <c r="P80" s="267"/>
      <c r="Q80" s="267"/>
      <c r="R80" s="267"/>
      <c r="S80" s="267">
        <f>Berechnung2!F60</f>
        <v>0</v>
      </c>
      <c r="T80" s="217">
        <f>Berechnung2!G60</f>
        <v>0</v>
      </c>
      <c r="U80" s="217"/>
      <c r="V80" s="217">
        <f>Berechnung2!H60</f>
        <v>0</v>
      </c>
      <c r="W80" s="217">
        <f>Berechnung2!I60</f>
        <v>0</v>
      </c>
      <c r="X80" s="217">
        <f>Berechnung2!J60</f>
        <v>0</v>
      </c>
      <c r="Y80" s="217">
        <f>Berechnung2!K60</f>
        <v>0</v>
      </c>
      <c r="Z80" s="212">
        <f>Berechnung2!L60</f>
        <v>0</v>
      </c>
      <c r="AA80" s="212">
        <f>Berechnung2!N60</f>
        <v>0</v>
      </c>
      <c r="AB80" s="212">
        <f>Berechnung2!O60</f>
        <v>0</v>
      </c>
      <c r="AC80" s="213"/>
      <c r="AD80" s="212">
        <f>Berechnung2!Q60</f>
        <v>0</v>
      </c>
      <c r="AE80" s="10"/>
      <c r="AF80" s="10"/>
      <c r="AG80" s="10"/>
      <c r="AH80" s="10"/>
      <c r="AI80" s="10"/>
      <c r="AJ80" s="10"/>
      <c r="AK80" s="10"/>
      <c r="AL80" s="10"/>
      <c r="AM80" s="10"/>
    </row>
    <row r="81" spans="2:39" hidden="1">
      <c r="B81" s="214">
        <f>Berechnung2!B61</f>
        <v>0</v>
      </c>
      <c r="C81" s="212">
        <f>Berechnung2!C61</f>
        <v>0</v>
      </c>
      <c r="D81" s="267">
        <f>Berechnung2!D61</f>
        <v>0</v>
      </c>
      <c r="E81" s="267">
        <f>Berechnung2!F61</f>
        <v>0</v>
      </c>
      <c r="F81" s="267"/>
      <c r="G81" s="267"/>
      <c r="H81" s="267"/>
      <c r="I81" s="267"/>
      <c r="J81" s="267"/>
      <c r="K81" s="267"/>
      <c r="L81" s="267"/>
      <c r="M81" s="267"/>
      <c r="N81" s="267"/>
      <c r="O81" s="267"/>
      <c r="P81" s="267"/>
      <c r="Q81" s="267"/>
      <c r="R81" s="267"/>
      <c r="S81" s="267">
        <f>Berechnung2!F61</f>
        <v>0</v>
      </c>
      <c r="T81" s="217">
        <f>Berechnung2!G61</f>
        <v>0</v>
      </c>
      <c r="U81" s="217"/>
      <c r="V81" s="217">
        <f>Berechnung2!H61</f>
        <v>0</v>
      </c>
      <c r="W81" s="217">
        <f>Berechnung2!I61</f>
        <v>0</v>
      </c>
      <c r="X81" s="217">
        <f>Berechnung2!J61</f>
        <v>0</v>
      </c>
      <c r="Y81" s="217">
        <f>Berechnung2!K61</f>
        <v>0</v>
      </c>
      <c r="Z81" s="212">
        <f>Berechnung2!L61</f>
        <v>0</v>
      </c>
      <c r="AA81" s="212">
        <f>Berechnung2!N61</f>
        <v>0</v>
      </c>
      <c r="AB81" s="218" t="s">
        <v>160</v>
      </c>
      <c r="AD81" s="212">
        <f>Berechnung2!Q61</f>
        <v>0</v>
      </c>
      <c r="AE81" s="10"/>
      <c r="AF81" s="10"/>
      <c r="AG81" s="10"/>
      <c r="AH81" s="10"/>
      <c r="AI81" s="10"/>
      <c r="AJ81" s="10"/>
      <c r="AK81" s="10"/>
      <c r="AL81" s="10"/>
      <c r="AM81" s="10"/>
    </row>
    <row r="82" spans="2:39" hidden="1">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E82" s="10"/>
      <c r="AF82" s="10"/>
      <c r="AG82" s="10"/>
      <c r="AH82" s="10"/>
      <c r="AI82" s="10"/>
      <c r="AJ82" s="10"/>
      <c r="AK82" s="10"/>
      <c r="AL82" s="10"/>
      <c r="AM82" s="10"/>
    </row>
    <row r="83" spans="2:39">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E83" s="10"/>
      <c r="AF83" s="10"/>
      <c r="AG83" s="10"/>
      <c r="AH83" s="10"/>
      <c r="AI83" s="10"/>
      <c r="AJ83" s="10"/>
      <c r="AK83" s="10"/>
      <c r="AL83" s="10"/>
      <c r="AM83" s="10"/>
    </row>
  </sheetData>
  <sheetProtection algorithmName="SHA-512" hashValue="uRjiBLk7TZMFw/QACLfuPOBPOUiLQ8UwPjxvi8d7qTSe4+624VWpAhzx32r9/OS0oyvg9ZnMLPuoh6EzYz5yCw==" saltValue="ZM7uupm6KCtzQa1GKIsBoQ==" spinCount="100000" sheet="1" objects="1" scenarios="1" selectLockedCells="1"/>
  <dataConsolidate/>
  <customSheetViews>
    <customSheetView guid="{AD479C9E-06F7-4C03-8179-295428B49475}" scale="106" showGridLines="0">
      <selection activeCell="E24" sqref="E24"/>
      <pageMargins left="7.874015748031496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7.874015748031496E-2" right="3.937007874015748E-2" top="0.27559055118110237" bottom="0.27559055118110237" header="0.11811023622047245" footer="0.11811023622047245"/>
      <pageSetup paperSize="9" orientation="landscape" r:id="rId2"/>
      <headerFooter>
        <oddFooter>&amp;L&amp;"Arial,Standard"&amp;7&amp;F&amp;C&amp;"Arial,Standard"&amp;7 © DKG  Alle Rechte vorbehalten&amp;R&amp;"Arial,Standard"&amp;7&amp;P</oddFooter>
      </headerFooter>
    </customSheetView>
  </customSheetViews>
  <mergeCells count="80">
    <mergeCell ref="C43:D43"/>
    <mergeCell ref="E43:R43"/>
    <mergeCell ref="C6:Z6"/>
    <mergeCell ref="V17:V18"/>
    <mergeCell ref="X8:Z8"/>
    <mergeCell ref="Y17:Y18"/>
    <mergeCell ref="T17:T18"/>
    <mergeCell ref="T12:V12"/>
    <mergeCell ref="Z12:AA12"/>
    <mergeCell ref="C17:C18"/>
    <mergeCell ref="Z13:AA13"/>
    <mergeCell ref="S15:S24"/>
    <mergeCell ref="C8:E8"/>
    <mergeCell ref="B13:D13"/>
    <mergeCell ref="B32:AA32"/>
    <mergeCell ref="C36:D36"/>
    <mergeCell ref="C37:D37"/>
    <mergeCell ref="C38:D38"/>
    <mergeCell ref="E38:R38"/>
    <mergeCell ref="E37:R37"/>
    <mergeCell ref="Q17:Q18"/>
    <mergeCell ref="R17:R18"/>
    <mergeCell ref="B28:C28"/>
    <mergeCell ref="B31:AB31"/>
    <mergeCell ref="S36:AA36"/>
    <mergeCell ref="T24:V24"/>
    <mergeCell ref="T25:V25"/>
    <mergeCell ref="X24:Y24"/>
    <mergeCell ref="X25:Y25"/>
    <mergeCell ref="T15:Y15"/>
    <mergeCell ref="S37:AA37"/>
    <mergeCell ref="E36:R36"/>
    <mergeCell ref="S38:AA38"/>
    <mergeCell ref="X17:X18"/>
    <mergeCell ref="AA17:AA18"/>
    <mergeCell ref="W16:W24"/>
    <mergeCell ref="S43:AA43"/>
    <mergeCell ref="S46:AA46"/>
    <mergeCell ref="S42:AA42"/>
    <mergeCell ref="S40:AA40"/>
    <mergeCell ref="S41:AA41"/>
    <mergeCell ref="S39:AA39"/>
    <mergeCell ref="T8:W8"/>
    <mergeCell ref="E12:S12"/>
    <mergeCell ref="W12:Y12"/>
    <mergeCell ref="Z15:Z24"/>
    <mergeCell ref="B10:AA10"/>
    <mergeCell ref="B12:D12"/>
    <mergeCell ref="T13:V13"/>
    <mergeCell ref="B17:B18"/>
    <mergeCell ref="E13:S13"/>
    <mergeCell ref="D17:D18"/>
    <mergeCell ref="O17:P17"/>
    <mergeCell ref="E17:N17"/>
    <mergeCell ref="U17:U18"/>
    <mergeCell ref="W13:Y13"/>
    <mergeCell ref="D15:R15"/>
    <mergeCell ref="C42:D42"/>
    <mergeCell ref="C41:D41"/>
    <mergeCell ref="E41:R41"/>
    <mergeCell ref="E42:R42"/>
    <mergeCell ref="C39:D39"/>
    <mergeCell ref="C40:D40"/>
    <mergeCell ref="E40:R40"/>
    <mergeCell ref="E39:R39"/>
    <mergeCell ref="B53:Y53"/>
    <mergeCell ref="E44:R44"/>
    <mergeCell ref="E45:R45"/>
    <mergeCell ref="E46:R46"/>
    <mergeCell ref="E47:R47"/>
    <mergeCell ref="S44:AA44"/>
    <mergeCell ref="E48:R48"/>
    <mergeCell ref="S47:AA47"/>
    <mergeCell ref="C48:D48"/>
    <mergeCell ref="S48:AA48"/>
    <mergeCell ref="S45:AA45"/>
    <mergeCell ref="C47:D47"/>
    <mergeCell ref="C45:D45"/>
    <mergeCell ref="C46:D46"/>
    <mergeCell ref="C44:D44"/>
  </mergeCells>
  <phoneticPr fontId="41" type="noConversion"/>
  <conditionalFormatting sqref="C19">
    <cfRule type="expression" dxfId="168" priority="345" stopIfTrue="1">
      <formula>OR($B19="nicht relevant",$B19="EZ")</formula>
    </cfRule>
  </conditionalFormatting>
  <conditionalFormatting sqref="V30">
    <cfRule type="cellIs" dxfId="167" priority="2707" stopIfTrue="1" operator="equal">
      <formula>"---"</formula>
    </cfRule>
  </conditionalFormatting>
  <conditionalFormatting sqref="X21">
    <cfRule type="expression" dxfId="166" priority="246" stopIfTrue="1">
      <formula>OR($B21="nicht relevant",$B21="EZ")</formula>
    </cfRule>
    <cfRule type="expression" dxfId="165" priority="251" stopIfTrue="1">
      <formula>LEN(TRIM(X21))=0</formula>
    </cfRule>
    <cfRule type="cellIs" dxfId="164" priority="256" stopIfTrue="1" operator="greaterThan">
      <formula>T21</formula>
    </cfRule>
  </conditionalFormatting>
  <conditionalFormatting sqref="X22">
    <cfRule type="expression" dxfId="163" priority="245" stopIfTrue="1">
      <formula>OR($B22="nicht relevant",$B22="EZ")</formula>
    </cfRule>
    <cfRule type="expression" dxfId="162" priority="250" stopIfTrue="1">
      <formula>LEN(TRIM(X22))=0</formula>
    </cfRule>
    <cfRule type="cellIs" dxfId="161" priority="255" stopIfTrue="1" operator="greaterThan">
      <formula>T22</formula>
    </cfRule>
  </conditionalFormatting>
  <conditionalFormatting sqref="Y21">
    <cfRule type="expression" dxfId="160" priority="189" stopIfTrue="1">
      <formula>OR($B21="nicht relevant",$B21="EZ")</formula>
    </cfRule>
    <cfRule type="expression" dxfId="159" priority="3160" stopIfTrue="1">
      <formula>LEN(TRIM(Y21))=0</formula>
    </cfRule>
    <cfRule type="cellIs" dxfId="158" priority="3161" stopIfTrue="1" operator="greaterThan">
      <formula>T21</formula>
    </cfRule>
  </conditionalFormatting>
  <conditionalFormatting sqref="Y22">
    <cfRule type="expression" dxfId="157" priority="188" stopIfTrue="1">
      <formula>OR($B22="nicht relevant",$B22="EZ")</formula>
    </cfRule>
    <cfRule type="expression" dxfId="156" priority="3163" stopIfTrue="1">
      <formula>LEN(TRIM(Y22))=0</formula>
    </cfRule>
    <cfRule type="cellIs" dxfId="155" priority="3164" stopIfTrue="1" operator="greaterThan">
      <formula>T22</formula>
    </cfRule>
  </conditionalFormatting>
  <conditionalFormatting sqref="E21:L21 N21:Q21">
    <cfRule type="expression" dxfId="154" priority="3148" stopIfTrue="1">
      <formula>OR($B21="nicht relevant",$B21="EZ")</formula>
    </cfRule>
    <cfRule type="expression" dxfId="153" priority="3149" stopIfTrue="1">
      <formula>LEN(TRIM(E21))=0</formula>
    </cfRule>
  </conditionalFormatting>
  <conditionalFormatting sqref="E22:L22 N22:R22">
    <cfRule type="expression" dxfId="152" priority="180" stopIfTrue="1">
      <formula>OR($B22="nicht relevant",$B22="EZ")</formula>
    </cfRule>
    <cfRule type="expression" dxfId="151" priority="3143" stopIfTrue="1">
      <formula>LEN(TRIM(E22))=0</formula>
    </cfRule>
  </conditionalFormatting>
  <conditionalFormatting sqref="R21">
    <cfRule type="expression" dxfId="150" priority="174" stopIfTrue="1">
      <formula>OR($B21="nicht relevant",$B21="EZ")</formula>
    </cfRule>
    <cfRule type="expression" dxfId="149" priority="177" stopIfTrue="1">
      <formula>LEN(TRIM(R21))=0</formula>
    </cfRule>
  </conditionalFormatting>
  <conditionalFormatting sqref="R22">
    <cfRule type="expression" dxfId="148" priority="173" stopIfTrue="1">
      <formula>OR($B22="nicht relevant",$B22="EZ")</formula>
    </cfRule>
    <cfRule type="expression" dxfId="147" priority="176" stopIfTrue="1">
      <formula>LEN(TRIM(R22))=0</formula>
    </cfRule>
  </conditionalFormatting>
  <conditionalFormatting sqref="T21">
    <cfRule type="expression" dxfId="146" priority="271" stopIfTrue="1">
      <formula>OR($B21="nicht relevant",$B21="EZ")</formula>
    </cfRule>
    <cfRule type="expression" dxfId="145" priority="276" stopIfTrue="1">
      <formula>LEN(TRIM(T21))=0</formula>
    </cfRule>
    <cfRule type="cellIs" dxfId="144" priority="281" stopIfTrue="1" operator="greaterThan">
      <formula>D21</formula>
    </cfRule>
  </conditionalFormatting>
  <conditionalFormatting sqref="T22:T23">
    <cfRule type="expression" dxfId="143" priority="270" stopIfTrue="1">
      <formula>OR($B22="nicht relevant",$B22="EZ")</formula>
    </cfRule>
    <cfRule type="expression" dxfId="142" priority="275" stopIfTrue="1">
      <formula>LEN(TRIM(T22))=0</formula>
    </cfRule>
    <cfRule type="cellIs" dxfId="141" priority="280" stopIfTrue="1" operator="greaterThan">
      <formula>D22</formula>
    </cfRule>
  </conditionalFormatting>
  <conditionalFormatting sqref="U21">
    <cfRule type="expression" dxfId="140" priority="165" stopIfTrue="1">
      <formula>OR($B21="nicht relevant",$B21="EZ")</formula>
    </cfRule>
    <cfRule type="expression" dxfId="139" priority="168" stopIfTrue="1">
      <formula>LEN(TRIM(U21))=0</formula>
    </cfRule>
    <cfRule type="cellIs" dxfId="138" priority="171" stopIfTrue="1" operator="greaterThan">
      <formula>$D$21</formula>
    </cfRule>
  </conditionalFormatting>
  <conditionalFormatting sqref="V28">
    <cfRule type="cellIs" dxfId="137" priority="154" stopIfTrue="1" operator="equal">
      <formula>"---"</formula>
    </cfRule>
    <cfRule type="cellIs" dxfId="136" priority="155" stopIfTrue="1" operator="between">
      <formula>$V$67</formula>
      <formula>$X$67</formula>
    </cfRule>
    <cfRule type="cellIs" dxfId="135" priority="156" stopIfTrue="1" operator="between">
      <formula>$W$68</formula>
      <formula>$X$68</formula>
    </cfRule>
  </conditionalFormatting>
  <conditionalFormatting sqref="E23:R23">
    <cfRule type="expression" dxfId="134" priority="178" stopIfTrue="1">
      <formula>OR($B23="nicht relevant",$B23="EZ")</formula>
    </cfRule>
    <cfRule type="expression" dxfId="133" priority="179" stopIfTrue="1">
      <formula>LEN(TRIM(E23))=0</formula>
    </cfRule>
  </conditionalFormatting>
  <conditionalFormatting sqref="R23">
    <cfRule type="expression" dxfId="132" priority="172" stopIfTrue="1">
      <formula>OR($B23="nicht relevant",$B23="EZ")</formula>
    </cfRule>
    <cfRule type="expression" dxfId="131" priority="175" stopIfTrue="1">
      <formula>LEN(TRIM(R23))=0</formula>
    </cfRule>
  </conditionalFormatting>
  <conditionalFormatting sqref="C20">
    <cfRule type="expression" dxfId="130" priority="143" stopIfTrue="1">
      <formula>OR($B20="nicht relevant",$B20="EZ")</formula>
    </cfRule>
  </conditionalFormatting>
  <conditionalFormatting sqref="C21">
    <cfRule type="expression" dxfId="129" priority="142" stopIfTrue="1">
      <formula>OR($B21="nicht relevant",$B21="EZ")</formula>
    </cfRule>
  </conditionalFormatting>
  <conditionalFormatting sqref="C22">
    <cfRule type="expression" dxfId="128" priority="141" stopIfTrue="1">
      <formula>OR($B22="nicht relevant",$B22="EZ")</formula>
    </cfRule>
  </conditionalFormatting>
  <conditionalFormatting sqref="C23">
    <cfRule type="expression" dxfId="127" priority="140" stopIfTrue="1">
      <formula>OR($B23="nicht relevant",$B23="EZ")</formula>
    </cfRule>
  </conditionalFormatting>
  <conditionalFormatting sqref="C24:C25">
    <cfRule type="expression" dxfId="126" priority="139" stopIfTrue="1">
      <formula>OR($B24="nicht relevant",$B24="EZ")</formula>
    </cfRule>
  </conditionalFormatting>
  <conditionalFormatting sqref="E19:L19 N19:R19">
    <cfRule type="expression" dxfId="125" priority="131" stopIfTrue="1">
      <formula>OR($B19="nicht relevant",$B19="EZ")</formula>
    </cfRule>
    <cfRule type="expression" dxfId="124" priority="132" stopIfTrue="1">
      <formula>LEN(TRIM(E19))=0</formula>
    </cfRule>
  </conditionalFormatting>
  <conditionalFormatting sqref="R19">
    <cfRule type="expression" dxfId="123" priority="129" stopIfTrue="1">
      <formula>OR($B19="nicht relevant",$B19="EZ")</formula>
    </cfRule>
    <cfRule type="expression" dxfId="122" priority="130" stopIfTrue="1">
      <formula>LEN(TRIM(R19))=0</formula>
    </cfRule>
  </conditionalFormatting>
  <conditionalFormatting sqref="E20:L20 N20:R20">
    <cfRule type="expression" dxfId="121" priority="127" stopIfTrue="1">
      <formula>OR($B20="nicht relevant",$B20="EZ")</formula>
    </cfRule>
    <cfRule type="expression" dxfId="120" priority="128" stopIfTrue="1">
      <formula>LEN(TRIM(E20))=0</formula>
    </cfRule>
  </conditionalFormatting>
  <conditionalFormatting sqref="R20">
    <cfRule type="expression" dxfId="119" priority="125" stopIfTrue="1">
      <formula>OR($B20="nicht relevant",$B20="EZ")</formula>
    </cfRule>
    <cfRule type="expression" dxfId="118" priority="126" stopIfTrue="1">
      <formula>LEN(TRIM(R20))=0</formula>
    </cfRule>
  </conditionalFormatting>
  <conditionalFormatting sqref="T20">
    <cfRule type="expression" dxfId="117" priority="120" stopIfTrue="1">
      <formula>OR($B20="nicht relevant",$B20="EZ")</formula>
    </cfRule>
    <cfRule type="expression" dxfId="116" priority="121" stopIfTrue="1">
      <formula>LEN(TRIM(T20))=0</formula>
    </cfRule>
    <cfRule type="cellIs" dxfId="115" priority="122" stopIfTrue="1" operator="greaterThan">
      <formula>D20</formula>
    </cfRule>
  </conditionalFormatting>
  <conditionalFormatting sqref="U20">
    <cfRule type="expression" dxfId="114" priority="117" stopIfTrue="1">
      <formula>OR($B20="nicht relevant",$B20="EZ")</formula>
    </cfRule>
    <cfRule type="expression" dxfId="113" priority="118" stopIfTrue="1">
      <formula>LEN(TRIM(U20))=0</formula>
    </cfRule>
    <cfRule type="cellIs" dxfId="112" priority="119" stopIfTrue="1" operator="greaterThan">
      <formula>$D$20</formula>
    </cfRule>
  </conditionalFormatting>
  <conditionalFormatting sqref="T19">
    <cfRule type="expression" dxfId="111" priority="112" stopIfTrue="1">
      <formula>OR($B19="nicht relevant",$B19="EZ")</formula>
    </cfRule>
    <cfRule type="expression" dxfId="110" priority="113" stopIfTrue="1">
      <formula>LEN(TRIM(T19))=0</formula>
    </cfRule>
    <cfRule type="cellIs" dxfId="109" priority="114" stopIfTrue="1" operator="greaterThan">
      <formula>D19</formula>
    </cfRule>
  </conditionalFormatting>
  <conditionalFormatting sqref="U19">
    <cfRule type="expression" dxfId="108" priority="109" stopIfTrue="1">
      <formula>OR($B19="nicht relevant",$B19="EZ")</formula>
    </cfRule>
    <cfRule type="expression" dxfId="107" priority="110" stopIfTrue="1">
      <formula>LEN(TRIM(U19))=0</formula>
    </cfRule>
    <cfRule type="cellIs" dxfId="106" priority="111" stopIfTrue="1" operator="greaterThan">
      <formula>$D$19</formula>
    </cfRule>
  </conditionalFormatting>
  <conditionalFormatting sqref="X20">
    <cfRule type="expression" dxfId="105" priority="104" stopIfTrue="1">
      <formula>OR($B20="nicht relevant",$B20="EZ")</formula>
    </cfRule>
    <cfRule type="expression" dxfId="104" priority="105" stopIfTrue="1">
      <formula>LEN(TRIM(X20))=0</formula>
    </cfRule>
    <cfRule type="cellIs" dxfId="103" priority="106" stopIfTrue="1" operator="greaterThan">
      <formula>T20</formula>
    </cfRule>
  </conditionalFormatting>
  <conditionalFormatting sqref="Y20">
    <cfRule type="expression" dxfId="102" priority="103" stopIfTrue="1">
      <formula>OR($B20="nicht relevant",$B20="EZ")</formula>
    </cfRule>
    <cfRule type="expression" dxfId="101" priority="107" stopIfTrue="1">
      <formula>LEN(TRIM(Y20))=0</formula>
    </cfRule>
    <cfRule type="cellIs" dxfId="100" priority="108" stopIfTrue="1" operator="greaterThan">
      <formula>T20</formula>
    </cfRule>
  </conditionalFormatting>
  <conditionalFormatting sqref="X19">
    <cfRule type="expression" dxfId="99" priority="98" stopIfTrue="1">
      <formula>OR($B19="nicht relevant",$B19="EZ")</formula>
    </cfRule>
    <cfRule type="expression" dxfId="98" priority="99" stopIfTrue="1">
      <formula>LEN(TRIM(X19))=0</formula>
    </cfRule>
    <cfRule type="cellIs" dxfId="97" priority="100" stopIfTrue="1" operator="greaterThan">
      <formula>T19</formula>
    </cfRule>
  </conditionalFormatting>
  <conditionalFormatting sqref="Y19">
    <cfRule type="expression" dxfId="96" priority="97" stopIfTrue="1">
      <formula>OR($B19="nicht relevant",$B19="EZ")</formula>
    </cfRule>
    <cfRule type="expression" dxfId="95" priority="101" stopIfTrue="1">
      <formula>LEN(TRIM(Y19))=0</formula>
    </cfRule>
    <cfRule type="cellIs" dxfId="94" priority="102" stopIfTrue="1" operator="greaterThan">
      <formula>T19</formula>
    </cfRule>
  </conditionalFormatting>
  <conditionalFormatting sqref="AA19">
    <cfRule type="expression" dxfId="93" priority="65" stopIfTrue="1">
      <formula>OR($B19="nicht relevant",$B19="EZ")</formula>
    </cfRule>
  </conditionalFormatting>
  <conditionalFormatting sqref="AA20">
    <cfRule type="expression" dxfId="92" priority="64" stopIfTrue="1">
      <formula>OR($B20="nicht relevant",$B20="EZ")</formula>
    </cfRule>
  </conditionalFormatting>
  <conditionalFormatting sqref="AA21">
    <cfRule type="expression" dxfId="91" priority="63" stopIfTrue="1">
      <formula>OR($B21="nicht relevant",$B21="EZ")</formula>
    </cfRule>
  </conditionalFormatting>
  <conditionalFormatting sqref="AA22">
    <cfRule type="expression" dxfId="90" priority="62" stopIfTrue="1">
      <formula>OR($B22="nicht relevant",$B22="EZ")</formula>
    </cfRule>
  </conditionalFormatting>
  <conditionalFormatting sqref="B13:D13">
    <cfRule type="expression" dxfId="89" priority="60" stopIfTrue="1">
      <formula>$B$13="die inkorrekten und unvollständigen Einträge beheben"</formula>
    </cfRule>
  </conditionalFormatting>
  <conditionalFormatting sqref="B12:D12">
    <cfRule type="expression" dxfId="88" priority="59" stopIfTrue="1">
      <formula>$B$12="Nicht in Ordnung"</formula>
    </cfRule>
  </conditionalFormatting>
  <conditionalFormatting sqref="V19:V20">
    <cfRule type="expression" dxfId="87" priority="3231" stopIfTrue="1">
      <formula>OR($B19="nicht relevant",$B19="EZ")</formula>
    </cfRule>
    <cfRule type="expression" dxfId="86" priority="3232" stopIfTrue="1">
      <formula>LEN(TRIM(V19))=0</formula>
    </cfRule>
  </conditionalFormatting>
  <conditionalFormatting sqref="AA23">
    <cfRule type="expression" dxfId="85" priority="42" stopIfTrue="1">
      <formula>OR($B23="nicht relevant",$B23="EZ")</formula>
    </cfRule>
  </conditionalFormatting>
  <conditionalFormatting sqref="X23">
    <cfRule type="expression" dxfId="84" priority="37" stopIfTrue="1">
      <formula>OR($B23="nicht relevant",$B23="EZ")</formula>
    </cfRule>
    <cfRule type="expression" dxfId="83" priority="38" stopIfTrue="1">
      <formula>LEN(TRIM(X23))=0</formula>
    </cfRule>
    <cfRule type="cellIs" dxfId="82" priority="39" stopIfTrue="1" operator="greaterThan">
      <formula>T23</formula>
    </cfRule>
  </conditionalFormatting>
  <conditionalFormatting sqref="Y23">
    <cfRule type="expression" dxfId="81" priority="36" stopIfTrue="1">
      <formula>OR($B23="nicht relevant",$B23="EZ")</formula>
    </cfRule>
    <cfRule type="expression" dxfId="80" priority="40" stopIfTrue="1">
      <formula>LEN(TRIM(Y23))=0</formula>
    </cfRule>
    <cfRule type="cellIs" dxfId="79" priority="41" stopIfTrue="1" operator="greaterThan">
      <formula>T23</formula>
    </cfRule>
  </conditionalFormatting>
  <conditionalFormatting sqref="U22">
    <cfRule type="expression" dxfId="78" priority="164" stopIfTrue="1">
      <formula>OR($B22="nicht relevant",$B22="EZ")</formula>
    </cfRule>
    <cfRule type="expression" dxfId="77" priority="167" stopIfTrue="1">
      <formula>LEN(TRIM(U22))=0</formula>
    </cfRule>
    <cfRule type="cellIs" dxfId="76" priority="170" stopIfTrue="1" operator="greaterThan">
      <formula>$D$22</formula>
    </cfRule>
  </conditionalFormatting>
  <conditionalFormatting sqref="U23">
    <cfRule type="expression" dxfId="75" priority="30" stopIfTrue="1">
      <formula>OR($B23="nicht relevant",$B23="EZ")</formula>
    </cfRule>
    <cfRule type="expression" dxfId="74" priority="31" stopIfTrue="1">
      <formula>LEN(TRIM(U23))=0</formula>
    </cfRule>
    <cfRule type="cellIs" dxfId="73" priority="32" stopIfTrue="1" operator="greaterThan">
      <formula>$D$23</formula>
    </cfRule>
  </conditionalFormatting>
  <conditionalFormatting sqref="E24:R24">
    <cfRule type="expression" dxfId="72" priority="11" stopIfTrue="1">
      <formula>OR($B24="nicht relevant",$B24="EZ")</formula>
    </cfRule>
    <cfRule type="expression" dxfId="71" priority="12" stopIfTrue="1">
      <formula>LEN(TRIM(E24))=0</formula>
    </cfRule>
  </conditionalFormatting>
  <conditionalFormatting sqref="R24">
    <cfRule type="expression" dxfId="70" priority="9" stopIfTrue="1">
      <formula>OR($B24="nicht relevant",$B24="EZ")</formula>
    </cfRule>
    <cfRule type="expression" dxfId="69" priority="10" stopIfTrue="1">
      <formula>LEN(TRIM(R24))=0</formula>
    </cfRule>
  </conditionalFormatting>
  <conditionalFormatting sqref="E25:R25">
    <cfRule type="expression" dxfId="68" priority="7" stopIfTrue="1">
      <formula>OR($B25="nicht relevant",$B25="EZ")</formula>
    </cfRule>
  </conditionalFormatting>
  <conditionalFormatting sqref="R25">
    <cfRule type="expression" dxfId="67" priority="5" stopIfTrue="1">
      <formula>OR($B25="nicht relevant",$B25="EZ")</formula>
    </cfRule>
  </conditionalFormatting>
  <conditionalFormatting sqref="D19:D25">
    <cfRule type="expression" dxfId="66" priority="3312" stopIfTrue="1">
      <formula>OR($B19="nicht relevant",$B19="EZ")</formula>
    </cfRule>
    <cfRule type="expression" dxfId="65" priority="3313" stopIfTrue="1">
      <formula>LEN(TRIM(D19))=0</formula>
    </cfRule>
    <cfRule type="cellIs" dxfId="64" priority="3314" stopIfTrue="1" operator="lessThan">
      <formula>$V$65</formula>
    </cfRule>
  </conditionalFormatting>
  <conditionalFormatting sqref="V21:V23">
    <cfRule type="expression" dxfId="63" priority="3315" stopIfTrue="1">
      <formula>OR($B21="nicht relevant",$B21="EZ")</formula>
    </cfRule>
    <cfRule type="expression" dxfId="62" priority="3316" stopIfTrue="1">
      <formula>LEN(TRIM(V21))=0</formula>
    </cfRule>
    <cfRule type="cellIs" dxfId="61" priority="3317" stopIfTrue="1" operator="between">
      <formula>$V$66</formula>
      <formula>$X$66</formula>
    </cfRule>
  </conditionalFormatting>
  <conditionalFormatting sqref="M22">
    <cfRule type="expression" dxfId="60" priority="3" stopIfTrue="1">
      <formula>OR($B22="nicht relevant",$B22="EZ")</formula>
    </cfRule>
    <cfRule type="expression" dxfId="59" priority="4" stopIfTrue="1">
      <formula>LEN(TRIM(M22))=0</formula>
    </cfRule>
  </conditionalFormatting>
  <conditionalFormatting sqref="M21">
    <cfRule type="expression" dxfId="58" priority="1" stopIfTrue="1">
      <formula>OR($B21="nicht relevant",$B21="EZ")</formula>
    </cfRule>
    <cfRule type="expression" dxfId="57" priority="2" stopIfTrue="1">
      <formula>LEN(TRIM(M21))=0</formula>
    </cfRule>
  </conditionalFormatting>
  <dataValidations count="8">
    <dataValidation type="whole" showInputMessage="1" showErrorMessage="1" errorTitle="Eingabefehler" error="Anzahl Pat. im Follow-Up zu hoch." sqref="T19:T23">
      <formula1>0</formula1>
      <formula2>D19-U19</formula2>
    </dataValidation>
    <dataValidation type="whole" allowBlank="1" showInputMessage="1" showErrorMessage="1" errorTitle="Eingabefehler" error="Ganze Zahl zwischen 0 und 5000 eingeben." sqref="E19:K24 L21 L19:L20 L22:L24 N19:R24 M19:M20 M22:M24 M21">
      <formula1>0</formula1>
      <formula2>5000</formula2>
    </dataValidation>
    <dataValidation type="decimal" allowBlank="1" showInputMessage="1" showErrorMessage="1" errorTitle="Aufüllhinweis" error="Nur Prozentwerte zwischen 0% und 100% können verwendet werden." sqref="AA19:AA25">
      <formula1>0</formula1>
      <formula2>1</formula2>
    </dataValidation>
    <dataValidation type="whole" operator="greaterThanOrEqual" allowBlank="1" showInputMessage="1" showErrorMessage="1" sqref="D19:D25">
      <formula1>0</formula1>
    </dataValidation>
    <dataValidation type="whole" showInputMessage="1" showErrorMessage="1" errorTitle="Eingabefehler" error="Anzahl Pat. im Follow-Up zu hoch." sqref="U19:U23">
      <formula1>0</formula1>
      <formula2>D19-T19</formula2>
    </dataValidation>
    <dataValidation type="whole" showInputMessage="1" showErrorMessage="1" errorTitle="Eingabefehler" error="Summe Spalten X+ Y (Gestorbene Patienten) darf nicht größer als Spalte T (Patientenrückmeldungen) sein." sqref="Y19:Y23">
      <formula1>0</formula1>
      <formula2>$T19-$X19</formula2>
    </dataValidation>
    <dataValidation type="whole" showInputMessage="1" showErrorMessage="1" errorTitle="Eingabefehler" error="Summe Spalten X+ Y (Gestorbene Patienten) darf nicht größer als Spalte T (Patientenrückmeldungen) sein." sqref="X19:X23">
      <formula1>0</formula1>
      <formula2>$T19-$Y19</formula2>
    </dataValidation>
    <dataValidation allowBlank="1" showInputMessage="1" showErrorMessage="1" errorTitle="Eingabefehler" error="Ganze Zahl zwischen 0 und 5000 eingeben." sqref="E25:R25"/>
  </dataValidations>
  <pageMargins left="0.39370078740157483" right="3.937007874015748E-2" top="0.59055118110236227" bottom="0.39370078740157483" header="0.11811023622047245" footer="0.11811023622047245"/>
  <pageSetup paperSize="9" scale="87" orientation="landscape" r:id="rId3"/>
  <headerFooter>
    <oddFooter>&amp;L&amp;"Arial,Standard"&amp;7&amp;F&amp;C&amp;"Arial,Standard"&amp;7 © DKG  Alle Rechte vorbehalten&amp;R&amp;"Arial,Standard"&amp;7&amp;P</oddFooter>
  </headerFooter>
  <ignoredErrors>
    <ignoredError sqref="E25:R25" unlockedFormula="1"/>
  </ignoredErrors>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BK61"/>
  <sheetViews>
    <sheetView zoomScale="80" zoomScaleNormal="80" workbookViewId="0">
      <selection activeCell="B38" sqref="B38"/>
    </sheetView>
  </sheetViews>
  <sheetFormatPr baseColWidth="10" defaultColWidth="9" defaultRowHeight="14.25"/>
  <cols>
    <col min="1" max="1" width="20.7109375" style="4" customWidth="1"/>
    <col min="2" max="2" width="37.28515625" style="4" customWidth="1"/>
    <col min="3" max="3" width="47.42578125" style="4" customWidth="1"/>
    <col min="4" max="4" width="33.140625" style="4" customWidth="1"/>
    <col min="5" max="5" width="19.28515625" style="4" customWidth="1"/>
    <col min="6" max="6" width="42" style="4" customWidth="1"/>
    <col min="7" max="7" width="46.85546875" style="4" customWidth="1"/>
    <col min="8" max="8" width="29.42578125" style="40" customWidth="1"/>
    <col min="9" max="9" width="39.5703125" style="39" customWidth="1"/>
    <col min="10" max="10" width="38.7109375" style="317" customWidth="1"/>
    <col min="11" max="11" width="39" style="318" customWidth="1"/>
    <col min="12" max="12" width="29.85546875" style="4" customWidth="1"/>
    <col min="13" max="13" width="32.85546875" style="4" customWidth="1"/>
    <col min="14" max="14" width="27.5703125" style="4" customWidth="1"/>
    <col min="15" max="15" width="24.42578125" style="4" customWidth="1"/>
    <col min="16" max="16" width="52.7109375" style="4" customWidth="1"/>
    <col min="17" max="17" width="42.85546875" style="4" customWidth="1"/>
    <col min="18" max="18" width="41.140625" style="4" customWidth="1"/>
    <col min="19" max="19" width="27.5703125" style="4" customWidth="1"/>
    <col min="20" max="20" width="21.7109375" style="4" customWidth="1"/>
    <col min="21" max="21" width="19.7109375" style="4" customWidth="1"/>
    <col min="22" max="22" width="18.7109375" style="4" customWidth="1"/>
    <col min="23" max="161" width="11.42578125" style="4" customWidth="1"/>
    <col min="162" max="16384" width="9" style="4"/>
  </cols>
  <sheetData>
    <row r="1" spans="1:63" s="9" customFormat="1">
      <c r="J1" s="315"/>
      <c r="K1" s="315"/>
    </row>
    <row r="2" spans="1:63" s="30" customFormat="1" ht="20.25" customHeight="1">
      <c r="A2" s="124" t="s">
        <v>106</v>
      </c>
      <c r="J2" s="316"/>
      <c r="K2" s="316"/>
      <c r="AJ2" s="27"/>
      <c r="BJ2" s="9"/>
      <c r="BK2" s="19"/>
    </row>
    <row r="3" spans="1:63" ht="14.25" customHeight="1">
      <c r="AJ3" s="27"/>
      <c r="BI3" s="9"/>
      <c r="BK3" s="19"/>
    </row>
    <row r="4" spans="1:63">
      <c r="H4" s="4"/>
      <c r="I4" s="4"/>
      <c r="J4" s="318"/>
      <c r="AJ4" s="27"/>
      <c r="BI4" s="9"/>
      <c r="BK4" s="19"/>
    </row>
    <row r="5" spans="1:63" ht="15" customHeight="1">
      <c r="B5" s="77" t="s">
        <v>96</v>
      </c>
      <c r="C5" s="44" t="s">
        <v>78</v>
      </c>
      <c r="D5" s="43" t="s">
        <v>13</v>
      </c>
      <c r="E5" s="78" t="s">
        <v>98</v>
      </c>
      <c r="F5" s="79" t="s">
        <v>100</v>
      </c>
      <c r="H5" s="4"/>
      <c r="I5" s="318"/>
      <c r="J5" s="318"/>
      <c r="K5" s="4"/>
      <c r="AI5" s="38"/>
      <c r="BH5" s="30"/>
      <c r="BI5" s="16"/>
    </row>
    <row r="6" spans="1:63" ht="24.75" customHeight="1">
      <c r="B6" s="105" t="str">
        <f>IF(AND(E6=0,F6=0,Berechnung3!A7="relevant"),B8,IF(OR(Berechnung3!A7="nicht relevant",Berechnung3!A7="EZ"),"",B9))</f>
        <v/>
      </c>
      <c r="C6" s="103">
        <f>Berechnung3!J57</f>
        <v>0</v>
      </c>
      <c r="D6" s="73">
        <f>Berechnung3!J58</f>
        <v>0</v>
      </c>
      <c r="E6" s="106">
        <f>Berechnung3!J56</f>
        <v>0</v>
      </c>
      <c r="F6" s="107">
        <f>Berechnung3!J55</f>
        <v>0</v>
      </c>
      <c r="H6" s="4"/>
      <c r="I6" s="318"/>
      <c r="J6" s="318"/>
      <c r="K6" s="4"/>
      <c r="AI6" s="38"/>
    </row>
    <row r="7" spans="1:63">
      <c r="H7" s="4"/>
      <c r="I7" s="4"/>
      <c r="J7" s="318"/>
      <c r="AJ7" s="38"/>
    </row>
    <row r="8" spans="1:63" ht="15">
      <c r="A8" s="66" t="s">
        <v>120</v>
      </c>
      <c r="B8" s="4" t="s">
        <v>135</v>
      </c>
      <c r="H8" s="4"/>
      <c r="I8" s="4"/>
      <c r="J8" s="318"/>
      <c r="AJ8" s="39"/>
    </row>
    <row r="9" spans="1:63">
      <c r="B9" s="4" t="s">
        <v>145</v>
      </c>
      <c r="H9" s="4"/>
      <c r="I9" s="4"/>
      <c r="J9" s="318"/>
      <c r="AJ9" s="39"/>
    </row>
    <row r="10" spans="1:63">
      <c r="H10" s="4"/>
      <c r="I10" s="4"/>
      <c r="J10" s="318"/>
      <c r="AJ10" s="39"/>
    </row>
    <row r="11" spans="1:63" ht="15.75">
      <c r="A11" s="27"/>
      <c r="B11" s="22" t="s">
        <v>126</v>
      </c>
      <c r="F11" s="9"/>
      <c r="G11" s="9"/>
      <c r="H11" s="9"/>
      <c r="I11" s="9"/>
      <c r="J11" s="315"/>
      <c r="AJ11" s="39"/>
    </row>
    <row r="12" spans="1:63">
      <c r="A12" s="27"/>
      <c r="F12" s="9"/>
      <c r="G12" s="9"/>
      <c r="H12" s="9"/>
      <c r="I12" s="9"/>
      <c r="J12" s="315"/>
      <c r="AJ12" s="39"/>
    </row>
    <row r="13" spans="1:63" ht="15" customHeight="1">
      <c r="A13" s="27"/>
      <c r="B13" s="1126" t="s">
        <v>115</v>
      </c>
      <c r="C13" s="1128" t="s">
        <v>128</v>
      </c>
      <c r="D13" s="1124" t="s">
        <v>61</v>
      </c>
      <c r="E13" s="1130" t="s">
        <v>407</v>
      </c>
      <c r="F13" s="9"/>
      <c r="G13" s="9"/>
      <c r="H13" s="9"/>
      <c r="I13" s="9"/>
      <c r="J13" s="315"/>
      <c r="AJ13" s="39"/>
    </row>
    <row r="14" spans="1:63" ht="15" customHeight="1">
      <c r="A14" s="38"/>
      <c r="B14" s="1127"/>
      <c r="C14" s="1129"/>
      <c r="D14" s="1125"/>
      <c r="E14" s="1130"/>
      <c r="F14" s="30"/>
      <c r="G14" s="30"/>
      <c r="H14" s="30"/>
      <c r="I14" s="141" t="s">
        <v>407</v>
      </c>
      <c r="J14" s="390" t="s">
        <v>406</v>
      </c>
      <c r="AJ14" s="39"/>
    </row>
    <row r="15" spans="1:63" ht="66.95" customHeight="1">
      <c r="A15" s="231" t="s">
        <v>125</v>
      </c>
      <c r="B15" s="41" t="str">
        <f>CONCATENATE(IF(Berechnung3!$H$2=Berechnung2!$M$33,Berechnung3!$B$2,""),IF(Berechnung3!$H$3=Berechnung2!$M$33,Berechnung3!$B$3,""),IF(Berechnung3!$H$4=Berechnung2!$M$33,Berechnung3!$B$4,""),IF(Berechnung3!$H$5=Berechnung2!$M$33,Berechnung3!$B$5,""),IF(Berechnung3!$H$6=Berechnung2!$M$33,Berechnung3!$B$6,""),IF(Berechnung3!$H$7=Berechnung2!$M$33,Berechnung3!$B$7,""),IF(Berechnung3!$H$8=Berechnung2!$M$33,Berechnung3!$B$8,""))</f>
        <v/>
      </c>
      <c r="C15" s="41">
        <f t="shared" ref="C15:C20" si="0">IF(LEN(B15)&gt;0,"X",0)</f>
        <v>0</v>
      </c>
      <c r="D15" s="335" t="str">
        <f>IF(COUNTIF(Berechnung3!$H$2:$H$8,Berechnung2!$M$33)&gt;0,CONCATENATE("  ",Berechnung2!$F$5,"                                            ",Berechnung2!$M$33),"")</f>
        <v/>
      </c>
      <c r="E15" s="335" t="str">
        <f>IF(COUNTIF(Berechnung3!$H$2:$H$8,Berechnung2!$M$33)&gt;0,"a","")</f>
        <v/>
      </c>
      <c r="G15" s="56" t="e">
        <f t="array" ref="G15">INDEX(B:B,SMALL(IF($C$15:$C$23="X",ROW($15:$23)),1))</f>
        <v>#NUM!</v>
      </c>
      <c r="H15" s="56" t="e">
        <f t="array" ref="H15">INDEX(D:D,SMALL(IF($C$15:$C$23="X",ROW($15:$23)),1))</f>
        <v>#NUM!</v>
      </c>
      <c r="I15" s="266" t="e">
        <f t="array" ref="I15">INDEX(E:E,SMALL(IF($C$15:$C$23="X",ROW($15:$23)),1))</f>
        <v>#NUM!</v>
      </c>
      <c r="J15" s="414" t="e">
        <f>IF(AND(Datendefizite_Matrix!D17="",I15&lt;&gt;""),"Anmerkung OnkoZert : Keine Erläuterung vorhanden",Datendefizite_Matrix!D17)</f>
        <v>#NUM!</v>
      </c>
      <c r="AJ15" s="39"/>
    </row>
    <row r="16" spans="1:63" ht="66.95" customHeight="1">
      <c r="A16" s="232" t="s">
        <v>147</v>
      </c>
      <c r="B16" s="41" t="str">
        <f>CONCATENATE(IF(Berechnung3!$H$9=Berechnung2!$M$34,Berechnung3!$B$2,""),IF(Berechnung3!$H$10=Berechnung2!$M$34,Berechnung3!$B$3,""),IF(Berechnung3!$H$11=Berechnung2!$M$34,Berechnung3!$B$4,""),IF(Berechnung3!$H$12=Berechnung2!$M$34,Berechnung3!$B$5,""),IF(Berechnung3!$H$13=Berechnung2!$M$34,Berechnung3!$B$6,""),IF(Berechnung3!$H$14=Berechnung2!$M$34,Berechnung3!$B$7,""),IF(Berechnung3!$H$15=Berechnung2!$M$34,Berechnung3!$B$8,""))</f>
        <v/>
      </c>
      <c r="C16" s="41">
        <f t="shared" si="0"/>
        <v>0</v>
      </c>
      <c r="D16" s="335" t="str">
        <f>IF(COUNTIF(Berechnung3!$H$9:$H$15,Berechnung2!$M$34)&gt;0,CONCATENATE("",Berechnung2!$C$5,"                                                                ",Berechnung2!$M$34),"")</f>
        <v/>
      </c>
      <c r="E16" s="335" t="str">
        <f>IF(COUNTIF(Berechnung3!$H$9:$H$15,Berechnung2!$M$34)&gt;0,"b","")</f>
        <v/>
      </c>
      <c r="G16" s="56" t="e">
        <f t="array" ref="G16">INDEX(B:B,SMALL(IF($C$15:$C$23="X",ROW($15:$23)),2))</f>
        <v>#NUM!</v>
      </c>
      <c r="H16" s="56" t="e">
        <f t="array" ref="H16">INDEX(D:D,SMALL(IF($C$15:$C$23="X",ROW($15:$23)),2))</f>
        <v>#NUM!</v>
      </c>
      <c r="I16" s="266" t="e">
        <f t="array" ref="I16">INDEX(E:E,SMALL(IF($C$15:$C$23="X",ROW($15:$23)),2))</f>
        <v>#NUM!</v>
      </c>
      <c r="J16" s="414" t="e">
        <f>IF(AND(Datendefizite_Matrix!D18="",I16&lt;&gt;""),"Anmerkung OnkoZert : Keine Erläuterung vorhanden",Datendefizite_Matrix!D18)</f>
        <v>#NUM!</v>
      </c>
      <c r="AJ16" s="37"/>
      <c r="BK16" s="36"/>
    </row>
    <row r="17" spans="1:63" ht="66.95" customHeight="1">
      <c r="A17" s="233" t="s">
        <v>339</v>
      </c>
      <c r="B17" s="41" t="str">
        <f>CONCATENATE(IF(Berechnung3!$H$16=Berechnung2!$M$38,Berechnung3!$B$2,""),IF(Berechnung3!$H$17=Berechnung2!$M$38,Berechnung3!$B$3,""),IF(Berechnung3!$H$18=Berechnung2!$M$38,Berechnung3!$B$4,""),IF(Berechnung3!$H$19=Berechnung2!$M$38,Berechnung3!$B$5,""),IF(Berechnung3!$H$20=Berechnung2!$M$38,Berechnung3!$B$6,""),IF(Berechnung3!$H$21=Berechnung2!$M$38,Berechnung3!$B$7,""),IF(Berechnung3!$H$22=Berechnung2!$M$38,Berechnung3!$B$8,""))</f>
        <v/>
      </c>
      <c r="C17" s="41">
        <f t="shared" si="0"/>
        <v>0</v>
      </c>
      <c r="D17" s="335" t="str">
        <f>IF(COUNTIF(Berechnung3!$H$16:$H$22,Berechnung2!$M$38)&gt;0,CONCATENATE("  ",Berechnung2!$E$5,"- ",Berechnung2!$M$38),"")</f>
        <v/>
      </c>
      <c r="E17" s="335" t="str">
        <f>IF(COUNTIF(Berechnung3!$H$16:$H$22,Berechnung2!$M$38)&gt;0,"c","")</f>
        <v/>
      </c>
      <c r="G17" s="56" t="e">
        <f t="array" ref="G17">INDEX(B:B,SMALL(IF($C$15:$C$23="X",ROW($15:$23)),3))</f>
        <v>#NUM!</v>
      </c>
      <c r="H17" s="56" t="e">
        <f t="array" ref="H17">INDEX(D:D,SMALL(IF($C$15:$C$23="X",ROW($15:$23)),3))</f>
        <v>#NUM!</v>
      </c>
      <c r="I17" s="266" t="e">
        <f t="array" ref="I17">INDEX(E:E,SMALL(IF($C$15:$C$23="X",ROW($15:$23)),3))</f>
        <v>#NUM!</v>
      </c>
      <c r="J17" s="414" t="e">
        <f>IF(AND(Datendefizite_Matrix!D19="",I17&lt;&gt;""),"Anmerkung OnkoZert : Keine Erläuterung vorhanden",Datendefizite_Matrix!D19)</f>
        <v>#NUM!</v>
      </c>
      <c r="AJ17" s="37"/>
      <c r="BK17" s="36"/>
    </row>
    <row r="18" spans="1:63" ht="66.95" customHeight="1">
      <c r="A18" s="234" t="s">
        <v>340</v>
      </c>
      <c r="B18" s="41" t="str">
        <f>CONCATENATE(IF(Berechnung3!$H$23=Berechnung2!$M$39,Berechnung3!$B$2,""),IF(Berechnung3!$H$24=Berechnung2!$M$39,Berechnung3!$B$3,""),IF(Berechnung3!$H$25=Berechnung2!$M$39,Berechnung3!$B$4,""),IF(Berechnung3!$H$26=Berechnung2!$M$39,Berechnung3!$B$5,""),IF(Berechnung3!$H$27=Berechnung2!$M$39,Berechnung3!$B$6,""),IF(Berechnung3!$H$28=Berechnung2!$M$39,Berechnung3!$B$7,""),IF(Berechnung3!$H$29=Berechnung2!$M$39,Berechnung3!$B$8,""))</f>
        <v/>
      </c>
      <c r="C18" s="41">
        <f t="shared" si="0"/>
        <v>0</v>
      </c>
      <c r="D18" s="335" t="str">
        <f>IF(COUNTIF(Berechnung3!$H$23:$H$29,Berechnung2!$M$39)&gt;0,CONCATENATE(" ",Berechnung2!$E$5,"- ",Berechnung2!$M$39),"")</f>
        <v/>
      </c>
      <c r="E18" s="335" t="str">
        <f>IF(COUNTIF(Berechnung3!$H$23:$H$29,Berechnung2!$M$39)&gt;0,"d","")</f>
        <v/>
      </c>
      <c r="G18" s="56" t="e">
        <f t="array" ref="G18">INDEX(B:B,SMALL(IF($C$15:$C$23="X",ROW($15:$23)),4))</f>
        <v>#NUM!</v>
      </c>
      <c r="H18" s="56" t="e">
        <f t="array" ref="H18">INDEX(D:D,SMALL(IF($C$15:$C$23="X",ROW($15:$23)),4))</f>
        <v>#NUM!</v>
      </c>
      <c r="I18" s="266" t="e">
        <f t="array" ref="I18">INDEX(E:E,SMALL(IF($C$15:$C$23="X",ROW($15:$23)),4))</f>
        <v>#NUM!</v>
      </c>
      <c r="J18" s="414" t="e">
        <f>IF(AND(Datendefizite_Matrix!D20="",I18&lt;&gt;""),"Anmerkung OnkoZert : Keine Erläuterung vorhanden",Datendefizite_Matrix!D20)</f>
        <v>#NUM!</v>
      </c>
      <c r="AJ18" s="37"/>
      <c r="BK18" s="36"/>
    </row>
    <row r="19" spans="1:63" ht="66.95" customHeight="1">
      <c r="A19" s="234" t="s">
        <v>341</v>
      </c>
      <c r="B19" s="41" t="str">
        <f>CONCATENATE(IF(Berechnung3!$H$30=Berechnung2!$M$40,Berechnung3!$B$2,""),IF(Berechnung3!$H$31=Berechnung2!$M$40,Berechnung3!$B$3,""),IF(Berechnung3!$H$32=Berechnung2!$M$40,Berechnung3!$B$4,""),IF(Berechnung3!$H$33=Berechnung2!$M$40,Berechnung3!$B$5,""),IF(Berechnung3!$H$34=Berechnung2!$M$40,Berechnung3!$B$6,""),IF(Berechnung3!$H$35=Berechnung2!$M$40,Berechnung3!$B$7,""),IF(Berechnung3!$H$36=Berechnung2!$M$40,Berechnung3!$B$8,""))</f>
        <v/>
      </c>
      <c r="C19" s="41">
        <f t="shared" si="0"/>
        <v>0</v>
      </c>
      <c r="D19" s="335" t="str">
        <f>IF(COUNTIF(Berechnung3!$H$30:$H$36,Berechnung2!$M$40)&gt;0,CONCATENATE("",Berechnung2!$E$5,"- ",Berechnung2!$M$40),"")</f>
        <v/>
      </c>
      <c r="E19" s="335" t="str">
        <f>IF(COUNTIF(Berechnung3!$H$30:$H$36,Berechnung2!$M$40)&gt;0,"e","")</f>
        <v/>
      </c>
      <c r="G19" s="56" t="e">
        <f t="array" ref="G19">INDEX(B:B,SMALL(IF($C$15:$C$23="X",ROW($15:$23)),5))</f>
        <v>#NUM!</v>
      </c>
      <c r="H19" s="56" t="e">
        <f t="array" ref="H19">INDEX(D:D,SMALL(IF($C$15:$C$23="X",ROW($15:$23)),5))</f>
        <v>#NUM!</v>
      </c>
      <c r="I19" s="266" t="e">
        <f t="array" ref="I19">INDEX(E:E,SMALL(IF($C$15:$C$23="X",ROW($15:$23)),5))</f>
        <v>#NUM!</v>
      </c>
      <c r="J19" s="414" t="e">
        <f>IF(AND(Datendefizite_Matrix!D21="",I19&lt;&gt;""),"Anmerkung OnkoZert : Keine Erläuterung vorhanden",Datendefizite_Matrix!D21)</f>
        <v>#NUM!</v>
      </c>
      <c r="AJ19" s="37"/>
      <c r="BK19" s="36"/>
    </row>
    <row r="20" spans="1:63" ht="66.95" customHeight="1">
      <c r="A20" s="234" t="s">
        <v>342</v>
      </c>
      <c r="B20" s="41" t="str">
        <f>CONCATENATE(IF(Berechnung3!$H$37=Berechnung2!$M$41,Berechnung3!$B$2,""),IF(Berechnung3!$H$38=Berechnung2!$M$41,Berechnung3!$B$3,""),IF(Berechnung3!$H$39=Berechnung2!$M$41,Berechnung3!$B$4,""),IF(Berechnung3!$H$40=Berechnung2!$M$41,Berechnung3!$B$5,""),IF(Berechnung3!$H$41=Berechnung2!$M$41,Berechnung3!$B$6,""),IF(Berechnung3!$H$42=Berechnung2!$M$41,Berechnung3!$B$7,""),IF(Berechnung3!$H$43=Berechnung2!$M$41,Berechnung3!$B$7,""))</f>
        <v/>
      </c>
      <c r="C20" s="41">
        <f t="shared" si="0"/>
        <v>0</v>
      </c>
      <c r="D20" s="335" t="str">
        <f>IF(COUNTIF(Berechnung3!$H$37:$H$43,Berechnung2!$M$41)&gt;0,CONCATENATE("",Berechnung2!$E$5,"- ",Berechnung2!$M$41),"")</f>
        <v/>
      </c>
      <c r="E20" s="335" t="str">
        <f>IF(COUNTIF(Berechnung3!$H$37:$H$43,Berechnung2!$M$41)&gt;0,"f","")</f>
        <v/>
      </c>
      <c r="G20" s="56" t="e">
        <f t="array" ref="G20">INDEX(B:B,SMALL(IF($C$15:$C$23="X",ROW($15:$23)),6))</f>
        <v>#NUM!</v>
      </c>
      <c r="H20" s="56" t="e">
        <f t="array" ref="H20">INDEX(D:D,SMALL(IF($C$15:$C$23="X",ROW($15:$23)),6))</f>
        <v>#NUM!</v>
      </c>
      <c r="I20" s="266" t="e">
        <f t="array" ref="I20">INDEX(E:E,SMALL(IF($C$15:$C$23="X",ROW($15:$23)),6))</f>
        <v>#NUM!</v>
      </c>
      <c r="J20" s="414" t="e">
        <f>IF(AND(Datendefizite_Matrix!D22="",I20&lt;&gt;""),"Anmerkung OnkoZert : Keine Erläuterung vorhanden",Datendefizite_Matrix!D22)</f>
        <v>#NUM!</v>
      </c>
      <c r="AJ20" s="37"/>
      <c r="BK20" s="36"/>
    </row>
    <row r="21" spans="1:63" ht="66.95" customHeight="1">
      <c r="A21" s="231" t="s">
        <v>8</v>
      </c>
      <c r="B21" s="42" t="str">
        <f>Berechnung3!E44</f>
        <v/>
      </c>
      <c r="C21" s="41">
        <f>IF(LEN(D21)&gt;0,"X",0)</f>
        <v>0</v>
      </c>
      <c r="D21" s="335" t="str">
        <f t="array" ref="D21">IF(COUNTIF(Berechnung3!$H$44,Berechnung2!$M$36)&gt;0,CONCATENATE("",Berechnung1!$E$5,"                         ",Berechnung2!$M$36),"")</f>
        <v/>
      </c>
      <c r="E21" s="335" t="str">
        <f>IF(COUNTIF(Berechnung3!$H$44,Berechnung2!$M$36)&gt;0,"g","")</f>
        <v/>
      </c>
      <c r="G21" s="56" t="e">
        <f t="array" ref="G21">INDEX(B:B,SMALL(IF($C$15:$C$23="X",ROW($15:$23)),7))</f>
        <v>#NUM!</v>
      </c>
      <c r="H21" s="56" t="e">
        <f t="array" ref="H21">INDEX(D:D,SMALL(IF($C$15:$C$23="X",ROW($15:$23)),7))</f>
        <v>#NUM!</v>
      </c>
      <c r="I21" s="266" t="e">
        <f t="array" ref="I21">INDEX(E:E,SMALL(IF($C$15:$C$23="X",ROW($15:$23)),7))</f>
        <v>#NUM!</v>
      </c>
      <c r="J21" s="414" t="e">
        <f>IF(AND(Datendefizite_Matrix!D23="",I21&lt;&gt;""),"Anmerkung OnkoZert : Keine Erläuterung vorhanden",Datendefizite_Matrix!D23)</f>
        <v>#NUM!</v>
      </c>
      <c r="AJ21" s="39"/>
    </row>
    <row r="22" spans="1:63" ht="66.95" customHeight="1">
      <c r="A22" s="231"/>
      <c r="B22" s="42" t="str">
        <f>Berechnung3!E45</f>
        <v/>
      </c>
      <c r="C22" s="41">
        <f>IF(LEN(D22)&gt;0,"X",0)</f>
        <v>0</v>
      </c>
      <c r="D22" s="335" t="str">
        <f t="array" ref="D22">IF(COUNTIF(Berechnung3!$H$45,Berechnung2!$M$37),CONCATENATE(" ",Berechnung2!$C$5,"                                  ",Berechnung2!$M$37),"")</f>
        <v/>
      </c>
      <c r="E22" s="335" t="str">
        <f>IF(COUNTIF(Berechnung3!$H$45,Berechnung2!$M$37),"h","")</f>
        <v/>
      </c>
      <c r="G22" s="56" t="e">
        <f t="array" ref="G22">INDEX(B:B,SMALL(IF($C$15:$C$23="X",ROW($15:$23)),8))</f>
        <v>#NUM!</v>
      </c>
      <c r="H22" s="235" t="e">
        <f t="array" ref="H22">INDEX(D:D,SMALL(IF($C$15:$C$23="X",ROW($15:$23)),8))</f>
        <v>#NUM!</v>
      </c>
      <c r="I22" s="266" t="e">
        <f t="array" ref="I22">INDEX(E:E,SMALL(IF($C$15:$C$23="X",ROW($15:$23)),8))</f>
        <v>#NUM!</v>
      </c>
      <c r="J22" s="414" t="e">
        <f>IF(AND(Datendefizite_Matrix!D24="",I22&lt;&gt;""),"Anmerkung OnkoZert : Keine Erläuterung vorhanden",Datendefizite_Matrix!D24)</f>
        <v>#NUM!</v>
      </c>
      <c r="AJ22" s="39"/>
    </row>
    <row r="23" spans="1:63" ht="66.95" customHeight="1">
      <c r="A23" s="231" t="s">
        <v>148</v>
      </c>
      <c r="B23" s="41" t="str">
        <f>CONCATENATE(IF(Berechnung3!$H$46=Berechnung2!M35,Berechnung3!$B$2,""),IF(Berechnung3!$H$47=Berechnung2!M35,Berechnung3!$B$3,""),IF(Berechnung3!$H$48=Berechnung2!M35,Berechnung3!$B$4,""),IF(Berechnung3!$H$49=Berechnung2!M35,Berechnung3!$B$5,""),IF(Berechnung3!$H$50=Berechnung2!M35,Berechnung3!$B$6,""),IF(Berechnung3!$H$51=Berechnung2!M35,Berechnung3!$B$7,""),IF(Berechnung3!$H$52=Berechnung2!M35,Berechnung3!$B$8,""))</f>
        <v/>
      </c>
      <c r="C23" s="41">
        <f>IF(LEN(B23)&gt;0,"X",0)</f>
        <v>0</v>
      </c>
      <c r="D23" s="335" t="str">
        <f>IF(COUNTIF(Berechnung3!H46:H52,Berechnung2!$M$35)&gt;0,CONCATENATE(" ",Berechnung1!$D$4,"                                              ",Berechnung2!$M$35),"")</f>
        <v/>
      </c>
      <c r="E23" s="335" t="str">
        <f>IF(COUNTIF(Berechnung3!H46:H52,Berechnung2!$M$35)&gt;0,"i","")</f>
        <v/>
      </c>
      <c r="G23" s="56" t="e">
        <f t="array" ref="G23">INDEX(B:B,SMALL(IF($C$15:$C$23="X",ROW($15:$23)),9))</f>
        <v>#NUM!</v>
      </c>
      <c r="H23" s="235" t="e">
        <f t="array" ref="H23">INDEX(D:D,SMALL(IF($C$15:$C$23="X",ROW($15:$23)),9))</f>
        <v>#NUM!</v>
      </c>
      <c r="I23" s="266" t="e">
        <f t="array" ref="I23">INDEX(E:E,SMALL(IF($C$15:$C$23="X",ROW($15:$23)),9))</f>
        <v>#NUM!</v>
      </c>
      <c r="J23" s="414" t="e">
        <f>IF(AND(Datendefizite_Matrix!D25="",I23&lt;&gt;""),"Anmerkung OnkoZert : Keine Erläuterung vorhanden",Datendefizite_Matrix!D25)</f>
        <v>#NUM!</v>
      </c>
      <c r="AJ23" s="39"/>
      <c r="BK23" s="40"/>
    </row>
    <row r="26" spans="1:63">
      <c r="A26" s="83" t="str">
        <f>Basisdaten!O14</f>
        <v/>
      </c>
      <c r="B26" s="84">
        <f>IF(A26&gt;A27,0,DATEDIF(A26,A27,"y"))</f>
        <v>0</v>
      </c>
      <c r="C26" s="85"/>
    </row>
    <row r="27" spans="1:63">
      <c r="A27" s="653">
        <v>44926</v>
      </c>
      <c r="B27" s="84"/>
    </row>
    <row r="29" spans="1:63" ht="21">
      <c r="A29" s="76"/>
    </row>
    <row r="31" spans="1:63" s="1" customFormat="1" ht="21">
      <c r="A31" s="76" t="s">
        <v>114</v>
      </c>
      <c r="B31" s="109" t="s">
        <v>122</v>
      </c>
      <c r="C31" s="110"/>
      <c r="D31" s="110"/>
      <c r="E31" s="110"/>
      <c r="F31" s="111"/>
      <c r="G31" s="112" t="s">
        <v>119</v>
      </c>
      <c r="H31" s="113"/>
      <c r="I31" s="113"/>
      <c r="J31" s="319"/>
      <c r="K31" s="320"/>
      <c r="L31" s="111"/>
      <c r="M31" s="114" t="s">
        <v>156</v>
      </c>
      <c r="N31" s="110"/>
      <c r="O31" s="110"/>
      <c r="P31" s="110"/>
      <c r="Q31" s="140" t="s">
        <v>157</v>
      </c>
    </row>
    <row r="32" spans="1:63" s="1" customFormat="1" ht="15">
      <c r="A32" s="48"/>
      <c r="B32" s="109"/>
      <c r="C32" s="110"/>
      <c r="D32" s="110"/>
      <c r="E32" s="110"/>
      <c r="F32" s="111"/>
      <c r="G32" s="112"/>
      <c r="H32" s="116"/>
      <c r="I32" s="116"/>
      <c r="J32" s="319"/>
      <c r="K32" s="320"/>
      <c r="L32" s="111"/>
      <c r="M32" s="115"/>
      <c r="N32" s="110"/>
      <c r="O32" s="110"/>
      <c r="P32" s="110"/>
      <c r="Q32" s="141" t="s">
        <v>158</v>
      </c>
    </row>
    <row r="33" spans="1:23" s="1" customFormat="1" ht="15">
      <c r="A33" s="48"/>
      <c r="B33" s="117"/>
      <c r="C33" s="108"/>
      <c r="D33" s="118" t="s">
        <v>125</v>
      </c>
      <c r="E33" s="333"/>
      <c r="F33" s="120"/>
      <c r="G33" s="131"/>
      <c r="H33" s="128"/>
      <c r="I33" s="128"/>
      <c r="J33" s="321"/>
      <c r="K33" s="322"/>
      <c r="L33" s="120"/>
      <c r="M33" s="307" t="s">
        <v>388</v>
      </c>
      <c r="N33" s="108"/>
      <c r="O33" s="108"/>
      <c r="P33" s="108"/>
      <c r="Q33" s="119"/>
    </row>
    <row r="34" spans="1:23" s="2" customFormat="1" ht="15">
      <c r="A34" s="125"/>
      <c r="B34" s="117" t="s">
        <v>116</v>
      </c>
      <c r="C34" s="121"/>
      <c r="D34" s="122" t="s">
        <v>123</v>
      </c>
      <c r="E34" s="334"/>
      <c r="F34" s="126" t="s">
        <v>111</v>
      </c>
      <c r="G34" s="134"/>
      <c r="H34" s="133">
        <v>5</v>
      </c>
      <c r="I34" s="132"/>
      <c r="J34" s="323"/>
      <c r="K34" s="324"/>
      <c r="L34" s="126"/>
      <c r="M34" s="127" t="s">
        <v>159</v>
      </c>
      <c r="N34" s="121"/>
      <c r="O34" s="121"/>
      <c r="P34" s="121"/>
      <c r="Q34" s="122"/>
    </row>
    <row r="35" spans="1:23" s="2" customFormat="1" ht="15">
      <c r="A35" s="125"/>
      <c r="B35" s="117" t="s">
        <v>365</v>
      </c>
      <c r="C35" s="121"/>
      <c r="D35" s="122" t="s">
        <v>123</v>
      </c>
      <c r="E35" s="334"/>
      <c r="F35" s="126" t="s">
        <v>111</v>
      </c>
      <c r="G35" s="514">
        <v>0</v>
      </c>
      <c r="H35" s="129">
        <v>0</v>
      </c>
      <c r="I35" s="135"/>
      <c r="J35" s="324">
        <v>0.49998999999999999</v>
      </c>
      <c r="K35" s="324">
        <v>0.49998999999999999</v>
      </c>
      <c r="L35" s="126"/>
      <c r="M35" s="121" t="s">
        <v>360</v>
      </c>
      <c r="N35" s="121"/>
      <c r="O35" s="121"/>
      <c r="P35" s="121"/>
      <c r="Q35" s="122"/>
    </row>
    <row r="36" spans="1:23" s="1" customFormat="1" ht="15">
      <c r="A36" s="48"/>
      <c r="B36" s="564" t="s">
        <v>773</v>
      </c>
      <c r="C36" s="108"/>
      <c r="D36" s="122" t="s">
        <v>124</v>
      </c>
      <c r="E36" s="334"/>
      <c r="F36" s="120" t="s">
        <v>111</v>
      </c>
      <c r="G36" s="515">
        <v>0</v>
      </c>
      <c r="H36" s="129">
        <v>0</v>
      </c>
      <c r="I36" s="131"/>
      <c r="J36" s="322">
        <v>0.59999000000000002</v>
      </c>
      <c r="K36" s="325">
        <v>0.59999000000000002</v>
      </c>
      <c r="L36" s="120"/>
      <c r="M36" s="108" t="s">
        <v>366</v>
      </c>
      <c r="N36" s="108"/>
      <c r="O36" s="108"/>
      <c r="P36" s="108"/>
      <c r="Q36" s="119"/>
    </row>
    <row r="37" spans="1:23" s="1" customFormat="1" ht="15">
      <c r="A37" s="48"/>
      <c r="B37" s="565" t="s">
        <v>774</v>
      </c>
      <c r="C37" s="108"/>
      <c r="D37" s="122" t="s">
        <v>123</v>
      </c>
      <c r="E37" s="334"/>
      <c r="F37" s="126" t="s">
        <v>110</v>
      </c>
      <c r="G37" s="128"/>
      <c r="H37" s="129">
        <v>0</v>
      </c>
      <c r="I37" s="513">
        <v>0.95001000000000002</v>
      </c>
      <c r="J37" s="322">
        <v>1</v>
      </c>
      <c r="K37" s="324">
        <v>0.95001000000000002</v>
      </c>
      <c r="L37" s="120"/>
      <c r="M37" s="108" t="s">
        <v>367</v>
      </c>
      <c r="N37" s="108"/>
      <c r="O37" s="108"/>
      <c r="P37" s="108"/>
      <c r="Q37" s="119"/>
    </row>
    <row r="38" spans="1:23" s="1" customFormat="1" ht="15">
      <c r="A38" s="48"/>
      <c r="B38" s="117" t="s">
        <v>339</v>
      </c>
      <c r="C38" s="108"/>
      <c r="D38" s="122" t="s">
        <v>337</v>
      </c>
      <c r="E38" s="334"/>
      <c r="F38" s="126"/>
      <c r="G38" s="128"/>
      <c r="H38" s="136"/>
      <c r="I38" s="128"/>
      <c r="J38" s="326"/>
      <c r="K38" s="327"/>
      <c r="L38" s="120"/>
      <c r="M38" s="538" t="s">
        <v>475</v>
      </c>
      <c r="N38" s="539"/>
      <c r="O38" s="539"/>
      <c r="P38" s="108"/>
      <c r="Q38" s="119"/>
    </row>
    <row r="39" spans="1:23" s="1" customFormat="1" ht="15">
      <c r="A39" s="48"/>
      <c r="B39" s="123" t="s">
        <v>340</v>
      </c>
      <c r="C39" s="108"/>
      <c r="D39" s="122" t="s">
        <v>337</v>
      </c>
      <c r="E39" s="334"/>
      <c r="F39" s="120"/>
      <c r="G39" s="128"/>
      <c r="H39" s="128"/>
      <c r="I39" s="128"/>
      <c r="J39" s="321"/>
      <c r="K39" s="322"/>
      <c r="L39" s="120"/>
      <c r="M39" s="540" t="s">
        <v>476</v>
      </c>
      <c r="N39" s="541"/>
      <c r="O39" s="541"/>
      <c r="P39" s="191"/>
      <c r="Q39" s="230"/>
    </row>
    <row r="40" spans="1:23" s="1" customFormat="1" ht="15">
      <c r="A40" s="48"/>
      <c r="B40" s="123" t="s">
        <v>341</v>
      </c>
      <c r="C40" s="108"/>
      <c r="D40" s="122" t="s">
        <v>337</v>
      </c>
      <c r="E40" s="334"/>
      <c r="F40" s="120"/>
      <c r="G40" s="128"/>
      <c r="H40" s="128"/>
      <c r="I40" s="128"/>
      <c r="J40" s="321"/>
      <c r="K40" s="322"/>
      <c r="L40" s="120"/>
      <c r="M40" s="540" t="s">
        <v>477</v>
      </c>
      <c r="N40" s="541"/>
      <c r="O40" s="541"/>
      <c r="P40" s="191"/>
      <c r="Q40" s="230"/>
    </row>
    <row r="41" spans="1:23" s="1" customFormat="1" ht="15">
      <c r="A41" s="48"/>
      <c r="B41" s="123" t="s">
        <v>342</v>
      </c>
      <c r="C41" s="108"/>
      <c r="D41" s="122" t="s">
        <v>337</v>
      </c>
      <c r="E41" s="334"/>
      <c r="F41" s="120"/>
      <c r="G41" s="128"/>
      <c r="H41" s="128"/>
      <c r="I41" s="128"/>
      <c r="J41" s="321"/>
      <c r="K41" s="322"/>
      <c r="L41" s="120"/>
      <c r="M41" s="540" t="s">
        <v>478</v>
      </c>
      <c r="N41" s="541"/>
      <c r="O41" s="541"/>
      <c r="P41" s="541"/>
      <c r="Q41" s="230"/>
    </row>
    <row r="42" spans="1:23" s="1" customFormat="1" ht="15">
      <c r="A42" s="48"/>
      <c r="B42" s="115"/>
      <c r="C42" s="115"/>
      <c r="D42" s="115"/>
      <c r="E42" s="115"/>
      <c r="F42" s="115"/>
      <c r="G42" s="115"/>
      <c r="H42" s="115"/>
      <c r="I42" s="115"/>
      <c r="J42" s="328"/>
      <c r="K42" s="328"/>
      <c r="L42" s="115"/>
      <c r="M42" s="115"/>
      <c r="N42" s="115"/>
      <c r="O42" s="115"/>
      <c r="P42" s="115"/>
      <c r="Q42" s="119"/>
    </row>
    <row r="43" spans="1:23" s="1" customFormat="1" ht="15">
      <c r="A43" s="48"/>
      <c r="B43" s="219" t="s">
        <v>104</v>
      </c>
      <c r="C43" s="220"/>
      <c r="D43" s="221"/>
      <c r="E43" s="221"/>
      <c r="F43" s="222" t="s">
        <v>121</v>
      </c>
      <c r="G43" s="222" t="s">
        <v>117</v>
      </c>
      <c r="H43" s="222"/>
      <c r="I43" s="222"/>
      <c r="J43" s="329"/>
      <c r="K43" s="329" t="s">
        <v>118</v>
      </c>
      <c r="L43" s="223"/>
      <c r="M43" s="224" t="s">
        <v>355</v>
      </c>
      <c r="N43" s="224"/>
      <c r="O43" s="224" t="s">
        <v>355</v>
      </c>
      <c r="P43" s="224"/>
      <c r="Q43" s="225"/>
    </row>
    <row r="44" spans="1:23" s="1" customFormat="1" ht="15">
      <c r="A44" s="48"/>
      <c r="B44" s="219"/>
      <c r="C44" s="226">
        <v>1E-3</v>
      </c>
      <c r="D44" s="219"/>
      <c r="E44" s="219"/>
      <c r="F44" s="227">
        <v>0</v>
      </c>
      <c r="G44" s="228">
        <f t="shared" ref="G44:G51" si="1">H44-$C$44</f>
        <v>0.59899999999999998</v>
      </c>
      <c r="H44" s="229">
        <v>0.6</v>
      </c>
      <c r="I44" s="228"/>
      <c r="J44" s="330">
        <f t="shared" ref="J44:J51" si="2">K44-$C$44</f>
        <v>0.98899999999999999</v>
      </c>
      <c r="K44" s="589">
        <v>0.99</v>
      </c>
      <c r="L44" s="223"/>
      <c r="M44" s="224" t="s">
        <v>355</v>
      </c>
      <c r="N44" s="224"/>
      <c r="O44" s="224" t="s">
        <v>355</v>
      </c>
      <c r="P44" s="224"/>
      <c r="Q44" s="225"/>
    </row>
    <row r="45" spans="1:23" s="1" customFormat="1" ht="15">
      <c r="A45" s="48"/>
      <c r="B45" s="219"/>
      <c r="C45" s="226">
        <v>1E-3</v>
      </c>
      <c r="D45" s="219"/>
      <c r="E45" s="219"/>
      <c r="F45" s="227">
        <v>0</v>
      </c>
      <c r="G45" s="228">
        <f t="shared" si="1"/>
        <v>0.59899999999999998</v>
      </c>
      <c r="H45" s="229">
        <v>0.6</v>
      </c>
      <c r="I45" s="228"/>
      <c r="J45" s="330">
        <f t="shared" si="2"/>
        <v>0.98899999999999999</v>
      </c>
      <c r="K45" s="589">
        <v>0.99</v>
      </c>
      <c r="L45" s="223"/>
      <c r="M45" s="224" t="s">
        <v>355</v>
      </c>
      <c r="N45" s="224"/>
      <c r="O45" s="224" t="s">
        <v>355</v>
      </c>
      <c r="P45" s="224"/>
      <c r="Q45" s="225"/>
      <c r="R45" s="115"/>
      <c r="S45" s="48"/>
      <c r="T45" s="48"/>
      <c r="U45" s="48"/>
      <c r="V45" s="48"/>
      <c r="W45" s="48"/>
    </row>
    <row r="46" spans="1:23" s="1" customFormat="1" ht="15">
      <c r="A46" s="48"/>
      <c r="B46" s="219"/>
      <c r="C46" s="226">
        <v>1E-3</v>
      </c>
      <c r="D46" s="219"/>
      <c r="E46" s="219"/>
      <c r="F46" s="227">
        <v>0</v>
      </c>
      <c r="G46" s="228">
        <f t="shared" si="1"/>
        <v>0.59899999999999998</v>
      </c>
      <c r="H46" s="229">
        <v>0.6</v>
      </c>
      <c r="I46" s="228"/>
      <c r="J46" s="330">
        <f t="shared" si="2"/>
        <v>0.98899999999999999</v>
      </c>
      <c r="K46" s="589">
        <v>0.99</v>
      </c>
      <c r="L46" s="223"/>
      <c r="M46" s="224" t="s">
        <v>355</v>
      </c>
      <c r="N46" s="224"/>
      <c r="O46" s="224" t="s">
        <v>355</v>
      </c>
      <c r="P46" s="224"/>
      <c r="Q46" s="225"/>
      <c r="R46" s="115"/>
      <c r="S46" s="48"/>
      <c r="T46" s="48"/>
      <c r="U46" s="48"/>
      <c r="V46" s="48"/>
      <c r="W46" s="48"/>
    </row>
    <row r="47" spans="1:23" s="1" customFormat="1" ht="15">
      <c r="A47" s="48"/>
      <c r="B47" s="219"/>
      <c r="C47" s="226">
        <v>1E-3</v>
      </c>
      <c r="D47" s="219"/>
      <c r="E47" s="219"/>
      <c r="F47" s="227">
        <v>0</v>
      </c>
      <c r="G47" s="228">
        <f t="shared" si="1"/>
        <v>0.59899999999999998</v>
      </c>
      <c r="H47" s="229">
        <v>0.6</v>
      </c>
      <c r="I47" s="228"/>
      <c r="J47" s="330">
        <f t="shared" si="2"/>
        <v>0.98899999999999999</v>
      </c>
      <c r="K47" s="589">
        <v>0.99</v>
      </c>
      <c r="L47" s="223"/>
      <c r="M47" s="224" t="s">
        <v>355</v>
      </c>
      <c r="N47" s="224"/>
      <c r="O47" s="224" t="s">
        <v>355</v>
      </c>
      <c r="P47" s="224"/>
      <c r="Q47" s="225"/>
      <c r="R47" s="115"/>
      <c r="S47" s="48"/>
      <c r="T47" s="48"/>
      <c r="U47" s="48"/>
      <c r="V47" s="48"/>
      <c r="W47" s="48"/>
    </row>
    <row r="48" spans="1:23" s="1" customFormat="1" ht="15">
      <c r="A48" s="48"/>
      <c r="B48" s="219"/>
      <c r="C48" s="226">
        <v>1E-3</v>
      </c>
      <c r="D48" s="219"/>
      <c r="E48" s="219"/>
      <c r="F48" s="227">
        <v>0</v>
      </c>
      <c r="G48" s="228">
        <f t="shared" si="1"/>
        <v>0.59899999999999998</v>
      </c>
      <c r="H48" s="229">
        <v>0.6</v>
      </c>
      <c r="I48" s="228"/>
      <c r="J48" s="330">
        <f t="shared" si="2"/>
        <v>0.98899999999999999</v>
      </c>
      <c r="K48" s="589">
        <v>0.99</v>
      </c>
      <c r="L48" s="223"/>
      <c r="M48" s="224" t="s">
        <v>355</v>
      </c>
      <c r="N48" s="224"/>
      <c r="O48" s="224" t="s">
        <v>355</v>
      </c>
      <c r="P48" s="224"/>
      <c r="Q48" s="225"/>
      <c r="R48" s="115"/>
      <c r="S48" s="48"/>
      <c r="T48" s="48"/>
      <c r="U48" s="48"/>
      <c r="V48" s="48"/>
      <c r="W48" s="48"/>
    </row>
    <row r="49" spans="1:23" s="1" customFormat="1" ht="15">
      <c r="A49" s="48"/>
      <c r="B49" s="219"/>
      <c r="C49" s="226">
        <v>1E-3</v>
      </c>
      <c r="D49" s="219"/>
      <c r="E49" s="219"/>
      <c r="F49" s="227">
        <v>0</v>
      </c>
      <c r="G49" s="228">
        <f t="shared" si="1"/>
        <v>0.59899999999999998</v>
      </c>
      <c r="H49" s="229">
        <v>0.6</v>
      </c>
      <c r="I49" s="228"/>
      <c r="J49" s="330">
        <f t="shared" si="2"/>
        <v>0.98899999999999999</v>
      </c>
      <c r="K49" s="589">
        <v>0.99</v>
      </c>
      <c r="L49" s="223"/>
      <c r="M49" s="224" t="s">
        <v>355</v>
      </c>
      <c r="N49" s="224"/>
      <c r="O49" s="224" t="s">
        <v>355</v>
      </c>
      <c r="P49" s="224"/>
      <c r="Q49" s="225"/>
      <c r="R49" s="115"/>
      <c r="S49" s="48"/>
      <c r="T49" s="48"/>
      <c r="U49" s="48"/>
      <c r="V49" s="48"/>
      <c r="W49" s="48"/>
    </row>
    <row r="50" spans="1:23" s="1" customFormat="1" ht="15">
      <c r="A50" s="48"/>
      <c r="B50" s="219"/>
      <c r="C50" s="226">
        <v>1E-3</v>
      </c>
      <c r="D50" s="219"/>
      <c r="E50" s="219"/>
      <c r="F50" s="227">
        <v>0</v>
      </c>
      <c r="G50" s="228">
        <f t="shared" si="1"/>
        <v>0.59899999999999998</v>
      </c>
      <c r="H50" s="229">
        <v>0.6</v>
      </c>
      <c r="I50" s="228"/>
      <c r="J50" s="330">
        <f t="shared" si="2"/>
        <v>0.98899999999999999</v>
      </c>
      <c r="K50" s="589">
        <v>0.99</v>
      </c>
      <c r="L50" s="223"/>
      <c r="M50" s="224" t="s">
        <v>355</v>
      </c>
      <c r="N50" s="224"/>
      <c r="O50" s="224" t="s">
        <v>355</v>
      </c>
      <c r="P50" s="224"/>
      <c r="Q50" s="225"/>
      <c r="R50" s="115"/>
      <c r="S50" s="48"/>
      <c r="T50" s="48"/>
      <c r="U50" s="48"/>
      <c r="V50" s="48"/>
      <c r="W50" s="48"/>
    </row>
    <row r="51" spans="1:23" s="1" customFormat="1" ht="15">
      <c r="A51" s="48"/>
      <c r="B51" s="219"/>
      <c r="C51" s="226">
        <v>1E-3</v>
      </c>
      <c r="D51" s="219"/>
      <c r="E51" s="219"/>
      <c r="F51" s="227">
        <v>0</v>
      </c>
      <c r="G51" s="228">
        <f t="shared" si="1"/>
        <v>0.59899999999999998</v>
      </c>
      <c r="H51" s="229">
        <v>0.6</v>
      </c>
      <c r="I51" s="228"/>
      <c r="J51" s="330">
        <f t="shared" si="2"/>
        <v>0.98899999999999999</v>
      </c>
      <c r="K51" s="589">
        <v>0.99</v>
      </c>
      <c r="L51" s="223"/>
      <c r="M51" s="224" t="s">
        <v>355</v>
      </c>
      <c r="N51" s="224"/>
      <c r="O51" s="224" t="s">
        <v>355</v>
      </c>
      <c r="P51" s="224"/>
      <c r="Q51" s="225"/>
      <c r="R51" s="115"/>
      <c r="S51" s="48"/>
      <c r="T51" s="48"/>
      <c r="U51" s="48"/>
      <c r="V51" s="48"/>
      <c r="W51" s="48"/>
    </row>
    <row r="52" spans="1:23" s="1" customFormat="1" ht="15">
      <c r="A52" s="48"/>
      <c r="B52" s="115"/>
      <c r="C52" s="137"/>
      <c r="F52" s="137"/>
      <c r="G52" s="138"/>
      <c r="H52" s="138"/>
      <c r="I52" s="137"/>
      <c r="J52" s="332"/>
      <c r="K52" s="590"/>
      <c r="L52" s="130"/>
      <c r="M52" s="139"/>
      <c r="N52" s="139"/>
      <c r="O52" s="139"/>
      <c r="P52" s="139"/>
      <c r="Q52" s="119"/>
      <c r="R52" s="115"/>
      <c r="S52" s="48"/>
      <c r="T52" s="48"/>
      <c r="U52" s="48"/>
      <c r="V52" s="48"/>
      <c r="W52" s="48"/>
    </row>
    <row r="53" spans="1:23" s="1" customFormat="1" ht="15">
      <c r="A53" s="48"/>
      <c r="B53" s="219" t="s">
        <v>60</v>
      </c>
      <c r="C53" s="221"/>
      <c r="D53" s="221"/>
      <c r="E53" s="221"/>
      <c r="F53" s="222"/>
      <c r="G53" s="222" t="s">
        <v>117</v>
      </c>
      <c r="H53" s="222"/>
      <c r="I53" s="222"/>
      <c r="J53" s="329"/>
      <c r="K53" s="330" t="s">
        <v>118</v>
      </c>
      <c r="L53" s="223"/>
      <c r="M53" s="224" t="s">
        <v>354</v>
      </c>
      <c r="N53" s="224"/>
      <c r="O53" s="224" t="s">
        <v>354</v>
      </c>
      <c r="P53" s="224"/>
      <c r="Q53" s="225"/>
      <c r="R53" s="115"/>
      <c r="S53" s="48"/>
      <c r="T53" s="48"/>
      <c r="U53" s="48"/>
      <c r="V53" s="48"/>
      <c r="W53" s="48"/>
    </row>
    <row r="54" spans="1:23" s="1" customFormat="1" ht="15">
      <c r="A54" s="48"/>
      <c r="B54" s="219"/>
      <c r="C54" s="226">
        <v>1E-3</v>
      </c>
      <c r="D54" s="226">
        <v>-1.0000000000000001E-5</v>
      </c>
      <c r="E54" s="226"/>
      <c r="F54" s="227">
        <v>0</v>
      </c>
      <c r="G54" s="228">
        <v>0.59899999999999998</v>
      </c>
      <c r="H54" s="229">
        <v>0.6</v>
      </c>
      <c r="I54" s="228"/>
      <c r="J54" s="330">
        <f>K54-$C$44</f>
        <v>0.94899999999999995</v>
      </c>
      <c r="K54" s="589">
        <v>0.95</v>
      </c>
      <c r="L54" s="223"/>
      <c r="M54" s="224" t="s">
        <v>354</v>
      </c>
      <c r="N54" s="224"/>
      <c r="O54" s="224" t="s">
        <v>354</v>
      </c>
      <c r="P54" s="224"/>
      <c r="Q54" s="225"/>
      <c r="R54" s="115"/>
      <c r="S54" s="48"/>
      <c r="T54" s="48"/>
      <c r="U54" s="48"/>
      <c r="V54" s="48"/>
      <c r="W54" s="48"/>
    </row>
    <row r="55" spans="1:23" s="1" customFormat="1" ht="15">
      <c r="A55" s="48"/>
      <c r="B55" s="219"/>
      <c r="C55" s="226">
        <v>1E-3</v>
      </c>
      <c r="D55" s="226">
        <v>-1.0000000000000001E-5</v>
      </c>
      <c r="E55" s="226"/>
      <c r="F55" s="227">
        <v>0</v>
      </c>
      <c r="G55" s="228">
        <v>0.59899999999999998</v>
      </c>
      <c r="H55" s="229">
        <v>0.6</v>
      </c>
      <c r="I55" s="228"/>
      <c r="J55" s="330">
        <f>K55-$C$44</f>
        <v>0.94899999999999995</v>
      </c>
      <c r="K55" s="589">
        <v>0.95</v>
      </c>
      <c r="L55" s="223"/>
      <c r="M55" s="224" t="s">
        <v>354</v>
      </c>
      <c r="N55" s="224"/>
      <c r="O55" s="224" t="s">
        <v>354</v>
      </c>
      <c r="P55" s="224"/>
      <c r="Q55" s="225"/>
      <c r="R55" s="115"/>
      <c r="S55" s="48"/>
      <c r="T55" s="48"/>
      <c r="U55" s="48"/>
      <c r="V55" s="48"/>
      <c r="W55" s="48"/>
    </row>
    <row r="56" spans="1:23" s="1" customFormat="1" ht="15">
      <c r="A56" s="48"/>
      <c r="B56" s="219"/>
      <c r="C56" s="226">
        <v>1E-3</v>
      </c>
      <c r="D56" s="226">
        <v>-1.0000000000000001E-5</v>
      </c>
      <c r="E56" s="226"/>
      <c r="F56" s="227">
        <v>0</v>
      </c>
      <c r="G56" s="228">
        <v>0.59899999999999998</v>
      </c>
      <c r="H56" s="229">
        <v>0.6</v>
      </c>
      <c r="I56" s="228"/>
      <c r="J56" s="330">
        <f>K56-$C$44</f>
        <v>0.94899999999999995</v>
      </c>
      <c r="K56" s="589">
        <v>0.95</v>
      </c>
      <c r="L56" s="223"/>
      <c r="M56" s="224" t="s">
        <v>354</v>
      </c>
      <c r="N56" s="224"/>
      <c r="O56" s="224" t="s">
        <v>354</v>
      </c>
      <c r="P56" s="224"/>
      <c r="Q56" s="225"/>
      <c r="R56" s="115"/>
      <c r="S56" s="48"/>
      <c r="T56" s="48"/>
      <c r="U56" s="48"/>
      <c r="V56" s="48"/>
      <c r="W56" s="48"/>
    </row>
    <row r="57" spans="1:23" s="1" customFormat="1" ht="15">
      <c r="A57" s="48"/>
      <c r="B57" s="219"/>
      <c r="C57" s="226">
        <v>1E-3</v>
      </c>
      <c r="D57" s="226">
        <v>-1.0000000000000001E-5</v>
      </c>
      <c r="E57" s="226"/>
      <c r="F57" s="227">
        <v>0</v>
      </c>
      <c r="G57" s="228">
        <v>0.84899999999999998</v>
      </c>
      <c r="H57" s="229">
        <v>0.85</v>
      </c>
      <c r="I57" s="228"/>
      <c r="J57" s="330">
        <f>K57-$C$44</f>
        <v>0.98899999999999999</v>
      </c>
      <c r="K57" s="589">
        <v>0.99</v>
      </c>
      <c r="L57" s="223"/>
      <c r="M57" s="224" t="s">
        <v>354</v>
      </c>
      <c r="N57" s="224"/>
      <c r="O57" s="224" t="s">
        <v>354</v>
      </c>
      <c r="P57" s="224"/>
      <c r="Q57" s="225"/>
      <c r="R57" s="115"/>
      <c r="S57" s="48"/>
      <c r="T57" s="48"/>
      <c r="U57" s="48"/>
      <c r="V57" s="48"/>
      <c r="W57" s="48"/>
    </row>
    <row r="58" spans="1:23" s="1" customFormat="1" ht="15">
      <c r="A58" s="48"/>
      <c r="B58" s="219"/>
      <c r="C58" s="226">
        <v>1E-3</v>
      </c>
      <c r="D58" s="226">
        <v>-1.0000000000000001E-5</v>
      </c>
      <c r="E58" s="226"/>
      <c r="F58" s="227">
        <v>0</v>
      </c>
      <c r="G58" s="228">
        <v>0.94899999999999995</v>
      </c>
      <c r="H58" s="229">
        <v>0.95</v>
      </c>
      <c r="I58" s="228"/>
      <c r="J58" s="330">
        <f>K58-$C$44</f>
        <v>0.98899999999999999</v>
      </c>
      <c r="K58" s="589">
        <v>0.99</v>
      </c>
      <c r="L58" s="223"/>
      <c r="M58" s="224" t="s">
        <v>354</v>
      </c>
      <c r="N58" s="224"/>
      <c r="O58" s="224" t="s">
        <v>354</v>
      </c>
      <c r="P58" s="224"/>
      <c r="Q58" s="225"/>
      <c r="R58" s="115"/>
      <c r="S58" s="48"/>
      <c r="T58" s="48"/>
      <c r="U58" s="48"/>
      <c r="V58" s="48"/>
      <c r="W58" s="48"/>
    </row>
    <row r="59" spans="1:23" s="1" customFormat="1" ht="15">
      <c r="A59" s="48"/>
      <c r="B59" s="219"/>
      <c r="C59" s="220"/>
      <c r="D59" s="226"/>
      <c r="E59" s="226"/>
      <c r="F59" s="227"/>
      <c r="G59" s="228"/>
      <c r="H59" s="229"/>
      <c r="I59" s="228"/>
      <c r="J59" s="330"/>
      <c r="K59" s="331"/>
      <c r="L59" s="223"/>
      <c r="M59" s="224"/>
      <c r="N59" s="224"/>
      <c r="O59" s="224"/>
      <c r="P59" s="224"/>
      <c r="Q59" s="225"/>
      <c r="R59" s="115"/>
      <c r="S59" s="48"/>
      <c r="T59" s="48"/>
      <c r="U59" s="48"/>
      <c r="V59" s="48"/>
      <c r="W59" s="48"/>
    </row>
    <row r="60" spans="1:23" s="1" customFormat="1" ht="15">
      <c r="A60" s="48"/>
      <c r="B60" s="219"/>
      <c r="C60" s="220"/>
      <c r="D60" s="226"/>
      <c r="E60" s="226"/>
      <c r="F60" s="227"/>
      <c r="G60" s="228"/>
      <c r="H60" s="229"/>
      <c r="I60" s="228"/>
      <c r="J60" s="330"/>
      <c r="K60" s="331"/>
      <c r="L60" s="223"/>
      <c r="M60" s="224"/>
      <c r="N60" s="224"/>
      <c r="O60" s="224"/>
      <c r="P60" s="224"/>
      <c r="Q60" s="225"/>
      <c r="R60" s="115"/>
      <c r="S60" s="48"/>
      <c r="T60" s="48"/>
      <c r="U60" s="48"/>
      <c r="V60" s="48"/>
      <c r="W60" s="48"/>
    </row>
    <row r="61" spans="1:23" s="1" customFormat="1" ht="15">
      <c r="A61" s="48"/>
      <c r="B61" s="219"/>
      <c r="C61" s="220"/>
      <c r="D61" s="226"/>
      <c r="E61" s="226"/>
      <c r="F61" s="227"/>
      <c r="G61" s="228"/>
      <c r="H61" s="229"/>
      <c r="I61" s="228"/>
      <c r="J61" s="330"/>
      <c r="K61" s="331"/>
      <c r="L61" s="223"/>
      <c r="M61" s="224"/>
      <c r="N61" s="224"/>
      <c r="O61" s="224"/>
      <c r="P61" s="224"/>
      <c r="Q61" s="225"/>
      <c r="R61" s="115"/>
      <c r="S61" s="48"/>
      <c r="T61" s="48"/>
      <c r="U61" s="48"/>
      <c r="V61" s="48"/>
      <c r="W61" s="48"/>
    </row>
  </sheetData>
  <customSheetViews>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1"/>
    </customSheetView>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2"/>
    </customSheetView>
  </customSheetViews>
  <mergeCells count="4">
    <mergeCell ref="D13:D14"/>
    <mergeCell ref="B13:B14"/>
    <mergeCell ref="C13:C14"/>
    <mergeCell ref="E13:E14"/>
  </mergeCells>
  <phoneticPr fontId="41" type="noConversion"/>
  <conditionalFormatting sqref="BI7">
    <cfRule type="expression" dxfId="56" priority="2160">
      <formula>$BI7="EZ"</formula>
    </cfRule>
    <cfRule type="expression" dxfId="55" priority="2161">
      <formula>$BI7="nicht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P80"/>
  <sheetViews>
    <sheetView showGridLines="0" zoomScaleNormal="100" workbookViewId="0">
      <selection activeCell="H7" sqref="H7"/>
    </sheetView>
  </sheetViews>
  <sheetFormatPr baseColWidth="10" defaultColWidth="11.42578125" defaultRowHeight="15"/>
  <cols>
    <col min="1" max="1" width="15" customWidth="1"/>
    <col min="2" max="2" width="11.5703125" customWidth="1"/>
    <col min="3" max="3" width="4.140625" style="361" customWidth="1"/>
    <col min="4" max="4" width="24.140625" customWidth="1"/>
    <col min="5" max="5" width="11.42578125" customWidth="1"/>
    <col min="6" max="6" width="9" customWidth="1"/>
    <col min="7" max="7" width="10.28515625" customWidth="1"/>
    <col min="8" max="8" width="21.5703125" customWidth="1"/>
    <col min="9" max="9" width="79.42578125" style="345" customWidth="1"/>
    <col min="10" max="10" width="5.85546875" style="345" customWidth="1"/>
    <col min="11" max="11" width="30.5703125" customWidth="1"/>
    <col min="12" max="12" width="14.7109375" style="91" customWidth="1"/>
    <col min="13" max="13" width="9" style="91" customWidth="1"/>
    <col min="14" max="14" width="22.42578125" style="91" customWidth="1"/>
    <col min="15" max="15" width="35.28515625" style="242" customWidth="1"/>
    <col min="16" max="16" width="70" style="242" customWidth="1"/>
  </cols>
  <sheetData>
    <row r="1" spans="1:16" ht="32.25" customHeight="1" thickBot="1">
      <c r="L1" s="346" t="s">
        <v>127</v>
      </c>
      <c r="M1" s="351" t="s">
        <v>407</v>
      </c>
      <c r="N1" s="391" t="s">
        <v>396</v>
      </c>
      <c r="O1" s="310" t="s">
        <v>61</v>
      </c>
      <c r="P1" s="346" t="s">
        <v>2</v>
      </c>
    </row>
    <row r="2" spans="1:16" s="74" customFormat="1" ht="24" customHeight="1">
      <c r="A2" s="366" t="str">
        <f>IF(Berechnung2!$B$26&gt;6,IF(Berechnung2!$B$26=7,"EZ",IF(Berechnung2!$B$26&gt;7,"relevant","?")),"nicht relevant")</f>
        <v>nicht relevant</v>
      </c>
      <c r="B2" s="367" t="str">
        <f>CONCATENATE("2015;"," ")</f>
        <v xml:space="preserve">2015; </v>
      </c>
      <c r="C2" s="362"/>
      <c r="D2" s="378" t="s">
        <v>100</v>
      </c>
      <c r="E2" s="353" t="str">
        <f>IF(H2="","","2015")</f>
        <v/>
      </c>
      <c r="F2" s="337" t="str">
        <f t="shared" ref="F2:F7" si="0">IF(H2="","","a")</f>
        <v/>
      </c>
      <c r="G2" s="337" t="str">
        <f t="shared" ref="G2:G7" si="1">IF(H2="","",1)</f>
        <v/>
      </c>
      <c r="H2" s="342" t="str">
        <f>IF(A2="relevant",IF(COUNTIF(Matrix!D19:Y19,"")&gt;3,Berechnung2!$M$33,""),"")</f>
        <v/>
      </c>
      <c r="I2" s="381" t="str">
        <f>IF(H2="","",VLOOKUP(F2,Berechnung2!$I$15:$J$23,2,FALSE))</f>
        <v/>
      </c>
      <c r="J2" s="396" t="str">
        <f>IF(H2&lt;&gt;"",1,"")</f>
        <v/>
      </c>
      <c r="L2" s="392" t="str">
        <f t="array" aca="1" ref="L2" ca="1">IF(ROW()-ROW($F$2:$F$52)+1&gt;ROWS($E$2:$E$52)-COUNTBLANK($E$2:$E$52),"",INDIRECT(ADDRESS(SMALL((IF($E$2:$E$52&lt;&gt;"",ROW($E$2:$E$52),ROW()+ROWS($E$2:$E$52))),ROW()-ROW($F$2:$F$52)+1),COLUMN($E$2:$E$52),4)))</f>
        <v/>
      </c>
      <c r="M2" s="392" t="str">
        <f t="array" aca="1" ref="M2" ca="1">IF(ROW()-ROW($G$2:$G$52)+1&gt;ROWS($F$2:$F$52)-COUNTBLANK($F$2:$F$52),"",INDIRECT(ADDRESS(SMALL((IF($F$2:$F$52&lt;&gt;"",ROW($F$2:$F$52),ROW()+ROWS($F$2:$F$52))),ROW()-ROW($G$2:$G$52)+1),COLUMN($F$2:$F$52),4)))</f>
        <v/>
      </c>
      <c r="N2" s="392" t="str">
        <f t="array" aca="1" ref="N2" ca="1">IF(ROW()-ROW($H$2:$H$52)+1&gt;ROWS($G$2:$G$52)-COUNTBLANK($G$2:$G$52),"",INDIRECT(ADDRESS(SMALL((IF($G$2:$G$52&lt;&gt;"",ROW($G$2:$G$52),ROW()+ROWS($G$2:$G$52))),ROW()-ROW($H$2:$H$52)+1),COLUMN($G$2:$G$52),4)))</f>
        <v/>
      </c>
      <c r="O2" s="393" t="str">
        <f t="array" aca="1" ref="O2" ca="1">IF(ROW()-ROW($I$2:$I$52)+1&gt;ROWS($H$2:$H$52)-COUNTBLANK($H$2:$H$52),"",INDIRECT(ADDRESS(SMALL((IF($H$2:$H$52&lt;&gt;"",ROW($H$2:$H$52),ROW()+ROWS($H$2:$H$52))),ROW()-ROW($I$2:$I$52)+1),COLUMN($H$2:$H$52),4)))</f>
        <v/>
      </c>
      <c r="P2" s="394" t="str">
        <f t="array" aca="1" ref="P2" ca="1">IF(ROW()-ROW($J$2:$J$52)+1&gt;ROWS($I$2:$I$52)-COUNTBLANK($I$2:$I$52),"",INDIRECT(ADDRESS(SMALL((IF($I$2:$I$52&lt;&gt;"",ROW($I$2:$I$52),ROW()+ROWS($I$2:$I$52))),ROW()-ROW($J$2:$J$52)+1),COLUMN($I$2:$I$52),4)))</f>
        <v/>
      </c>
    </row>
    <row r="3" spans="1:16" s="74" customFormat="1" ht="56.25" customHeight="1">
      <c r="A3" s="368" t="str">
        <f>IF(Berechnung2!$B$26&gt;5,IF(Berechnung2!$B$26=6,"EZ",IF(Berechnung2!$B$26&gt;6,"relevant","?")),"nicht relevant")</f>
        <v>nicht relevant</v>
      </c>
      <c r="B3" s="369" t="str">
        <f>CONCATENATE("2016;"," ")</f>
        <v xml:space="preserve">2016; </v>
      </c>
      <c r="C3" s="362"/>
      <c r="D3" s="1133" t="s">
        <v>388</v>
      </c>
      <c r="E3" s="354" t="str">
        <f>IF(H3="","","2016")</f>
        <v/>
      </c>
      <c r="F3" s="335" t="str">
        <f t="shared" si="0"/>
        <v/>
      </c>
      <c r="G3" s="335" t="str">
        <f t="shared" si="1"/>
        <v/>
      </c>
      <c r="H3" s="343" t="str">
        <f>IF(A3="relevant",IF(COUNTIF(Matrix!D20:Y20,"")&gt;3,Berechnung2!$M$33,""),"")</f>
        <v/>
      </c>
      <c r="I3" s="382" t="str">
        <f t="array" ref="I3">IF(H3="","",VLOOKUP(F3,Berechnung2!$I$15:$J$23,2,FALSE))</f>
        <v/>
      </c>
      <c r="J3" s="397" t="str">
        <f t="shared" ref="J3:J50" si="2">IF(H3&lt;&gt;"",1,"")</f>
        <v/>
      </c>
      <c r="L3" s="392" t="str">
        <f t="array" aca="1" ref="L3" ca="1">IF(ROW()-ROW($F$2:$F$52)+1&gt;ROWS($E$2:$E$52)-COUNTBLANK($E$2:$E$52),"",INDIRECT(ADDRESS(SMALL((IF($E$2:$E$52&lt;&gt;"",ROW($E$2:$E$52),ROW()+ROWS($E$2:$E$52))),ROW()-ROW($F$2:$F$52)+1),COLUMN($E$2:$E$52),4)))</f>
        <v/>
      </c>
      <c r="M3" s="392" t="str">
        <f t="array" aca="1" ref="M3" ca="1">IF(ROW()-ROW($G$2:$G$52)+1&gt;ROWS($F$2:$F$52)-COUNTBLANK($F$2:$F$52),"",INDIRECT(ADDRESS(SMALL((IF($F$2:$F$52&lt;&gt;"",ROW($F$2:$F$52),ROW()+ROWS($F$2:$F$52))),ROW()-ROW($G$2:$G$52)+1),COLUMN($F$2:$F$52),4)))</f>
        <v/>
      </c>
      <c r="N3" s="392" t="str">
        <f t="array" aca="1" ref="N3" ca="1">IF(ROW()-ROW($H$2:$H$52)+1&gt;ROWS($G$2:$G$52)-COUNTBLANK($G$2:$G$52),"",INDIRECT(ADDRESS(SMALL((IF($G$2:$G$52&lt;&gt;"",ROW($G$2:$G$52),ROW()+ROWS($G$2:$G$52))),ROW()-ROW($H$2:$H$52)+1),COLUMN($G$2:$G$52),4)))</f>
        <v/>
      </c>
      <c r="O3" s="393" t="str">
        <f t="array" aca="1" ref="O3" ca="1">IF(ROW()-ROW($I$2:$I$52)+1&gt;ROWS($H$2:$H$52)-COUNTBLANK($H$2:$H$52),"",INDIRECT(ADDRESS(SMALL((IF($H$2:$H$52&lt;&gt;"",ROW($H$2:$H$52),ROW()+ROWS($H$2:$H$52))),ROW()-ROW($I$2:$I$52)+1),COLUMN($H$2:$H$52),4)))</f>
        <v/>
      </c>
      <c r="P3" s="394" t="str">
        <f t="array" aca="1" ref="P3" ca="1">IF(ROW()-ROW($J$2:$J$52)+1&gt;ROWS($I$2:$I$52)-COUNTBLANK($I$2:$I$52),"",INDIRECT(ADDRESS(SMALL((IF($I$2:$I$52&lt;&gt;"",ROW($I$2:$I$52),ROW()+ROWS($I$2:$I$52))),ROW()-ROW($J$2:$J$52)+1),COLUMN($I$2:$I$52),4)))</f>
        <v/>
      </c>
    </row>
    <row r="4" spans="1:16" s="74" customFormat="1">
      <c r="A4" s="368" t="str">
        <f>IF(Berechnung2!$B$26&gt;4,IF(Berechnung2!$B$26=5,"EZ",IF(Berechnung2!$B$26&gt;5,"relevant","?")),"nicht relevant")</f>
        <v>nicht relevant</v>
      </c>
      <c r="B4" s="369" t="str">
        <f>CONCATENATE("2017;"," ")</f>
        <v xml:space="preserve">2017; </v>
      </c>
      <c r="C4" s="362"/>
      <c r="D4" s="1133"/>
      <c r="E4" s="354" t="str">
        <f>IF(H4="","","2017")</f>
        <v/>
      </c>
      <c r="F4" s="335" t="str">
        <f t="shared" si="0"/>
        <v/>
      </c>
      <c r="G4" s="335" t="str">
        <f t="shared" si="1"/>
        <v/>
      </c>
      <c r="H4" s="343" t="str">
        <f>IF(A4="relevant",IF(COUNTIF(Matrix!D21:Y21,"")&gt;2,Berechnung2!$M$33,""),"")</f>
        <v/>
      </c>
      <c r="I4" s="382" t="str">
        <f t="array" ref="I4">IF(H4="","",VLOOKUP(F4,Berechnung2!$I$15:$J$23,2,FALSE))</f>
        <v/>
      </c>
      <c r="J4" s="397" t="str">
        <f t="shared" si="2"/>
        <v/>
      </c>
      <c r="L4" s="392" t="str">
        <f t="array" aca="1" ref="L4" ca="1">IF(ROW()-ROW($F$2:$F$52)+1&gt;ROWS($E$2:$E$52)-COUNTBLANK($E$2:$E$52),"",INDIRECT(ADDRESS(SMALL((IF($E$2:$E$52&lt;&gt;"",ROW($E$2:$E$52),ROW()+ROWS($E$2:$E$52))),ROW()-ROW($F$2:$F$52)+1),COLUMN($E$2:$E$52),4)))</f>
        <v/>
      </c>
      <c r="M4" s="392" t="str">
        <f t="array" aca="1" ref="M4" ca="1">IF(ROW()-ROW($G$2:$G$52)+1&gt;ROWS($F$2:$F$52)-COUNTBLANK($F$2:$F$52),"",INDIRECT(ADDRESS(SMALL((IF($F$2:$F$52&lt;&gt;"",ROW($F$2:$F$52),ROW()+ROWS($F$2:$F$52))),ROW()-ROW($G$2:$G$52)+1),COLUMN($F$2:$F$52),4)))</f>
        <v/>
      </c>
      <c r="N4" s="392" t="str">
        <f t="array" aca="1" ref="N4" ca="1">IF(ROW()-ROW($H$2:$H$52)+1&gt;ROWS($G$2:$G$52)-COUNTBLANK($G$2:$G$52),"",INDIRECT(ADDRESS(SMALL((IF($G$2:$G$52&lt;&gt;"",ROW($G$2:$G$52),ROW()+ROWS($G$2:$G$52))),ROW()-ROW($H$2:$H$52)+1),COLUMN($G$2:$G$52),4)))</f>
        <v/>
      </c>
      <c r="O4" s="393" t="str">
        <f t="array" aca="1" ref="O4" ca="1">IF(ROW()-ROW($I$2:$I$52)+1&gt;ROWS($H$2:$H$52)-COUNTBLANK($H$2:$H$52),"",INDIRECT(ADDRESS(SMALL((IF($H$2:$H$52&lt;&gt;"",ROW($H$2:$H$52),ROW()+ROWS($H$2:$H$52))),ROW()-ROW($I$2:$I$52)+1),COLUMN($H$2:$H$52),4)))</f>
        <v/>
      </c>
      <c r="P4" s="394" t="str">
        <f t="array" aca="1" ref="P4" ca="1">IF(ROW()-ROW($J$2:$J$52)+1&gt;ROWS($I$2:$I$52)-COUNTBLANK($I$2:$I$52),"",INDIRECT(ADDRESS(SMALL((IF($I$2:$I$52&lt;&gt;"",ROW($I$2:$I$52),ROW()+ROWS($I$2:$I$52))),ROW()-ROW($J$2:$J$52)+1),COLUMN($I$2:$I$52),4)))</f>
        <v/>
      </c>
    </row>
    <row r="5" spans="1:16" s="74" customFormat="1" ht="65.25" customHeight="1">
      <c r="A5" s="368" t="str">
        <f>IF(Berechnung2!$B$26&gt;3,IF(Berechnung2!$B$26=4,"EZ",IF(Berechnung2!$B$26&gt;4,"relevant","?")),"nicht relevant")</f>
        <v>nicht relevant</v>
      </c>
      <c r="B5" s="369" t="str">
        <f>CONCATENATE("2018;"," ")</f>
        <v xml:space="preserve">2018; </v>
      </c>
      <c r="C5" s="362"/>
      <c r="D5" s="1133"/>
      <c r="E5" s="354" t="str">
        <f>IF(H5="","","2018")</f>
        <v/>
      </c>
      <c r="F5" s="335" t="str">
        <f t="shared" si="0"/>
        <v/>
      </c>
      <c r="G5" s="335" t="str">
        <f t="shared" si="1"/>
        <v/>
      </c>
      <c r="H5" s="343" t="str">
        <f>IF(A5="relevant",IF(COUNTIF(Matrix!D22:Y22,"")&gt;2,Berechnung2!$M$33,""),"")</f>
        <v/>
      </c>
      <c r="I5" s="382" t="str">
        <f t="array" ref="I5">IF(H5="","",VLOOKUP(F5,Berechnung2!$I$15:$J$23,2,FALSE))</f>
        <v/>
      </c>
      <c r="J5" s="397" t="str">
        <f t="shared" si="2"/>
        <v/>
      </c>
      <c r="L5" s="392" t="str">
        <f t="array" aca="1" ref="L5" ca="1">IF(ROW()-ROW($F$2:$F$52)+1&gt;ROWS($E$2:$E$52)-COUNTBLANK($E$2:$E$52),"",INDIRECT(ADDRESS(SMALL((IF($E$2:$E$52&lt;&gt;"",ROW($E$2:$E$52),ROW()+ROWS($E$2:$E$52))),ROW()-ROW($F$2:$F$52)+1),COLUMN($E$2:$E$52),4)))</f>
        <v/>
      </c>
      <c r="M5" s="392" t="str">
        <f t="array" aca="1" ref="M5" ca="1">IF(ROW()-ROW($G$2:$G$52)+1&gt;ROWS($F$2:$F$52)-COUNTBLANK($F$2:$F$52),"",INDIRECT(ADDRESS(SMALL((IF($F$2:$F$52&lt;&gt;"",ROW($F$2:$F$52),ROW()+ROWS($F$2:$F$52))),ROW()-ROW($G$2:$G$52)+1),COLUMN($F$2:$F$52),4)))</f>
        <v/>
      </c>
      <c r="N5" s="392" t="str">
        <f t="array" aca="1" ref="N5" ca="1">IF(ROW()-ROW($H$2:$H$52)+1&gt;ROWS($G$2:$G$52)-COUNTBLANK($G$2:$G$52),"",INDIRECT(ADDRESS(SMALL((IF($G$2:$G$52&lt;&gt;"",ROW($G$2:$G$52),ROW()+ROWS($G$2:$G$52))),ROW()-ROW($H$2:$H$52)+1),COLUMN($G$2:$G$52),4)))</f>
        <v/>
      </c>
      <c r="O5" s="393" t="str">
        <f t="array" aca="1" ref="O5" ca="1">IF(ROW()-ROW($I$2:$I$52)+1&gt;ROWS($H$2:$H$52)-COUNTBLANK($H$2:$H$52),"",INDIRECT(ADDRESS(SMALL((IF($H$2:$H$52&lt;&gt;"",ROW($H$2:$H$52),ROW()+ROWS($H$2:$H$52))),ROW()-ROW($I$2:$I$52)+1),COLUMN($H$2:$H$52),4)))</f>
        <v/>
      </c>
      <c r="P5" s="394" t="str">
        <f t="array" aca="1" ref="P5" ca="1">IF(ROW()-ROW($J$2:$J$52)+1&gt;ROWS($I$2:$I$52)-COUNTBLANK($I$2:$I$52),"",INDIRECT(ADDRESS(SMALL((IF($I$2:$I$52&lt;&gt;"",ROW($I$2:$I$52),ROW()+ROWS($I$2:$I$52))),ROW()-ROW($J$2:$J$52)+1),COLUMN($I$2:$I$52),4)))</f>
        <v/>
      </c>
    </row>
    <row r="6" spans="1:16" s="74" customFormat="1" ht="42" customHeight="1">
      <c r="A6" s="368" t="str">
        <f>IF(Berechnung2!$B$26&gt;2,IF(Berechnung2!$B$26=3,"EZ",IF(Berechnung2!$B$26&gt;3,"relevant","?")),"nicht relevant")</f>
        <v>nicht relevant</v>
      </c>
      <c r="B6" s="369" t="str">
        <f>CONCATENATE("2019;"," ")</f>
        <v xml:space="preserve">2019; </v>
      </c>
      <c r="C6" s="362"/>
      <c r="D6" s="1133"/>
      <c r="E6" s="354" t="str">
        <f>IF(H6="","","2019")</f>
        <v/>
      </c>
      <c r="F6" s="335" t="str">
        <f t="shared" si="0"/>
        <v/>
      </c>
      <c r="G6" s="335" t="str">
        <f t="shared" si="1"/>
        <v/>
      </c>
      <c r="H6" s="343" t="str">
        <f>IF(A6="relevant",IF(COUNTIF(Matrix!D23:Y23,"")&gt;2,Berechnung2!$M$33,""),"")</f>
        <v/>
      </c>
      <c r="I6" s="382" t="str">
        <f t="array" ref="I6">IF(H6="","",VLOOKUP(F6,Berechnung2!$I$15:$J$23,2,FALSE))</f>
        <v/>
      </c>
      <c r="J6" s="397" t="str">
        <f t="shared" si="2"/>
        <v/>
      </c>
      <c r="L6" s="392" t="str">
        <f t="array" aca="1" ref="L6" ca="1">IF(ROW()-ROW($F$2:$F$52)+1&gt;ROWS($E$2:$E$52)-COUNTBLANK($E$2:$E$52),"",INDIRECT(ADDRESS(SMALL((IF($E$2:$E$52&lt;&gt;"",ROW($E$2:$E$52),ROW()+ROWS($E$2:$E$52))),ROW()-ROW($F$2:$F$52)+1),COLUMN($E$2:$E$52),4)))</f>
        <v/>
      </c>
      <c r="M6" s="392" t="str">
        <f t="array" aca="1" ref="M6" ca="1">IF(ROW()-ROW($G$2:$G$52)+1&gt;ROWS($F$2:$F$52)-COUNTBLANK($F$2:$F$52),"",INDIRECT(ADDRESS(SMALL((IF($F$2:$F$52&lt;&gt;"",ROW($F$2:$F$52),ROW()+ROWS($F$2:$F$52))),ROW()-ROW($G$2:$G$52)+1),COLUMN($F$2:$F$52),4)))</f>
        <v/>
      </c>
      <c r="N6" s="392" t="str">
        <f t="array" aca="1" ref="N6" ca="1">IF(ROW()-ROW($H$2:$H$52)+1&gt;ROWS($G$2:$G$52)-COUNTBLANK($G$2:$G$52),"",INDIRECT(ADDRESS(SMALL((IF($G$2:$G$52&lt;&gt;"",ROW($G$2:$G$52),ROW()+ROWS($G$2:$G$52))),ROW()-ROW($H$2:$H$52)+1),COLUMN($G$2:$G$52),4)))</f>
        <v/>
      </c>
      <c r="O6" s="393" t="str">
        <f t="array" aca="1" ref="O6" ca="1">IF(ROW()-ROW($I$2:$I$52)+1&gt;ROWS($H$2:$H$52)-COUNTBLANK($H$2:$H$52),"",INDIRECT(ADDRESS(SMALL((IF($H$2:$H$52&lt;&gt;"",ROW($H$2:$H$52),ROW()+ROWS($H$2:$H$52))),ROW()-ROW($I$2:$I$52)+1),COLUMN($H$2:$H$52),4)))</f>
        <v/>
      </c>
      <c r="P6" s="394" t="str">
        <f t="array" aca="1" ref="P6" ca="1">IF(ROW()-ROW($J$2:$J$52)+1&gt;ROWS($I$2:$I$52)-COUNTBLANK($I$2:$I$52),"",INDIRECT(ADDRESS(SMALL((IF($I$2:$I$52&lt;&gt;"",ROW($I$2:$I$52),ROW()+ROWS($I$2:$I$52))),ROW()-ROW($J$2:$J$52)+1),COLUMN($I$2:$I$52),4)))</f>
        <v/>
      </c>
    </row>
    <row r="7" spans="1:16" s="74" customFormat="1" ht="49.5" customHeight="1">
      <c r="A7" s="690" t="str">
        <f>IF(Berechnung2!$B$26&gt;1,IF(Berechnung2!$B$26=2,"EZ",IF(Berechnung2!$B$26&gt;2,"relevant","?")),"nicht relevant")</f>
        <v>nicht relevant</v>
      </c>
      <c r="B7" s="691" t="str">
        <f>CONCATENATE("2020;"," ")</f>
        <v xml:space="preserve">2020; </v>
      </c>
      <c r="C7" s="362"/>
      <c r="D7" s="379" t="s">
        <v>397</v>
      </c>
      <c r="E7" s="405" t="str">
        <f>IF(H7="","","2020")</f>
        <v/>
      </c>
      <c r="F7" s="335" t="str">
        <f t="shared" si="0"/>
        <v/>
      </c>
      <c r="G7" s="335" t="str">
        <f t="shared" si="1"/>
        <v/>
      </c>
      <c r="H7" s="343" t="str">
        <f>IF(A7="relevant",IF(COUNTIF(Matrix!D24:R24,"")&gt;0,Berechnung2!$M$33,""),"")</f>
        <v/>
      </c>
      <c r="I7" s="382" t="str">
        <f t="array" ref="I7">IF(H7="","",VLOOKUP(F7,Berechnung2!$I$15:$J$23,2,FALSE))</f>
        <v/>
      </c>
      <c r="J7" s="397" t="str">
        <f t="shared" si="2"/>
        <v/>
      </c>
      <c r="L7" s="392" t="str">
        <f t="array" aca="1" ref="L7" ca="1">IF(ROW()-ROW($F$2:$F$52)+1&gt;ROWS($E$2:$E$52)-COUNTBLANK($E$2:$E$52),"",INDIRECT(ADDRESS(SMALL((IF($E$2:$E$52&lt;&gt;"",ROW($E$2:$E$52),ROW()+ROWS($E$2:$E$52))),ROW()-ROW($F$2:$F$52)+1),COLUMN($E$2:$E$52),4)))</f>
        <v/>
      </c>
      <c r="M7" s="392" t="str">
        <f t="array" aca="1" ref="M7" ca="1">IF(ROW()-ROW($G$2:$G$52)+1&gt;ROWS($F$2:$F$52)-COUNTBLANK($F$2:$F$52),"",INDIRECT(ADDRESS(SMALL((IF($F$2:$F$52&lt;&gt;"",ROW($F$2:$F$52),ROW()+ROWS($F$2:$F$52))),ROW()-ROW($G$2:$G$52)+1),COLUMN($F$2:$F$52),4)))</f>
        <v/>
      </c>
      <c r="N7" s="392" t="str">
        <f t="array" aca="1" ref="N7" ca="1">IF(ROW()-ROW($H$2:$H$52)+1&gt;ROWS($G$2:$G$52)-COUNTBLANK($G$2:$G$52),"",INDIRECT(ADDRESS(SMALL((IF($G$2:$G$52&lt;&gt;"",ROW($G$2:$G$52),ROW()+ROWS($G$2:$G$52))),ROW()-ROW($H$2:$H$52)+1),COLUMN($G$2:$G$52),4)))</f>
        <v/>
      </c>
      <c r="O7" s="393" t="str">
        <f t="array" aca="1" ref="O7" ca="1">IF(ROW()-ROW($I$2:$I$52)+1&gt;ROWS($H$2:$H$52)-COUNTBLANK($H$2:$H$52),"",INDIRECT(ADDRESS(SMALL((IF($H$2:$H$52&lt;&gt;"",ROW($H$2:$H$52),ROW()+ROWS($H$2:$H$52))),ROW()-ROW($I$2:$I$52)+1),COLUMN($H$2:$H$52),4)))</f>
        <v/>
      </c>
      <c r="P7" s="394" t="str">
        <f t="array" aca="1" ref="P7" ca="1">IF(ROW()-ROW($J$2:$J$52)+1&gt;ROWS($I$2:$I$52)-COUNTBLANK($I$2:$I$52),"",INDIRECT(ADDRESS(SMALL((IF($I$2:$I$52&lt;&gt;"",ROW($I$2:$I$52),ROW()+ROWS($I$2:$I$52))),ROW()-ROW($J$2:$J$52)+1),COLUMN($I$2:$I$52),4)))</f>
        <v/>
      </c>
    </row>
    <row r="8" spans="1:16" s="74" customFormat="1" ht="49.5" customHeight="1" thickBot="1">
      <c r="A8" s="370" t="str">
        <f>IF(Berechnung2!$B$26&gt;0,IF(Berechnung2!$B$26=1,"EZ",IF(Berechnung2!$B$26&gt;1,"relevant","?")),"nicht relevant")</f>
        <v>nicht relevant</v>
      </c>
      <c r="B8" s="371" t="str">
        <f>CONCATENATE("2021;"," ")</f>
        <v xml:space="preserve">2021; </v>
      </c>
      <c r="C8" s="362"/>
      <c r="D8" s="686"/>
      <c r="E8" s="405" t="str">
        <f>IF(H8="","","2021")</f>
        <v/>
      </c>
      <c r="F8" s="335" t="str">
        <f t="shared" ref="F8" si="3">IF(H8="","","a")</f>
        <v/>
      </c>
      <c r="G8" s="335" t="str">
        <f t="shared" ref="G8" si="4">IF(H8="","",1)</f>
        <v/>
      </c>
      <c r="H8" s="343" t="str">
        <f>IF(A8="relevant",IF(COUNTIF(Matrix!D25:R25,"")&gt;0,Berechnung2!$M$33,""),"")</f>
        <v/>
      </c>
      <c r="I8" s="382" t="str">
        <f t="array" ref="I8">IF(H8="","",VLOOKUP(F8,Berechnung2!$I$15:$J$23,2,FALSE))</f>
        <v/>
      </c>
      <c r="J8" s="397" t="str">
        <f t="shared" ref="J8" si="5">IF(H8&lt;&gt;"",1,"")</f>
        <v/>
      </c>
      <c r="L8" s="392" t="str">
        <f t="array" aca="1" ref="L8" ca="1">IF(ROW()-ROW($F$2:$F$52)+1&gt;ROWS($E$2:$E$52)-COUNTBLANK($E$2:$E$52),"",INDIRECT(ADDRESS(SMALL((IF($E$2:$E$52&lt;&gt;"",ROW($E$2:$E$52),ROW()+ROWS($E$2:$E$52))),ROW()-ROW($F$2:$F$52)+1),COLUMN($E$2:$E$52),4)))</f>
        <v/>
      </c>
      <c r="M8" s="392" t="str">
        <f t="array" aca="1" ref="M8" ca="1">IF(ROW()-ROW($G$2:$G$52)+1&gt;ROWS($F$2:$F$52)-COUNTBLANK($F$2:$F$52),"",INDIRECT(ADDRESS(SMALL((IF($F$2:$F$52&lt;&gt;"",ROW($F$2:$F$52),ROW()+ROWS($F$2:$F$52))),ROW()-ROW($G$2:$G$52)+1),COLUMN($F$2:$F$52),4)))</f>
        <v/>
      </c>
      <c r="N8" s="392" t="str">
        <f t="array" aca="1" ref="N8" ca="1">IF(ROW()-ROW($H$2:$H$52)+1&gt;ROWS($G$2:$G$52)-COUNTBLANK($G$2:$G$52),"",INDIRECT(ADDRESS(SMALL((IF($G$2:$G$52&lt;&gt;"",ROW($G$2:$G$52),ROW()+ROWS($G$2:$G$52))),ROW()-ROW($H$2:$H$52)+1),COLUMN($G$2:$G$52),4)))</f>
        <v/>
      </c>
      <c r="O8" s="393" t="str">
        <f t="array" aca="1" ref="O8" ca="1">IF(ROW()-ROW($I$2:$I$52)+1&gt;ROWS($H$2:$H$52)-COUNTBLANK($H$2:$H$52),"",INDIRECT(ADDRESS(SMALL((IF($H$2:$H$52&lt;&gt;"",ROW($H$2:$H$52),ROW()+ROWS($H$2:$H$52))),ROW()-ROW($I$2:$I$52)+1),COLUMN($H$2:$H$52),4)))</f>
        <v/>
      </c>
      <c r="P8" s="394" t="str">
        <f t="array" aca="1" ref="P8" ca="1">IF(ROW()-ROW($J$2:$J$52)+1&gt;ROWS($I$2:$I$52)-COUNTBLANK($I$2:$I$52),"",INDIRECT(ADDRESS(SMALL((IF($I$2:$I$52&lt;&gt;"",ROW($I$2:$I$52),ROW()+ROWS($I$2:$I$52))),ROW()-ROW($J$2:$J$52)+1),COLUMN($I$2:$I$52),4)))</f>
        <v/>
      </c>
    </row>
    <row r="9" spans="1:16" ht="54" customHeight="1">
      <c r="C9" s="352"/>
      <c r="D9" s="376" t="s">
        <v>78</v>
      </c>
      <c r="E9" s="353" t="str">
        <f>IF(H9="","","2015")</f>
        <v/>
      </c>
      <c r="F9" s="516" t="str">
        <f t="shared" ref="F9:F13" si="6">IF(H9="","","b")</f>
        <v/>
      </c>
      <c r="G9" s="337" t="str">
        <f t="shared" ref="G9:G13" si="7">IF(H9="","",6)</f>
        <v/>
      </c>
      <c r="H9" s="342" t="str">
        <f>IF(A2="relevant",IF(Matrix!D19="","",IF(ROUND(Matrix!D19,4)&lt;Berechnung2!H34,Berechnung2!M34,"")),"")</f>
        <v/>
      </c>
      <c r="I9" s="386" t="str">
        <f>IF(H9="","",VLOOKUP(F9,Berechnung2!$I$15:$J$23,2,FALSE))</f>
        <v/>
      </c>
      <c r="J9" s="396" t="str">
        <f t="shared" ref="J9:J13" si="8">IF(H9&lt;&gt;"",1,"")</f>
        <v/>
      </c>
      <c r="L9" s="392" t="str">
        <f t="array" aca="1" ref="L9" ca="1">IF(ROW()-ROW($F$2:$F$52)+1&gt;ROWS($E$2:$E$52)-COUNTBLANK($E$2:$E$52),"",INDIRECT(ADDRESS(SMALL((IF($E$2:$E$52&lt;&gt;"",ROW($E$2:$E$52),ROW()+ROWS($E$2:$E$52))),ROW()-ROW($F$2:$F$52)+1),COLUMN($E$2:$E$52),4)))</f>
        <v/>
      </c>
      <c r="M9" s="392" t="str">
        <f t="array" aca="1" ref="M9" ca="1">IF(ROW()-ROW($G$2:$G$52)+1&gt;ROWS($F$2:$F$52)-COUNTBLANK($F$2:$F$52),"",INDIRECT(ADDRESS(SMALL((IF($F$2:$F$52&lt;&gt;"",ROW($F$2:$F$52),ROW()+ROWS($F$2:$F$52))),ROW()-ROW($G$2:$G$52)+1),COLUMN($F$2:$F$52),4)))</f>
        <v/>
      </c>
      <c r="N9" s="392" t="str">
        <f t="array" aca="1" ref="N9" ca="1">IF(ROW()-ROW($H$2:$H$52)+1&gt;ROWS($G$2:$G$52)-COUNTBLANK($G$2:$G$52),"",INDIRECT(ADDRESS(SMALL((IF($G$2:$G$52&lt;&gt;"",ROW($G$2:$G$52),ROW()+ROWS($G$2:$G$52))),ROW()-ROW($H$2:$H$52)+1),COLUMN($G$2:$G$52),4)))</f>
        <v/>
      </c>
      <c r="O9" s="393" t="str">
        <f t="array" aca="1" ref="O9" ca="1">IF(ROW()-ROW($I$2:$I$52)+1&gt;ROWS($H$2:$H$52)-COUNTBLANK($H$2:$H$52),"",INDIRECT(ADDRESS(SMALL((IF($H$2:$H$52&lt;&gt;"",ROW($H$2:$H$52),ROW()+ROWS($H$2:$H$52))),ROW()-ROW($I$2:$I$52)+1),COLUMN($H$2:$H$52),4)))</f>
        <v/>
      </c>
      <c r="P9" s="394" t="str">
        <f t="array" aca="1" ref="P9" ca="1">IF(ROW()-ROW($J$2:$J$52)+1&gt;ROWS($I$2:$I$52)-COUNTBLANK($I$2:$I$52),"",INDIRECT(ADDRESS(SMALL((IF($I$2:$I$52&lt;&gt;"",ROW($I$2:$I$52),ROW()+ROWS($I$2:$I$52))),ROW()-ROW($J$2:$J$52)+1),COLUMN($I$2:$I$52),4)))</f>
        <v/>
      </c>
    </row>
    <row r="10" spans="1:16">
      <c r="A10" s="360"/>
      <c r="B10" s="352"/>
      <c r="C10" s="352"/>
      <c r="D10" s="1132" t="s">
        <v>159</v>
      </c>
      <c r="E10" s="354" t="str">
        <f>IF(H10="","","2016")</f>
        <v/>
      </c>
      <c r="F10" s="335" t="str">
        <f t="shared" si="6"/>
        <v/>
      </c>
      <c r="G10" s="335" t="str">
        <f t="shared" si="7"/>
        <v/>
      </c>
      <c r="H10" s="343" t="str">
        <f>IF(A3="relevant",IF(Matrix!D20="","",IF(ROUND(Matrix!D20,4)&lt;Berechnung2!H34,Berechnung2!M34,"")),"")</f>
        <v/>
      </c>
      <c r="I10" s="387" t="str">
        <f>IF(H10="","",VLOOKUP(F10,Berechnung2!$I$15:$J$23,2,FALSE))</f>
        <v/>
      </c>
      <c r="J10" s="397" t="str">
        <f t="shared" si="8"/>
        <v/>
      </c>
      <c r="L10" s="392" t="str">
        <f t="array" aca="1" ref="L10" ca="1">IF(ROW()-ROW($F$2:$F$52)+1&gt;ROWS($E$2:$E$52)-COUNTBLANK($E$2:$E$52),"",INDIRECT(ADDRESS(SMALL((IF($E$2:$E$52&lt;&gt;"",ROW($E$2:$E$52),ROW()+ROWS($E$2:$E$52))),ROW()-ROW($F$2:$F$52)+1),COLUMN($E$2:$E$52),4)))</f>
        <v/>
      </c>
      <c r="M10" s="392" t="str">
        <f t="array" aca="1" ref="M10" ca="1">IF(ROW()-ROW($G$2:$G$52)+1&gt;ROWS($F$2:$F$52)-COUNTBLANK($F$2:$F$52),"",INDIRECT(ADDRESS(SMALL((IF($F$2:$F$52&lt;&gt;"",ROW($F$2:$F$52),ROW()+ROWS($F$2:$F$52))),ROW()-ROW($G$2:$G$52)+1),COLUMN($F$2:$F$52),4)))</f>
        <v/>
      </c>
      <c r="N10" s="392" t="str">
        <f t="array" aca="1" ref="N10" ca="1">IF(ROW()-ROW($H$2:$H$52)+1&gt;ROWS($G$2:$G$52)-COUNTBLANK($G$2:$G$52),"",INDIRECT(ADDRESS(SMALL((IF($G$2:$G$52&lt;&gt;"",ROW($G$2:$G$52),ROW()+ROWS($G$2:$G$52))),ROW()-ROW($H$2:$H$52)+1),COLUMN($G$2:$G$52),4)))</f>
        <v/>
      </c>
      <c r="O10" s="393" t="str">
        <f t="array" aca="1" ref="O10" ca="1">IF(ROW()-ROW($I$2:$I$52)+1&gt;ROWS($H$2:$H$52)-COUNTBLANK($H$2:$H$52),"",INDIRECT(ADDRESS(SMALL((IF($H$2:$H$52&lt;&gt;"",ROW($H$2:$H$52),ROW()+ROWS($H$2:$H$52))),ROW()-ROW($I$2:$I$52)+1),COLUMN($H$2:$H$52),4)))</f>
        <v/>
      </c>
      <c r="P10" s="394" t="str">
        <f t="array" aca="1" ref="P10" ca="1">IF(ROW()-ROW($J$2:$J$52)+1&gt;ROWS($I$2:$I$52)-COUNTBLANK($I$2:$I$52),"",INDIRECT(ADDRESS(SMALL((IF($I$2:$I$52&lt;&gt;"",ROW($I$2:$I$52),ROW()+ROWS($I$2:$I$52))),ROW()-ROW($J$2:$J$52)+1),COLUMN($I$2:$I$52),4)))</f>
        <v/>
      </c>
    </row>
    <row r="11" spans="1:16">
      <c r="A11" s="360"/>
      <c r="B11" s="352"/>
      <c r="C11" s="352"/>
      <c r="D11" s="1132"/>
      <c r="E11" s="354" t="str">
        <f>IF(H11="","","2017")</f>
        <v/>
      </c>
      <c r="F11" s="335" t="str">
        <f t="shared" si="6"/>
        <v/>
      </c>
      <c r="G11" s="335" t="str">
        <f t="shared" si="7"/>
        <v/>
      </c>
      <c r="H11" s="343" t="str">
        <f>IF(A4="relevant",IF(Matrix!D21="","",IF(ROUND(Matrix!D21,4)&lt;Berechnung2!H34,Berechnung2!M34,"")),"")</f>
        <v/>
      </c>
      <c r="I11" s="387" t="str">
        <f>IF(H11="","",VLOOKUP(F11,Berechnung2!$I$15:$J$23,2,FALSE))</f>
        <v/>
      </c>
      <c r="J11" s="397" t="str">
        <f t="shared" si="8"/>
        <v/>
      </c>
      <c r="L11" s="392" t="str">
        <f t="array" aca="1" ref="L11" ca="1">IF(ROW()-ROW($F$2:$F$52)+1&gt;ROWS($E$2:$E$52)-COUNTBLANK($E$2:$E$52),"",INDIRECT(ADDRESS(SMALL((IF($E$2:$E$52&lt;&gt;"",ROW($E$2:$E$52),ROW()+ROWS($E$2:$E$52))),ROW()-ROW($F$2:$F$52)+1),COLUMN($E$2:$E$52),4)))</f>
        <v/>
      </c>
      <c r="M11" s="392" t="str">
        <f t="array" aca="1" ref="M11" ca="1">IF(ROW()-ROW($G$2:$G$52)+1&gt;ROWS($F$2:$F$52)-COUNTBLANK($F$2:$F$52),"",INDIRECT(ADDRESS(SMALL((IF($F$2:$F$52&lt;&gt;"",ROW($F$2:$F$52),ROW()+ROWS($F$2:$F$52))),ROW()-ROW($G$2:$G$52)+1),COLUMN($F$2:$F$52),4)))</f>
        <v/>
      </c>
      <c r="N11" s="392" t="str">
        <f t="array" aca="1" ref="N11" ca="1">IF(ROW()-ROW($H$2:$H$52)+1&gt;ROWS($G$2:$G$52)-COUNTBLANK($G$2:$G$52),"",INDIRECT(ADDRESS(SMALL((IF($G$2:$G$52&lt;&gt;"",ROW($G$2:$G$52),ROW()+ROWS($G$2:$G$52))),ROW()-ROW($H$2:$H$52)+1),COLUMN($G$2:$G$52),4)))</f>
        <v/>
      </c>
      <c r="O11" s="393" t="str">
        <f t="array" aca="1" ref="O11" ca="1">IF(ROW()-ROW($I$2:$I$52)+1&gt;ROWS($H$2:$H$52)-COUNTBLANK($H$2:$H$52),"",INDIRECT(ADDRESS(SMALL((IF($H$2:$H$52&lt;&gt;"",ROW($H$2:$H$52),ROW()+ROWS($H$2:$H$52))),ROW()-ROW($I$2:$I$52)+1),COLUMN($H$2:$H$52),4)))</f>
        <v/>
      </c>
      <c r="P11" s="394" t="str">
        <f t="array" aca="1" ref="P11" ca="1">IF(ROW()-ROW($J$2:$J$52)+1&gt;ROWS($I$2:$I$52)-COUNTBLANK($I$2:$I$52),"",INDIRECT(ADDRESS(SMALL((IF($I$2:$I$52&lt;&gt;"",ROW($I$2:$I$52),ROW()+ROWS($I$2:$I$52))),ROW()-ROW($J$2:$J$52)+1),COLUMN($I$2:$I$52),4)))</f>
        <v/>
      </c>
    </row>
    <row r="12" spans="1:16">
      <c r="A12" s="360"/>
      <c r="B12" s="352"/>
      <c r="C12" s="352"/>
      <c r="D12" s="1132"/>
      <c r="E12" s="354" t="str">
        <f>IF(H12="","","2018")</f>
        <v/>
      </c>
      <c r="F12" s="335" t="str">
        <f t="shared" si="6"/>
        <v/>
      </c>
      <c r="G12" s="335" t="str">
        <f t="shared" si="7"/>
        <v/>
      </c>
      <c r="H12" s="343" t="str">
        <f>IF(A5="relevant",IF(Matrix!D22="","",IF(ROUND(Matrix!D22,4)&lt;Berechnung2!H34,Berechnung2!M34,"")),"")</f>
        <v/>
      </c>
      <c r="I12" s="387" t="str">
        <f>IF(H12="","",VLOOKUP(F12,Berechnung2!$I$15:$J$23,2,FALSE))</f>
        <v/>
      </c>
      <c r="J12" s="397" t="str">
        <f t="shared" si="8"/>
        <v/>
      </c>
      <c r="L12" s="392" t="str">
        <f t="array" aca="1" ref="L12" ca="1">IF(ROW()-ROW($F$2:$F$52)+1&gt;ROWS($E$2:$E$52)-COUNTBLANK($E$2:$E$52),"",INDIRECT(ADDRESS(SMALL((IF($E$2:$E$52&lt;&gt;"",ROW($E$2:$E$52),ROW()+ROWS($E$2:$E$52))),ROW()-ROW($F$2:$F$52)+1),COLUMN($E$2:$E$52),4)))</f>
        <v/>
      </c>
      <c r="M12" s="392" t="str">
        <f t="array" aca="1" ref="M12" ca="1">IF(ROW()-ROW($G$2:$G$52)+1&gt;ROWS($F$2:$F$52)-COUNTBLANK($F$2:$F$52),"",INDIRECT(ADDRESS(SMALL((IF($F$2:$F$52&lt;&gt;"",ROW($F$2:$F$52),ROW()+ROWS($F$2:$F$52))),ROW()-ROW($G$2:$G$52)+1),COLUMN($F$2:$F$52),4)))</f>
        <v/>
      </c>
      <c r="N12" s="392" t="str">
        <f t="array" aca="1" ref="N12" ca="1">IF(ROW()-ROW($H$2:$H$52)+1&gt;ROWS($G$2:$G$52)-COUNTBLANK($G$2:$G$52),"",INDIRECT(ADDRESS(SMALL((IF($G$2:$G$52&lt;&gt;"",ROW($G$2:$G$52),ROW()+ROWS($G$2:$G$52))),ROW()-ROW($H$2:$H$52)+1),COLUMN($G$2:$G$52),4)))</f>
        <v/>
      </c>
      <c r="O12" s="393" t="str">
        <f t="array" aca="1" ref="O12" ca="1">IF(ROW()-ROW($I$2:$I$52)+1&gt;ROWS($H$2:$H$52)-COUNTBLANK($H$2:$H$52),"",INDIRECT(ADDRESS(SMALL((IF($H$2:$H$52&lt;&gt;"",ROW($H$2:$H$52),ROW()+ROWS($H$2:$H$52))),ROW()-ROW($I$2:$I$52)+1),COLUMN($H$2:$H$52),4)))</f>
        <v/>
      </c>
      <c r="P12" s="394" t="str">
        <f t="array" aca="1" ref="P12" ca="1">IF(ROW()-ROW($J$2:$J$52)+1&gt;ROWS($I$2:$I$52)-COUNTBLANK($I$2:$I$52),"",INDIRECT(ADDRESS(SMALL((IF($I$2:$I$52&lt;&gt;"",ROW($I$2:$I$52),ROW()+ROWS($I$2:$I$52))),ROW()-ROW($J$2:$J$52)+1),COLUMN($I$2:$I$52),4)))</f>
        <v/>
      </c>
    </row>
    <row r="13" spans="1:16" ht="32.25" customHeight="1">
      <c r="A13" s="360"/>
      <c r="B13" s="352"/>
      <c r="C13" s="352"/>
      <c r="D13" s="1132"/>
      <c r="E13" s="354" t="str">
        <f>IF(H13="","","2019")</f>
        <v/>
      </c>
      <c r="F13" s="335" t="str">
        <f t="shared" si="6"/>
        <v/>
      </c>
      <c r="G13" s="335" t="str">
        <f t="shared" si="7"/>
        <v/>
      </c>
      <c r="H13" s="343" t="str">
        <f>IF(A6="relevant",IF(Matrix!D23="","",IF(ROUND(Matrix!D23,4)&lt;Berechnung2!H34,Berechnung2!M34,"")),"")</f>
        <v/>
      </c>
      <c r="I13" s="387" t="str">
        <f>IF(H13="","",VLOOKUP(F13,Berechnung2!$I$15:$J$23,2,FALSE))</f>
        <v/>
      </c>
      <c r="J13" s="397" t="str">
        <f t="shared" si="8"/>
        <v/>
      </c>
      <c r="L13" s="392" t="str">
        <f t="array" aca="1" ref="L13" ca="1">IF(ROW()-ROW($F$2:$F$52)+1&gt;ROWS($E$2:$E$52)-COUNTBLANK($E$2:$E$52),"",INDIRECT(ADDRESS(SMALL((IF($E$2:$E$52&lt;&gt;"",ROW($E$2:$E$52),ROW()+ROWS($E$2:$E$52))),ROW()-ROW($F$2:$F$52)+1),COLUMN($E$2:$E$52),4)))</f>
        <v/>
      </c>
      <c r="M13" s="392" t="str">
        <f t="array" aca="1" ref="M13" ca="1">IF(ROW()-ROW($G$2:$G$52)+1&gt;ROWS($F$2:$F$52)-COUNTBLANK($F$2:$F$52),"",INDIRECT(ADDRESS(SMALL((IF($F$2:$F$52&lt;&gt;"",ROW($F$2:$F$52),ROW()+ROWS($F$2:$F$52))),ROW()-ROW($G$2:$G$52)+1),COLUMN($F$2:$F$52),4)))</f>
        <v/>
      </c>
      <c r="N13" s="392" t="str">
        <f t="array" aca="1" ref="N13" ca="1">IF(ROW()-ROW($H$2:$H$52)+1&gt;ROWS($G$2:$G$52)-COUNTBLANK($G$2:$G$52),"",INDIRECT(ADDRESS(SMALL((IF($G$2:$G$52&lt;&gt;"",ROW($G$2:$G$52),ROW()+ROWS($G$2:$G$52))),ROW()-ROW($H$2:$H$52)+1),COLUMN($G$2:$G$52),4)))</f>
        <v/>
      </c>
      <c r="O13" s="393" t="str">
        <f t="array" aca="1" ref="O13" ca="1">IF(ROW()-ROW($I$2:$I$52)+1&gt;ROWS($H$2:$H$52)-COUNTBLANK($H$2:$H$52),"",INDIRECT(ADDRESS(SMALL((IF($H$2:$H$52&lt;&gt;"",ROW($H$2:$H$52),ROW()+ROWS($H$2:$H$52))),ROW()-ROW($I$2:$I$52)+1),COLUMN($H$2:$H$52),4)))</f>
        <v/>
      </c>
      <c r="P13" s="394" t="str">
        <f t="array" aca="1" ref="P13" ca="1">IF(ROW()-ROW($J$2:$J$52)+1&gt;ROWS($I$2:$I$52)-COUNTBLANK($I$2:$I$52),"",INDIRECT(ADDRESS(SMALL((IF($I$2:$I$52&lt;&gt;"",ROW($I$2:$I$52),ROW()+ROWS($I$2:$I$52))),ROW()-ROW($J$2:$J$52)+1),COLUMN($I$2:$I$52),4)))</f>
        <v/>
      </c>
    </row>
    <row r="14" spans="1:16" s="612" customFormat="1" ht="32.25" customHeight="1">
      <c r="A14" s="360"/>
      <c r="B14" s="352"/>
      <c r="C14" s="352"/>
      <c r="D14" s="685"/>
      <c r="E14" s="354" t="str">
        <f>IF(H14="","","2020")</f>
        <v/>
      </c>
      <c r="F14" s="335" t="str">
        <f t="shared" ref="F14:F15" si="9">IF(H14="","","b")</f>
        <v/>
      </c>
      <c r="G14" s="335" t="str">
        <f t="shared" ref="G14:G15" si="10">IF(H14="","",6)</f>
        <v/>
      </c>
      <c r="H14" s="343" t="str">
        <f>IF(A7="relevant",IF(Matrix!D24="","",IF(ROUND(Matrix!D24,4)&lt;Berechnung2!H34,Berechnung2!M34,"")),"")</f>
        <v/>
      </c>
      <c r="I14" s="387" t="str">
        <f>IF(H14="","",VLOOKUP(F14,Berechnung2!$I$15:$J$23,2,FALSE))</f>
        <v/>
      </c>
      <c r="J14" s="397" t="str">
        <f t="shared" ref="J14:J15" si="11">IF(H14&lt;&gt;"",1,"")</f>
        <v/>
      </c>
      <c r="L14" s="392" t="str">
        <f t="array" aca="1" ref="L14" ca="1">IF(ROW()-ROW($F$2:$F$52)+1&gt;ROWS($E$2:$E$52)-COUNTBLANK($E$2:$E$52),"",INDIRECT(ADDRESS(SMALL((IF($E$2:$E$52&lt;&gt;"",ROW($E$2:$E$52),ROW()+ROWS($E$2:$E$52))),ROW()-ROW($F$2:$F$52)+1),COLUMN($E$2:$E$52),4)))</f>
        <v/>
      </c>
      <c r="M14" s="392" t="str">
        <f t="array" aca="1" ref="M14" ca="1">IF(ROW()-ROW($G$2:$G$52)+1&gt;ROWS($F$2:$F$52)-COUNTBLANK($F$2:$F$52),"",INDIRECT(ADDRESS(SMALL((IF($F$2:$F$52&lt;&gt;"",ROW($F$2:$F$52),ROW()+ROWS($F$2:$F$52))),ROW()-ROW($G$2:$G$52)+1),COLUMN($F$2:$F$52),4)))</f>
        <v/>
      </c>
      <c r="N14" s="392" t="str">
        <f t="array" aca="1" ref="N14" ca="1">IF(ROW()-ROW($H$2:$H$52)+1&gt;ROWS($G$2:$G$52)-COUNTBLANK($G$2:$G$52),"",INDIRECT(ADDRESS(SMALL((IF($G$2:$G$52&lt;&gt;"",ROW($G$2:$G$52),ROW()+ROWS($G$2:$G$52))),ROW()-ROW($H$2:$H$52)+1),COLUMN($G$2:$G$52),4)))</f>
        <v/>
      </c>
      <c r="O14" s="393" t="str">
        <f t="array" aca="1" ref="O14" ca="1">IF(ROW()-ROW($I$2:$I$52)+1&gt;ROWS($H$2:$H$52)-COUNTBLANK($H$2:$H$52),"",INDIRECT(ADDRESS(SMALL((IF($H$2:$H$52&lt;&gt;"",ROW($H$2:$H$52),ROW()+ROWS($H$2:$H$52))),ROW()-ROW($I$2:$I$52)+1),COLUMN($H$2:$H$52),4)))</f>
        <v/>
      </c>
      <c r="P14" s="394" t="str">
        <f t="array" aca="1" ref="P14" ca="1">IF(ROW()-ROW($J$2:$J$52)+1&gt;ROWS($I$2:$I$52)-COUNTBLANK($I$2:$I$52),"",INDIRECT(ADDRESS(SMALL((IF($I$2:$I$52&lt;&gt;"",ROW($I$2:$I$52),ROW()+ROWS($I$2:$I$52))),ROW()-ROW($J$2:$J$52)+1),COLUMN($I$2:$I$52),4)))</f>
        <v/>
      </c>
    </row>
    <row r="15" spans="1:16" ht="25.5" customHeight="1" thickBot="1">
      <c r="A15" s="360"/>
      <c r="B15" s="352"/>
      <c r="C15" s="352"/>
      <c r="D15" s="377" t="s">
        <v>399</v>
      </c>
      <c r="E15" s="354" t="str">
        <f>IF(H15="","","2021")</f>
        <v/>
      </c>
      <c r="F15" s="335" t="str">
        <f t="shared" si="9"/>
        <v/>
      </c>
      <c r="G15" s="335" t="str">
        <f t="shared" si="10"/>
        <v/>
      </c>
      <c r="H15" s="343" t="str">
        <f>IF(A8="relevant",IF(Matrix!D25="","",IF(ROUND(Matrix!D25,4)&lt;Berechnung2!H34,Berechnung2!M34,"")),"")</f>
        <v/>
      </c>
      <c r="I15" s="387" t="str">
        <f>IF(H15="","",VLOOKUP(F15,Berechnung2!$I$15:$J$23,2,FALSE))</f>
        <v/>
      </c>
      <c r="J15" s="397" t="str">
        <f t="shared" si="11"/>
        <v/>
      </c>
      <c r="L15" s="392" t="str">
        <f t="array" aca="1" ref="L15" ca="1">IF(ROW()-ROW($F$2:$F$52)+1&gt;ROWS($E$2:$E$52)-COUNTBLANK($E$2:$E$52),"",INDIRECT(ADDRESS(SMALL((IF($E$2:$E$52&lt;&gt;"",ROW($E$2:$E$52),ROW()+ROWS($E$2:$E$52))),ROW()-ROW($F$2:$F$52)+1),COLUMN($E$2:$E$52),4)))</f>
        <v/>
      </c>
      <c r="M15" s="392" t="str">
        <f t="array" aca="1" ref="M15" ca="1">IF(ROW()-ROW($G$2:$G$52)+1&gt;ROWS($F$2:$F$52)-COUNTBLANK($F$2:$F$52),"",INDIRECT(ADDRESS(SMALL((IF($F$2:$F$52&lt;&gt;"",ROW($F$2:$F$52),ROW()+ROWS($F$2:$F$52))),ROW()-ROW($G$2:$G$52)+1),COLUMN($F$2:$F$52),4)))</f>
        <v/>
      </c>
      <c r="N15" s="392" t="str">
        <f t="array" aca="1" ref="N15" ca="1">IF(ROW()-ROW($H$2:$H$52)+1&gt;ROWS($G$2:$G$52)-COUNTBLANK($G$2:$G$52),"",INDIRECT(ADDRESS(SMALL((IF($G$2:$G$52&lt;&gt;"",ROW($G$2:$G$52),ROW()+ROWS($G$2:$G$52))),ROW()-ROW($H$2:$H$52)+1),COLUMN($G$2:$G$52),4)))</f>
        <v/>
      </c>
      <c r="O15" s="393" t="str">
        <f t="array" aca="1" ref="O15" ca="1">IF(ROW()-ROW($I$2:$I$52)+1&gt;ROWS($H$2:$H$52)-COUNTBLANK($H$2:$H$52),"",INDIRECT(ADDRESS(SMALL((IF($H$2:$H$52&lt;&gt;"",ROW($H$2:$H$52),ROW()+ROWS($H$2:$H$52))),ROW()-ROW($I$2:$I$52)+1),COLUMN($H$2:$H$52),4)))</f>
        <v/>
      </c>
      <c r="P15" s="394" t="str">
        <f t="array" aca="1" ref="P15" ca="1">IF(ROW()-ROW($J$2:$J$52)+1&gt;ROWS($I$2:$I$52)-COUNTBLANK($I$2:$I$52),"",INDIRECT(ADDRESS(SMALL((IF($I$2:$I$52&lt;&gt;"",ROW($I$2:$I$52),ROW()+ROWS($I$2:$I$52))),ROW()-ROW($J$2:$J$52)+1),COLUMN($I$2:$I$52),4)))</f>
        <v/>
      </c>
    </row>
    <row r="16" spans="1:16">
      <c r="A16" s="360"/>
      <c r="B16" s="352"/>
      <c r="C16" s="352"/>
      <c r="D16" s="380" t="s">
        <v>98</v>
      </c>
      <c r="E16" s="399" t="str">
        <f>IF(H16="","","2015")</f>
        <v/>
      </c>
      <c r="F16" s="400" t="str">
        <f t="shared" ref="F16:F20" si="12">IF(H16="","","c")</f>
        <v/>
      </c>
      <c r="G16" s="400" t="str">
        <f t="shared" ref="G16:G27" si="13">IF(H16="","","1")</f>
        <v/>
      </c>
      <c r="H16" s="401" t="str">
        <f>IF(A2="relevant",IF(Matrix!T19="","",IF(Matrix!T19&gt;Matrix!D19,Berechnung2!$M$38,"")),"")</f>
        <v/>
      </c>
      <c r="I16" s="402" t="str">
        <f t="array" ref="I16">IF(H16="","",VLOOKUP(F16,Berechnung2!$I$15:$J$23,2,FALSE))</f>
        <v/>
      </c>
      <c r="J16" s="403" t="str">
        <f t="shared" si="2"/>
        <v/>
      </c>
      <c r="L16" s="392" t="str">
        <f t="array" aca="1" ref="L16" ca="1">IF(ROW()-ROW($F$2:$F$52)+1&gt;ROWS($E$2:$E$52)-COUNTBLANK($E$2:$E$52),"",INDIRECT(ADDRESS(SMALL((IF($E$2:$E$52&lt;&gt;"",ROW($E$2:$E$52),ROW()+ROWS($E$2:$E$52))),ROW()-ROW($F$2:$F$52)+1),COLUMN($E$2:$E$52),4)))</f>
        <v/>
      </c>
      <c r="M16" s="392" t="str">
        <f t="array" aca="1" ref="M16" ca="1">IF(ROW()-ROW($G$2:$G$52)+1&gt;ROWS($F$2:$F$52)-COUNTBLANK($F$2:$F$52),"",INDIRECT(ADDRESS(SMALL((IF($F$2:$F$52&lt;&gt;"",ROW($F$2:$F$52),ROW()+ROWS($F$2:$F$52))),ROW()-ROW($G$2:$G$52)+1),COLUMN($F$2:$F$52),4)))</f>
        <v/>
      </c>
      <c r="N16" s="392" t="str">
        <f t="array" aca="1" ref="N16" ca="1">IF(ROW()-ROW($H$2:$H$52)+1&gt;ROWS($G$2:$G$52)-COUNTBLANK($G$2:$G$52),"",INDIRECT(ADDRESS(SMALL((IF($G$2:$G$52&lt;&gt;"",ROW($G$2:$G$52),ROW()+ROWS($G$2:$G$52))),ROW()-ROW($H$2:$H$52)+1),COLUMN($G$2:$G$52),4)))</f>
        <v/>
      </c>
      <c r="O16" s="393" t="str">
        <f t="array" aca="1" ref="O16" ca="1">IF(ROW()-ROW($I$2:$I$52)+1&gt;ROWS($H$2:$H$52)-COUNTBLANK($H$2:$H$52),"",INDIRECT(ADDRESS(SMALL((IF($H$2:$H$52&lt;&gt;"",ROW($H$2:$H$52),ROW()+ROWS($H$2:$H$52))),ROW()-ROW($I$2:$I$52)+1),COLUMN($H$2:$H$52),4)))</f>
        <v/>
      </c>
      <c r="P16" s="394" t="str">
        <f t="array" aca="1" ref="P16" ca="1">IF(ROW()-ROW($J$2:$J$52)+1&gt;ROWS($I$2:$I$52)-COUNTBLANK($I$2:$I$52),"",INDIRECT(ADDRESS(SMALL((IF($I$2:$I$52&lt;&gt;"",ROW($I$2:$I$52),ROW()+ROWS($I$2:$I$52))),ROW()-ROW($J$2:$J$52)+1),COLUMN($I$2:$I$52),4)))</f>
        <v/>
      </c>
    </row>
    <row r="17" spans="1:16" ht="22.5" customHeight="1">
      <c r="A17" s="360"/>
      <c r="B17" s="352"/>
      <c r="C17" s="352"/>
      <c r="D17" s="1134" t="s">
        <v>475</v>
      </c>
      <c r="E17" s="354" t="str">
        <f>IF(H17="","","2016")</f>
        <v/>
      </c>
      <c r="F17" s="336" t="str">
        <f t="shared" si="12"/>
        <v/>
      </c>
      <c r="G17" s="336" t="str">
        <f t="shared" si="13"/>
        <v/>
      </c>
      <c r="H17" s="343" t="str">
        <f>IF(A3="relevant",IF(Matrix!T20="","",IF(Matrix!T20&gt;Matrix!D20,Berechnung2!$M$38,"")),"")</f>
        <v/>
      </c>
      <c r="I17" s="384" t="str">
        <f t="array" ref="I17">IF(H17="","",VLOOKUP(F17,Berechnung2!$I$15:$J$23,2,FALSE))</f>
        <v/>
      </c>
      <c r="J17" s="397" t="str">
        <f t="shared" si="2"/>
        <v/>
      </c>
      <c r="L17" s="392" t="str">
        <f t="array" aca="1" ref="L17" ca="1">IF(ROW()-ROW($F$2:$F$52)+1&gt;ROWS($E$2:$E$52)-COUNTBLANK($E$2:$E$52),"",INDIRECT(ADDRESS(SMALL((IF($E$2:$E$52&lt;&gt;"",ROW($E$2:$E$52),ROW()+ROWS($E$2:$E$52))),ROW()-ROW($F$2:$F$52)+1),COLUMN($E$2:$E$52),4)))</f>
        <v/>
      </c>
      <c r="M17" s="392" t="str">
        <f t="array" aca="1" ref="M17" ca="1">IF(ROW()-ROW($G$2:$G$52)+1&gt;ROWS($F$2:$F$52)-COUNTBLANK($F$2:$F$52),"",INDIRECT(ADDRESS(SMALL((IF($F$2:$F$52&lt;&gt;"",ROW($F$2:$F$52),ROW()+ROWS($F$2:$F$52))),ROW()-ROW($G$2:$G$52)+1),COLUMN($F$2:$F$52),4)))</f>
        <v/>
      </c>
      <c r="N17" s="392" t="str">
        <f t="array" aca="1" ref="N17" ca="1">IF(ROW()-ROW($H$2:$H$52)+1&gt;ROWS($G$2:$G$52)-COUNTBLANK($G$2:$G$52),"",INDIRECT(ADDRESS(SMALL((IF($G$2:$G$52&lt;&gt;"",ROW($G$2:$G$52),ROW()+ROWS($G$2:$G$52))),ROW()-ROW($H$2:$H$52)+1),COLUMN($G$2:$G$52),4)))</f>
        <v/>
      </c>
      <c r="O17" s="393" t="str">
        <f t="array" aca="1" ref="O17" ca="1">IF(ROW()-ROW($I$2:$I$52)+1&gt;ROWS($H$2:$H$52)-COUNTBLANK($H$2:$H$52),"",INDIRECT(ADDRESS(SMALL((IF($H$2:$H$52&lt;&gt;"",ROW($H$2:$H$52),ROW()+ROWS($H$2:$H$52))),ROW()-ROW($I$2:$I$52)+1),COLUMN($H$2:$H$52),4)))</f>
        <v/>
      </c>
      <c r="P17" s="394" t="str">
        <f t="array" aca="1" ref="P17" ca="1">IF(ROW()-ROW($J$2:$J$52)+1&gt;ROWS($I$2:$I$52)-COUNTBLANK($I$2:$I$52),"",INDIRECT(ADDRESS(SMALL((IF($I$2:$I$52&lt;&gt;"",ROW($I$2:$I$52),ROW()+ROWS($I$2:$I$52))),ROW()-ROW($J$2:$J$52)+1),COLUMN($I$2:$I$52),4)))</f>
        <v/>
      </c>
    </row>
    <row r="18" spans="1:16">
      <c r="A18" s="360"/>
      <c r="B18" s="352"/>
      <c r="C18" s="352"/>
      <c r="D18" s="1135"/>
      <c r="E18" s="354" t="str">
        <f>IF(H18="","","2017")</f>
        <v/>
      </c>
      <c r="F18" s="336" t="str">
        <f t="shared" si="12"/>
        <v/>
      </c>
      <c r="G18" s="336" t="str">
        <f t="shared" si="13"/>
        <v/>
      </c>
      <c r="H18" s="343" t="str">
        <f>IF(A4="relevant",IF(Matrix!T21="","",IF(Matrix!T21&gt;Matrix!D21,Berechnung2!$M$38,"")),"")</f>
        <v/>
      </c>
      <c r="I18" s="384" t="str">
        <f t="array" ref="I18">IF(H18="","",VLOOKUP(F18,Berechnung2!$I$15:$J$23,2,FALSE))</f>
        <v/>
      </c>
      <c r="J18" s="397" t="str">
        <f t="shared" si="2"/>
        <v/>
      </c>
      <c r="L18" s="392" t="str">
        <f t="array" aca="1" ref="L18" ca="1">IF(ROW()-ROW($F$2:$F$52)+1&gt;ROWS($E$2:$E$52)-COUNTBLANK($E$2:$E$52),"",INDIRECT(ADDRESS(SMALL((IF($E$2:$E$52&lt;&gt;"",ROW($E$2:$E$52),ROW()+ROWS($E$2:$E$52))),ROW()-ROW($F$2:$F$52)+1),COLUMN($E$2:$E$52),4)))</f>
        <v/>
      </c>
      <c r="M18" s="392" t="str">
        <f t="array" aca="1" ref="M18" ca="1">IF(ROW()-ROW($G$2:$G$52)+1&gt;ROWS($F$2:$F$52)-COUNTBLANK($F$2:$F$52),"",INDIRECT(ADDRESS(SMALL((IF($F$2:$F$52&lt;&gt;"",ROW($F$2:$F$52),ROW()+ROWS($F$2:$F$52))),ROW()-ROW($G$2:$G$52)+1),COLUMN($F$2:$F$52),4)))</f>
        <v/>
      </c>
      <c r="N18" s="392" t="str">
        <f t="array" aca="1" ref="N18" ca="1">IF(ROW()-ROW($H$2:$H$52)+1&gt;ROWS($G$2:$G$52)-COUNTBLANK($G$2:$G$52),"",INDIRECT(ADDRESS(SMALL((IF($G$2:$G$52&lt;&gt;"",ROW($G$2:$G$52),ROW()+ROWS($G$2:$G$52))),ROW()-ROW($H$2:$H$52)+1),COLUMN($G$2:$G$52),4)))</f>
        <v/>
      </c>
      <c r="O18" s="393" t="str">
        <f t="array" aca="1" ref="O18" ca="1">IF(ROW()-ROW($I$2:$I$52)+1&gt;ROWS($H$2:$H$52)-COUNTBLANK($H$2:$H$52),"",INDIRECT(ADDRESS(SMALL((IF($H$2:$H$52&lt;&gt;"",ROW($H$2:$H$52),ROW()+ROWS($H$2:$H$52))),ROW()-ROW($I$2:$I$52)+1),COLUMN($H$2:$H$52),4)))</f>
        <v/>
      </c>
      <c r="P18" s="394" t="str">
        <f t="array" aca="1" ref="P18" ca="1">IF(ROW()-ROW($J$2:$J$52)+1&gt;ROWS($I$2:$I$52)-COUNTBLANK($I$2:$I$52),"",INDIRECT(ADDRESS(SMALL((IF($I$2:$I$52&lt;&gt;"",ROW($I$2:$I$52),ROW()+ROWS($I$2:$I$52))),ROW()-ROW($J$2:$J$52)+1),COLUMN($I$2:$I$52),4)))</f>
        <v/>
      </c>
    </row>
    <row r="19" spans="1:16" ht="46.5" customHeight="1">
      <c r="A19" s="359"/>
      <c r="B19" s="359"/>
      <c r="C19" s="359"/>
      <c r="D19" s="1135"/>
      <c r="E19" s="354" t="str">
        <f>IF(H19="","","2018")</f>
        <v/>
      </c>
      <c r="F19" s="336" t="str">
        <f t="shared" si="12"/>
        <v/>
      </c>
      <c r="G19" s="336" t="str">
        <f t="shared" si="13"/>
        <v/>
      </c>
      <c r="H19" s="343" t="str">
        <f>IF(A5="relevant",IF(Matrix!T22="","",IF(Matrix!T22&gt;Matrix!D22,Berechnung2!$M$38,"")),"")</f>
        <v/>
      </c>
      <c r="I19" s="384" t="str">
        <f t="array" ref="I19">IF(H19="","",VLOOKUP(F19,Berechnung2!$I$15:$J$23,2,FALSE))</f>
        <v/>
      </c>
      <c r="J19" s="397" t="str">
        <f t="shared" si="2"/>
        <v/>
      </c>
      <c r="L19" s="392" t="str">
        <f t="array" aca="1" ref="L19" ca="1">IF(ROW()-ROW($F$2:$F$52)+1&gt;ROWS($E$2:$E$52)-COUNTBLANK($E$2:$E$52),"",INDIRECT(ADDRESS(SMALL((IF($E$2:$E$52&lt;&gt;"",ROW($E$2:$E$52),ROW()+ROWS($E$2:$E$52))),ROW()-ROW($F$2:$F$52)+1),COLUMN($E$2:$E$52),4)))</f>
        <v/>
      </c>
      <c r="M19" s="392" t="str">
        <f t="array" aca="1" ref="M19" ca="1">IF(ROW()-ROW($G$2:$G$52)+1&gt;ROWS($F$2:$F$52)-COUNTBLANK($F$2:$F$52),"",INDIRECT(ADDRESS(SMALL((IF($F$2:$F$52&lt;&gt;"",ROW($F$2:$F$52),ROW()+ROWS($F$2:$F$52))),ROW()-ROW($G$2:$G$52)+1),COLUMN($F$2:$F$52),4)))</f>
        <v/>
      </c>
      <c r="N19" s="392" t="str">
        <f t="array" aca="1" ref="N19" ca="1">IF(ROW()-ROW($H$2:$H$52)+1&gt;ROWS($G$2:$G$52)-COUNTBLANK($G$2:$G$52),"",INDIRECT(ADDRESS(SMALL((IF($G$2:$G$52&lt;&gt;"",ROW($G$2:$G$52),ROW()+ROWS($G$2:$G$52))),ROW()-ROW($H$2:$H$52)+1),COLUMN($G$2:$G$52),4)))</f>
        <v/>
      </c>
      <c r="O19" s="393" t="str">
        <f t="array" aca="1" ref="O19" ca="1">IF(ROW()-ROW($I$2:$I$52)+1&gt;ROWS($H$2:$H$52)-COUNTBLANK($H$2:$H$52),"",INDIRECT(ADDRESS(SMALL((IF($H$2:$H$52&lt;&gt;"",ROW($H$2:$H$52),ROW()+ROWS($H$2:$H$52))),ROW()-ROW($I$2:$I$52)+1),COLUMN($H$2:$H$52),4)))</f>
        <v/>
      </c>
      <c r="P19" s="394" t="str">
        <f t="array" aca="1" ref="P19" ca="1">IF(ROW()-ROW($J$2:$J$52)+1&gt;ROWS($I$2:$I$52)-COUNTBLANK($I$2:$I$52),"",INDIRECT(ADDRESS(SMALL((IF($I$2:$I$52&lt;&gt;"",ROW($I$2:$I$52),ROW()+ROWS($I$2:$I$52))),ROW()-ROW($J$2:$J$52)+1),COLUMN($I$2:$I$52),4)))</f>
        <v/>
      </c>
    </row>
    <row r="20" spans="1:16" ht="45" customHeight="1">
      <c r="A20" s="359"/>
      <c r="B20" s="359"/>
      <c r="C20" s="359"/>
      <c r="D20" s="1135"/>
      <c r="E20" s="354" t="str">
        <f>IF(H20="","","2019")</f>
        <v/>
      </c>
      <c r="F20" s="336" t="str">
        <f t="shared" si="12"/>
        <v/>
      </c>
      <c r="G20" s="336" t="str">
        <f t="shared" si="13"/>
        <v/>
      </c>
      <c r="H20" s="343" t="str">
        <f>IF(A6="relevant",IF(Matrix!T23="","",IF(Matrix!T23&gt;Matrix!D23,Berechnung2!$M$38,"")),"")</f>
        <v/>
      </c>
      <c r="I20" s="384" t="str">
        <f t="array" ref="I20">IF(H20="","",VLOOKUP(F20,Berechnung2!$I$15:$J$23,2,FALSE))</f>
        <v/>
      </c>
      <c r="J20" s="397" t="str">
        <f t="shared" si="2"/>
        <v/>
      </c>
      <c r="L20" s="392" t="str">
        <f t="array" aca="1" ref="L20" ca="1">IF(ROW()-ROW($F$2:$F$52)+1&gt;ROWS($E$2:$E$52)-COUNTBLANK($E$2:$E$52),"",INDIRECT(ADDRESS(SMALL((IF($E$2:$E$52&lt;&gt;"",ROW($E$2:$E$52),ROW()+ROWS($E$2:$E$52))),ROW()-ROW($F$2:$F$52)+1),COLUMN($E$2:$E$52),4)))</f>
        <v/>
      </c>
      <c r="M20" s="392" t="str">
        <f t="array" aca="1" ref="M20" ca="1">IF(ROW()-ROW($G$2:$G$52)+1&gt;ROWS($F$2:$F$52)-COUNTBLANK($F$2:$F$52),"",INDIRECT(ADDRESS(SMALL((IF($F$2:$F$52&lt;&gt;"",ROW($F$2:$F$52),ROW()+ROWS($F$2:$F$52))),ROW()-ROW($G$2:$G$52)+1),COLUMN($F$2:$F$52),4)))</f>
        <v/>
      </c>
      <c r="N20" s="392" t="str">
        <f t="array" aca="1" ref="N20" ca="1">IF(ROW()-ROW($H$2:$H$52)+1&gt;ROWS($G$2:$G$52)-COUNTBLANK($G$2:$G$52),"",INDIRECT(ADDRESS(SMALL((IF($G$2:$G$52&lt;&gt;"",ROW($G$2:$G$52),ROW()+ROWS($G$2:$G$52))),ROW()-ROW($H$2:$H$52)+1),COLUMN($G$2:$G$52),4)))</f>
        <v/>
      </c>
      <c r="O20" s="393" t="str">
        <f t="array" aca="1" ref="O20" ca="1">IF(ROW()-ROW($I$2:$I$52)+1&gt;ROWS($H$2:$H$52)-COUNTBLANK($H$2:$H$52),"",INDIRECT(ADDRESS(SMALL((IF($H$2:$H$52&lt;&gt;"",ROW($H$2:$H$52),ROW()+ROWS($H$2:$H$52))),ROW()-ROW($I$2:$I$52)+1),COLUMN($H$2:$H$52),4)))</f>
        <v/>
      </c>
      <c r="P20" s="394" t="str">
        <f t="array" aca="1" ref="P20" ca="1">IF(ROW()-ROW($J$2:$J$52)+1&gt;ROWS($I$2:$I$52)-COUNTBLANK($I$2:$I$52),"",INDIRECT(ADDRESS(SMALL((IF($I$2:$I$52&lt;&gt;"",ROW($I$2:$I$52),ROW()+ROWS($I$2:$I$52))),ROW()-ROW($J$2:$J$52)+1),COLUMN($I$2:$I$52),4)))</f>
        <v/>
      </c>
    </row>
    <row r="21" spans="1:16" s="612" customFormat="1" ht="45" customHeight="1">
      <c r="A21" s="359"/>
      <c r="B21" s="359"/>
      <c r="C21" s="359"/>
      <c r="D21" s="687"/>
      <c r="E21" s="354"/>
      <c r="F21" s="336"/>
      <c r="G21" s="336"/>
      <c r="H21" s="343"/>
      <c r="I21" s="384"/>
      <c r="J21" s="397"/>
      <c r="L21" s="392" t="str">
        <f t="array" aca="1" ref="L21" ca="1">IF(ROW()-ROW($F$2:$F$52)+1&gt;ROWS($E$2:$E$52)-COUNTBLANK($E$2:$E$52),"",INDIRECT(ADDRESS(SMALL((IF($E$2:$E$52&lt;&gt;"",ROW($E$2:$E$52),ROW()+ROWS($E$2:$E$52))),ROW()-ROW($F$2:$F$52)+1),COLUMN($E$2:$E$52),4)))</f>
        <v/>
      </c>
      <c r="M21" s="392" t="str">
        <f t="array" aca="1" ref="M21" ca="1">IF(ROW()-ROW($G$2:$G$52)+1&gt;ROWS($F$2:$F$52)-COUNTBLANK($F$2:$F$52),"",INDIRECT(ADDRESS(SMALL((IF($F$2:$F$52&lt;&gt;"",ROW($F$2:$F$52),ROW()+ROWS($F$2:$F$52))),ROW()-ROW($G$2:$G$52)+1),COLUMN($F$2:$F$52),4)))</f>
        <v/>
      </c>
      <c r="N21" s="392" t="str">
        <f t="array" aca="1" ref="N21" ca="1">IF(ROW()-ROW($H$2:$H$52)+1&gt;ROWS($G$2:$G$52)-COUNTBLANK($G$2:$G$52),"",INDIRECT(ADDRESS(SMALL((IF($G$2:$G$52&lt;&gt;"",ROW($G$2:$G$52),ROW()+ROWS($G$2:$G$52))),ROW()-ROW($H$2:$H$52)+1),COLUMN($G$2:$G$52),4)))</f>
        <v/>
      </c>
      <c r="O21" s="393" t="str">
        <f t="array" aca="1" ref="O21" ca="1">IF(ROW()-ROW($I$2:$I$52)+1&gt;ROWS($H$2:$H$52)-COUNTBLANK($H$2:$H$52),"",INDIRECT(ADDRESS(SMALL((IF($H$2:$H$52&lt;&gt;"",ROW($H$2:$H$52),ROW()+ROWS($H$2:$H$52))),ROW()-ROW($I$2:$I$52)+1),COLUMN($H$2:$H$52),4)))</f>
        <v/>
      </c>
      <c r="P21" s="394" t="str">
        <f t="array" aca="1" ref="P21" ca="1">IF(ROW()-ROW($J$2:$J$52)+1&gt;ROWS($I$2:$I$52)-COUNTBLANK($I$2:$I$52),"",INDIRECT(ADDRESS(SMALL((IF($I$2:$I$52&lt;&gt;"",ROW($I$2:$I$52),ROW()+ROWS($I$2:$I$52))),ROW()-ROW($J$2:$J$52)+1),COLUMN($I$2:$I$52),4)))</f>
        <v/>
      </c>
    </row>
    <row r="22" spans="1:16" ht="15.75" thickBot="1">
      <c r="A22" s="359"/>
      <c r="B22" s="359"/>
      <c r="C22" s="359"/>
      <c r="D22" s="380" t="s">
        <v>398</v>
      </c>
      <c r="E22" s="354"/>
      <c r="F22" s="336"/>
      <c r="G22" s="336"/>
      <c r="H22" s="343"/>
      <c r="I22" s="384"/>
      <c r="J22" s="397"/>
      <c r="L22" s="392" t="str">
        <f t="array" aca="1" ref="L22" ca="1">IF(ROW()-ROW($F$2:$F$52)+1&gt;ROWS($E$2:$E$52)-COUNTBLANK($E$2:$E$52),"",INDIRECT(ADDRESS(SMALL((IF($E$2:$E$52&lt;&gt;"",ROW($E$2:$E$52),ROW()+ROWS($E$2:$E$52))),ROW()-ROW($F$2:$F$52)+1),COLUMN($E$2:$E$52),4)))</f>
        <v/>
      </c>
      <c r="M22" s="392" t="str">
        <f t="array" aca="1" ref="M22" ca="1">IF(ROW()-ROW($G$2:$G$52)+1&gt;ROWS($F$2:$F$52)-COUNTBLANK($F$2:$F$52),"",INDIRECT(ADDRESS(SMALL((IF($F$2:$F$52&lt;&gt;"",ROW($F$2:$F$52),ROW()+ROWS($F$2:$F$52))),ROW()-ROW($G$2:$G$52)+1),COLUMN($F$2:$F$52),4)))</f>
        <v/>
      </c>
      <c r="N22" s="392" t="str">
        <f t="array" aca="1" ref="N22" ca="1">IF(ROW()-ROW($H$2:$H$52)+1&gt;ROWS($G$2:$G$52)-COUNTBLANK($G$2:$G$52),"",INDIRECT(ADDRESS(SMALL((IF($G$2:$G$52&lt;&gt;"",ROW($G$2:$G$52),ROW()+ROWS($G$2:$G$52))),ROW()-ROW($H$2:$H$52)+1),COLUMN($G$2:$G$52),4)))</f>
        <v/>
      </c>
      <c r="O22" s="393" t="str">
        <f t="array" aca="1" ref="O22" ca="1">IF(ROW()-ROW($I$2:$I$52)+1&gt;ROWS($H$2:$H$52)-COUNTBLANK($H$2:$H$52),"",INDIRECT(ADDRESS(SMALL((IF($H$2:$H$52&lt;&gt;"",ROW($H$2:$H$52),ROW()+ROWS($H$2:$H$52))),ROW()-ROW($I$2:$I$52)+1),COLUMN($H$2:$H$52),4)))</f>
        <v/>
      </c>
      <c r="P22" s="394" t="str">
        <f t="array" aca="1" ref="P22" ca="1">IF(ROW()-ROW($J$2:$J$52)+1&gt;ROWS($I$2:$I$52)-COUNTBLANK($I$2:$I$52),"",INDIRECT(ADDRESS(SMALL((IF($I$2:$I$52&lt;&gt;"",ROW($I$2:$I$52),ROW()+ROWS($I$2:$I$52))),ROW()-ROW($J$2:$J$52)+1),COLUMN($I$2:$I$52),4)))</f>
        <v/>
      </c>
    </row>
    <row r="23" spans="1:16">
      <c r="A23" s="359"/>
      <c r="B23" s="359"/>
      <c r="C23" s="359"/>
      <c r="D23" s="373" t="s">
        <v>98</v>
      </c>
      <c r="E23" s="404" t="str">
        <f>IF(H23="","","2015")</f>
        <v/>
      </c>
      <c r="F23" s="338" t="str">
        <f t="shared" ref="F23:F27" si="14">IF(H23="","","d")</f>
        <v/>
      </c>
      <c r="G23" s="338" t="str">
        <f t="shared" si="13"/>
        <v/>
      </c>
      <c r="H23" s="342" t="str">
        <f>IF(A2="relevant",IF(Matrix!U19="","",IF(Matrix!U19&gt;Matrix!D19,Berechnung2!$M$39,"")),"")</f>
        <v/>
      </c>
      <c r="I23" s="383" t="str">
        <f t="array" ref="I23">IF(H23="","",VLOOKUP(F23,Berechnung2!$I$15:$J$23,2,FALSE))</f>
        <v/>
      </c>
      <c r="J23" s="396" t="str">
        <f t="shared" si="2"/>
        <v/>
      </c>
      <c r="L23" s="392" t="str">
        <f t="array" aca="1" ref="L23" ca="1">IF(ROW()-ROW($F$2:$F$52)+1&gt;ROWS($E$2:$E$52)-COUNTBLANK($E$2:$E$52),"",INDIRECT(ADDRESS(SMALL((IF($E$2:$E$52&lt;&gt;"",ROW($E$2:$E$52),ROW()+ROWS($E$2:$E$52))),ROW()-ROW($F$2:$F$52)+1),COLUMN($E$2:$E$52),4)))</f>
        <v/>
      </c>
      <c r="M23" s="392" t="str">
        <f t="array" aca="1" ref="M23" ca="1">IF(ROW()-ROW($G$2:$G$52)+1&gt;ROWS($F$2:$F$52)-COUNTBLANK($F$2:$F$52),"",INDIRECT(ADDRESS(SMALL((IF($F$2:$F$52&lt;&gt;"",ROW($F$2:$F$52),ROW()+ROWS($F$2:$F$52))),ROW()-ROW($G$2:$G$52)+1),COLUMN($F$2:$F$52),4)))</f>
        <v/>
      </c>
      <c r="N23" s="392" t="str">
        <f t="array" aca="1" ref="N23" ca="1">IF(ROW()-ROW($H$2:$H$52)+1&gt;ROWS($G$2:$G$52)-COUNTBLANK($G$2:$G$52),"",INDIRECT(ADDRESS(SMALL((IF($G$2:$G$52&lt;&gt;"",ROW($G$2:$G$52),ROW()+ROWS($G$2:$G$52))),ROW()-ROW($H$2:$H$52)+1),COLUMN($G$2:$G$52),4)))</f>
        <v/>
      </c>
      <c r="O23" s="393" t="str">
        <f t="array" aca="1" ref="O23" ca="1">IF(ROW()-ROW($I$2:$I$52)+1&gt;ROWS($H$2:$H$52)-COUNTBLANK($H$2:$H$52),"",INDIRECT(ADDRESS(SMALL((IF($H$2:$H$52&lt;&gt;"",ROW($H$2:$H$52),ROW()+ROWS($H$2:$H$52))),ROW()-ROW($I$2:$I$52)+1),COLUMN($H$2:$H$52),4)))</f>
        <v/>
      </c>
      <c r="P23" s="394" t="str">
        <f t="array" aca="1" ref="P23" ca="1">IF(ROW()-ROW($J$2:$J$52)+1&gt;ROWS($I$2:$I$52)-COUNTBLANK($I$2:$I$52),"",INDIRECT(ADDRESS(SMALL((IF($I$2:$I$52&lt;&gt;"",ROW($I$2:$I$52),ROW()+ROWS($I$2:$I$52))),ROW()-ROW($J$2:$J$52)+1),COLUMN($I$2:$I$52),4)))</f>
        <v/>
      </c>
    </row>
    <row r="24" spans="1:16">
      <c r="A24" s="359"/>
      <c r="B24" s="359"/>
      <c r="C24" s="359"/>
      <c r="D24" s="1134" t="s">
        <v>476</v>
      </c>
      <c r="E24" s="405" t="str">
        <f>IF(H24="","","2016")</f>
        <v/>
      </c>
      <c r="F24" s="336" t="str">
        <f t="shared" si="14"/>
        <v/>
      </c>
      <c r="G24" s="336" t="str">
        <f t="shared" si="13"/>
        <v/>
      </c>
      <c r="H24" s="343" t="str">
        <f>IF(A3="relevant",IF(Matrix!U20="","",IF(Matrix!U20&gt;Matrix!D20,Berechnung2!$M$39,"")),"")</f>
        <v/>
      </c>
      <c r="I24" s="384" t="str">
        <f t="array" ref="I24">IF(H24="","",VLOOKUP(F24,Berechnung2!$I$15:$J$23,2,FALSE))</f>
        <v/>
      </c>
      <c r="J24" s="397" t="str">
        <f t="shared" si="2"/>
        <v/>
      </c>
      <c r="L24" s="392" t="str">
        <f t="array" aca="1" ref="L24" ca="1">IF(ROW()-ROW($F$2:$F$52)+1&gt;ROWS($E$2:$E$52)-COUNTBLANK($E$2:$E$52),"",INDIRECT(ADDRESS(SMALL((IF($E$2:$E$52&lt;&gt;"",ROW($E$2:$E$52),ROW()+ROWS($E$2:$E$52))),ROW()-ROW($F$2:$F$52)+1),COLUMN($E$2:$E$52),4)))</f>
        <v/>
      </c>
      <c r="M24" s="392" t="str">
        <f t="array" aca="1" ref="M24" ca="1">IF(ROW()-ROW($G$2:$G$52)+1&gt;ROWS($F$2:$F$52)-COUNTBLANK($F$2:$F$52),"",INDIRECT(ADDRESS(SMALL((IF($F$2:$F$52&lt;&gt;"",ROW($F$2:$F$52),ROW()+ROWS($F$2:$F$52))),ROW()-ROW($G$2:$G$52)+1),COLUMN($F$2:$F$52),4)))</f>
        <v/>
      </c>
      <c r="N24" s="392" t="str">
        <f t="array" aca="1" ref="N24" ca="1">IF(ROW()-ROW($H$2:$H$52)+1&gt;ROWS($G$2:$G$52)-COUNTBLANK($G$2:$G$52),"",INDIRECT(ADDRESS(SMALL((IF($G$2:$G$52&lt;&gt;"",ROW($G$2:$G$52),ROW()+ROWS($G$2:$G$52))),ROW()-ROW($H$2:$H$52)+1),COLUMN($G$2:$G$52),4)))</f>
        <v/>
      </c>
      <c r="O24" s="393" t="str">
        <f t="array" aca="1" ref="O24" ca="1">IF(ROW()-ROW($I$2:$I$52)+1&gt;ROWS($H$2:$H$52)-COUNTBLANK($H$2:$H$52),"",INDIRECT(ADDRESS(SMALL((IF($H$2:$H$52&lt;&gt;"",ROW($H$2:$H$52),ROW()+ROWS($H$2:$H$52))),ROW()-ROW($I$2:$I$52)+1),COLUMN($H$2:$H$52),4)))</f>
        <v/>
      </c>
      <c r="P24" s="394" t="str">
        <f t="array" aca="1" ref="P24" ca="1">IF(ROW()-ROW($J$2:$J$52)+1&gt;ROWS($I$2:$I$52)-COUNTBLANK($I$2:$I$52),"",INDIRECT(ADDRESS(SMALL((IF($I$2:$I$52&lt;&gt;"",ROW($I$2:$I$52),ROW()+ROWS($I$2:$I$52))),ROW()-ROW($J$2:$J$52)+1),COLUMN($I$2:$I$52),4)))</f>
        <v/>
      </c>
    </row>
    <row r="25" spans="1:16">
      <c r="A25" s="359"/>
      <c r="B25" s="359"/>
      <c r="C25" s="359"/>
      <c r="D25" s="1135"/>
      <c r="E25" s="405" t="str">
        <f>IF(H25="","","2017")</f>
        <v/>
      </c>
      <c r="F25" s="336" t="str">
        <f t="shared" si="14"/>
        <v/>
      </c>
      <c r="G25" s="336" t="str">
        <f t="shared" si="13"/>
        <v/>
      </c>
      <c r="H25" s="343" t="str">
        <f>IF(A4="relevant",IF(Matrix!U21="","",IF(Matrix!U21&gt;Matrix!D21,Berechnung2!$M$39,"")),"")</f>
        <v/>
      </c>
      <c r="I25" s="384" t="str">
        <f t="array" ref="I25">IF(H25="","",VLOOKUP(F25,Berechnung2!$I$15:$J$23,2,FALSE))</f>
        <v/>
      </c>
      <c r="J25" s="397" t="str">
        <f t="shared" si="2"/>
        <v/>
      </c>
      <c r="L25" s="392" t="str">
        <f t="array" aca="1" ref="L25" ca="1">IF(ROW()-ROW($F$2:$F$52)+1&gt;ROWS($E$2:$E$52)-COUNTBLANK($E$2:$E$52),"",INDIRECT(ADDRESS(SMALL((IF($E$2:$E$52&lt;&gt;"",ROW($E$2:$E$52),ROW()+ROWS($E$2:$E$52))),ROW()-ROW($F$2:$F$52)+1),COLUMN($E$2:$E$52),4)))</f>
        <v/>
      </c>
      <c r="M25" s="392" t="str">
        <f t="array" aca="1" ref="M25" ca="1">IF(ROW()-ROW($G$2:$G$52)+1&gt;ROWS($F$2:$F$52)-COUNTBLANK($F$2:$F$52),"",INDIRECT(ADDRESS(SMALL((IF($F$2:$F$52&lt;&gt;"",ROW($F$2:$F$52),ROW()+ROWS($F$2:$F$52))),ROW()-ROW($G$2:$G$52)+1),COLUMN($F$2:$F$52),4)))</f>
        <v/>
      </c>
      <c r="N25" s="392" t="str">
        <f t="array" aca="1" ref="N25" ca="1">IF(ROW()-ROW($H$2:$H$52)+1&gt;ROWS($G$2:$G$52)-COUNTBLANK($G$2:$G$52),"",INDIRECT(ADDRESS(SMALL((IF($G$2:$G$52&lt;&gt;"",ROW($G$2:$G$52),ROW()+ROWS($G$2:$G$52))),ROW()-ROW($H$2:$H$52)+1),COLUMN($G$2:$G$52),4)))</f>
        <v/>
      </c>
      <c r="O25" s="393" t="str">
        <f t="array" aca="1" ref="O25" ca="1">IF(ROW()-ROW($I$2:$I$52)+1&gt;ROWS($H$2:$H$52)-COUNTBLANK($H$2:$H$52),"",INDIRECT(ADDRESS(SMALL((IF($H$2:$H$52&lt;&gt;"",ROW($H$2:$H$52),ROW()+ROWS($H$2:$H$52))),ROW()-ROW($I$2:$I$52)+1),COLUMN($H$2:$H$52),4)))</f>
        <v/>
      </c>
      <c r="P25" s="394" t="str">
        <f t="array" aca="1" ref="P25" ca="1">IF(ROW()-ROW($J$2:$J$52)+1&gt;ROWS($I$2:$I$52)-COUNTBLANK($I$2:$I$52),"",INDIRECT(ADDRESS(SMALL((IF($I$2:$I$52&lt;&gt;"",ROW($I$2:$I$52),ROW()+ROWS($I$2:$I$52))),ROW()-ROW($J$2:$J$52)+1),COLUMN($I$2:$I$52),4)))</f>
        <v/>
      </c>
    </row>
    <row r="26" spans="1:16">
      <c r="A26" s="359"/>
      <c r="B26" s="359"/>
      <c r="C26" s="359"/>
      <c r="D26" s="1135"/>
      <c r="E26" s="405" t="str">
        <f>IF(H26="","","2018")</f>
        <v/>
      </c>
      <c r="F26" s="336" t="str">
        <f t="shared" si="14"/>
        <v/>
      </c>
      <c r="G26" s="336" t="str">
        <f t="shared" si="13"/>
        <v/>
      </c>
      <c r="H26" s="343" t="str">
        <f>IF(A5="relevant",IF(Matrix!U22="","",IF(Matrix!U22&gt;Matrix!D22,Berechnung2!$M$39,"")),"")</f>
        <v/>
      </c>
      <c r="I26" s="384" t="str">
        <f t="array" ref="I26">IF(H26="","",VLOOKUP(F26,Berechnung2!$I$15:$J$23,2,FALSE))</f>
        <v/>
      </c>
      <c r="J26" s="397" t="str">
        <f t="shared" si="2"/>
        <v/>
      </c>
      <c r="L26" s="392" t="str">
        <f t="array" aca="1" ref="L26" ca="1">IF(ROW()-ROW($F$2:$F$52)+1&gt;ROWS($E$2:$E$52)-COUNTBLANK($E$2:$E$52),"",INDIRECT(ADDRESS(SMALL((IF($E$2:$E$52&lt;&gt;"",ROW($E$2:$E$52),ROW()+ROWS($E$2:$E$52))),ROW()-ROW($F$2:$F$52)+1),COLUMN($E$2:$E$52),4)))</f>
        <v/>
      </c>
      <c r="M26" s="392" t="str">
        <f t="array" aca="1" ref="M26" ca="1">IF(ROW()-ROW($G$2:$G$52)+1&gt;ROWS($F$2:$F$52)-COUNTBLANK($F$2:$F$52),"",INDIRECT(ADDRESS(SMALL((IF($F$2:$F$52&lt;&gt;"",ROW($F$2:$F$52),ROW()+ROWS($F$2:$F$52))),ROW()-ROW($G$2:$G$52)+1),COLUMN($F$2:$F$52),4)))</f>
        <v/>
      </c>
      <c r="N26" s="392" t="str">
        <f t="array" aca="1" ref="N26" ca="1">IF(ROW()-ROW($H$2:$H$52)+1&gt;ROWS($G$2:$G$52)-COUNTBLANK($G$2:$G$52),"",INDIRECT(ADDRESS(SMALL((IF($G$2:$G$52&lt;&gt;"",ROW($G$2:$G$52),ROW()+ROWS($G$2:$G$52))),ROW()-ROW($H$2:$H$52)+1),COLUMN($G$2:$G$52),4)))</f>
        <v/>
      </c>
      <c r="O26" s="393" t="str">
        <f t="array" aca="1" ref="O26" ca="1">IF(ROW()-ROW($I$2:$I$52)+1&gt;ROWS($H$2:$H$52)-COUNTBLANK($H$2:$H$52),"",INDIRECT(ADDRESS(SMALL((IF($H$2:$H$52&lt;&gt;"",ROW($H$2:$H$52),ROW()+ROWS($H$2:$H$52))),ROW()-ROW($I$2:$I$52)+1),COLUMN($H$2:$H$52),4)))</f>
        <v/>
      </c>
      <c r="P26" s="394" t="str">
        <f t="array" aca="1" ref="P26" ca="1">IF(ROW()-ROW($J$2:$J$52)+1&gt;ROWS($I$2:$I$52)-COUNTBLANK($I$2:$I$52),"",INDIRECT(ADDRESS(SMALL((IF($I$2:$I$52&lt;&gt;"",ROW($I$2:$I$52),ROW()+ROWS($I$2:$I$52))),ROW()-ROW($J$2:$J$52)+1),COLUMN($I$2:$I$52),4)))</f>
        <v/>
      </c>
    </row>
    <row r="27" spans="1:16" ht="39" customHeight="1">
      <c r="A27" s="359"/>
      <c r="B27" s="359"/>
      <c r="C27" s="359"/>
      <c r="D27" s="1135"/>
      <c r="E27" s="405" t="str">
        <f>IF(H27="","","2019")</f>
        <v/>
      </c>
      <c r="F27" s="336" t="str">
        <f t="shared" si="14"/>
        <v/>
      </c>
      <c r="G27" s="336" t="str">
        <f t="shared" si="13"/>
        <v/>
      </c>
      <c r="H27" s="343" t="str">
        <f>IF(A6="relevant",IF(Matrix!U23="","",IF(Matrix!U23&gt;Matrix!D23,Berechnung2!$M$39,"")),"")</f>
        <v/>
      </c>
      <c r="I27" s="384" t="str">
        <f t="array" ref="I27">IF(H27="","",VLOOKUP(F27,Berechnung2!$I$15:$J$23,2,FALSE))</f>
        <v/>
      </c>
      <c r="J27" s="397" t="str">
        <f t="shared" si="2"/>
        <v/>
      </c>
      <c r="L27" s="392" t="str">
        <f t="array" aca="1" ref="L27" ca="1">IF(ROW()-ROW($F$2:$F$52)+1&gt;ROWS($E$2:$E$52)-COUNTBLANK($E$2:$E$52),"",INDIRECT(ADDRESS(SMALL((IF($E$2:$E$52&lt;&gt;"",ROW($E$2:$E$52),ROW()+ROWS($E$2:$E$52))),ROW()-ROW($F$2:$F$52)+1),COLUMN($E$2:$E$52),4)))</f>
        <v/>
      </c>
      <c r="M27" s="392" t="str">
        <f t="array" aca="1" ref="M27" ca="1">IF(ROW()-ROW($G$2:$G$52)+1&gt;ROWS($F$2:$F$52)-COUNTBLANK($F$2:$F$52),"",INDIRECT(ADDRESS(SMALL((IF($F$2:$F$52&lt;&gt;"",ROW($F$2:$F$52),ROW()+ROWS($F$2:$F$52))),ROW()-ROW($G$2:$G$52)+1),COLUMN($F$2:$F$52),4)))</f>
        <v/>
      </c>
      <c r="N27" s="392" t="str">
        <f t="array" aca="1" ref="N27" ca="1">IF(ROW()-ROW($H$2:$H$52)+1&gt;ROWS($G$2:$G$52)-COUNTBLANK($G$2:$G$52),"",INDIRECT(ADDRESS(SMALL((IF($G$2:$G$52&lt;&gt;"",ROW($G$2:$G$52),ROW()+ROWS($G$2:$G$52))),ROW()-ROW($H$2:$H$52)+1),COLUMN($G$2:$G$52),4)))</f>
        <v/>
      </c>
      <c r="O27" s="393" t="str">
        <f t="array" aca="1" ref="O27" ca="1">IF(ROW()-ROW($I$2:$I$52)+1&gt;ROWS($H$2:$H$52)-COUNTBLANK($H$2:$H$52),"",INDIRECT(ADDRESS(SMALL((IF($H$2:$H$52&lt;&gt;"",ROW($H$2:$H$52),ROW()+ROWS($H$2:$H$52))),ROW()-ROW($I$2:$I$52)+1),COLUMN($H$2:$H$52),4)))</f>
        <v/>
      </c>
      <c r="P27" s="394" t="str">
        <f t="array" aca="1" ref="P27" ca="1">IF(ROW()-ROW($J$2:$J$52)+1&gt;ROWS($I$2:$I$52)-COUNTBLANK($I$2:$I$52),"",INDIRECT(ADDRESS(SMALL((IF($I$2:$I$52&lt;&gt;"",ROW($I$2:$I$52),ROW()+ROWS($I$2:$I$52))),ROW()-ROW($J$2:$J$52)+1),COLUMN($I$2:$I$52),4)))</f>
        <v/>
      </c>
    </row>
    <row r="28" spans="1:16" s="612" customFormat="1" ht="39" customHeight="1">
      <c r="A28" s="359"/>
      <c r="B28" s="359"/>
      <c r="C28" s="359"/>
      <c r="D28" s="687"/>
      <c r="E28" s="405"/>
      <c r="F28" s="336"/>
      <c r="G28" s="336"/>
      <c r="H28" s="343"/>
      <c r="I28" s="384"/>
      <c r="J28" s="397"/>
      <c r="L28" s="392" t="str">
        <f t="array" aca="1" ref="L28" ca="1">IF(ROW()-ROW($F$2:$F$52)+1&gt;ROWS($E$2:$E$52)-COUNTBLANK($E$2:$E$52),"",INDIRECT(ADDRESS(SMALL((IF($E$2:$E$52&lt;&gt;"",ROW($E$2:$E$52),ROW()+ROWS($E$2:$E$52))),ROW()-ROW($F$2:$F$52)+1),COLUMN($E$2:$E$52),4)))</f>
        <v/>
      </c>
      <c r="M28" s="392" t="str">
        <f t="array" aca="1" ref="M28" ca="1">IF(ROW()-ROW($G$2:$G$52)+1&gt;ROWS($F$2:$F$52)-COUNTBLANK($F$2:$F$52),"",INDIRECT(ADDRESS(SMALL((IF($F$2:$F$52&lt;&gt;"",ROW($F$2:$F$52),ROW()+ROWS($F$2:$F$52))),ROW()-ROW($G$2:$G$52)+1),COLUMN($F$2:$F$52),4)))</f>
        <v/>
      </c>
      <c r="N28" s="392" t="str">
        <f t="array" aca="1" ref="N28" ca="1">IF(ROW()-ROW($H$2:$H$52)+1&gt;ROWS($G$2:$G$52)-COUNTBLANK($G$2:$G$52),"",INDIRECT(ADDRESS(SMALL((IF($G$2:$G$52&lt;&gt;"",ROW($G$2:$G$52),ROW()+ROWS($G$2:$G$52))),ROW()-ROW($H$2:$H$52)+1),COLUMN($G$2:$G$52),4)))</f>
        <v/>
      </c>
      <c r="O28" s="393" t="str">
        <f t="array" aca="1" ref="O28" ca="1">IF(ROW()-ROW($I$2:$I$52)+1&gt;ROWS($H$2:$H$52)-COUNTBLANK($H$2:$H$52),"",INDIRECT(ADDRESS(SMALL((IF($H$2:$H$52&lt;&gt;"",ROW($H$2:$H$52),ROW()+ROWS($H$2:$H$52))),ROW()-ROW($I$2:$I$52)+1),COLUMN($H$2:$H$52),4)))</f>
        <v/>
      </c>
      <c r="P28" s="394" t="str">
        <f t="array" aca="1" ref="P28" ca="1">IF(ROW()-ROW($J$2:$J$52)+1&gt;ROWS($I$2:$I$52)-COUNTBLANK($I$2:$I$52),"",INDIRECT(ADDRESS(SMALL((IF($I$2:$I$52&lt;&gt;"",ROW($I$2:$I$52),ROW()+ROWS($I$2:$I$52))),ROW()-ROW($J$2:$J$52)+1),COLUMN($I$2:$I$52),4)))</f>
        <v/>
      </c>
    </row>
    <row r="29" spans="1:16" ht="15.75" thickBot="1">
      <c r="A29" s="359"/>
      <c r="B29" s="359"/>
      <c r="C29" s="359"/>
      <c r="D29" s="372" t="s">
        <v>400</v>
      </c>
      <c r="E29" s="406"/>
      <c r="F29" s="339"/>
      <c r="G29" s="339"/>
      <c r="H29" s="343"/>
      <c r="I29" s="384"/>
      <c r="J29" s="397"/>
      <c r="L29" s="392" t="str">
        <f t="array" aca="1" ref="L29" ca="1">IF(ROW()-ROW($F$2:$F$52)+1&gt;ROWS($E$2:$E$52)-COUNTBLANK($E$2:$E$52),"",INDIRECT(ADDRESS(SMALL((IF($E$2:$E$52&lt;&gt;"",ROW($E$2:$E$52),ROW()+ROWS($E$2:$E$52))),ROW()-ROW($F$2:$F$52)+1),COLUMN($E$2:$E$52),4)))</f>
        <v/>
      </c>
      <c r="M29" s="392" t="str">
        <f t="array" aca="1" ref="M29" ca="1">IF(ROW()-ROW($G$2:$G$52)+1&gt;ROWS($F$2:$F$52)-COUNTBLANK($F$2:$F$52),"",INDIRECT(ADDRESS(SMALL((IF($F$2:$F$52&lt;&gt;"",ROW($F$2:$F$52),ROW()+ROWS($F$2:$F$52))),ROW()-ROW($G$2:$G$52)+1),COLUMN($F$2:$F$52),4)))</f>
        <v/>
      </c>
      <c r="N29" s="392" t="str">
        <f t="array" aca="1" ref="N29" ca="1">IF(ROW()-ROW($H$2:$H$52)+1&gt;ROWS($G$2:$G$52)-COUNTBLANK($G$2:$G$52),"",INDIRECT(ADDRESS(SMALL((IF($G$2:$G$52&lt;&gt;"",ROW($G$2:$G$52),ROW()+ROWS($G$2:$G$52))),ROW()-ROW($H$2:$H$52)+1),COLUMN($G$2:$G$52),4)))</f>
        <v/>
      </c>
      <c r="O29" s="393" t="str">
        <f t="array" aca="1" ref="O29" ca="1">IF(ROW()-ROW($I$2:$I$52)+1&gt;ROWS($H$2:$H$52)-COUNTBLANK($H$2:$H$52),"",INDIRECT(ADDRESS(SMALL((IF($H$2:$H$52&lt;&gt;"",ROW($H$2:$H$52),ROW()+ROWS($H$2:$H$52))),ROW()-ROW($I$2:$I$52)+1),COLUMN($H$2:$H$52),4)))</f>
        <v/>
      </c>
      <c r="P29" s="394" t="str">
        <f t="array" aca="1" ref="P29" ca="1">IF(ROW()-ROW($J$2:$J$52)+1&gt;ROWS($I$2:$I$52)-COUNTBLANK($I$2:$I$52),"",INDIRECT(ADDRESS(SMALL((IF($I$2:$I$52&lt;&gt;"",ROW($I$2:$I$52),ROW()+ROWS($I$2:$I$52))),ROW()-ROW($J$2:$J$52)+1),COLUMN($I$2:$I$52),4)))</f>
        <v/>
      </c>
    </row>
    <row r="30" spans="1:16">
      <c r="A30" s="359"/>
      <c r="B30" s="359"/>
      <c r="C30" s="359"/>
      <c r="D30" s="373" t="s">
        <v>98</v>
      </c>
      <c r="E30" s="399" t="str">
        <f>IF(H30="","","2015")</f>
        <v/>
      </c>
      <c r="F30" s="400" t="str">
        <f t="shared" ref="F30:F34" si="15">IF(H30="","","e")</f>
        <v/>
      </c>
      <c r="G30" s="400" t="str">
        <f t="shared" ref="G30:G41" si="16">IF(H30="","","1")</f>
        <v/>
      </c>
      <c r="H30" s="342" t="str">
        <f>IF(A2="relevant",IF(Matrix!X19="","",IF(Matrix!X19&gt;Matrix!T19,Berechnung2!$M$40,"")),"")</f>
        <v/>
      </c>
      <c r="I30" s="383" t="str">
        <f t="array" ref="I30">IF(H30="","",VLOOKUP(F30,Berechnung2!$I$15:$J$23,2,FALSE))</f>
        <v/>
      </c>
      <c r="J30" s="396" t="str">
        <f t="shared" si="2"/>
        <v/>
      </c>
      <c r="L30" s="392" t="str">
        <f t="array" aca="1" ref="L30" ca="1">IF(ROW()-ROW($F$2:$F$52)+1&gt;ROWS($E$2:$E$52)-COUNTBLANK($E$2:$E$52),"",INDIRECT(ADDRESS(SMALL((IF($E$2:$E$52&lt;&gt;"",ROW($E$2:$E$52),ROW()+ROWS($E$2:$E$52))),ROW()-ROW($F$2:$F$52)+1),COLUMN($E$2:$E$52),4)))</f>
        <v/>
      </c>
      <c r="M30" s="392" t="str">
        <f t="array" aca="1" ref="M30" ca="1">IF(ROW()-ROW($G$2:$G$52)+1&gt;ROWS($F$2:$F$52)-COUNTBLANK($F$2:$F$52),"",INDIRECT(ADDRESS(SMALL((IF($F$2:$F$52&lt;&gt;"",ROW($F$2:$F$52),ROW()+ROWS($F$2:$F$52))),ROW()-ROW($G$2:$G$52)+1),COLUMN($F$2:$F$52),4)))</f>
        <v/>
      </c>
      <c r="N30" s="392" t="str">
        <f t="array" aca="1" ref="N30" ca="1">IF(ROW()-ROW($H$2:$H$52)+1&gt;ROWS($G$2:$G$52)-COUNTBLANK($G$2:$G$52),"",INDIRECT(ADDRESS(SMALL((IF($G$2:$G$52&lt;&gt;"",ROW($G$2:$G$52),ROW()+ROWS($G$2:$G$52))),ROW()-ROW($H$2:$H$52)+1),COLUMN($G$2:$G$52),4)))</f>
        <v/>
      </c>
      <c r="O30" s="393" t="str">
        <f t="array" aca="1" ref="O30" ca="1">IF(ROW()-ROW($I$2:$I$52)+1&gt;ROWS($H$2:$H$52)-COUNTBLANK($H$2:$H$52),"",INDIRECT(ADDRESS(SMALL((IF($H$2:$H$52&lt;&gt;"",ROW($H$2:$H$52),ROW()+ROWS($H$2:$H$52))),ROW()-ROW($I$2:$I$52)+1),COLUMN($H$2:$H$52),4)))</f>
        <v/>
      </c>
      <c r="P30" s="394" t="str">
        <f t="array" aca="1" ref="P30" ca="1">IF(ROW()-ROW($J$2:$J$52)+1&gt;ROWS($I$2:$I$52)-COUNTBLANK($I$2:$I$52),"",INDIRECT(ADDRESS(SMALL((IF($I$2:$I$52&lt;&gt;"",ROW($I$2:$I$52),ROW()+ROWS($I$2:$I$52))),ROW()-ROW($J$2:$J$52)+1),COLUMN($I$2:$I$52),4)))</f>
        <v/>
      </c>
    </row>
    <row r="31" spans="1:16">
      <c r="A31" s="359"/>
      <c r="B31" s="359"/>
      <c r="C31" s="359"/>
      <c r="D31" s="1134" t="s">
        <v>477</v>
      </c>
      <c r="E31" s="354" t="str">
        <f>IF(H31="","","2016")</f>
        <v/>
      </c>
      <c r="F31" s="336" t="str">
        <f t="shared" si="15"/>
        <v/>
      </c>
      <c r="G31" s="336" t="str">
        <f t="shared" si="16"/>
        <v/>
      </c>
      <c r="H31" s="343" t="str">
        <f>IF(A3="relevant",IF(Matrix!X20="","",IF(Matrix!X20&gt;Matrix!T20,Berechnung2!$M$40,"")),"")</f>
        <v/>
      </c>
      <c r="I31" s="384" t="str">
        <f t="array" ref="I31">IF(H31="","",VLOOKUP(F31,Berechnung2!$I$15:$J$23,2,FALSE))</f>
        <v/>
      </c>
      <c r="J31" s="397" t="str">
        <f t="shared" si="2"/>
        <v/>
      </c>
      <c r="L31" s="392" t="str">
        <f t="array" aca="1" ref="L31" ca="1">IF(ROW()-ROW($F$2:$F$52)+1&gt;ROWS($E$2:$E$52)-COUNTBLANK($E$2:$E$52),"",INDIRECT(ADDRESS(SMALL((IF($E$2:$E$52&lt;&gt;"",ROW($E$2:$E$52),ROW()+ROWS($E$2:$E$52))),ROW()-ROW($F$2:$F$52)+1),COLUMN($E$2:$E$52),4)))</f>
        <v/>
      </c>
      <c r="M31" s="392" t="str">
        <f t="array" aca="1" ref="M31" ca="1">IF(ROW()-ROW($G$2:$G$52)+1&gt;ROWS($F$2:$F$52)-COUNTBLANK($F$2:$F$52),"",INDIRECT(ADDRESS(SMALL((IF($F$2:$F$52&lt;&gt;"",ROW($F$2:$F$52),ROW()+ROWS($F$2:$F$52))),ROW()-ROW($G$2:$G$52)+1),COLUMN($F$2:$F$52),4)))</f>
        <v/>
      </c>
      <c r="N31" s="392" t="str">
        <f t="array" aca="1" ref="N31" ca="1">IF(ROW()-ROW($H$2:$H$52)+1&gt;ROWS($G$2:$G$52)-COUNTBLANK($G$2:$G$52),"",INDIRECT(ADDRESS(SMALL((IF($G$2:$G$52&lt;&gt;"",ROW($G$2:$G$52),ROW()+ROWS($G$2:$G$52))),ROW()-ROW($H$2:$H$52)+1),COLUMN($G$2:$G$52),4)))</f>
        <v/>
      </c>
      <c r="O31" s="393" t="str">
        <f t="array" aca="1" ref="O31" ca="1">IF(ROW()-ROW($I$2:$I$52)+1&gt;ROWS($H$2:$H$52)-COUNTBLANK($H$2:$H$52),"",INDIRECT(ADDRESS(SMALL((IF($H$2:$H$52&lt;&gt;"",ROW($H$2:$H$52),ROW()+ROWS($H$2:$H$52))),ROW()-ROW($I$2:$I$52)+1),COLUMN($H$2:$H$52),4)))</f>
        <v/>
      </c>
      <c r="P31" s="394" t="str">
        <f t="array" aca="1" ref="P31" ca="1">IF(ROW()-ROW($J$2:$J$52)+1&gt;ROWS($I$2:$I$52)-COUNTBLANK($I$2:$I$52),"",INDIRECT(ADDRESS(SMALL((IF($I$2:$I$52&lt;&gt;"",ROW($I$2:$I$52),ROW()+ROWS($I$2:$I$52))),ROW()-ROW($J$2:$J$52)+1),COLUMN($I$2:$I$52),4)))</f>
        <v/>
      </c>
    </row>
    <row r="32" spans="1:16">
      <c r="A32" s="341"/>
      <c r="B32" s="341"/>
      <c r="C32" s="359"/>
      <c r="D32" s="1135"/>
      <c r="E32" s="354" t="str">
        <f>IF(H32="","","2017")</f>
        <v/>
      </c>
      <c r="F32" s="336" t="str">
        <f t="shared" si="15"/>
        <v/>
      </c>
      <c r="G32" s="336" t="str">
        <f t="shared" si="16"/>
        <v/>
      </c>
      <c r="H32" s="343" t="str">
        <f>IF(A4="relevant",IF(Matrix!X21="","",IF(Matrix!X21&gt;Matrix!T21,Berechnung2!$M$40,"")),"")</f>
        <v/>
      </c>
      <c r="I32" s="384" t="str">
        <f t="array" ref="I32">IF(H32="","",VLOOKUP(F32,Berechnung2!$I$15:$J$23,2,FALSE))</f>
        <v/>
      </c>
      <c r="J32" s="397" t="str">
        <f t="shared" si="2"/>
        <v/>
      </c>
      <c r="L32" s="392" t="str">
        <f t="array" aca="1" ref="L32" ca="1">IF(ROW()-ROW($F$2:$F$52)+1&gt;ROWS($E$2:$E$52)-COUNTBLANK($E$2:$E$52),"",INDIRECT(ADDRESS(SMALL((IF($E$2:$E$52&lt;&gt;"",ROW($E$2:$E$52),ROW()+ROWS($E$2:$E$52))),ROW()-ROW($F$2:$F$52)+1),COLUMN($E$2:$E$52),4)))</f>
        <v/>
      </c>
      <c r="M32" s="392" t="str">
        <f t="array" aca="1" ref="M32" ca="1">IF(ROW()-ROW($G$2:$G$52)+1&gt;ROWS($F$2:$F$52)-COUNTBLANK($F$2:$F$52),"",INDIRECT(ADDRESS(SMALL((IF($F$2:$F$52&lt;&gt;"",ROW($F$2:$F$52),ROW()+ROWS($F$2:$F$52))),ROW()-ROW($G$2:$G$52)+1),COLUMN($F$2:$F$52),4)))</f>
        <v/>
      </c>
      <c r="N32" s="392" t="str">
        <f t="array" aca="1" ref="N32" ca="1">IF(ROW()-ROW($H$2:$H$52)+1&gt;ROWS($G$2:$G$52)-COUNTBLANK($G$2:$G$52),"",INDIRECT(ADDRESS(SMALL((IF($G$2:$G$52&lt;&gt;"",ROW($G$2:$G$52),ROW()+ROWS($G$2:$G$52))),ROW()-ROW($H$2:$H$52)+1),COLUMN($G$2:$G$52),4)))</f>
        <v/>
      </c>
      <c r="O32" s="393" t="str">
        <f t="array" aca="1" ref="O32" ca="1">IF(ROW()-ROW($I$2:$I$52)+1&gt;ROWS($H$2:$H$52)-COUNTBLANK($H$2:$H$52),"",INDIRECT(ADDRESS(SMALL((IF($H$2:$H$52&lt;&gt;"",ROW($H$2:$H$52),ROW()+ROWS($H$2:$H$52))),ROW()-ROW($I$2:$I$52)+1),COLUMN($H$2:$H$52),4)))</f>
        <v/>
      </c>
      <c r="P32" s="394" t="str">
        <f t="array" aca="1" ref="P32" ca="1">IF(ROW()-ROW($J$2:$J$52)+1&gt;ROWS($I$2:$I$52)-COUNTBLANK($I$2:$I$52),"",INDIRECT(ADDRESS(SMALL((IF($I$2:$I$52&lt;&gt;"",ROW($I$2:$I$52),ROW()+ROWS($I$2:$I$52))),ROW()-ROW($J$2:$J$52)+1),COLUMN($I$2:$I$52),4)))</f>
        <v/>
      </c>
    </row>
    <row r="33" spans="1:16">
      <c r="A33" s="341"/>
      <c r="B33" s="341"/>
      <c r="C33" s="359"/>
      <c r="D33" s="1135"/>
      <c r="E33" s="354" t="str">
        <f>IF(H33="","","2018")</f>
        <v/>
      </c>
      <c r="F33" s="336" t="str">
        <f t="shared" si="15"/>
        <v/>
      </c>
      <c r="G33" s="336" t="str">
        <f t="shared" si="16"/>
        <v/>
      </c>
      <c r="H33" s="343" t="str">
        <f>IF(A5="relevant",IF(Matrix!X22="","",IF(Matrix!X22&gt;Matrix!T22,Berechnung2!$M$40,"")),"")</f>
        <v/>
      </c>
      <c r="I33" s="384" t="str">
        <f t="array" ref="I33">IF(H33="","",VLOOKUP(F33,Berechnung2!$I$15:$J$23,2,FALSE))</f>
        <v/>
      </c>
      <c r="J33" s="397" t="str">
        <f t="shared" si="2"/>
        <v/>
      </c>
      <c r="L33" s="392" t="str">
        <f t="array" aca="1" ref="L33" ca="1">IF(ROW()-ROW($F$2:$F$52)+1&gt;ROWS($E$2:$E$52)-COUNTBLANK($E$2:$E$52),"",INDIRECT(ADDRESS(SMALL((IF($E$2:$E$52&lt;&gt;"",ROW($E$2:$E$52),ROW()+ROWS($E$2:$E$52))),ROW()-ROW($F$2:$F$52)+1),COLUMN($E$2:$E$52),4)))</f>
        <v/>
      </c>
      <c r="M33" s="392" t="str">
        <f t="array" aca="1" ref="M33" ca="1">IF(ROW()-ROW($G$2:$G$52)+1&gt;ROWS($F$2:$F$52)-COUNTBLANK($F$2:$F$52),"",INDIRECT(ADDRESS(SMALL((IF($F$2:$F$52&lt;&gt;"",ROW($F$2:$F$52),ROW()+ROWS($F$2:$F$52))),ROW()-ROW($G$2:$G$52)+1),COLUMN($F$2:$F$52),4)))</f>
        <v/>
      </c>
      <c r="N33" s="392" t="str">
        <f t="array" aca="1" ref="N33" ca="1">IF(ROW()-ROW($H$2:$H$52)+1&gt;ROWS($G$2:$G$52)-COUNTBLANK($G$2:$G$52),"",INDIRECT(ADDRESS(SMALL((IF($G$2:$G$52&lt;&gt;"",ROW($G$2:$G$52),ROW()+ROWS($G$2:$G$52))),ROW()-ROW($H$2:$H$52)+1),COLUMN($G$2:$G$52),4)))</f>
        <v/>
      </c>
      <c r="O33" s="393" t="str">
        <f t="array" aca="1" ref="O33" ca="1">IF(ROW()-ROW($I$2:$I$52)+1&gt;ROWS($H$2:$H$52)-COUNTBLANK($H$2:$H$52),"",INDIRECT(ADDRESS(SMALL((IF($H$2:$H$52&lt;&gt;"",ROW($H$2:$H$52),ROW()+ROWS($H$2:$H$52))),ROW()-ROW($I$2:$I$52)+1),COLUMN($H$2:$H$52),4)))</f>
        <v/>
      </c>
      <c r="P33" s="394" t="str">
        <f t="array" aca="1" ref="P33" ca="1">IF(ROW()-ROW($J$2:$J$52)+1&gt;ROWS($I$2:$I$52)-COUNTBLANK($I$2:$I$52),"",INDIRECT(ADDRESS(SMALL((IF($I$2:$I$52&lt;&gt;"",ROW($I$2:$I$52),ROW()+ROWS($I$2:$I$52))),ROW()-ROW($J$2:$J$52)+1),COLUMN($I$2:$I$52),4)))</f>
        <v/>
      </c>
    </row>
    <row r="34" spans="1:16" ht="33" customHeight="1">
      <c r="A34" s="341"/>
      <c r="B34" s="341"/>
      <c r="C34" s="359"/>
      <c r="D34" s="1135"/>
      <c r="E34" s="354" t="str">
        <f>IF(H34="","","2019")</f>
        <v/>
      </c>
      <c r="F34" s="336" t="str">
        <f t="shared" si="15"/>
        <v/>
      </c>
      <c r="G34" s="336" t="str">
        <f t="shared" si="16"/>
        <v/>
      </c>
      <c r="H34" s="343" t="str">
        <f>IF(A6="relevant",IF(Matrix!X23="","",IF(Matrix!X23&gt;Matrix!T23,Berechnung2!$M$40,"")),"")</f>
        <v/>
      </c>
      <c r="I34" s="384" t="str">
        <f t="array" ref="I34">IF(H34="","",VLOOKUP(F34,Berechnung2!$I$15:$J$23,2,FALSE))</f>
        <v/>
      </c>
      <c r="J34" s="397" t="str">
        <f t="shared" si="2"/>
        <v/>
      </c>
      <c r="L34" s="392" t="str">
        <f t="array" aca="1" ref="L34" ca="1">IF(ROW()-ROW($F$2:$F$52)+1&gt;ROWS($E$2:$E$52)-COUNTBLANK($E$2:$E$52),"",INDIRECT(ADDRESS(SMALL((IF($E$2:$E$52&lt;&gt;"",ROW($E$2:$E$52),ROW()+ROWS($E$2:$E$52))),ROW()-ROW($F$2:$F$52)+1),COLUMN($E$2:$E$52),4)))</f>
        <v/>
      </c>
      <c r="M34" s="392" t="str">
        <f t="array" aca="1" ref="M34" ca="1">IF(ROW()-ROW($G$2:$G$52)+1&gt;ROWS($F$2:$F$52)-COUNTBLANK($F$2:$F$52),"",INDIRECT(ADDRESS(SMALL((IF($F$2:$F$52&lt;&gt;"",ROW($F$2:$F$52),ROW()+ROWS($F$2:$F$52))),ROW()-ROW($G$2:$G$52)+1),COLUMN($F$2:$F$52),4)))</f>
        <v/>
      </c>
      <c r="N34" s="392" t="str">
        <f t="array" aca="1" ref="N34" ca="1">IF(ROW()-ROW($H$2:$H$52)+1&gt;ROWS($G$2:$G$52)-COUNTBLANK($G$2:$G$52),"",INDIRECT(ADDRESS(SMALL((IF($G$2:$G$52&lt;&gt;"",ROW($G$2:$G$52),ROW()+ROWS($G$2:$G$52))),ROW()-ROW($H$2:$H$52)+1),COLUMN($G$2:$G$52),4)))</f>
        <v/>
      </c>
      <c r="O34" s="393" t="str">
        <f t="array" aca="1" ref="O34" ca="1">IF(ROW()-ROW($I$2:$I$52)+1&gt;ROWS($H$2:$H$52)-COUNTBLANK($H$2:$H$52),"",INDIRECT(ADDRESS(SMALL((IF($H$2:$H$52&lt;&gt;"",ROW($H$2:$H$52),ROW()+ROWS($H$2:$H$52))),ROW()-ROW($I$2:$I$52)+1),COLUMN($H$2:$H$52),4)))</f>
        <v/>
      </c>
      <c r="P34" s="394" t="str">
        <f t="array" aca="1" ref="P34" ca="1">IF(ROW()-ROW($J$2:$J$52)+1&gt;ROWS($I$2:$I$52)-COUNTBLANK($I$2:$I$52),"",INDIRECT(ADDRESS(SMALL((IF($I$2:$I$52&lt;&gt;"",ROW($I$2:$I$52),ROW()+ROWS($I$2:$I$52))),ROW()-ROW($J$2:$J$52)+1),COLUMN($I$2:$I$52),4)))</f>
        <v/>
      </c>
    </row>
    <row r="35" spans="1:16" s="612" customFormat="1" ht="33" customHeight="1">
      <c r="A35" s="341"/>
      <c r="B35" s="341"/>
      <c r="C35" s="359"/>
      <c r="D35" s="687"/>
      <c r="E35" s="354"/>
      <c r="F35" s="336"/>
      <c r="G35" s="336"/>
      <c r="H35" s="343"/>
      <c r="I35" s="384"/>
      <c r="J35" s="397"/>
      <c r="L35" s="392" t="str">
        <f t="array" aca="1" ref="L35" ca="1">IF(ROW()-ROW($F$2:$F$52)+1&gt;ROWS($E$2:$E$52)-COUNTBLANK($E$2:$E$52),"",INDIRECT(ADDRESS(SMALL((IF($E$2:$E$52&lt;&gt;"",ROW($E$2:$E$52),ROW()+ROWS($E$2:$E$52))),ROW()-ROW($F$2:$F$52)+1),COLUMN($E$2:$E$52),4)))</f>
        <v/>
      </c>
      <c r="M35" s="392" t="str">
        <f t="array" aca="1" ref="M35" ca="1">IF(ROW()-ROW($G$2:$G$52)+1&gt;ROWS($F$2:$F$52)-COUNTBLANK($F$2:$F$52),"",INDIRECT(ADDRESS(SMALL((IF($F$2:$F$52&lt;&gt;"",ROW($F$2:$F$52),ROW()+ROWS($F$2:$F$52))),ROW()-ROW($G$2:$G$52)+1),COLUMN($F$2:$F$52),4)))</f>
        <v/>
      </c>
      <c r="N35" s="392" t="str">
        <f t="array" aca="1" ref="N35" ca="1">IF(ROW()-ROW($H$2:$H$52)+1&gt;ROWS($G$2:$G$52)-COUNTBLANK($G$2:$G$52),"",INDIRECT(ADDRESS(SMALL((IF($G$2:$G$52&lt;&gt;"",ROW($G$2:$G$52),ROW()+ROWS($G$2:$G$52))),ROW()-ROW($H$2:$H$52)+1),COLUMN($G$2:$G$52),4)))</f>
        <v/>
      </c>
      <c r="O35" s="393" t="str">
        <f t="array" aca="1" ref="O35" ca="1">IF(ROW()-ROW($I$2:$I$52)+1&gt;ROWS($H$2:$H$52)-COUNTBLANK($H$2:$H$52),"",INDIRECT(ADDRESS(SMALL((IF($H$2:$H$52&lt;&gt;"",ROW($H$2:$H$52),ROW()+ROWS($H$2:$H$52))),ROW()-ROW($I$2:$I$52)+1),COLUMN($H$2:$H$52),4)))</f>
        <v/>
      </c>
      <c r="P35" s="394" t="str">
        <f t="array" aca="1" ref="P35" ca="1">IF(ROW()-ROW($J$2:$J$52)+1&gt;ROWS($I$2:$I$52)-COUNTBLANK($I$2:$I$52),"",INDIRECT(ADDRESS(SMALL((IF($I$2:$I$52&lt;&gt;"",ROW($I$2:$I$52),ROW()+ROWS($I$2:$I$52))),ROW()-ROW($J$2:$J$52)+1),COLUMN($I$2:$I$52),4)))</f>
        <v/>
      </c>
    </row>
    <row r="36" spans="1:16" ht="15.75" thickBot="1">
      <c r="A36" s="341"/>
      <c r="B36" s="341"/>
      <c r="C36" s="359"/>
      <c r="D36" s="372" t="s">
        <v>401</v>
      </c>
      <c r="E36" s="354"/>
      <c r="F36" s="336"/>
      <c r="G36" s="336"/>
      <c r="H36" s="343"/>
      <c r="I36" s="384"/>
      <c r="J36" s="397"/>
      <c r="L36" s="392" t="str">
        <f t="array" aca="1" ref="L36" ca="1">IF(ROW()-ROW($F$2:$F$52)+1&gt;ROWS($E$2:$E$52)-COUNTBLANK($E$2:$E$52),"",INDIRECT(ADDRESS(SMALL((IF($E$2:$E$52&lt;&gt;"",ROW($E$2:$E$52),ROW()+ROWS($E$2:$E$52))),ROW()-ROW($F$2:$F$52)+1),COLUMN($E$2:$E$52),4)))</f>
        <v/>
      </c>
      <c r="M36" s="392" t="str">
        <f t="array" aca="1" ref="M36" ca="1">IF(ROW()-ROW($G$2:$G$52)+1&gt;ROWS($F$2:$F$52)-COUNTBLANK($F$2:$F$52),"",INDIRECT(ADDRESS(SMALL((IF($F$2:$F$52&lt;&gt;"",ROW($F$2:$F$52),ROW()+ROWS($F$2:$F$52))),ROW()-ROW($G$2:$G$52)+1),COLUMN($F$2:$F$52),4)))</f>
        <v/>
      </c>
      <c r="N36" s="392" t="str">
        <f t="array" aca="1" ref="N36" ca="1">IF(ROW()-ROW($H$2:$H$52)+1&gt;ROWS($G$2:$G$52)-COUNTBLANK($G$2:$G$52),"",INDIRECT(ADDRESS(SMALL((IF($G$2:$G$52&lt;&gt;"",ROW($G$2:$G$52),ROW()+ROWS($G$2:$G$52))),ROW()-ROW($H$2:$H$52)+1),COLUMN($G$2:$G$52),4)))</f>
        <v/>
      </c>
      <c r="O36" s="393" t="str">
        <f t="array" aca="1" ref="O36" ca="1">IF(ROW()-ROW($I$2:$I$52)+1&gt;ROWS($H$2:$H$52)-COUNTBLANK($H$2:$H$52),"",INDIRECT(ADDRESS(SMALL((IF($H$2:$H$52&lt;&gt;"",ROW($H$2:$H$52),ROW()+ROWS($H$2:$H$52))),ROW()-ROW($I$2:$I$52)+1),COLUMN($H$2:$H$52),4)))</f>
        <v/>
      </c>
      <c r="P36" s="394" t="str">
        <f t="array" aca="1" ref="P36" ca="1">IF(ROW()-ROW($J$2:$J$52)+1&gt;ROWS($I$2:$I$52)-COUNTBLANK($I$2:$I$52),"",INDIRECT(ADDRESS(SMALL((IF($I$2:$I$52&lt;&gt;"",ROW($I$2:$I$52),ROW()+ROWS($I$2:$I$52))),ROW()-ROW($J$2:$J$52)+1),COLUMN($I$2:$I$52),4)))</f>
        <v/>
      </c>
    </row>
    <row r="37" spans="1:16">
      <c r="A37" s="341"/>
      <c r="B37" s="341"/>
      <c r="C37" s="359"/>
      <c r="D37" s="373" t="s">
        <v>98</v>
      </c>
      <c r="E37" s="353" t="str">
        <f>IF(H37="","","2015")</f>
        <v/>
      </c>
      <c r="F37" s="338" t="str">
        <f t="shared" ref="F37:F41" si="17">IF(H37="","","f")</f>
        <v/>
      </c>
      <c r="G37" s="338" t="str">
        <f t="shared" si="16"/>
        <v/>
      </c>
      <c r="H37" s="342" t="str">
        <f>IF(A2="relevant",IF(Matrix!Y19="","",IF(Matrix!Y19&gt;Matrix!T19,Berechnung2!$M$41,"")),"")</f>
        <v/>
      </c>
      <c r="I37" s="383" t="str">
        <f t="array" ref="I37">IF(H37="","",VLOOKUP(F37,Berechnung2!$I$15:$J$23,2,FALSE))</f>
        <v/>
      </c>
      <c r="J37" s="396" t="str">
        <f t="shared" si="2"/>
        <v/>
      </c>
      <c r="L37" s="392" t="str">
        <f t="array" aca="1" ref="L37" ca="1">IF(ROW()-ROW($F$2:$F$52)+1&gt;ROWS($E$2:$E$52)-COUNTBLANK($E$2:$E$52),"",INDIRECT(ADDRESS(SMALL((IF($E$2:$E$52&lt;&gt;"",ROW($E$2:$E$52),ROW()+ROWS($E$2:$E$52))),ROW()-ROW($F$2:$F$52)+1),COLUMN($E$2:$E$52),4)))</f>
        <v/>
      </c>
      <c r="M37" s="392" t="str">
        <f t="array" aca="1" ref="M37" ca="1">IF(ROW()-ROW($G$2:$G$52)+1&gt;ROWS($F$2:$F$52)-COUNTBLANK($F$2:$F$52),"",INDIRECT(ADDRESS(SMALL((IF($F$2:$F$52&lt;&gt;"",ROW($F$2:$F$52),ROW()+ROWS($F$2:$F$52))),ROW()-ROW($G$2:$G$52)+1),COLUMN($F$2:$F$52),4)))</f>
        <v/>
      </c>
      <c r="N37" s="392" t="str">
        <f t="array" aca="1" ref="N37" ca="1">IF(ROW()-ROW($H$2:$H$52)+1&gt;ROWS($G$2:$G$52)-COUNTBLANK($G$2:$G$52),"",INDIRECT(ADDRESS(SMALL((IF($G$2:$G$52&lt;&gt;"",ROW($G$2:$G$52),ROW()+ROWS($G$2:$G$52))),ROW()-ROW($H$2:$H$52)+1),COLUMN($G$2:$G$52),4)))</f>
        <v/>
      </c>
      <c r="O37" s="393" t="str">
        <f t="array" aca="1" ref="O37" ca="1">IF(ROW()-ROW($I$2:$I$52)+1&gt;ROWS($H$2:$H$52)-COUNTBLANK($H$2:$H$52),"",INDIRECT(ADDRESS(SMALL((IF($H$2:$H$52&lt;&gt;"",ROW($H$2:$H$52),ROW()+ROWS($H$2:$H$52))),ROW()-ROW($I$2:$I$52)+1),COLUMN($H$2:$H$52),4)))</f>
        <v/>
      </c>
      <c r="P37" s="394" t="str">
        <f t="array" aca="1" ref="P37" ca="1">IF(ROW()-ROW($J$2:$J$52)+1&gt;ROWS($I$2:$I$52)-COUNTBLANK($I$2:$I$52),"",INDIRECT(ADDRESS(SMALL((IF($I$2:$I$52&lt;&gt;"",ROW($I$2:$I$52),ROW()+ROWS($I$2:$I$52))),ROW()-ROW($J$2:$J$52)+1),COLUMN($I$2:$I$52),4)))</f>
        <v/>
      </c>
    </row>
    <row r="38" spans="1:16">
      <c r="A38" s="341"/>
      <c r="B38" s="341"/>
      <c r="C38" s="359"/>
      <c r="D38" s="1134" t="s">
        <v>478</v>
      </c>
      <c r="E38" s="354" t="str">
        <f>IF(H38="","","2016")</f>
        <v/>
      </c>
      <c r="F38" s="336" t="str">
        <f t="shared" si="17"/>
        <v/>
      </c>
      <c r="G38" s="336" t="str">
        <f t="shared" si="16"/>
        <v/>
      </c>
      <c r="H38" s="343" t="str">
        <f>IF(A3="relevant",IF(Matrix!Y20="","",IF(Matrix!Y20&gt;Matrix!T20,Berechnung2!$M$41,"")),"")</f>
        <v/>
      </c>
      <c r="I38" s="384" t="str">
        <f t="array" ref="I38">IF(H38="","",VLOOKUP(F38,Berechnung2!$I$15:$J$23,2,FALSE))</f>
        <v/>
      </c>
      <c r="J38" s="397" t="str">
        <f t="shared" si="2"/>
        <v/>
      </c>
      <c r="L38" s="392" t="str">
        <f t="array" aca="1" ref="L38" ca="1">IF(ROW()-ROW($F$2:$F$52)+1&gt;ROWS($E$2:$E$52)-COUNTBLANK($E$2:$E$52),"",INDIRECT(ADDRESS(SMALL((IF($E$2:$E$52&lt;&gt;"",ROW($E$2:$E$52),ROW()+ROWS($E$2:$E$52))),ROW()-ROW($F$2:$F$52)+1),COLUMN($E$2:$E$52),4)))</f>
        <v/>
      </c>
      <c r="M38" s="392" t="str">
        <f t="array" aca="1" ref="M38" ca="1">IF(ROW()-ROW($G$2:$G$52)+1&gt;ROWS($F$2:$F$52)-COUNTBLANK($F$2:$F$52),"",INDIRECT(ADDRESS(SMALL((IF($F$2:$F$52&lt;&gt;"",ROW($F$2:$F$52),ROW()+ROWS($F$2:$F$52))),ROW()-ROW($G$2:$G$52)+1),COLUMN($F$2:$F$52),4)))</f>
        <v/>
      </c>
      <c r="N38" s="392" t="str">
        <f t="array" aca="1" ref="N38" ca="1">IF(ROW()-ROW($H$2:$H$52)+1&gt;ROWS($G$2:$G$52)-COUNTBLANK($G$2:$G$52),"",INDIRECT(ADDRESS(SMALL((IF($G$2:$G$52&lt;&gt;"",ROW($G$2:$G$52),ROW()+ROWS($G$2:$G$52))),ROW()-ROW($H$2:$H$52)+1),COLUMN($G$2:$G$52),4)))</f>
        <v/>
      </c>
      <c r="O38" s="393" t="str">
        <f t="array" aca="1" ref="O38" ca="1">IF(ROW()-ROW($I$2:$I$52)+1&gt;ROWS($H$2:$H$52)-COUNTBLANK($H$2:$H$52),"",INDIRECT(ADDRESS(SMALL((IF($H$2:$H$52&lt;&gt;"",ROW($H$2:$H$52),ROW()+ROWS($H$2:$H$52))),ROW()-ROW($I$2:$I$52)+1),COLUMN($H$2:$H$52),4)))</f>
        <v/>
      </c>
      <c r="P38" s="394" t="str">
        <f t="array" aca="1" ref="P38" ca="1">IF(ROW()-ROW($J$2:$J$52)+1&gt;ROWS($I$2:$I$52)-COUNTBLANK($I$2:$I$52),"",INDIRECT(ADDRESS(SMALL((IF($I$2:$I$52&lt;&gt;"",ROW($I$2:$I$52),ROW()+ROWS($I$2:$I$52))),ROW()-ROW($J$2:$J$52)+1),COLUMN($I$2:$I$52),4)))</f>
        <v/>
      </c>
    </row>
    <row r="39" spans="1:16">
      <c r="A39" s="341"/>
      <c r="B39" s="341"/>
      <c r="C39" s="359"/>
      <c r="D39" s="1135"/>
      <c r="E39" s="354" t="str">
        <f>IF(H39="","","2017")</f>
        <v/>
      </c>
      <c r="F39" s="336" t="str">
        <f t="shared" si="17"/>
        <v/>
      </c>
      <c r="G39" s="336" t="str">
        <f t="shared" si="16"/>
        <v/>
      </c>
      <c r="H39" s="343" t="str">
        <f>IF(A4="relevant",IF(Matrix!Y21="","",IF(Matrix!Y21&gt;Matrix!T21,Berechnung2!$M$41,"")),"")</f>
        <v/>
      </c>
      <c r="I39" s="384" t="str">
        <f t="array" ref="I39">IF(H39="","",VLOOKUP(F39,Berechnung2!$I$15:$J$23,2,FALSE))</f>
        <v/>
      </c>
      <c r="J39" s="397" t="str">
        <f t="shared" si="2"/>
        <v/>
      </c>
      <c r="L39" s="392" t="str">
        <f t="array" aca="1" ref="L39" ca="1">IF(ROW()-ROW($F$2:$F$52)+1&gt;ROWS($E$2:$E$52)-COUNTBLANK($E$2:$E$52),"",INDIRECT(ADDRESS(SMALL((IF($E$2:$E$52&lt;&gt;"",ROW($E$2:$E$52),ROW()+ROWS($E$2:$E$52))),ROW()-ROW($F$2:$F$52)+1),COLUMN($E$2:$E$52),4)))</f>
        <v/>
      </c>
      <c r="M39" s="392" t="str">
        <f t="array" aca="1" ref="M39" ca="1">IF(ROW()-ROW($G$2:$G$52)+1&gt;ROWS($F$2:$F$52)-COUNTBLANK($F$2:$F$52),"",INDIRECT(ADDRESS(SMALL((IF($F$2:$F$52&lt;&gt;"",ROW($F$2:$F$52),ROW()+ROWS($F$2:$F$52))),ROW()-ROW($G$2:$G$52)+1),COLUMN($F$2:$F$52),4)))</f>
        <v/>
      </c>
      <c r="N39" s="392" t="str">
        <f t="array" aca="1" ref="N39" ca="1">IF(ROW()-ROW($H$2:$H$52)+1&gt;ROWS($G$2:$G$52)-COUNTBLANK($G$2:$G$52),"",INDIRECT(ADDRESS(SMALL((IF($G$2:$G$52&lt;&gt;"",ROW($G$2:$G$52),ROW()+ROWS($G$2:$G$52))),ROW()-ROW($H$2:$H$52)+1),COLUMN($G$2:$G$52),4)))</f>
        <v/>
      </c>
      <c r="O39" s="393" t="str">
        <f t="array" aca="1" ref="O39" ca="1">IF(ROW()-ROW($I$2:$I$52)+1&gt;ROWS($H$2:$H$52)-COUNTBLANK($H$2:$H$52),"",INDIRECT(ADDRESS(SMALL((IF($H$2:$H$52&lt;&gt;"",ROW($H$2:$H$52),ROW()+ROWS($H$2:$H$52))),ROW()-ROW($I$2:$I$52)+1),COLUMN($H$2:$H$52),4)))</f>
        <v/>
      </c>
      <c r="P39" s="394" t="str">
        <f t="array" aca="1" ref="P39" ca="1">IF(ROW()-ROW($J$2:$J$52)+1&gt;ROWS($I$2:$I$52)-COUNTBLANK($I$2:$I$52),"",INDIRECT(ADDRESS(SMALL((IF($I$2:$I$52&lt;&gt;"",ROW($I$2:$I$52),ROW()+ROWS($I$2:$I$52))),ROW()-ROW($J$2:$J$52)+1),COLUMN($I$2:$I$52),4)))</f>
        <v/>
      </c>
    </row>
    <row r="40" spans="1:16">
      <c r="A40" s="341"/>
      <c r="B40" s="341"/>
      <c r="C40" s="359"/>
      <c r="D40" s="1135"/>
      <c r="E40" s="354" t="str">
        <f>IF(H40="","","2018")</f>
        <v/>
      </c>
      <c r="F40" s="336" t="str">
        <f t="shared" si="17"/>
        <v/>
      </c>
      <c r="G40" s="336" t="str">
        <f t="shared" si="16"/>
        <v/>
      </c>
      <c r="H40" s="343" t="str">
        <f>IF(A5="relevant",IF(Matrix!Y22="","",IF(Matrix!Y22&gt;Matrix!T22,Berechnung2!$M$41,"")),"")</f>
        <v/>
      </c>
      <c r="I40" s="384" t="str">
        <f t="array" ref="I40">IF(H40="","",VLOOKUP(F40,Berechnung2!$I$15:$J$23,2,FALSE))</f>
        <v/>
      </c>
      <c r="J40" s="397" t="str">
        <f t="shared" si="2"/>
        <v/>
      </c>
      <c r="L40" s="392" t="str">
        <f t="array" aca="1" ref="L40" ca="1">IF(ROW()-ROW($F$2:$F$52)+1&gt;ROWS($E$2:$E$52)-COUNTBLANK($E$2:$E$52),"",INDIRECT(ADDRESS(SMALL((IF($E$2:$E$52&lt;&gt;"",ROW($E$2:$E$52),ROW()+ROWS($E$2:$E$52))),ROW()-ROW($F$2:$F$52)+1),COLUMN($E$2:$E$52),4)))</f>
        <v/>
      </c>
      <c r="M40" s="392" t="str">
        <f t="array" aca="1" ref="M40" ca="1">IF(ROW()-ROW($G$2:$G$52)+1&gt;ROWS($F$2:$F$52)-COUNTBLANK($F$2:$F$52),"",INDIRECT(ADDRESS(SMALL((IF($F$2:$F$52&lt;&gt;"",ROW($F$2:$F$52),ROW()+ROWS($F$2:$F$52))),ROW()-ROW($G$2:$G$52)+1),COLUMN($F$2:$F$52),4)))</f>
        <v/>
      </c>
      <c r="N40" s="392" t="str">
        <f t="array" aca="1" ref="N40" ca="1">IF(ROW()-ROW($H$2:$H$52)+1&gt;ROWS($G$2:$G$52)-COUNTBLANK($G$2:$G$52),"",INDIRECT(ADDRESS(SMALL((IF($G$2:$G$52&lt;&gt;"",ROW($G$2:$G$52),ROW()+ROWS($G$2:$G$52))),ROW()-ROW($H$2:$H$52)+1),COLUMN($G$2:$G$52),4)))</f>
        <v/>
      </c>
      <c r="O40" s="393" t="str">
        <f t="array" aca="1" ref="O40" ca="1">IF(ROW()-ROW($I$2:$I$52)+1&gt;ROWS($H$2:$H$52)-COUNTBLANK($H$2:$H$52),"",INDIRECT(ADDRESS(SMALL((IF($H$2:$H$52&lt;&gt;"",ROW($H$2:$H$52),ROW()+ROWS($H$2:$H$52))),ROW()-ROW($I$2:$I$52)+1),COLUMN($H$2:$H$52),4)))</f>
        <v/>
      </c>
      <c r="P40" s="394" t="str">
        <f t="array" aca="1" ref="P40" ca="1">IF(ROW()-ROW($J$2:$J$52)+1&gt;ROWS($I$2:$I$52)-COUNTBLANK($I$2:$I$52),"",INDIRECT(ADDRESS(SMALL((IF($I$2:$I$52&lt;&gt;"",ROW($I$2:$I$52),ROW()+ROWS($I$2:$I$52))),ROW()-ROW($J$2:$J$52)+1),COLUMN($I$2:$I$52),4)))</f>
        <v/>
      </c>
    </row>
    <row r="41" spans="1:16" ht="60.75" customHeight="1">
      <c r="A41" s="341"/>
      <c r="B41" s="341"/>
      <c r="C41" s="359"/>
      <c r="D41" s="1135"/>
      <c r="E41" s="354" t="str">
        <f>IF(H41="","","2019")</f>
        <v/>
      </c>
      <c r="F41" s="336" t="str">
        <f t="shared" si="17"/>
        <v/>
      </c>
      <c r="G41" s="336" t="str">
        <f t="shared" si="16"/>
        <v/>
      </c>
      <c r="H41" s="343" t="str">
        <f>IF(A6="relevant",IF(Matrix!Y23="","",IF(Matrix!Y23&gt;Matrix!T23,Berechnung2!$M$41,"")),"")</f>
        <v/>
      </c>
      <c r="I41" s="384" t="str">
        <f t="array" ref="I41">IF(H41="","",VLOOKUP(F41,Berechnung2!$I$15:$J$23,2,FALSE))</f>
        <v/>
      </c>
      <c r="J41" s="397" t="str">
        <f t="shared" si="2"/>
        <v/>
      </c>
      <c r="L41" s="392" t="str">
        <f t="array" aca="1" ref="L41" ca="1">IF(ROW()-ROW($F$2:$F$52)+1&gt;ROWS($E$2:$E$52)-COUNTBLANK($E$2:$E$52),"",INDIRECT(ADDRESS(SMALL((IF($E$2:$E$52&lt;&gt;"",ROW($E$2:$E$52),ROW()+ROWS($E$2:$E$52))),ROW()-ROW($F$2:$F$52)+1),COLUMN($E$2:$E$52),4)))</f>
        <v/>
      </c>
      <c r="M41" s="392" t="str">
        <f t="array" aca="1" ref="M41" ca="1">IF(ROW()-ROW($G$2:$G$52)+1&gt;ROWS($F$2:$F$52)-COUNTBLANK($F$2:$F$52),"",INDIRECT(ADDRESS(SMALL((IF($F$2:$F$52&lt;&gt;"",ROW($F$2:$F$52),ROW()+ROWS($F$2:$F$52))),ROW()-ROW($G$2:$G$52)+1),COLUMN($F$2:$F$52),4)))</f>
        <v/>
      </c>
      <c r="N41" s="392" t="str">
        <f t="array" aca="1" ref="N41" ca="1">IF(ROW()-ROW($H$2:$H$52)+1&gt;ROWS($G$2:$G$52)-COUNTBLANK($G$2:$G$52),"",INDIRECT(ADDRESS(SMALL((IF($G$2:$G$52&lt;&gt;"",ROW($G$2:$G$52),ROW()+ROWS($G$2:$G$52))),ROW()-ROW($H$2:$H$52)+1),COLUMN($G$2:$G$52),4)))</f>
        <v/>
      </c>
      <c r="O41" s="393" t="str">
        <f t="array" aca="1" ref="O41" ca="1">IF(ROW()-ROW($I$2:$I$52)+1&gt;ROWS($H$2:$H$52)-COUNTBLANK($H$2:$H$52),"",INDIRECT(ADDRESS(SMALL((IF($H$2:$H$52&lt;&gt;"",ROW($H$2:$H$52),ROW()+ROWS($H$2:$H$52))),ROW()-ROW($I$2:$I$52)+1),COLUMN($H$2:$H$52),4)))</f>
        <v/>
      </c>
      <c r="P41" s="394" t="str">
        <f t="array" aca="1" ref="P41" ca="1">IF(ROW()-ROW($J$2:$J$52)+1&gt;ROWS($I$2:$I$52)-COUNTBLANK($I$2:$I$52),"",INDIRECT(ADDRESS(SMALL((IF($I$2:$I$52&lt;&gt;"",ROW($I$2:$I$52),ROW()+ROWS($I$2:$I$52))),ROW()-ROW($J$2:$J$52)+1),COLUMN($I$2:$I$52),4)))</f>
        <v/>
      </c>
    </row>
    <row r="42" spans="1:16" s="612" customFormat="1" ht="60.75" customHeight="1">
      <c r="A42" s="341"/>
      <c r="B42" s="341"/>
      <c r="C42" s="359"/>
      <c r="D42" s="687"/>
      <c r="E42" s="354"/>
      <c r="F42" s="336"/>
      <c r="G42" s="336"/>
      <c r="H42" s="343"/>
      <c r="I42" s="384"/>
      <c r="J42" s="397"/>
      <c r="L42" s="392" t="str">
        <f t="array" aca="1" ref="L42" ca="1">IF(ROW()-ROW($F$2:$F$52)+1&gt;ROWS($E$2:$E$52)-COUNTBLANK($E$2:$E$52),"",INDIRECT(ADDRESS(SMALL((IF($E$2:$E$52&lt;&gt;"",ROW($E$2:$E$52),ROW()+ROWS($E$2:$E$52))),ROW()-ROW($F$2:$F$52)+1),COLUMN($E$2:$E$52),4)))</f>
        <v/>
      </c>
      <c r="M42" s="392" t="str">
        <f t="array" aca="1" ref="M42" ca="1">IF(ROW()-ROW($G$2:$G$52)+1&gt;ROWS($F$2:$F$52)-COUNTBLANK($F$2:$F$52),"",INDIRECT(ADDRESS(SMALL((IF($F$2:$F$52&lt;&gt;"",ROW($F$2:$F$52),ROW()+ROWS($F$2:$F$52))),ROW()-ROW($G$2:$G$52)+1),COLUMN($F$2:$F$52),4)))</f>
        <v/>
      </c>
      <c r="N42" s="392" t="str">
        <f t="array" aca="1" ref="N42" ca="1">IF(ROW()-ROW($H$2:$H$52)+1&gt;ROWS($G$2:$G$52)-COUNTBLANK($G$2:$G$52),"",INDIRECT(ADDRESS(SMALL((IF($G$2:$G$52&lt;&gt;"",ROW($G$2:$G$52),ROW()+ROWS($G$2:$G$52))),ROW()-ROW($H$2:$H$52)+1),COLUMN($G$2:$G$52),4)))</f>
        <v/>
      </c>
      <c r="O42" s="393" t="str">
        <f t="array" aca="1" ref="O42" ca="1">IF(ROW()-ROW($I$2:$I$52)+1&gt;ROWS($H$2:$H$52)-COUNTBLANK($H$2:$H$52),"",INDIRECT(ADDRESS(SMALL((IF($H$2:$H$52&lt;&gt;"",ROW($H$2:$H$52),ROW()+ROWS($H$2:$H$52))),ROW()-ROW($I$2:$I$52)+1),COLUMN($H$2:$H$52),4)))</f>
        <v/>
      </c>
      <c r="P42" s="394" t="str">
        <f t="array" aca="1" ref="P42" ca="1">IF(ROW()-ROW($J$2:$J$52)+1&gt;ROWS($I$2:$I$52)-COUNTBLANK($I$2:$I$52),"",INDIRECT(ADDRESS(SMALL((IF($I$2:$I$52&lt;&gt;"",ROW($I$2:$I$52),ROW()+ROWS($I$2:$I$52))),ROW()-ROW($J$2:$J$52)+1),COLUMN($I$2:$I$52),4)))</f>
        <v/>
      </c>
    </row>
    <row r="43" spans="1:16" ht="15.75" thickBot="1">
      <c r="A43" s="341"/>
      <c r="B43" s="341"/>
      <c r="C43" s="359"/>
      <c r="D43" s="372" t="s">
        <v>402</v>
      </c>
      <c r="E43" s="354"/>
      <c r="F43" s="336"/>
      <c r="G43" s="336"/>
      <c r="H43" s="343"/>
      <c r="I43" s="384"/>
      <c r="J43" s="397"/>
      <c r="L43" s="392" t="str">
        <f t="array" aca="1" ref="L43" ca="1">IF(ROW()-ROW($F$2:$F$52)+1&gt;ROWS($E$2:$E$52)-COUNTBLANK($E$2:$E$52),"",INDIRECT(ADDRESS(SMALL((IF($E$2:$E$52&lt;&gt;"",ROW($E$2:$E$52),ROW()+ROWS($E$2:$E$52))),ROW()-ROW($F$2:$F$52)+1),COLUMN($E$2:$E$52),4)))</f>
        <v/>
      </c>
      <c r="M43" s="392" t="str">
        <f t="array" aca="1" ref="M43" ca="1">IF(ROW()-ROW($G$2:$G$52)+1&gt;ROWS($F$2:$F$52)-COUNTBLANK($F$2:$F$52),"",INDIRECT(ADDRESS(SMALL((IF($F$2:$F$52&lt;&gt;"",ROW($F$2:$F$52),ROW()+ROWS($F$2:$F$52))),ROW()-ROW($G$2:$G$52)+1),COLUMN($F$2:$F$52),4)))</f>
        <v/>
      </c>
      <c r="N43" s="392" t="str">
        <f t="array" aca="1" ref="N43" ca="1">IF(ROW()-ROW($H$2:$H$52)+1&gt;ROWS($G$2:$G$52)-COUNTBLANK($G$2:$G$52),"",INDIRECT(ADDRESS(SMALL((IF($G$2:$G$52&lt;&gt;"",ROW($G$2:$G$52),ROW()+ROWS($G$2:$G$52))),ROW()-ROW($H$2:$H$52)+1),COLUMN($G$2:$G$52),4)))</f>
        <v/>
      </c>
      <c r="O43" s="393" t="str">
        <f t="array" aca="1" ref="O43" ca="1">IF(ROW()-ROW($I$2:$I$52)+1&gt;ROWS($H$2:$H$52)-COUNTBLANK($H$2:$H$52),"",INDIRECT(ADDRESS(SMALL((IF($H$2:$H$52&lt;&gt;"",ROW($H$2:$H$52),ROW()+ROWS($H$2:$H$52))),ROW()-ROW($I$2:$I$52)+1),COLUMN($H$2:$H$52),4)))</f>
        <v/>
      </c>
      <c r="P43" s="394" t="str">
        <f t="array" aca="1" ref="P43" ca="1">IF(ROW()-ROW($J$2:$J$52)+1&gt;ROWS($I$2:$I$52)-COUNTBLANK($I$2:$I$52),"",INDIRECT(ADDRESS(SMALL((IF($I$2:$I$52&lt;&gt;"",ROW($I$2:$I$52),ROW()+ROWS($I$2:$I$52))),ROW()-ROW($J$2:$J$52)+1),COLUMN($I$2:$I$52),4)))</f>
        <v/>
      </c>
    </row>
    <row r="44" spans="1:16" ht="34.5" thickBot="1">
      <c r="A44" s="341"/>
      <c r="B44" s="341"/>
      <c r="C44" s="359"/>
      <c r="D44" s="374" t="s">
        <v>404</v>
      </c>
      <c r="E44" s="355" t="str">
        <f>IF(H44="","","2017-2019")</f>
        <v/>
      </c>
      <c r="F44" s="340" t="str">
        <f>IF(H44="","","g")</f>
        <v/>
      </c>
      <c r="G44" s="340" t="str">
        <f>IF(H44="","","5")</f>
        <v/>
      </c>
      <c r="H44" s="344" t="str">
        <f>IF(Matrix!$V$28="-----","",IF(Matrix!V28="","",IF(AND(ROUND(Matrix!V28,4)&gt;=Berechnung2!H36,ROUND(Matrix!V28,4)&lt;Berechnung2!K36),Berechnung2!M36,"")))</f>
        <v/>
      </c>
      <c r="I44" s="385" t="str">
        <f t="array" ref="I44">IF(H44="","",VLOOKUP(F44,Berechnung2!$I$15:$J$23,2,FALSE))</f>
        <v/>
      </c>
      <c r="J44" s="398" t="str">
        <f t="shared" si="2"/>
        <v/>
      </c>
      <c r="L44" s="392" t="str">
        <f t="array" aca="1" ref="L44" ca="1">IF(ROW()-ROW($F$2:$F$52)+1&gt;ROWS($E$2:$E$52)-COUNTBLANK($E$2:$E$52),"",INDIRECT(ADDRESS(SMALL((IF($E$2:$E$52&lt;&gt;"",ROW($E$2:$E$52),ROW()+ROWS($E$2:$E$52))),ROW()-ROW($F$2:$F$52)+1),COLUMN($E$2:$E$52),4)))</f>
        <v/>
      </c>
      <c r="M44" s="392" t="str">
        <f t="array" aca="1" ref="M44" ca="1">IF(ROW()-ROW($G$2:$G$52)+1&gt;ROWS($F$2:$F$52)-COUNTBLANK($F$2:$F$52),"",INDIRECT(ADDRESS(SMALL((IF($F$2:$F$52&lt;&gt;"",ROW($F$2:$F$52),ROW()+ROWS($F$2:$F$52))),ROW()-ROW($G$2:$G$52)+1),COLUMN($F$2:$F$52),4)))</f>
        <v/>
      </c>
      <c r="N44" s="392" t="str">
        <f t="array" aca="1" ref="N44" ca="1">IF(ROW()-ROW($H$2:$H$52)+1&gt;ROWS($G$2:$G$52)-COUNTBLANK($G$2:$G$52),"",INDIRECT(ADDRESS(SMALL((IF($G$2:$G$52&lt;&gt;"",ROW($G$2:$G$52),ROW()+ROWS($G$2:$G$52))),ROW()-ROW($H$2:$H$52)+1),COLUMN($G$2:$G$52),4)))</f>
        <v/>
      </c>
      <c r="O44" s="393" t="str">
        <f t="array" aca="1" ref="O44" ca="1">IF(ROW()-ROW($I$2:$I$52)+1&gt;ROWS($H$2:$H$52)-COUNTBLANK($H$2:$H$52),"",INDIRECT(ADDRESS(SMALL((IF($H$2:$H$52&lt;&gt;"",ROW($H$2:$H$52),ROW()+ROWS($H$2:$H$52))),ROW()-ROW($I$2:$I$52)+1),COLUMN($H$2:$H$52),4)))</f>
        <v/>
      </c>
      <c r="P44" s="394" t="str">
        <f t="array" aca="1" ref="P44" ca="1">IF(ROW()-ROW($J$2:$J$52)+1&gt;ROWS($I$2:$I$52)-COUNTBLANK($I$2:$I$52),"",INDIRECT(ADDRESS(SMALL((IF($I$2:$I$52&lt;&gt;"",ROW($I$2:$I$52),ROW()+ROWS($I$2:$I$52))),ROW()-ROW($J$2:$J$52)+1),COLUMN($I$2:$I$52),4)))</f>
        <v/>
      </c>
    </row>
    <row r="45" spans="1:16" ht="34.5" thickBot="1">
      <c r="A45" s="341"/>
      <c r="B45" s="341"/>
      <c r="C45" s="359"/>
      <c r="D45" s="375" t="s">
        <v>405</v>
      </c>
      <c r="E45" s="355" t="str">
        <f>IF(H45="","","2017-2019")</f>
        <v/>
      </c>
      <c r="F45" s="340" t="str">
        <f>IF(H45="","","h")</f>
        <v/>
      </c>
      <c r="G45" s="340" t="str">
        <f>IF(H45="","","6")</f>
        <v/>
      </c>
      <c r="H45" s="340" t="str">
        <f>IF(Matrix!V28="-----","",IF(Matrix!V28="","",IF(ROUND(Matrix!V28,4)&gt;=Berechnung2!K37,Berechnung2!M37,"")))</f>
        <v/>
      </c>
      <c r="I45" s="385" t="str">
        <f t="array" ref="I45">IF(H45="","",VLOOKUP(F45,Berechnung2!$I$15:$J$23,2,FALSE))</f>
        <v/>
      </c>
      <c r="J45" s="398" t="str">
        <f t="shared" si="2"/>
        <v/>
      </c>
      <c r="L45" s="392" t="str">
        <f t="array" aca="1" ref="L45" ca="1">IF(ROW()-ROW($F$2:$F$52)+1&gt;ROWS($E$2:$E$52)-COUNTBLANK($E$2:$E$52),"",INDIRECT(ADDRESS(SMALL((IF($E$2:$E$52&lt;&gt;"",ROW($E$2:$E$52),ROW()+ROWS($E$2:$E$52))),ROW()-ROW($F$2:$F$52)+1),COLUMN($E$2:$E$52),4)))</f>
        <v/>
      </c>
      <c r="M45" s="392" t="str">
        <f t="array" aca="1" ref="M45" ca="1">IF(ROW()-ROW($G$2:$G$52)+1&gt;ROWS($F$2:$F$52)-COUNTBLANK($F$2:$F$52),"",INDIRECT(ADDRESS(SMALL((IF($F$2:$F$52&lt;&gt;"",ROW($F$2:$F$52),ROW()+ROWS($F$2:$F$52))),ROW()-ROW($G$2:$G$52)+1),COLUMN($F$2:$F$52),4)))</f>
        <v/>
      </c>
      <c r="N45" s="392" t="str">
        <f t="array" aca="1" ref="N45" ca="1">IF(ROW()-ROW($H$2:$H$52)+1&gt;ROWS($G$2:$G$52)-COUNTBLANK($G$2:$G$52),"",INDIRECT(ADDRESS(SMALL((IF($G$2:$G$52&lt;&gt;"",ROW($G$2:$G$52),ROW()+ROWS($G$2:$G$52))),ROW()-ROW($H$2:$H$52)+1),COLUMN($G$2:$G$52),4)))</f>
        <v/>
      </c>
      <c r="O45" s="393" t="str">
        <f t="array" aca="1" ref="O45" ca="1">IF(ROW()-ROW($I$2:$I$52)+1&gt;ROWS($H$2:$H$52)-COUNTBLANK($H$2:$H$52),"",INDIRECT(ADDRESS(SMALL((IF($H$2:$H$52&lt;&gt;"",ROW($H$2:$H$52),ROW()+ROWS($H$2:$H$52))),ROW()-ROW($I$2:$I$52)+1),COLUMN($H$2:$H$52),4)))</f>
        <v/>
      </c>
      <c r="P45" s="394" t="str">
        <f t="array" aca="1" ref="P45" ca="1">IF(ROW()-ROW($J$2:$J$52)+1&gt;ROWS($I$2:$I$52)-COUNTBLANK($I$2:$I$52),"",INDIRECT(ADDRESS(SMALL((IF($I$2:$I$52&lt;&gt;"",ROW($I$2:$I$52),ROW()+ROWS($I$2:$I$52))),ROW()-ROW($J$2:$J$52)+1),COLUMN($I$2:$I$52),4)))</f>
        <v/>
      </c>
    </row>
    <row r="46" spans="1:16">
      <c r="A46" s="341"/>
      <c r="B46" s="341"/>
      <c r="C46" s="359"/>
      <c r="D46" s="376" t="s">
        <v>78</v>
      </c>
      <c r="E46" s="353"/>
      <c r="F46" s="338"/>
      <c r="G46" s="338"/>
      <c r="H46" s="342"/>
      <c r="I46" s="383"/>
      <c r="J46" s="396"/>
      <c r="L46" s="392" t="str">
        <f t="array" aca="1" ref="L46" ca="1">IF(ROW()-ROW($F$2:$F$52)+1&gt;ROWS($E$2:$E$52)-COUNTBLANK($E$2:$E$52),"",INDIRECT(ADDRESS(SMALL((IF($E$2:$E$52&lt;&gt;"",ROW($E$2:$E$52),ROW()+ROWS($E$2:$E$52))),ROW()-ROW($F$2:$F$52)+1),COLUMN($E$2:$E$52),4)))</f>
        <v/>
      </c>
      <c r="M46" s="392" t="str">
        <f t="array" aca="1" ref="M46" ca="1">IF(ROW()-ROW($G$2:$G$52)+1&gt;ROWS($F$2:$F$52)-COUNTBLANK($F$2:$F$52),"",INDIRECT(ADDRESS(SMALL((IF($F$2:$F$52&lt;&gt;"",ROW($F$2:$F$52),ROW()+ROWS($F$2:$F$52))),ROW()-ROW($G$2:$G$52)+1),COLUMN($F$2:$F$52),4)))</f>
        <v/>
      </c>
      <c r="N46" s="392" t="str">
        <f t="array" aca="1" ref="N46" ca="1">IF(ROW()-ROW($H$2:$H$52)+1&gt;ROWS($G$2:$G$52)-COUNTBLANK($G$2:$G$52),"",INDIRECT(ADDRESS(SMALL((IF($G$2:$G$52&lt;&gt;"",ROW($G$2:$G$52),ROW()+ROWS($G$2:$G$52))),ROW()-ROW($H$2:$H$52)+1),COLUMN($G$2:$G$52),4)))</f>
        <v/>
      </c>
      <c r="O46" s="393" t="str">
        <f t="array" aca="1" ref="O46" ca="1">IF(ROW()-ROW($I$2:$I$52)+1&gt;ROWS($H$2:$H$52)-COUNTBLANK($H$2:$H$52),"",INDIRECT(ADDRESS(SMALL((IF($H$2:$H$52&lt;&gt;"",ROW($H$2:$H$52),ROW()+ROWS($H$2:$H$52))),ROW()-ROW($I$2:$I$52)+1),COLUMN($H$2:$H$52),4)))</f>
        <v/>
      </c>
      <c r="P46" s="394" t="str">
        <f t="array" aca="1" ref="P46" ca="1">IF(ROW()-ROW($J$2:$J$52)+1&gt;ROWS($I$2:$I$52)-COUNTBLANK($I$2:$I$52),"",INDIRECT(ADDRESS(SMALL((IF($I$2:$I$52&lt;&gt;"",ROW($I$2:$I$52),ROW()+ROWS($I$2:$I$52))),ROW()-ROW($J$2:$J$52)+1),COLUMN($I$2:$I$52),4)))</f>
        <v/>
      </c>
    </row>
    <row r="47" spans="1:16">
      <c r="A47" s="341"/>
      <c r="B47" s="341"/>
      <c r="C47" s="359"/>
      <c r="D47" s="1131" t="s">
        <v>360</v>
      </c>
      <c r="E47" s="354"/>
      <c r="F47" s="336"/>
      <c r="G47" s="336"/>
      <c r="H47" s="343"/>
      <c r="I47" s="384"/>
      <c r="J47" s="397"/>
      <c r="L47" s="392" t="str">
        <f t="array" aca="1" ref="L47" ca="1">IF(ROW()-ROW($F$2:$F$52)+1&gt;ROWS($E$2:$E$52)-COUNTBLANK($E$2:$E$52),"",INDIRECT(ADDRESS(SMALL((IF($E$2:$E$52&lt;&gt;"",ROW($E$2:$E$52),ROW()+ROWS($E$2:$E$52))),ROW()-ROW($F$2:$F$52)+1),COLUMN($E$2:$E$52),4)))</f>
        <v/>
      </c>
      <c r="M47" s="392" t="str">
        <f t="array" aca="1" ref="M47" ca="1">IF(ROW()-ROW($G$2:$G$52)+1&gt;ROWS($F$2:$F$52)-COUNTBLANK($F$2:$F$52),"",INDIRECT(ADDRESS(SMALL((IF($F$2:$F$52&lt;&gt;"",ROW($F$2:$F$52),ROW()+ROWS($F$2:$F$52))),ROW()-ROW($G$2:$G$52)+1),COLUMN($F$2:$F$52),4)))</f>
        <v/>
      </c>
      <c r="N47" s="392" t="str">
        <f t="array" aca="1" ref="N47" ca="1">IF(ROW()-ROW($H$2:$H$52)+1&gt;ROWS($G$2:$G$52)-COUNTBLANK($G$2:$G$52),"",INDIRECT(ADDRESS(SMALL((IF($G$2:$G$52&lt;&gt;"",ROW($G$2:$G$52),ROW()+ROWS($G$2:$G$52))),ROW()-ROW($H$2:$H$52)+1),COLUMN($G$2:$G$52),4)))</f>
        <v/>
      </c>
      <c r="O47" s="393" t="str">
        <f t="array" aca="1" ref="O47" ca="1">IF(ROW()-ROW($I$2:$I$52)+1&gt;ROWS($H$2:$H$52)-COUNTBLANK($H$2:$H$52),"",INDIRECT(ADDRESS(SMALL((IF($H$2:$H$52&lt;&gt;"",ROW($H$2:$H$52),ROW()+ROWS($H$2:$H$52))),ROW()-ROW($I$2:$I$52)+1),COLUMN($H$2:$H$52),4)))</f>
        <v/>
      </c>
      <c r="P47" s="394" t="str">
        <f t="array" aca="1" ref="P47" ca="1">IF(ROW()-ROW($J$2:$J$52)+1&gt;ROWS($I$2:$I$52)-COUNTBLANK($I$2:$I$52),"",INDIRECT(ADDRESS(SMALL((IF($I$2:$I$52&lt;&gt;"",ROW($I$2:$I$52),ROW()+ROWS($I$2:$I$52))),ROW()-ROW($J$2:$J$52)+1),COLUMN($I$2:$I$52),4)))</f>
        <v/>
      </c>
    </row>
    <row r="48" spans="1:16">
      <c r="A48" s="341"/>
      <c r="B48" s="341"/>
      <c r="C48" s="359"/>
      <c r="D48" s="1132"/>
      <c r="E48" s="354" t="str">
        <f>IF(H48="","","2017")</f>
        <v/>
      </c>
      <c r="F48" s="336" t="str">
        <f>IF(H48="","","i")</f>
        <v/>
      </c>
      <c r="G48" s="336" t="str">
        <f>IF(H48="","","6")</f>
        <v/>
      </c>
      <c r="H48" s="343" t="str">
        <f>IF(A4="relevant",IF(Matrix!V21="","",IF(AND(ROUND(Matrix!V21,4)&gt;Berechnung2!$G$35,ROUND(Matrix!V21,4)&lt;Berechnung2!$K$35),Berechnung2!$M$35,"")),"")</f>
        <v/>
      </c>
      <c r="I48" s="384" t="str">
        <f t="array" ref="I48">IF(H48="","",VLOOKUP(F48,Berechnung2!$I$15:$J$23,2,FALSE))</f>
        <v/>
      </c>
      <c r="J48" s="397" t="str">
        <f t="shared" si="2"/>
        <v/>
      </c>
      <c r="L48" s="392" t="str">
        <f t="array" aca="1" ref="L48" ca="1">IF(ROW()-ROW($F$2:$F$52)+1&gt;ROWS($E$2:$E$52)-COUNTBLANK($E$2:$E$52),"",INDIRECT(ADDRESS(SMALL((IF($E$2:$E$52&lt;&gt;"",ROW($E$2:$E$52),ROW()+ROWS($E$2:$E$52))),ROW()-ROW($F$2:$F$52)+1),COLUMN($E$2:$E$52),4)))</f>
        <v/>
      </c>
      <c r="M48" s="392" t="str">
        <f t="array" aca="1" ref="M48" ca="1">IF(ROW()-ROW($G$2:$G$52)+1&gt;ROWS($F$2:$F$52)-COUNTBLANK($F$2:$F$52),"",INDIRECT(ADDRESS(SMALL((IF($F$2:$F$52&lt;&gt;"",ROW($F$2:$F$52),ROW()+ROWS($F$2:$F$52))),ROW()-ROW($G$2:$G$52)+1),COLUMN($F$2:$F$52),4)))</f>
        <v/>
      </c>
      <c r="N48" s="392" t="str">
        <f t="array" aca="1" ref="N48" ca="1">IF(ROW()-ROW($H$2:$H$52)+1&gt;ROWS($G$2:$G$52)-COUNTBLANK($G$2:$G$52),"",INDIRECT(ADDRESS(SMALL((IF($G$2:$G$52&lt;&gt;"",ROW($G$2:$G$52),ROW()+ROWS($G$2:$G$52))),ROW()-ROW($H$2:$H$52)+1),COLUMN($G$2:$G$52),4)))</f>
        <v/>
      </c>
      <c r="O48" s="393" t="str">
        <f t="array" aca="1" ref="O48" ca="1">IF(ROW()-ROW($I$2:$I$52)+1&gt;ROWS($H$2:$H$52)-COUNTBLANK($H$2:$H$52),"",INDIRECT(ADDRESS(SMALL((IF($H$2:$H$52&lt;&gt;"",ROW($H$2:$H$52),ROW()+ROWS($H$2:$H$52))),ROW()-ROW($I$2:$I$52)+1),COLUMN($H$2:$H$52),4)))</f>
        <v/>
      </c>
      <c r="P48" s="394" t="str">
        <f t="array" aca="1" ref="P48" ca="1">IF(ROW()-ROW($J$2:$J$52)+1&gt;ROWS($I$2:$I$52)-COUNTBLANK($I$2:$I$52),"",INDIRECT(ADDRESS(SMALL((IF($I$2:$I$52&lt;&gt;"",ROW($I$2:$I$52),ROW()+ROWS($I$2:$I$52))),ROW()-ROW($J$2:$J$52)+1),COLUMN($I$2:$I$52),4)))</f>
        <v/>
      </c>
    </row>
    <row r="49" spans="1:16">
      <c r="A49" s="341"/>
      <c r="B49" s="341"/>
      <c r="C49" s="359"/>
      <c r="D49" s="1132"/>
      <c r="E49" s="354" t="str">
        <f>IF(H49="","","2018")</f>
        <v/>
      </c>
      <c r="F49" s="336" t="str">
        <f>IF(H49="","","i")</f>
        <v/>
      </c>
      <c r="G49" s="336" t="str">
        <f>IF(H49="","","6")</f>
        <v/>
      </c>
      <c r="H49" s="343" t="str">
        <f>IF(A5="relevant",IF(Matrix!V22="","",IF(AND(ROUND(Matrix!V22,4)&gt;Berechnung2!$G$35,ROUND(Matrix!V22,4)&lt;Berechnung2!$K$35),Berechnung2!$M$35,"")),"")</f>
        <v/>
      </c>
      <c r="I49" s="384" t="str">
        <f t="array" ref="I49">IF(H49="","",VLOOKUP(F49,Berechnung2!$I$15:$J$23,2,FALSE))</f>
        <v/>
      </c>
      <c r="J49" s="397" t="str">
        <f t="shared" si="2"/>
        <v/>
      </c>
      <c r="L49" s="392" t="str">
        <f t="array" aca="1" ref="L49" ca="1">IF(ROW()-ROW($F$2:$F$52)+1&gt;ROWS($E$2:$E$52)-COUNTBLANK($E$2:$E$52),"",INDIRECT(ADDRESS(SMALL((IF($E$2:$E$52&lt;&gt;"",ROW($E$2:$E$52),ROW()+ROWS($E$2:$E$52))),ROW()-ROW($F$2:$F$52)+1),COLUMN($E$2:$E$52),4)))</f>
        <v/>
      </c>
      <c r="M49" s="392" t="str">
        <f t="array" aca="1" ref="M49" ca="1">IF(ROW()-ROW($G$2:$G$52)+1&gt;ROWS($F$2:$F$52)-COUNTBLANK($F$2:$F$52),"",INDIRECT(ADDRESS(SMALL((IF($F$2:$F$52&lt;&gt;"",ROW($F$2:$F$52),ROW()+ROWS($F$2:$F$52))),ROW()-ROW($G$2:$G$52)+1),COLUMN($F$2:$F$52),4)))</f>
        <v/>
      </c>
      <c r="N49" s="392" t="str">
        <f t="array" aca="1" ref="N49" ca="1">IF(ROW()-ROW($H$2:$H$52)+1&gt;ROWS($G$2:$G$52)-COUNTBLANK($G$2:$G$52),"",INDIRECT(ADDRESS(SMALL((IF($G$2:$G$52&lt;&gt;"",ROW($G$2:$G$52),ROW()+ROWS($G$2:$G$52))),ROW()-ROW($H$2:$H$52)+1),COLUMN($G$2:$G$52),4)))</f>
        <v/>
      </c>
      <c r="O49" s="393" t="str">
        <f t="array" aca="1" ref="O49" ca="1">IF(ROW()-ROW($I$2:$I$52)+1&gt;ROWS($H$2:$H$52)-COUNTBLANK($H$2:$H$52),"",INDIRECT(ADDRESS(SMALL((IF($H$2:$H$52&lt;&gt;"",ROW($H$2:$H$52),ROW()+ROWS($H$2:$H$52))),ROW()-ROW($I$2:$I$52)+1),COLUMN($H$2:$H$52),4)))</f>
        <v/>
      </c>
      <c r="P49" s="394" t="str">
        <f t="array" aca="1" ref="P49" ca="1">IF(ROW()-ROW($J$2:$J$52)+1&gt;ROWS($I$2:$I$52)-COUNTBLANK($I$2:$I$52),"",INDIRECT(ADDRESS(SMALL((IF($I$2:$I$52&lt;&gt;"",ROW($I$2:$I$52),ROW()+ROWS($I$2:$I$52))),ROW()-ROW($J$2:$J$52)+1),COLUMN($I$2:$I$52),4)))</f>
        <v/>
      </c>
    </row>
    <row r="50" spans="1:16">
      <c r="A50" s="341"/>
      <c r="B50" s="341"/>
      <c r="C50" s="359"/>
      <c r="D50" s="1132"/>
      <c r="E50" s="354" t="str">
        <f>IF(H50="","","2019")</f>
        <v/>
      </c>
      <c r="F50" s="336" t="str">
        <f>IF(H50="","","i")</f>
        <v/>
      </c>
      <c r="G50" s="336" t="str">
        <f>IF(H50="","","6")</f>
        <v/>
      </c>
      <c r="H50" s="343" t="str">
        <f>IF(A6="relevant",IF(Matrix!V23="","",IF(AND(ROUND(Matrix!V23,4)&gt;Berechnung2!$G$35,ROUND(Matrix!V23,4)&lt;Berechnung2!$K$35),Berechnung2!$M$35,"")),"")</f>
        <v/>
      </c>
      <c r="I50" s="384" t="str">
        <f t="array" ref="I50">IF(H50="","",VLOOKUP(F50,Berechnung2!$I$15:$J$23,2,FALSE))</f>
        <v/>
      </c>
      <c r="J50" s="397" t="str">
        <f t="shared" si="2"/>
        <v/>
      </c>
      <c r="L50" s="392" t="str">
        <f t="array" aca="1" ref="L50" ca="1">IF(ROW()-ROW($F$2:$F$52)+1&gt;ROWS($E$2:$E$52)-COUNTBLANK($E$2:$E$52),"",INDIRECT(ADDRESS(SMALL((IF($E$2:$E$52&lt;&gt;"",ROW($E$2:$E$52),ROW()+ROWS($E$2:$E$52))),ROW()-ROW($F$2:$F$52)+1),COLUMN($E$2:$E$52),4)))</f>
        <v/>
      </c>
      <c r="M50" s="392" t="str">
        <f t="array" aca="1" ref="M50" ca="1">IF(ROW()-ROW($G$2:$G$52)+1&gt;ROWS($F$2:$F$52)-COUNTBLANK($F$2:$F$52),"",INDIRECT(ADDRESS(SMALL((IF($F$2:$F$52&lt;&gt;"",ROW($F$2:$F$52),ROW()+ROWS($F$2:$F$52))),ROW()-ROW($G$2:$G$52)+1),COLUMN($F$2:$F$52),4)))</f>
        <v/>
      </c>
      <c r="N50" s="392" t="str">
        <f t="array" aca="1" ref="N50" ca="1">IF(ROW()-ROW($H$2:$H$52)+1&gt;ROWS($G$2:$G$52)-COUNTBLANK($G$2:$G$52),"",INDIRECT(ADDRESS(SMALL((IF($G$2:$G$52&lt;&gt;"",ROW($G$2:$G$52),ROW()+ROWS($G$2:$G$52))),ROW()-ROW($H$2:$H$52)+1),COLUMN($G$2:$G$52),4)))</f>
        <v/>
      </c>
      <c r="O50" s="393" t="str">
        <f t="array" aca="1" ref="O50" ca="1">IF(ROW()-ROW($I$2:$I$52)+1&gt;ROWS($H$2:$H$52)-COUNTBLANK($H$2:$H$52),"",INDIRECT(ADDRESS(SMALL((IF($H$2:$H$52&lt;&gt;"",ROW($H$2:$H$52),ROW()+ROWS($H$2:$H$52))),ROW()-ROW($I$2:$I$52)+1),COLUMN($H$2:$H$52),4)))</f>
        <v/>
      </c>
      <c r="P50" s="394" t="str">
        <f t="array" aca="1" ref="P50" ca="1">IF(ROW()-ROW($J$2:$J$52)+1&gt;ROWS($I$2:$I$52)-COUNTBLANK($I$2:$I$52),"",INDIRECT(ADDRESS(SMALL((IF($I$2:$I$52&lt;&gt;"",ROW($I$2:$I$52),ROW()+ROWS($I$2:$I$52))),ROW()-ROW($J$2:$J$52)+1),COLUMN($I$2:$I$52),4)))</f>
        <v/>
      </c>
    </row>
    <row r="51" spans="1:16" s="612" customFormat="1">
      <c r="A51" s="341"/>
      <c r="B51" s="341"/>
      <c r="C51" s="359"/>
      <c r="D51" s="685"/>
      <c r="E51" s="354" t="str">
        <f>IF(H51="","","2020")</f>
        <v/>
      </c>
      <c r="F51" s="336" t="str">
        <f t="shared" ref="F51:F52" si="18">IF(H51="","","i")</f>
        <v/>
      </c>
      <c r="G51" s="336" t="str">
        <f t="shared" ref="G51:G52" si="19">IF(H51="","","6")</f>
        <v/>
      </c>
      <c r="H51" s="343" t="str">
        <f>IF(A7="relevant",IF(Matrix!V24="","",IF(AND(ROUND(Matrix!V24,4)&gt;Berechnung2!$G$35,ROUND(Matrix!V24,4)&lt;Berechnung2!$K$35),Berechnung2!$M$35,"")),"")</f>
        <v/>
      </c>
      <c r="I51" s="384" t="str">
        <f t="array" ref="I51">IF(H51="","",VLOOKUP(F51,Berechnung2!$I$15:$J$23,2,FALSE))</f>
        <v/>
      </c>
      <c r="J51" s="397" t="str">
        <f t="shared" ref="J51:J52" si="20">IF(H51&lt;&gt;"",1,"")</f>
        <v/>
      </c>
      <c r="L51" s="392" t="str">
        <f t="array" aca="1" ref="L51" ca="1">IF(ROW()-ROW($F$2:$F$52)+1&gt;ROWS($E$2:$E$52)-COUNTBLANK($E$2:$E$52),"",INDIRECT(ADDRESS(SMALL((IF($E$2:$E$52&lt;&gt;"",ROW($E$2:$E$52),ROW()+ROWS($E$2:$E$52))),ROW()-ROW($F$2:$F$52)+1),COLUMN($E$2:$E$52),4)))</f>
        <v/>
      </c>
      <c r="M51" s="392" t="str">
        <f t="array" aca="1" ref="M51" ca="1">IF(ROW()-ROW($G$2:$G$52)+1&gt;ROWS($F$2:$F$52)-COUNTBLANK($F$2:$F$52),"",INDIRECT(ADDRESS(SMALL((IF($F$2:$F$52&lt;&gt;"",ROW($F$2:$F$52),ROW()+ROWS($F$2:$F$52))),ROW()-ROW($G$2:$G$52)+1),COLUMN($F$2:$F$52),4)))</f>
        <v/>
      </c>
      <c r="N51" s="392" t="str">
        <f t="array" aca="1" ref="N51" ca="1">IF(ROW()-ROW($H$2:$H$52)+1&gt;ROWS($G$2:$G$52)-COUNTBLANK($G$2:$G$52),"",INDIRECT(ADDRESS(SMALL((IF($G$2:$G$52&lt;&gt;"",ROW($G$2:$G$52),ROW()+ROWS($G$2:$G$52))),ROW()-ROW($H$2:$H$52)+1),COLUMN($G$2:$G$52),4)))</f>
        <v/>
      </c>
      <c r="O51" s="393" t="str">
        <f t="array" aca="1" ref="O51" ca="1">IF(ROW()-ROW($I$2:$I$52)+1&gt;ROWS($H$2:$H$52)-COUNTBLANK($H$2:$H$52),"",INDIRECT(ADDRESS(SMALL((IF($H$2:$H$52&lt;&gt;"",ROW($H$2:$H$52),ROW()+ROWS($H$2:$H$52))),ROW()-ROW($I$2:$I$52)+1),COLUMN($H$2:$H$52),4)))</f>
        <v/>
      </c>
      <c r="P51" s="394" t="str">
        <f t="array" aca="1" ref="P51" ca="1">IF(ROW()-ROW($J$2:$J$52)+1&gt;ROWS($I$2:$I$52)-COUNTBLANK($I$2:$I$52),"",INDIRECT(ADDRESS(SMALL((IF($I$2:$I$52&lt;&gt;"",ROW($I$2:$I$52),ROW()+ROWS($I$2:$I$52))),ROW()-ROW($J$2:$J$52)+1),COLUMN($I$2:$I$52),4)))</f>
        <v/>
      </c>
    </row>
    <row r="52" spans="1:16" ht="15.75" thickBot="1">
      <c r="A52" s="341"/>
      <c r="B52" s="341"/>
      <c r="C52" s="359"/>
      <c r="D52" s="377" t="s">
        <v>403</v>
      </c>
      <c r="E52" s="354" t="str">
        <f>IF(H52="","","2021")</f>
        <v/>
      </c>
      <c r="F52" s="336" t="str">
        <f t="shared" si="18"/>
        <v/>
      </c>
      <c r="G52" s="336" t="str">
        <f t="shared" si="19"/>
        <v/>
      </c>
      <c r="H52" s="343" t="str">
        <f>IF(A8="relevant",IF(Matrix!V25="","",IF(AND(ROUND(Matrix!V25,4)&gt;Berechnung2!$G$35,ROUND(Matrix!V25,4)&lt;Berechnung2!$K$35),Berechnung2!$M$35,"")),"")</f>
        <v/>
      </c>
      <c r="I52" s="384" t="str">
        <f t="array" ref="I52">IF(H52="","",VLOOKUP(F52,Berechnung2!$I$15:$J$23,2,FALSE))</f>
        <v/>
      </c>
      <c r="J52" s="397" t="str">
        <f t="shared" si="20"/>
        <v/>
      </c>
      <c r="L52" s="392" t="str">
        <f t="array" aca="1" ref="L52" ca="1">IF(ROW()-ROW($F$2:$F$52)+1&gt;ROWS($E$2:$E$52)-COUNTBLANK($E$2:$E$52),"",INDIRECT(ADDRESS(SMALL((IF($E$2:$E$52&lt;&gt;"",ROW($E$2:$E$52),ROW()+ROWS($E$2:$E$52))),ROW()-ROW($F$2:$F$52)+1),COLUMN($E$2:$E$52),4)))</f>
        <v/>
      </c>
      <c r="M52" s="392" t="str">
        <f t="array" aca="1" ref="M52" ca="1">IF(ROW()-ROW($G$2:$G$52)+1&gt;ROWS($F$2:$F$52)-COUNTBLANK($F$2:$F$52),"",INDIRECT(ADDRESS(SMALL((IF($F$2:$F$52&lt;&gt;"",ROW($F$2:$F$52),ROW()+ROWS($F$2:$F$52))),ROW()-ROW($G$2:$G$52)+1),COLUMN($F$2:$F$52),4)))</f>
        <v/>
      </c>
      <c r="N52" s="392" t="str">
        <f t="array" aca="1" ref="N52" ca="1">IF(ROW()-ROW($H$2:$H$52)+1&gt;ROWS($G$2:$G$52)-COUNTBLANK($G$2:$G$52),"",INDIRECT(ADDRESS(SMALL((IF($G$2:$G$52&lt;&gt;"",ROW($G$2:$G$52),ROW()+ROWS($G$2:$G$52))),ROW()-ROW($H$2:$H$52)+1),COLUMN($G$2:$G$52),4)))</f>
        <v/>
      </c>
      <c r="O52" s="393" t="str">
        <f t="array" aca="1" ref="O52" ca="1">IF(ROW()-ROW($I$2:$I$52)+1&gt;ROWS($H$2:$H$52)-COUNTBLANK($H$2:$H$52),"",INDIRECT(ADDRESS(SMALL((IF($H$2:$H$52&lt;&gt;"",ROW($H$2:$H$52),ROW()+ROWS($H$2:$H$52))),ROW()-ROW($I$2:$I$52)+1),COLUMN($H$2:$H$52),4)))</f>
        <v/>
      </c>
      <c r="P52" s="394" t="str">
        <f t="array" aca="1" ref="P52" ca="1">IF(ROW()-ROW($J$2:$J$52)+1&gt;ROWS($I$2:$I$52)-COUNTBLANK($I$2:$I$52),"",INDIRECT(ADDRESS(SMALL((IF($I$2:$I$52&lt;&gt;"",ROW($I$2:$I$52),ROW()+ROWS($I$2:$I$52))),ROW()-ROW($J$2:$J$52)+1),COLUMN($I$2:$I$52),4)))</f>
        <v/>
      </c>
    </row>
    <row r="53" spans="1:16">
      <c r="H53" s="252"/>
      <c r="I53" s="357"/>
    </row>
    <row r="54" spans="1:16">
      <c r="A54" s="361"/>
      <c r="B54" s="361"/>
      <c r="D54" s="363"/>
      <c r="E54" s="365"/>
      <c r="H54" s="252"/>
      <c r="I54" s="357"/>
    </row>
    <row r="55" spans="1:16">
      <c r="A55" s="361"/>
      <c r="B55" s="361"/>
      <c r="D55" s="364"/>
      <c r="E55" s="388"/>
      <c r="H55" s="252"/>
      <c r="I55" s="415" t="s">
        <v>100</v>
      </c>
      <c r="J55" s="416">
        <f>IF(SUM(J2:J7)=0,0,SUM(J2:J7))</f>
        <v>0</v>
      </c>
    </row>
    <row r="56" spans="1:16">
      <c r="A56" s="361"/>
      <c r="B56" s="361"/>
      <c r="D56" s="51"/>
      <c r="E56" s="51"/>
      <c r="H56" s="252"/>
      <c r="I56" s="417" t="s">
        <v>98</v>
      </c>
      <c r="J56" s="418">
        <f>IF(SUM(J16:J43)=0,0,SUM(J16:J43))</f>
        <v>0</v>
      </c>
    </row>
    <row r="57" spans="1:16">
      <c r="A57" s="361"/>
      <c r="B57" s="361"/>
      <c r="D57" s="363"/>
      <c r="E57" s="363"/>
      <c r="H57" s="252"/>
      <c r="I57" s="419" t="s">
        <v>78</v>
      </c>
      <c r="J57" s="420">
        <f>IF(SUM(J45:J52,J9:J15)=0,0,SUM(J45:J52,J9:J15))</f>
        <v>0</v>
      </c>
    </row>
    <row r="58" spans="1:16">
      <c r="A58" s="361"/>
      <c r="B58" s="361"/>
      <c r="D58" s="365"/>
      <c r="E58" s="388"/>
      <c r="H58" s="252"/>
      <c r="I58" s="421" t="s">
        <v>13</v>
      </c>
      <c r="J58" s="422">
        <f>IF(J44="",0,J44)</f>
        <v>0</v>
      </c>
    </row>
    <row r="59" spans="1:16">
      <c r="A59" s="361"/>
      <c r="B59" s="361"/>
      <c r="D59" s="361"/>
      <c r="E59" s="361"/>
      <c r="H59" s="252"/>
      <c r="I59" s="356"/>
      <c r="J59" s="357"/>
    </row>
    <row r="60" spans="1:16">
      <c r="A60" s="389"/>
      <c r="B60" s="363"/>
      <c r="C60" s="363"/>
      <c r="D60" s="361"/>
      <c r="E60" s="361"/>
      <c r="H60" s="252"/>
      <c r="I60" s="356"/>
      <c r="J60" s="357"/>
    </row>
    <row r="61" spans="1:16">
      <c r="A61" s="361"/>
      <c r="B61" s="364"/>
      <c r="C61" s="364"/>
      <c r="D61" s="361"/>
      <c r="E61" s="361"/>
      <c r="H61" s="252"/>
      <c r="I61" s="356"/>
      <c r="J61" s="357"/>
    </row>
    <row r="62" spans="1:16">
      <c r="A62" s="51"/>
      <c r="B62" s="51"/>
      <c r="C62" s="51"/>
      <c r="D62" s="361"/>
      <c r="E62" s="361"/>
      <c r="H62" s="252"/>
      <c r="I62" s="356"/>
      <c r="J62" s="358"/>
    </row>
    <row r="63" spans="1:16">
      <c r="A63" s="389"/>
      <c r="B63" s="363"/>
      <c r="C63" s="363"/>
      <c r="D63" s="361"/>
      <c r="E63" s="361"/>
      <c r="H63" s="252"/>
      <c r="I63" s="356"/>
      <c r="J63" s="358"/>
    </row>
    <row r="64" spans="1:16">
      <c r="A64" s="361"/>
      <c r="B64" s="365"/>
      <c r="C64" s="365"/>
      <c r="D64" s="361"/>
      <c r="E64" s="361"/>
      <c r="J64" s="358"/>
    </row>
    <row r="65" spans="4:16">
      <c r="J65" s="356"/>
    </row>
    <row r="66" spans="4:16">
      <c r="D66" s="352"/>
      <c r="G66" s="345"/>
      <c r="I66" s="350"/>
      <c r="J66" s="356"/>
    </row>
    <row r="67" spans="4:16">
      <c r="D67" s="352"/>
      <c r="G67" s="345"/>
      <c r="I67" s="350"/>
      <c r="J67" s="356"/>
    </row>
    <row r="68" spans="4:16">
      <c r="D68" s="352"/>
      <c r="G68" s="345"/>
      <c r="I68" s="350"/>
      <c r="J68" s="356"/>
    </row>
    <row r="69" spans="4:16">
      <c r="D69" s="352"/>
      <c r="G69" s="345"/>
      <c r="I69" s="350"/>
      <c r="J69" s="356"/>
    </row>
    <row r="70" spans="4:16">
      <c r="D70" s="352"/>
      <c r="G70" s="345"/>
      <c r="I70" s="350"/>
    </row>
    <row r="71" spans="4:16">
      <c r="D71" s="352"/>
      <c r="G71" s="345"/>
      <c r="I71" s="350"/>
    </row>
    <row r="72" spans="4:16">
      <c r="D72" s="352"/>
      <c r="G72" s="345"/>
      <c r="I72" s="350"/>
      <c r="J72" s="350"/>
      <c r="K72" s="350"/>
      <c r="M72" s="242"/>
      <c r="N72" s="242"/>
      <c r="O72" s="395"/>
      <c r="P72" s="395"/>
    </row>
    <row r="73" spans="4:16">
      <c r="D73" s="352"/>
      <c r="G73" s="345"/>
      <c r="I73" s="350"/>
      <c r="J73" s="350"/>
      <c r="K73" s="350"/>
      <c r="M73" s="242"/>
      <c r="N73" s="242"/>
      <c r="O73" s="395"/>
      <c r="P73" s="395"/>
    </row>
    <row r="74" spans="4:16">
      <c r="D74" s="352"/>
      <c r="G74" s="345"/>
      <c r="I74" s="350"/>
      <c r="J74" s="350"/>
      <c r="K74" s="350"/>
      <c r="M74" s="242"/>
      <c r="N74" s="242"/>
      <c r="O74" s="395"/>
      <c r="P74" s="395"/>
    </row>
    <row r="75" spans="4:16">
      <c r="J75" s="350"/>
      <c r="K75" s="350"/>
      <c r="M75" s="242"/>
      <c r="N75" s="242"/>
      <c r="O75" s="395"/>
      <c r="P75" s="395"/>
    </row>
    <row r="76" spans="4:16">
      <c r="J76" s="350"/>
      <c r="K76" s="350"/>
      <c r="M76" s="242"/>
      <c r="N76" s="242"/>
      <c r="O76" s="395"/>
      <c r="P76" s="395"/>
    </row>
    <row r="77" spans="4:16">
      <c r="J77" s="350"/>
      <c r="K77" s="350"/>
      <c r="M77" s="242"/>
      <c r="N77" s="242"/>
      <c r="O77" s="395"/>
      <c r="P77" s="395"/>
    </row>
    <row r="78" spans="4:16">
      <c r="J78" s="350"/>
      <c r="K78" s="350"/>
      <c r="M78" s="242"/>
      <c r="N78" s="242"/>
      <c r="O78" s="395"/>
      <c r="P78" s="395"/>
    </row>
    <row r="79" spans="4:16">
      <c r="J79" s="350"/>
      <c r="K79" s="350"/>
      <c r="M79" s="242"/>
      <c r="N79" s="242"/>
      <c r="O79" s="395"/>
      <c r="P79" s="395"/>
    </row>
    <row r="80" spans="4:16">
      <c r="J80" s="350"/>
      <c r="K80" s="350"/>
      <c r="M80" s="242"/>
      <c r="N80" s="242"/>
      <c r="O80" s="395"/>
      <c r="P80" s="395"/>
    </row>
  </sheetData>
  <mergeCells count="7">
    <mergeCell ref="D47:D50"/>
    <mergeCell ref="D3:D6"/>
    <mergeCell ref="D10:D13"/>
    <mergeCell ref="D17:D20"/>
    <mergeCell ref="D24:D27"/>
    <mergeCell ref="D31:D34"/>
    <mergeCell ref="D38:D41"/>
  </mergeCells>
  <phoneticPr fontId="41" type="noConversion"/>
  <conditionalFormatting sqref="A60:B60 B61 B64">
    <cfRule type="expression" dxfId="54" priority="21">
      <formula>$B60="EZ"</formula>
    </cfRule>
    <cfRule type="expression" dxfId="53" priority="22">
      <formula>$B60="nicht relevant"</formula>
    </cfRule>
  </conditionalFormatting>
  <conditionalFormatting sqref="A63:B63 D57:E57">
    <cfRule type="expression" dxfId="52" priority="19">
      <formula>#REF!="EZ"</formula>
    </cfRule>
    <cfRule type="expression" dxfId="51" priority="20">
      <formula>#REF!="nicht relevant"</formula>
    </cfRule>
  </conditionalFormatting>
  <conditionalFormatting sqref="E44:E45">
    <cfRule type="expression" dxfId="50" priority="3238">
      <formula>$B61="EZ"</formula>
    </cfRule>
    <cfRule type="expression" dxfId="49" priority="3239">
      <formula>$B61="nicht relevant"</formula>
    </cfRule>
  </conditionalFormatting>
  <conditionalFormatting sqref="B2:B8 E30:E36 E2:J8">
    <cfRule type="expression" dxfId="48" priority="11">
      <formula>$A2="EZ"</formula>
    </cfRule>
    <cfRule type="expression" dxfId="47" priority="12">
      <formula>$A2="nicht relevant"</formula>
    </cfRule>
  </conditionalFormatting>
  <conditionalFormatting sqref="E37:E43">
    <cfRule type="expression" dxfId="46" priority="9">
      <formula>$A37="EZ"</formula>
    </cfRule>
    <cfRule type="expression" dxfId="45" priority="10">
      <formula>$A37="nicht relevant"</formula>
    </cfRule>
  </conditionalFormatting>
  <conditionalFormatting sqref="E46:E52">
    <cfRule type="expression" dxfId="44" priority="7">
      <formula>$A44="EZ"</formula>
    </cfRule>
    <cfRule type="expression" dxfId="43" priority="8">
      <formula>$A44="nicht relevant"</formula>
    </cfRule>
  </conditionalFormatting>
  <conditionalFormatting sqref="E23:E29">
    <cfRule type="expression" dxfId="42" priority="1">
      <formula>$A23="EZ"</formula>
    </cfRule>
    <cfRule type="expression" dxfId="41" priority="2">
      <formula>$A23="nicht relevant"</formula>
    </cfRule>
  </conditionalFormatting>
  <conditionalFormatting sqref="D54:D55 D58">
    <cfRule type="expression" dxfId="40" priority="3246">
      <formula>$B60="EZ"</formula>
    </cfRule>
    <cfRule type="expression" dxfId="39" priority="3247">
      <formula>$B60="nicht relevant"</formula>
    </cfRule>
  </conditionalFormatting>
  <conditionalFormatting sqref="E9:J15">
    <cfRule type="expression" dxfId="38" priority="3296">
      <formula>$A2="EZ"</formula>
    </cfRule>
    <cfRule type="expression" dxfId="37" priority="3297">
      <formula>$A2="nicht relevant"</formula>
    </cfRule>
  </conditionalFormatting>
  <conditionalFormatting sqref="E16:J22">
    <cfRule type="expression" dxfId="36" priority="3298">
      <formula>$A2="EZ"</formula>
    </cfRule>
    <cfRule type="expression" dxfId="35" priority="3299">
      <formula>$A2="nicht relevant"</formula>
    </cfRule>
  </conditionalFormatting>
  <conditionalFormatting sqref="E23:J29">
    <cfRule type="expression" dxfId="34" priority="3300">
      <formula>$A2="EZ"</formula>
    </cfRule>
    <cfRule type="expression" dxfId="33" priority="3301">
      <formula>$A2="nicht relevant"</formula>
    </cfRule>
  </conditionalFormatting>
  <conditionalFormatting sqref="E30:J36">
    <cfRule type="expression" dxfId="32" priority="3302">
      <formula>$A2="EZ"</formula>
    </cfRule>
    <cfRule type="expression" dxfId="31" priority="3303">
      <formula>$A2="nicht relevant"</formula>
    </cfRule>
  </conditionalFormatting>
  <conditionalFormatting sqref="E37:J43">
    <cfRule type="expression" dxfId="30" priority="3304">
      <formula>$A2="EZ"</formula>
    </cfRule>
    <cfRule type="expression" dxfId="29" priority="3305">
      <formula>$A2="nicht relevant"</formula>
    </cfRule>
  </conditionalFormatting>
  <conditionalFormatting sqref="E46:J52">
    <cfRule type="expression" dxfId="28" priority="3306">
      <formula>$A2="EZ"</formula>
    </cfRule>
    <cfRule type="expression" dxfId="27" priority="3307">
      <formula>$A2="nicht relevant"</formula>
    </cfRule>
  </conditionalFormatting>
  <pageMargins left="0.7" right="0.7" top="0.78740157499999996" bottom="0.78740157499999996" header="0.3" footer="0.3"/>
  <pageSetup orientation="portrait" r:id="rId1"/>
  <ignoredErrors>
    <ignoredError sqref="P2" evalError="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B1:O32"/>
  <sheetViews>
    <sheetView showGridLines="0" zoomScaleNormal="100" zoomScaleSheetLayoutView="80" workbookViewId="0">
      <selection activeCell="D17" sqref="D17:G17"/>
    </sheetView>
  </sheetViews>
  <sheetFormatPr baseColWidth="10" defaultColWidth="9" defaultRowHeight="14.25"/>
  <cols>
    <col min="1" max="1" width="1.7109375" style="4" customWidth="1"/>
    <col min="2" max="2" width="14.140625" style="4" customWidth="1"/>
    <col min="3" max="3" width="33.28515625" style="4" customWidth="1"/>
    <col min="4" max="5" width="23.85546875" style="4" customWidth="1"/>
    <col min="6" max="6" width="22.140625" style="4" customWidth="1"/>
    <col min="7" max="7" width="22.28515625" style="4" customWidth="1"/>
    <col min="8" max="183" width="11.42578125" style="4" customWidth="1"/>
    <col min="184" max="16384" width="9" style="4"/>
  </cols>
  <sheetData>
    <row r="1" spans="2:15" ht="9.9499999999999993" customHeight="1">
      <c r="C1" s="33"/>
      <c r="F1" s="24"/>
    </row>
    <row r="2" spans="2:15" ht="12.95" customHeight="1">
      <c r="B2" s="545" t="s">
        <v>763</v>
      </c>
      <c r="C2" s="9"/>
      <c r="D2" s="9"/>
      <c r="F2" s="24"/>
    </row>
    <row r="3" spans="2:15" ht="16.5">
      <c r="B3" s="50" t="s">
        <v>779</v>
      </c>
      <c r="F3" s="24"/>
      <c r="G3" s="25"/>
    </row>
    <row r="4" spans="2:15">
      <c r="B4" s="28"/>
      <c r="K4" s="28"/>
    </row>
    <row r="5" spans="2:15" ht="15" customHeight="1">
      <c r="B5" s="9"/>
      <c r="C5" s="9"/>
      <c r="D5" s="9"/>
      <c r="E5" s="15"/>
      <c r="F5" s="15"/>
      <c r="G5" s="15"/>
      <c r="H5" s="15"/>
      <c r="I5" s="15"/>
      <c r="J5" s="15"/>
      <c r="K5" s="28"/>
    </row>
    <row r="6" spans="2:15" s="30" customFormat="1" ht="15" customHeight="1">
      <c r="B6" s="147" t="s">
        <v>133</v>
      </c>
      <c r="C6" s="1116" t="str">
        <f>IF(Basisdaten!C8=0,"",Basisdaten!C8)</f>
        <v/>
      </c>
      <c r="D6" s="1117"/>
      <c r="E6" s="1117"/>
      <c r="F6" s="1117"/>
      <c r="G6" s="1118"/>
      <c r="I6" s="28"/>
      <c r="J6" s="28"/>
      <c r="K6" s="26"/>
      <c r="L6" s="28"/>
      <c r="M6" s="28"/>
    </row>
    <row r="7" spans="2:15" s="30" customFormat="1" ht="6.95" customHeight="1">
      <c r="B7" s="167"/>
      <c r="C7" s="167"/>
      <c r="D7" s="15"/>
      <c r="E7" s="15"/>
      <c r="F7" s="15"/>
      <c r="G7" s="15"/>
      <c r="H7" s="15"/>
      <c r="I7" s="15"/>
      <c r="K7" s="28"/>
      <c r="L7" s="28"/>
      <c r="M7" s="26"/>
      <c r="N7" s="28"/>
      <c r="O7" s="28"/>
    </row>
    <row r="8" spans="2:15" s="30" customFormat="1" ht="15" customHeight="1">
      <c r="B8" s="147" t="s">
        <v>80</v>
      </c>
      <c r="C8" s="185" t="str">
        <f>IF(Basisdaten!C6=0,"",Basisdaten!C6)</f>
        <v/>
      </c>
      <c r="D8" s="187"/>
      <c r="E8" s="189"/>
      <c r="F8" s="57" t="s">
        <v>361</v>
      </c>
      <c r="G8" s="186" t="str">
        <f>IF(Basisdaten!O12=0,"",Basisdaten!O12)</f>
        <v/>
      </c>
      <c r="I8" s="28"/>
      <c r="J8" s="28"/>
      <c r="K8" s="26"/>
      <c r="L8" s="28"/>
      <c r="M8" s="28"/>
    </row>
    <row r="9" spans="2:15" s="30" customFormat="1" ht="9.75" customHeight="1">
      <c r="B9" s="161"/>
      <c r="C9" s="168"/>
      <c r="D9" s="165"/>
      <c r="E9" s="161"/>
      <c r="F9" s="165"/>
      <c r="G9" s="161"/>
      <c r="J9" s="18"/>
      <c r="K9" s="38"/>
      <c r="L9" s="38"/>
      <c r="M9" s="38"/>
      <c r="N9" s="38"/>
      <c r="O9" s="38"/>
    </row>
    <row r="10" spans="2:15" ht="6.75" customHeight="1">
      <c r="B10" s="9"/>
      <c r="C10" s="9"/>
      <c r="D10" s="9"/>
      <c r="E10" s="9"/>
      <c r="F10" s="9"/>
      <c r="G10" s="9"/>
      <c r="J10" s="40"/>
      <c r="K10" s="39"/>
      <c r="L10" s="39"/>
      <c r="M10" s="39"/>
      <c r="N10" s="39"/>
      <c r="O10" s="39"/>
    </row>
    <row r="11" spans="2:15" s="9" customFormat="1" ht="16.5" customHeight="1">
      <c r="B11" s="190" t="s">
        <v>106</v>
      </c>
    </row>
    <row r="12" spans="2:15" s="9" customFormat="1" ht="13.5" customHeight="1">
      <c r="C12" s="423" t="str">
        <f>IF(OR(C13="",C13="Matrix kann eingereicht werden"),"In Ordnung",IF(C13="die inkorrekten und unvollständigen Einträge beheben","Nicht in Ordnung"))</f>
        <v>In Ordnung</v>
      </c>
      <c r="D12" s="182" t="s">
        <v>78</v>
      </c>
      <c r="E12" s="256" t="s">
        <v>13</v>
      </c>
      <c r="F12" s="184" t="s">
        <v>98</v>
      </c>
      <c r="G12" s="184" t="s">
        <v>435</v>
      </c>
    </row>
    <row r="13" spans="2:15" s="9" customFormat="1" ht="22.5" customHeight="1">
      <c r="C13" s="264" t="str">
        <f>Berechnung2!B6</f>
        <v/>
      </c>
      <c r="D13" s="103">
        <f>Berechnung2!C6</f>
        <v>0</v>
      </c>
      <c r="E13" s="73">
        <f>Berechnung2!D6</f>
        <v>0</v>
      </c>
      <c r="F13" s="263">
        <f>Berechnung2!E6</f>
        <v>0</v>
      </c>
      <c r="G13" s="263">
        <f>Berechnung2!F6</f>
        <v>0</v>
      </c>
    </row>
    <row r="14" spans="2:15" s="30" customFormat="1" ht="14.25" customHeight="1">
      <c r="B14" s="161"/>
      <c r="C14" s="53"/>
      <c r="D14" s="53"/>
      <c r="E14" s="161"/>
      <c r="F14" s="161"/>
      <c r="G14" s="161"/>
    </row>
    <row r="15" spans="2:15" ht="21.75" customHeight="1">
      <c r="B15" s="1138" t="s">
        <v>127</v>
      </c>
      <c r="C15" s="1140" t="s">
        <v>61</v>
      </c>
      <c r="D15" s="1141" t="s">
        <v>2</v>
      </c>
      <c r="E15" s="1142"/>
      <c r="F15" s="1142"/>
      <c r="G15" s="1142"/>
    </row>
    <row r="16" spans="2:15" s="23" customFormat="1" ht="12.75" customHeight="1">
      <c r="B16" s="1139"/>
      <c r="C16" s="1139"/>
      <c r="D16" s="1142"/>
      <c r="E16" s="1142"/>
      <c r="F16" s="1142"/>
      <c r="G16" s="1142"/>
    </row>
    <row r="17" spans="2:7" s="145" customFormat="1" ht="66" customHeight="1">
      <c r="B17" s="183" t="str">
        <f>IF(ISERROR(Berechnung2!G15),"",Berechnung2!G15)</f>
        <v/>
      </c>
      <c r="C17" s="183" t="str">
        <f>IF(ISERROR(Berechnung2!H15),"",Berechnung2!H15)</f>
        <v/>
      </c>
      <c r="D17" s="1136"/>
      <c r="E17" s="1137"/>
      <c r="F17" s="1137"/>
      <c r="G17" s="1137"/>
    </row>
    <row r="18" spans="2:7" s="145" customFormat="1" ht="66" customHeight="1">
      <c r="B18" s="183" t="str">
        <f>IF(ISERROR(Berechnung2!G16),"",Berechnung2!G16)</f>
        <v/>
      </c>
      <c r="C18" s="183" t="str">
        <f>IF(ISERROR(Berechnung2!H16),"",Berechnung2!H16)</f>
        <v/>
      </c>
      <c r="D18" s="1136"/>
      <c r="E18" s="1137"/>
      <c r="F18" s="1137"/>
      <c r="G18" s="1137"/>
    </row>
    <row r="19" spans="2:7" s="145" customFormat="1" ht="66" customHeight="1">
      <c r="B19" s="183" t="str">
        <f>IF(ISERROR(Berechnung2!G17),"",Berechnung2!G17)</f>
        <v/>
      </c>
      <c r="C19" s="183" t="str">
        <f>IF(ISERROR(Berechnung2!H17),"",Berechnung2!H17)</f>
        <v/>
      </c>
      <c r="D19" s="1136"/>
      <c r="E19" s="1137"/>
      <c r="F19" s="1137"/>
      <c r="G19" s="1137"/>
    </row>
    <row r="20" spans="2:7" s="145" customFormat="1" ht="66" customHeight="1">
      <c r="B20" s="275" t="str">
        <f>IF(ISERROR(Berechnung2!G18),"",Berechnung2!G18)</f>
        <v/>
      </c>
      <c r="C20" s="275" t="str">
        <f>IF(ISERROR(Berechnung2!H18),"",Berechnung2!H18)</f>
        <v/>
      </c>
      <c r="D20" s="1136"/>
      <c r="E20" s="1137"/>
      <c r="F20" s="1137"/>
      <c r="G20" s="1137"/>
    </row>
    <row r="21" spans="2:7" s="145" customFormat="1" ht="66" customHeight="1">
      <c r="B21" s="152" t="str">
        <f>IF(ISERROR(Berechnung2!G19),"",Berechnung2!G19)</f>
        <v/>
      </c>
      <c r="C21" s="152" t="str">
        <f>IF(ISERROR(Berechnung2!H19),"",Berechnung2!H19)</f>
        <v/>
      </c>
      <c r="D21" s="1136"/>
      <c r="E21" s="1137"/>
      <c r="F21" s="1137"/>
      <c r="G21" s="1137"/>
    </row>
    <row r="22" spans="2:7" s="145" customFormat="1" ht="66" customHeight="1">
      <c r="B22" s="152" t="str">
        <f>IF(ISERROR(Berechnung2!G20),"",Berechnung2!G20)</f>
        <v/>
      </c>
      <c r="C22" s="152" t="str">
        <f>IF(ISERROR(Berechnung2!H20),"",Berechnung2!H20)</f>
        <v/>
      </c>
      <c r="D22" s="1136"/>
      <c r="E22" s="1137"/>
      <c r="F22" s="1137"/>
      <c r="G22" s="1137"/>
    </row>
    <row r="23" spans="2:7" s="145" customFormat="1" ht="66" customHeight="1">
      <c r="B23" s="152" t="str">
        <f>IF(ISERROR(Berechnung2!G21),"",Berechnung2!G21)</f>
        <v/>
      </c>
      <c r="C23" s="152" t="str">
        <f>IF(ISERROR(Berechnung2!H21),"",Berechnung2!H21)</f>
        <v/>
      </c>
      <c r="D23" s="1136"/>
      <c r="E23" s="1137"/>
      <c r="F23" s="1137"/>
      <c r="G23" s="1137"/>
    </row>
    <row r="24" spans="2:7" s="145" customFormat="1" ht="66" customHeight="1">
      <c r="B24" s="152" t="str">
        <f>IF(ISERROR(Berechnung2!G22),"",Berechnung2!G22)</f>
        <v/>
      </c>
      <c r="C24" s="152" t="str">
        <f>IF(ISERROR(Berechnung2!H22),"",Berechnung2!H22)</f>
        <v/>
      </c>
      <c r="D24" s="1136"/>
      <c r="E24" s="1137"/>
      <c r="F24" s="1137"/>
      <c r="G24" s="1137"/>
    </row>
    <row r="25" spans="2:7" s="145" customFormat="1" ht="66" customHeight="1">
      <c r="B25" s="152" t="str">
        <f>IF(ISERROR(Berechnung2!G23),"",Berechnung2!G23)</f>
        <v/>
      </c>
      <c r="C25" s="152" t="str">
        <f>IF(ISERROR(Berechnung2!H23),"",Berechnung2!H23)</f>
        <v/>
      </c>
      <c r="D25" s="1136"/>
      <c r="E25" s="1137"/>
      <c r="F25" s="1137"/>
      <c r="G25" s="1137"/>
    </row>
    <row r="26" spans="2:7">
      <c r="B26" s="9"/>
      <c r="C26" s="9"/>
      <c r="D26" s="9"/>
      <c r="E26" s="9"/>
      <c r="F26" s="9"/>
      <c r="G26" s="9"/>
    </row>
    <row r="27" spans="2:7">
      <c r="B27" s="9"/>
      <c r="C27" s="9"/>
      <c r="D27" s="9"/>
      <c r="E27" s="9"/>
      <c r="F27" s="9"/>
      <c r="G27" s="9"/>
    </row>
    <row r="28" spans="2:7">
      <c r="B28" s="9"/>
      <c r="C28" s="9"/>
      <c r="D28" s="9"/>
      <c r="E28" s="9"/>
      <c r="F28" s="9"/>
      <c r="G28" s="9"/>
    </row>
    <row r="29" spans="2:7">
      <c r="B29" s="9"/>
      <c r="C29" s="9"/>
      <c r="D29" s="9"/>
      <c r="E29" s="9"/>
      <c r="F29" s="9"/>
      <c r="G29" s="9"/>
    </row>
    <row r="30" spans="2:7">
      <c r="B30" s="9"/>
      <c r="C30" s="9"/>
      <c r="D30" s="9"/>
      <c r="E30" s="9"/>
      <c r="F30" s="9"/>
      <c r="G30" s="9"/>
    </row>
    <row r="31" spans="2:7">
      <c r="B31" s="9"/>
      <c r="C31" s="9"/>
      <c r="D31" s="9"/>
      <c r="E31" s="9"/>
      <c r="F31" s="9"/>
      <c r="G31" s="9"/>
    </row>
    <row r="32" spans="2:7">
      <c r="B32" s="9"/>
      <c r="C32" s="9"/>
      <c r="D32" s="9"/>
      <c r="E32" s="9"/>
      <c r="F32" s="9"/>
      <c r="G32" s="9"/>
    </row>
  </sheetData>
  <sheetProtection password="CA09" sheet="1" objects="1" scenarios="1" selectLockedCells="1"/>
  <customSheetViews>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13">
    <mergeCell ref="D24:G24"/>
    <mergeCell ref="D25:G25"/>
    <mergeCell ref="B15:B16"/>
    <mergeCell ref="C15:C16"/>
    <mergeCell ref="D15:G16"/>
    <mergeCell ref="D18:G18"/>
    <mergeCell ref="D17:G17"/>
    <mergeCell ref="C6:G6"/>
    <mergeCell ref="D19:G19"/>
    <mergeCell ref="D23:G23"/>
    <mergeCell ref="D20:G20"/>
    <mergeCell ref="D22:G22"/>
    <mergeCell ref="D21:G21"/>
  </mergeCells>
  <phoneticPr fontId="41" type="noConversion"/>
  <conditionalFormatting sqref="B12:B13 D12:E13 F12:G12 G12:IV13 A11:XFD11 A9:XFD9">
    <cfRule type="cellIs" dxfId="26" priority="223" operator="lessThan">
      <formula>0</formula>
    </cfRule>
  </conditionalFormatting>
  <conditionalFormatting sqref="D17:G17">
    <cfRule type="notContainsBlanks" dxfId="25" priority="59" stopIfTrue="1">
      <formula>LEN(TRIM(D17))&gt;0</formula>
    </cfRule>
    <cfRule type="expression" dxfId="24" priority="2471" stopIfTrue="1">
      <formula>B17&lt;&gt;""</formula>
    </cfRule>
  </conditionalFormatting>
  <conditionalFormatting sqref="D18:G18">
    <cfRule type="notContainsBlanks" dxfId="23" priority="2470" stopIfTrue="1">
      <formula>LEN(TRIM(D18))&gt;0</formula>
    </cfRule>
    <cfRule type="expression" dxfId="22" priority="2472" stopIfTrue="1">
      <formula>B18&lt;&gt;""</formula>
    </cfRule>
  </conditionalFormatting>
  <conditionalFormatting sqref="C17:C25">
    <cfRule type="expression" dxfId="21" priority="37">
      <formula>SEARCH("Unvollständig",$C17,1)</formula>
    </cfRule>
    <cfRule type="expression" dxfId="20" priority="40">
      <formula>SEARCH($D$12,$C17,1)</formula>
    </cfRule>
    <cfRule type="expression" dxfId="19" priority="41">
      <formula>SEARCH($E$12,$C17,1)</formula>
    </cfRule>
    <cfRule type="expression" dxfId="18" priority="42">
      <formula>SEARCH($F$12,$C17,1)</formula>
    </cfRule>
  </conditionalFormatting>
  <conditionalFormatting sqref="D19:G19">
    <cfRule type="notContainsBlanks" dxfId="17" priority="17" stopIfTrue="1">
      <formula>LEN(TRIM(D19))&gt;0</formula>
    </cfRule>
    <cfRule type="expression" dxfId="16" priority="18" stopIfTrue="1">
      <formula>B19&lt;&gt;""</formula>
    </cfRule>
  </conditionalFormatting>
  <conditionalFormatting sqref="D20:G20">
    <cfRule type="notContainsBlanks" dxfId="15" priority="15" stopIfTrue="1">
      <formula>LEN(TRIM(D20))&gt;0</formula>
    </cfRule>
    <cfRule type="expression" dxfId="14" priority="16" stopIfTrue="1">
      <formula>B20&lt;&gt;""</formula>
    </cfRule>
  </conditionalFormatting>
  <conditionalFormatting sqref="D21:G21">
    <cfRule type="notContainsBlanks" dxfId="13" priority="13" stopIfTrue="1">
      <formula>LEN(TRIM(D21))&gt;0</formula>
    </cfRule>
    <cfRule type="expression" dxfId="12" priority="14" stopIfTrue="1">
      <formula>B21&lt;&gt;""</formula>
    </cfRule>
  </conditionalFormatting>
  <conditionalFormatting sqref="D22:G22">
    <cfRule type="notContainsBlanks" dxfId="11" priority="11" stopIfTrue="1">
      <formula>LEN(TRIM(D22))&gt;0</formula>
    </cfRule>
    <cfRule type="expression" dxfId="10" priority="12" stopIfTrue="1">
      <formula>B22&lt;&gt;""</formula>
    </cfRule>
  </conditionalFormatting>
  <conditionalFormatting sqref="D23:G23">
    <cfRule type="notContainsBlanks" dxfId="9" priority="9" stopIfTrue="1">
      <formula>LEN(TRIM(D23))&gt;0</formula>
    </cfRule>
    <cfRule type="expression" dxfId="8" priority="10" stopIfTrue="1">
      <formula>B23&lt;&gt;""</formula>
    </cfRule>
  </conditionalFormatting>
  <conditionalFormatting sqref="D24:G24">
    <cfRule type="notContainsBlanks" dxfId="7" priority="7" stopIfTrue="1">
      <formula>LEN(TRIM(D24))&gt;0</formula>
    </cfRule>
    <cfRule type="expression" dxfId="6" priority="8" stopIfTrue="1">
      <formula>B24&lt;&gt;""</formula>
    </cfRule>
  </conditionalFormatting>
  <conditionalFormatting sqref="D25:G25">
    <cfRule type="notContainsBlanks" dxfId="5" priority="5" stopIfTrue="1">
      <formula>LEN(TRIM(D25))&gt;0</formula>
    </cfRule>
    <cfRule type="expression" dxfId="4" priority="6" stopIfTrue="1">
      <formula>B25&lt;&gt;""</formula>
    </cfRule>
  </conditionalFormatting>
  <conditionalFormatting sqref="C13">
    <cfRule type="expression" dxfId="3" priority="2" stopIfTrue="1">
      <formula>$C$13="die inkorrekten und unvollständigen Einträge beheben"</formula>
    </cfRule>
  </conditionalFormatting>
  <conditionalFormatting sqref="C12">
    <cfRule type="expression" dxfId="2" priority="1" stopIfTrue="1">
      <formula>$C$12="Nicht in Ordnung"</formula>
    </cfRule>
  </conditionalFormatting>
  <dataValidations count="1">
    <dataValidation type="textLength" allowBlank="1" showErrorMessage="1" errorTitle="Zeichenlänge" error="Minimal 30 Zeichen und max. 450 Zeichen." sqref="D17:G25">
      <formula1>30</formula1>
      <formula2>450</formula2>
    </dataValidation>
  </dataValidations>
  <pageMargins left="0.39370078740157483" right="0.11811023622047245" top="0.59055118110236227" bottom="0.39370078740157483" header="0.11811023622047245" footer="3.937007874015748E-2"/>
  <pageSetup paperSize="9" orientation="landscape" r:id="rId3"/>
  <headerFooter>
    <oddFooter>&amp;L&amp;"Arial,Standard"&amp;7&amp;F&amp;C&amp;"Arial,Standard"&amp;7 © DKG  Alle Rechte vorbehalten&amp;R&amp;"Arial,Standard"&amp;7&amp;P</oddFooter>
  </headerFooter>
  <drawing r:id="rId4"/>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X8"/>
  <sheetViews>
    <sheetView showGridLines="0" workbookViewId="0">
      <selection activeCell="R1" sqref="R1"/>
    </sheetView>
  </sheetViews>
  <sheetFormatPr baseColWidth="10" defaultColWidth="11.42578125" defaultRowHeight="15"/>
  <cols>
    <col min="1" max="1" width="13.42578125" customWidth="1"/>
    <col min="2" max="2" width="11.7109375" customWidth="1"/>
    <col min="3" max="3" width="11" customWidth="1"/>
    <col min="4" max="11" width="8.5703125" customWidth="1"/>
    <col min="12" max="12" width="8.5703125" style="612" customWidth="1"/>
    <col min="13" max="16" width="8.5703125" customWidth="1"/>
    <col min="17" max="17" width="9" customWidth="1"/>
    <col min="18" max="18" width="13.28515625" customWidth="1"/>
    <col min="19" max="19" width="12.5703125" customWidth="1"/>
    <col min="20" max="20" width="10.28515625" customWidth="1"/>
    <col min="21" max="21" width="12.140625" customWidth="1"/>
    <col min="22" max="22" width="16.5703125" customWidth="1"/>
    <col min="23" max="23" width="13.28515625" customWidth="1"/>
    <col min="24" max="24" width="9.5703125" customWidth="1"/>
    <col min="25" max="25" width="13.140625" customWidth="1"/>
    <col min="26" max="26" width="10.7109375" customWidth="1"/>
    <col min="27" max="27" width="12.7109375" customWidth="1"/>
    <col min="28" max="28" width="11.42578125" customWidth="1"/>
    <col min="29" max="29" width="15.85546875" customWidth="1"/>
    <col min="30" max="30" width="15.28515625" customWidth="1"/>
    <col min="31" max="37" width="11.42578125" customWidth="1"/>
    <col min="38" max="38" width="7.140625" customWidth="1"/>
    <col min="39" max="41" width="8.7109375" customWidth="1"/>
    <col min="42" max="42" width="16.28515625" customWidth="1"/>
  </cols>
  <sheetData>
    <row r="1" spans="1:24" ht="72" customHeight="1">
      <c r="A1" s="308" t="str">
        <f>Matrix!B17</f>
        <v>Relevante Nachsorgejahre</v>
      </c>
      <c r="B1" s="308" t="str">
        <f>Matrix!C17</f>
        <v>Jahr der Erstdiagnose</v>
      </c>
      <c r="C1" s="308" t="str">
        <f>Matrix!D17</f>
        <v xml:space="preserve">Anzahl Primärfälle 
Malignes Melanom </v>
      </c>
      <c r="D1" s="308" t="str">
        <f>Matrix!E18</f>
        <v>IA</v>
      </c>
      <c r="E1" s="308" t="str">
        <f>Matrix!F18</f>
        <v>IB</v>
      </c>
      <c r="F1" s="308" t="str">
        <f>Matrix!G18</f>
        <v>IIA</v>
      </c>
      <c r="G1" s="308" t="str">
        <f>Matrix!H18</f>
        <v>IIB</v>
      </c>
      <c r="H1" s="308" t="str">
        <f>Matrix!I18</f>
        <v>IIC</v>
      </c>
      <c r="I1" s="308" t="str">
        <f>Matrix!J18</f>
        <v>IIIA</v>
      </c>
      <c r="J1" s="308" t="str">
        <f>Matrix!K18</f>
        <v>IIIB</v>
      </c>
      <c r="K1" s="308" t="str">
        <f>Matrix!L18</f>
        <v>IIIC</v>
      </c>
      <c r="L1" s="308" t="str">
        <f>LEFT(Matrix!M18,4)</f>
        <v>IIID</v>
      </c>
      <c r="M1" s="308" t="str">
        <f>Matrix!N18</f>
        <v>IV</v>
      </c>
      <c r="N1" s="308" t="s">
        <v>608</v>
      </c>
      <c r="O1" s="308" t="s">
        <v>607</v>
      </c>
      <c r="P1" s="308" t="str">
        <f>Matrix!Q17</f>
        <v>Uvea, Konjunktiva, Schleimhaut</v>
      </c>
      <c r="Q1" s="308" t="str">
        <f>Matrix!R17</f>
        <v>nicht  zuzuordnen (z.B.: pTx)</v>
      </c>
      <c r="R1" s="308" t="str">
        <f>LEFT(Matrix!T17,37)</f>
        <v>Pat. mit aktueller 
Follow-Up-Meldung</v>
      </c>
      <c r="S1" s="308" t="str">
        <f>Matrix!U17</f>
        <v>Keine Rückmeldung</v>
      </c>
      <c r="T1" s="308" t="str">
        <f>Matrix!V17</f>
        <v>Follow-Up Quote in % 
= T / (T + U)</v>
      </c>
      <c r="U1" s="308" t="str">
        <f>LEFT(Matrix!X17,23)</f>
        <v xml:space="preserve">Tumorbedingt gestorben </v>
      </c>
      <c r="V1" s="308" t="str">
        <f>LEFT(Matrix!Y17,60)</f>
        <v xml:space="preserve">Gestorben (Todesursache 
unbekannt bzw. nicht tumorbedingt) </v>
      </c>
      <c r="W1" s="308" t="str">
        <f>Matrix!AA17</f>
        <v>OAS nach Kaplan-Meier    
(Overall Survival) in %</v>
      </c>
    </row>
    <row r="2" spans="1:24" ht="15" customHeight="1">
      <c r="A2" s="258" t="str">
        <f>Matrix!B19</f>
        <v>nicht relevant</v>
      </c>
      <c r="B2" s="258">
        <f>Matrix!C19</f>
        <v>2015</v>
      </c>
      <c r="C2" s="258">
        <f>IF(Matrix!D19="","",Matrix!D19)</f>
        <v>0</v>
      </c>
      <c r="D2" s="56" t="str">
        <f>IF(Matrix!E19="","",Matrix!E19)</f>
        <v/>
      </c>
      <c r="E2" s="56" t="str">
        <f>IF(Matrix!F19="","",Matrix!F19)</f>
        <v/>
      </c>
      <c r="F2" s="56" t="str">
        <f>IF(Matrix!G19="","",Matrix!G19)</f>
        <v/>
      </c>
      <c r="G2" s="56" t="str">
        <f>IF(Matrix!H19="","",Matrix!H19)</f>
        <v/>
      </c>
      <c r="H2" s="56" t="str">
        <f>IF(Matrix!I19="","",Matrix!I19)</f>
        <v/>
      </c>
      <c r="I2" s="56" t="str">
        <f>IF(Matrix!J19="","",Matrix!J19)</f>
        <v/>
      </c>
      <c r="J2" s="56" t="str">
        <f>IF(Matrix!K19="","",Matrix!K19)</f>
        <v/>
      </c>
      <c r="K2" s="56" t="str">
        <f>IF(Matrix!L19="","",Matrix!L19)</f>
        <v/>
      </c>
      <c r="L2" s="56" t="str">
        <f>IF(Matrix!M19="","",Matrix!M19)</f>
        <v/>
      </c>
      <c r="M2" s="56" t="str">
        <f>IF(Matrix!N19="","",Matrix!N19)</f>
        <v/>
      </c>
      <c r="N2" s="56" t="str">
        <f>IF(Matrix!O19="","",Matrix!O19)</f>
        <v/>
      </c>
      <c r="O2" s="56" t="str">
        <f>IF(Matrix!P19="","",Matrix!P19)</f>
        <v/>
      </c>
      <c r="P2" s="56" t="str">
        <f>IF(Matrix!Q19="","",Matrix!Q19)</f>
        <v/>
      </c>
      <c r="Q2" s="56" t="str">
        <f>IF(Matrix!R19="","",Matrix!R19)</f>
        <v/>
      </c>
      <c r="R2" s="56" t="str">
        <f>IF(Matrix!T19="","",Matrix!T19)</f>
        <v/>
      </c>
      <c r="S2" s="56" t="str">
        <f>IF(Matrix!U19="","",Matrix!U19)</f>
        <v/>
      </c>
      <c r="T2" s="413" t="str">
        <f>IF(Matrix!V19="","",Matrix!V19*100)</f>
        <v/>
      </c>
      <c r="U2" s="56" t="str">
        <f>IF(Matrix!X19="","",Matrix!X19)</f>
        <v/>
      </c>
      <c r="V2" s="56" t="str">
        <f>IF(Matrix!Y19="","",Matrix!Y19)</f>
        <v/>
      </c>
      <c r="W2" s="413" t="str">
        <f>IF(Matrix!AA19="","",Matrix!AA19*100)</f>
        <v/>
      </c>
      <c r="X2" s="3"/>
    </row>
    <row r="3" spans="1:24" ht="15" customHeight="1">
      <c r="A3" s="258" t="str">
        <f>Matrix!B20</f>
        <v>nicht relevant</v>
      </c>
      <c r="B3" s="258">
        <f>Matrix!C20</f>
        <v>2016</v>
      </c>
      <c r="C3" s="258">
        <f>IF(Matrix!D20="","",Matrix!D20)</f>
        <v>0</v>
      </c>
      <c r="D3" s="56" t="str">
        <f>IF(Matrix!E20="","",Matrix!E20)</f>
        <v/>
      </c>
      <c r="E3" s="56" t="str">
        <f>IF(Matrix!F20="","",Matrix!F20)</f>
        <v/>
      </c>
      <c r="F3" s="56" t="str">
        <f>IF(Matrix!G20="","",Matrix!G20)</f>
        <v/>
      </c>
      <c r="G3" s="56" t="str">
        <f>IF(Matrix!H20="","",Matrix!H20)</f>
        <v/>
      </c>
      <c r="H3" s="56" t="str">
        <f>IF(Matrix!I20="","",Matrix!I20)</f>
        <v/>
      </c>
      <c r="I3" s="56" t="str">
        <f>IF(Matrix!J20="","",Matrix!J20)</f>
        <v/>
      </c>
      <c r="J3" s="56" t="str">
        <f>IF(Matrix!K20="","",Matrix!K20)</f>
        <v/>
      </c>
      <c r="K3" s="56" t="str">
        <f>IF(Matrix!L20="","",Matrix!L20)</f>
        <v/>
      </c>
      <c r="L3" s="56" t="str">
        <f>IF(Matrix!M20="","",Matrix!M20)</f>
        <v/>
      </c>
      <c r="M3" s="56" t="str">
        <f>IF(Matrix!N20="","",Matrix!N20)</f>
        <v/>
      </c>
      <c r="N3" s="56" t="str">
        <f>IF(Matrix!O20="","",Matrix!O20)</f>
        <v/>
      </c>
      <c r="O3" s="56" t="str">
        <f>IF(Matrix!P20="","",Matrix!P20)</f>
        <v/>
      </c>
      <c r="P3" s="56" t="str">
        <f>IF(Matrix!Q20="","",Matrix!Q20)</f>
        <v/>
      </c>
      <c r="Q3" s="56" t="str">
        <f>IF(Matrix!R20="","",Matrix!R20)</f>
        <v/>
      </c>
      <c r="R3" s="56" t="str">
        <f>IF(Matrix!T20="","",Matrix!T20)</f>
        <v/>
      </c>
      <c r="S3" s="56" t="str">
        <f>IF(Matrix!U20="","",Matrix!U20)</f>
        <v/>
      </c>
      <c r="T3" s="413" t="str">
        <f>IF(Matrix!V20="","",Matrix!V20*100)</f>
        <v/>
      </c>
      <c r="U3" s="56" t="str">
        <f>IF(Matrix!X20="","",Matrix!X20)</f>
        <v/>
      </c>
      <c r="V3" s="56" t="str">
        <f>IF(Matrix!Y20="","",Matrix!Y20)</f>
        <v/>
      </c>
      <c r="W3" s="413" t="str">
        <f>IF(Matrix!AA20="","",Matrix!AA20*100)</f>
        <v/>
      </c>
      <c r="X3" s="3"/>
    </row>
    <row r="4" spans="1:24" ht="15" customHeight="1">
      <c r="A4" s="258" t="str">
        <f>Matrix!B21</f>
        <v>nicht relevant</v>
      </c>
      <c r="B4" s="258">
        <f>Matrix!C21</f>
        <v>2017</v>
      </c>
      <c r="C4" s="258">
        <f>IF(Matrix!D21="","",Matrix!D21)</f>
        <v>0</v>
      </c>
      <c r="D4" s="56" t="str">
        <f>IF(Matrix!E21="","",Matrix!E21)</f>
        <v/>
      </c>
      <c r="E4" s="56" t="str">
        <f>IF(Matrix!F21="","",Matrix!F21)</f>
        <v/>
      </c>
      <c r="F4" s="56" t="str">
        <f>IF(Matrix!G21="","",Matrix!G21)</f>
        <v/>
      </c>
      <c r="G4" s="56" t="str">
        <f>IF(Matrix!H21="","",Matrix!H21)</f>
        <v/>
      </c>
      <c r="H4" s="56" t="str">
        <f>IF(Matrix!I21="","",Matrix!I21)</f>
        <v/>
      </c>
      <c r="I4" s="56" t="str">
        <f>IF(Matrix!J21="","",Matrix!J21)</f>
        <v/>
      </c>
      <c r="J4" s="56" t="str">
        <f>IF(Matrix!K21="","",Matrix!K21)</f>
        <v/>
      </c>
      <c r="K4" s="56" t="str">
        <f>IF(Matrix!L21="","",Matrix!L21)</f>
        <v/>
      </c>
      <c r="L4" s="56" t="str">
        <f>IF(Matrix!M21="","",Matrix!M21)</f>
        <v/>
      </c>
      <c r="M4" s="56" t="str">
        <f>IF(Matrix!N21="","",Matrix!N21)</f>
        <v/>
      </c>
      <c r="N4" s="56" t="str">
        <f>IF(Matrix!O21="","",Matrix!O21)</f>
        <v/>
      </c>
      <c r="O4" s="56" t="str">
        <f>IF(Matrix!P21="","",Matrix!P21)</f>
        <v/>
      </c>
      <c r="P4" s="56" t="str">
        <f>IF(Matrix!Q21="","",Matrix!Q21)</f>
        <v/>
      </c>
      <c r="Q4" s="56" t="str">
        <f>IF(Matrix!R21="","",Matrix!R21)</f>
        <v/>
      </c>
      <c r="R4" s="56" t="str">
        <f>IF(Matrix!T21="","",Matrix!T21)</f>
        <v/>
      </c>
      <c r="S4" s="56" t="str">
        <f>IF(Matrix!U21="","",Matrix!U21)</f>
        <v/>
      </c>
      <c r="T4" s="413" t="str">
        <f>IF(Matrix!V21="","",Matrix!V21*100)</f>
        <v/>
      </c>
      <c r="U4" s="56" t="str">
        <f>IF(Matrix!X21="","",Matrix!X21)</f>
        <v/>
      </c>
      <c r="V4" s="56" t="str">
        <f>IF(Matrix!Y21="","",Matrix!Y21)</f>
        <v/>
      </c>
      <c r="W4" s="413" t="str">
        <f>IF(Matrix!AA21="","",Matrix!AA21*100)</f>
        <v/>
      </c>
      <c r="X4" s="3"/>
    </row>
    <row r="5" spans="1:24" ht="15" customHeight="1">
      <c r="A5" s="258" t="str">
        <f>Matrix!B22</f>
        <v>nicht relevant</v>
      </c>
      <c r="B5" s="258">
        <f>Matrix!C22</f>
        <v>2018</v>
      </c>
      <c r="C5" s="258">
        <f>IF(Matrix!D22="","",Matrix!D22)</f>
        <v>0</v>
      </c>
      <c r="D5" s="56" t="str">
        <f>IF(Matrix!E22="","",Matrix!E22)</f>
        <v/>
      </c>
      <c r="E5" s="56" t="str">
        <f>IF(Matrix!F22="","",Matrix!F22)</f>
        <v/>
      </c>
      <c r="F5" s="56" t="str">
        <f>IF(Matrix!G22="","",Matrix!G22)</f>
        <v/>
      </c>
      <c r="G5" s="56" t="str">
        <f>IF(Matrix!H22="","",Matrix!H22)</f>
        <v/>
      </c>
      <c r="H5" s="56" t="str">
        <f>IF(Matrix!I22="","",Matrix!I22)</f>
        <v/>
      </c>
      <c r="I5" s="56" t="str">
        <f>IF(Matrix!J22="","",Matrix!J22)</f>
        <v/>
      </c>
      <c r="J5" s="56" t="str">
        <f>IF(Matrix!K22="","",Matrix!K22)</f>
        <v/>
      </c>
      <c r="K5" s="56" t="str">
        <f>IF(Matrix!L22="","",Matrix!L22)</f>
        <v/>
      </c>
      <c r="L5" s="56" t="str">
        <f>IF(Matrix!M22="","",Matrix!M22)</f>
        <v/>
      </c>
      <c r="M5" s="56" t="str">
        <f>IF(Matrix!N22="","",Matrix!N22)</f>
        <v/>
      </c>
      <c r="N5" s="56" t="str">
        <f>IF(Matrix!O22="","",Matrix!O22)</f>
        <v/>
      </c>
      <c r="O5" s="56" t="str">
        <f>IF(Matrix!P22="","",Matrix!P22)</f>
        <v/>
      </c>
      <c r="P5" s="56" t="str">
        <f>IF(Matrix!Q22="","",Matrix!Q22)</f>
        <v/>
      </c>
      <c r="Q5" s="56" t="str">
        <f>IF(Matrix!R22="","",Matrix!R22)</f>
        <v/>
      </c>
      <c r="R5" s="56" t="str">
        <f>IF(Matrix!T22="","",Matrix!T22)</f>
        <v/>
      </c>
      <c r="S5" s="56" t="str">
        <f>IF(Matrix!U22="","",Matrix!U22)</f>
        <v/>
      </c>
      <c r="T5" s="413" t="str">
        <f>IF(Matrix!V22="","",Matrix!V22*100)</f>
        <v/>
      </c>
      <c r="U5" s="56" t="str">
        <f>IF(Matrix!X22="","",Matrix!X22)</f>
        <v/>
      </c>
      <c r="V5" s="56" t="str">
        <f>IF(Matrix!Y22="","",Matrix!Y22)</f>
        <v/>
      </c>
      <c r="W5" s="413" t="str">
        <f>IF(Matrix!AA22="","",Matrix!AA22*100)</f>
        <v/>
      </c>
      <c r="X5" s="3"/>
    </row>
    <row r="6" spans="1:24">
      <c r="A6" s="258" t="str">
        <f>Matrix!B23</f>
        <v>nicht relevant</v>
      </c>
      <c r="B6" s="258">
        <f>Matrix!C23</f>
        <v>2019</v>
      </c>
      <c r="C6" s="258">
        <f>IF(Matrix!D23="","",Matrix!D23)</f>
        <v>0</v>
      </c>
      <c r="D6" s="56" t="str">
        <f>IF(Matrix!E23="","",Matrix!E23)</f>
        <v/>
      </c>
      <c r="E6" s="56" t="str">
        <f>IF(Matrix!F23="","",Matrix!F23)</f>
        <v/>
      </c>
      <c r="F6" s="56" t="str">
        <f>IF(Matrix!G23="","",Matrix!G23)</f>
        <v/>
      </c>
      <c r="G6" s="56" t="str">
        <f>IF(Matrix!H23="","",Matrix!H23)</f>
        <v/>
      </c>
      <c r="H6" s="56" t="str">
        <f>IF(Matrix!I23="","",Matrix!I23)</f>
        <v/>
      </c>
      <c r="I6" s="56" t="str">
        <f>IF(Matrix!J23="","",Matrix!J23)</f>
        <v/>
      </c>
      <c r="J6" s="56" t="str">
        <f>IF(Matrix!K23="","",Matrix!K23)</f>
        <v/>
      </c>
      <c r="K6" s="56" t="str">
        <f>IF(Matrix!L23="","",Matrix!L23)</f>
        <v/>
      </c>
      <c r="L6" s="56" t="str">
        <f>IF(Matrix!M23="","",Matrix!M23)</f>
        <v/>
      </c>
      <c r="M6" s="56" t="str">
        <f>IF(Matrix!N23="","",Matrix!N23)</f>
        <v/>
      </c>
      <c r="N6" s="56" t="str">
        <f>IF(Matrix!O23="","",Matrix!O23)</f>
        <v/>
      </c>
      <c r="O6" s="56" t="str">
        <f>IF(Matrix!P23="","",Matrix!P23)</f>
        <v/>
      </c>
      <c r="P6" s="56" t="str">
        <f>IF(Matrix!Q23="","",Matrix!Q23)</f>
        <v/>
      </c>
      <c r="Q6" s="56" t="str">
        <f>IF(Matrix!R23="","",Matrix!R23)</f>
        <v/>
      </c>
      <c r="R6" s="56" t="str">
        <f>IF(Matrix!T23="","",Matrix!T23)</f>
        <v/>
      </c>
      <c r="S6" s="56" t="str">
        <f>IF(Matrix!U23="","",Matrix!U23)</f>
        <v/>
      </c>
      <c r="T6" s="413" t="str">
        <f>IF(Matrix!V23="","",Matrix!V23*100)</f>
        <v/>
      </c>
      <c r="U6" s="56" t="str">
        <f>IF(Matrix!X23="","",Matrix!X23)</f>
        <v/>
      </c>
      <c r="V6" s="56" t="str">
        <f>IF(Matrix!Y23="","",Matrix!Y23)</f>
        <v/>
      </c>
      <c r="W6" s="413" t="str">
        <f>IF(Matrix!AA23="","",Matrix!AA23*100)</f>
        <v/>
      </c>
      <c r="X6" s="3"/>
    </row>
    <row r="7" spans="1:24">
      <c r="A7" s="258" t="str">
        <f>Matrix!B24</f>
        <v>nicht relevant</v>
      </c>
      <c r="B7" s="258" t="str">
        <f>LEFT(Matrix!C24,4)</f>
        <v>2020</v>
      </c>
      <c r="C7" s="258">
        <f>IF(Matrix!D24="","",Matrix!D24)</f>
        <v>0</v>
      </c>
      <c r="D7" s="56" t="str">
        <f>IF(Matrix!E24="","",Matrix!E24)</f>
        <v/>
      </c>
      <c r="E7" s="56" t="str">
        <f>IF(Matrix!F24="","",Matrix!F24)</f>
        <v/>
      </c>
      <c r="F7" s="56" t="str">
        <f>IF(Matrix!G24="","",Matrix!G24)</f>
        <v/>
      </c>
      <c r="G7" s="56" t="str">
        <f>IF(Matrix!H24="","",Matrix!H24)</f>
        <v/>
      </c>
      <c r="H7" s="56" t="str">
        <f>IF(Matrix!I24="","",Matrix!I24)</f>
        <v/>
      </c>
      <c r="I7" s="56" t="str">
        <f>IF(Matrix!J24="","",Matrix!J24)</f>
        <v/>
      </c>
      <c r="J7" s="56" t="str">
        <f>IF(Matrix!K24="","",Matrix!K24)</f>
        <v/>
      </c>
      <c r="K7" s="56" t="str">
        <f>IF(Matrix!L24="","",Matrix!L24)</f>
        <v/>
      </c>
      <c r="L7" s="56" t="str">
        <f>IF(Matrix!M24="","",Matrix!M24)</f>
        <v/>
      </c>
      <c r="M7" s="56" t="str">
        <f>IF(Matrix!N24="","",Matrix!N24)</f>
        <v/>
      </c>
      <c r="N7" s="56" t="str">
        <f>IF(Matrix!O24="","",Matrix!O24)</f>
        <v/>
      </c>
      <c r="O7" s="56" t="str">
        <f>IF(Matrix!P24="","",Matrix!P24)</f>
        <v/>
      </c>
      <c r="P7" s="56" t="str">
        <f>IF(Matrix!Q24="","",Matrix!Q24)</f>
        <v/>
      </c>
      <c r="Q7" s="56" t="str">
        <f>IF(Matrix!R24="","",Matrix!R24)</f>
        <v/>
      </c>
      <c r="R7" s="56" t="str">
        <f>IF(Matrix!T24="","",Matrix!T24)</f>
        <v/>
      </c>
      <c r="S7" s="56" t="str">
        <f>IF(Matrix!U24="","",Matrix!U24)</f>
        <v/>
      </c>
      <c r="T7" s="413" t="str">
        <f>IF(Matrix!V24="","",Matrix!V24*100)</f>
        <v/>
      </c>
      <c r="U7" s="56" t="str">
        <f>IF(Matrix!X24="","",Matrix!X24)</f>
        <v/>
      </c>
      <c r="V7" s="56" t="str">
        <f>IF(Matrix!Y24="","",Matrix!Y24)</f>
        <v/>
      </c>
      <c r="W7" s="413" t="str">
        <f>IF(Matrix!AA24="","",Matrix!AA24*100)</f>
        <v/>
      </c>
      <c r="X7" s="3"/>
    </row>
    <row r="8" spans="1:24">
      <c r="A8" s="258" t="str">
        <f>Matrix!B25</f>
        <v>nicht relevant</v>
      </c>
      <c r="B8" s="258" t="str">
        <f>LEFT(Matrix!C25,4)</f>
        <v>2021</v>
      </c>
      <c r="C8" s="258">
        <f>IF(Matrix!D25="","",Matrix!D25)</f>
        <v>0</v>
      </c>
      <c r="D8" s="56" t="str">
        <f>IF(Matrix!E25="","",Matrix!E25)</f>
        <v/>
      </c>
      <c r="E8" s="56" t="str">
        <f>IF(Matrix!F25="","",Matrix!F25)</f>
        <v/>
      </c>
      <c r="F8" s="56" t="str">
        <f>IF(Matrix!G25="","",Matrix!G25)</f>
        <v/>
      </c>
      <c r="G8" s="56" t="str">
        <f>IF(Matrix!H25="","",Matrix!H25)</f>
        <v/>
      </c>
      <c r="H8" s="56" t="str">
        <f>IF(Matrix!I25="","",Matrix!I25)</f>
        <v/>
      </c>
      <c r="I8" s="56" t="str">
        <f>IF(Matrix!J25="","",Matrix!J25)</f>
        <v/>
      </c>
      <c r="J8" s="56" t="str">
        <f>IF(Matrix!K25="","",Matrix!K25)</f>
        <v/>
      </c>
      <c r="K8" s="56" t="str">
        <f>IF(Matrix!L25="","",Matrix!L25)</f>
        <v/>
      </c>
      <c r="L8" s="56" t="str">
        <f>IF(Matrix!M25="","",Matrix!M25)</f>
        <v/>
      </c>
      <c r="M8" s="56" t="str">
        <f>IF(Matrix!N25="","",Matrix!N25)</f>
        <v/>
      </c>
      <c r="N8" s="56" t="str">
        <f>IF(Matrix!O25="","",Matrix!O25)</f>
        <v/>
      </c>
      <c r="O8" s="56" t="str">
        <f>IF(Matrix!P25="","",Matrix!P25)</f>
        <v/>
      </c>
      <c r="P8" s="56" t="str">
        <f>IF(Matrix!Q25="","",Matrix!Q25)</f>
        <v/>
      </c>
      <c r="Q8" s="56" t="str">
        <f>IF(Matrix!R25="","",Matrix!R25)</f>
        <v/>
      </c>
      <c r="R8" s="56" t="str">
        <f>IF(Matrix!T25="","",Matrix!T25)</f>
        <v/>
      </c>
      <c r="S8" s="56" t="str">
        <f>IF(Matrix!U25="","",Matrix!U25)</f>
        <v/>
      </c>
      <c r="T8" s="413" t="str">
        <f>IF(Matrix!V25="","",Matrix!V25*100)</f>
        <v/>
      </c>
      <c r="U8" s="56" t="str">
        <f>IF(Matrix!X25="","",Matrix!X25)</f>
        <v/>
      </c>
      <c r="V8" s="56" t="str">
        <f>IF(Matrix!Y25="","",Matrix!Y25)</f>
        <v/>
      </c>
      <c r="W8" s="413" t="str">
        <f>IF(Matrix!AA25="","",Matrix!AA25*100)</f>
        <v/>
      </c>
      <c r="X8" s="9"/>
    </row>
  </sheetData>
  <phoneticPr fontId="41" type="noConversion"/>
  <conditionalFormatting sqref="B2:C8">
    <cfRule type="expression" dxfId="1" priority="82" stopIfTrue="1">
      <formula>OR($B2="nicht relevant",$B2="EZ")</formula>
    </cfRule>
  </conditionalFormatting>
  <conditionalFormatting sqref="X8">
    <cfRule type="cellIs" dxfId="0" priority="81" operator="lessThan">
      <formula>0</formula>
    </cfRule>
  </conditionalFormatting>
  <pageMargins left="0.7" right="0.7" top="0.78740157499999996" bottom="0.78740157499999996"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D53"/>
  <sheetViews>
    <sheetView workbookViewId="0"/>
  </sheetViews>
  <sheetFormatPr baseColWidth="10" defaultColWidth="11.42578125" defaultRowHeight="27.75" customHeight="1"/>
  <cols>
    <col min="1" max="1" width="14.140625" style="348" customWidth="1"/>
    <col min="2" max="2" width="22.28515625" style="348" customWidth="1"/>
    <col min="3" max="3" width="47.140625" style="347" customWidth="1"/>
    <col min="4" max="4" width="89.42578125" style="347" customWidth="1"/>
    <col min="5" max="16384" width="11.42578125" style="349"/>
  </cols>
  <sheetData>
    <row r="1" spans="1:4" ht="27.75" customHeight="1">
      <c r="A1" s="346" t="s">
        <v>127</v>
      </c>
      <c r="B1" s="310" t="s">
        <v>396</v>
      </c>
      <c r="C1" s="310" t="s">
        <v>61</v>
      </c>
      <c r="D1" s="346" t="s">
        <v>2</v>
      </c>
    </row>
    <row r="2" spans="1:4" ht="27.75" customHeight="1">
      <c r="A2" s="407" t="str">
        <f ca="1">Berechnung3!L2</f>
        <v/>
      </c>
      <c r="B2" s="407" t="str">
        <f ca="1">Berechnung3!N2</f>
        <v/>
      </c>
      <c r="C2" s="408" t="str">
        <f ca="1">Berechnung3!O2</f>
        <v/>
      </c>
      <c r="D2" s="408" t="str">
        <f ca="1">Berechnung3!P2</f>
        <v/>
      </c>
    </row>
    <row r="3" spans="1:4" ht="27.75" customHeight="1">
      <c r="A3" s="407" t="str">
        <f ca="1">Berechnung3!L3</f>
        <v/>
      </c>
      <c r="B3" s="407" t="str">
        <f ca="1">Berechnung3!N3</f>
        <v/>
      </c>
      <c r="C3" s="408" t="str">
        <f ca="1">Berechnung3!O3</f>
        <v/>
      </c>
      <c r="D3" s="408" t="str">
        <f ca="1">Berechnung3!P3</f>
        <v/>
      </c>
    </row>
    <row r="4" spans="1:4" ht="27.75" customHeight="1">
      <c r="A4" s="407" t="str">
        <f ca="1">Berechnung3!L4</f>
        <v/>
      </c>
      <c r="B4" s="407" t="str">
        <f ca="1">Berechnung3!N4</f>
        <v/>
      </c>
      <c r="C4" s="408" t="str">
        <f ca="1">Berechnung3!O4</f>
        <v/>
      </c>
      <c r="D4" s="408" t="str">
        <f ca="1">Berechnung3!P4</f>
        <v/>
      </c>
    </row>
    <row r="5" spans="1:4" ht="27.75" customHeight="1">
      <c r="A5" s="407" t="str">
        <f ca="1">Berechnung3!L5</f>
        <v/>
      </c>
      <c r="B5" s="407" t="str">
        <f ca="1">Berechnung3!N5</f>
        <v/>
      </c>
      <c r="C5" s="408" t="str">
        <f ca="1">Berechnung3!O5</f>
        <v/>
      </c>
      <c r="D5" s="408" t="str">
        <f ca="1">Berechnung3!P5</f>
        <v/>
      </c>
    </row>
    <row r="6" spans="1:4" ht="27.75" customHeight="1">
      <c r="A6" s="407" t="str">
        <f ca="1">Berechnung3!L6</f>
        <v/>
      </c>
      <c r="B6" s="407" t="str">
        <f ca="1">Berechnung3!N6</f>
        <v/>
      </c>
      <c r="C6" s="408" t="str">
        <f ca="1">Berechnung3!O6</f>
        <v/>
      </c>
      <c r="D6" s="408" t="str">
        <f ca="1">Berechnung3!P6</f>
        <v/>
      </c>
    </row>
    <row r="7" spans="1:4" ht="27.75" customHeight="1">
      <c r="A7" s="407" t="str">
        <f ca="1">Berechnung3!L7</f>
        <v/>
      </c>
      <c r="B7" s="407" t="str">
        <f ca="1">Berechnung3!N7</f>
        <v/>
      </c>
      <c r="C7" s="408" t="str">
        <f ca="1">Berechnung3!O7</f>
        <v/>
      </c>
      <c r="D7" s="408" t="str">
        <f ca="1">Berechnung3!P7</f>
        <v/>
      </c>
    </row>
    <row r="8" spans="1:4" ht="27.75" customHeight="1">
      <c r="A8" s="407" t="str">
        <f ca="1">Berechnung3!L8</f>
        <v/>
      </c>
      <c r="B8" s="407" t="str">
        <f ca="1">Berechnung3!N8</f>
        <v/>
      </c>
      <c r="C8" s="408" t="str">
        <f ca="1">Berechnung3!O8</f>
        <v/>
      </c>
      <c r="D8" s="408" t="str">
        <f ca="1">Berechnung3!P8</f>
        <v/>
      </c>
    </row>
    <row r="9" spans="1:4" ht="27.75" customHeight="1">
      <c r="A9" s="407" t="str">
        <f ca="1">Berechnung3!L9</f>
        <v/>
      </c>
      <c r="B9" s="407" t="str">
        <f ca="1">Berechnung3!N9</f>
        <v/>
      </c>
      <c r="C9" s="408" t="str">
        <f ca="1">Berechnung3!O9</f>
        <v/>
      </c>
      <c r="D9" s="408" t="str">
        <f ca="1">Berechnung3!P9</f>
        <v/>
      </c>
    </row>
    <row r="10" spans="1:4" ht="27.75" customHeight="1">
      <c r="A10" s="407" t="str">
        <f ca="1">Berechnung3!L10</f>
        <v/>
      </c>
      <c r="B10" s="407" t="str">
        <f ca="1">Berechnung3!N10</f>
        <v/>
      </c>
      <c r="C10" s="408" t="str">
        <f ca="1">Berechnung3!O10</f>
        <v/>
      </c>
      <c r="D10" s="408" t="str">
        <f ca="1">Berechnung3!P10</f>
        <v/>
      </c>
    </row>
    <row r="11" spans="1:4" ht="27.75" customHeight="1">
      <c r="A11" s="407" t="str">
        <f ca="1">Berechnung3!L11</f>
        <v/>
      </c>
      <c r="B11" s="407" t="str">
        <f ca="1">Berechnung3!N11</f>
        <v/>
      </c>
      <c r="C11" s="408" t="str">
        <f ca="1">Berechnung3!O11</f>
        <v/>
      </c>
      <c r="D11" s="408" t="str">
        <f ca="1">Berechnung3!P11</f>
        <v/>
      </c>
    </row>
    <row r="12" spans="1:4" ht="27.75" customHeight="1">
      <c r="A12" s="407" t="str">
        <f ca="1">Berechnung3!L12</f>
        <v/>
      </c>
      <c r="B12" s="407" t="str">
        <f ca="1">Berechnung3!N12</f>
        <v/>
      </c>
      <c r="C12" s="408" t="str">
        <f ca="1">Berechnung3!O12</f>
        <v/>
      </c>
      <c r="D12" s="408" t="str">
        <f ca="1">Berechnung3!P12</f>
        <v/>
      </c>
    </row>
    <row r="13" spans="1:4" ht="27.75" customHeight="1">
      <c r="A13" s="407" t="str">
        <f ca="1">Berechnung3!L13</f>
        <v/>
      </c>
      <c r="B13" s="407" t="str">
        <f ca="1">Berechnung3!N13</f>
        <v/>
      </c>
      <c r="C13" s="408" t="str">
        <f ca="1">Berechnung3!O13</f>
        <v/>
      </c>
      <c r="D13" s="408" t="str">
        <f ca="1">Berechnung3!P13</f>
        <v/>
      </c>
    </row>
    <row r="14" spans="1:4" ht="27.75" customHeight="1">
      <c r="A14" s="407" t="str">
        <f ca="1">Berechnung3!L14</f>
        <v/>
      </c>
      <c r="B14" s="407" t="str">
        <f ca="1">Berechnung3!N14</f>
        <v/>
      </c>
      <c r="C14" s="408" t="str">
        <f ca="1">Berechnung3!O14</f>
        <v/>
      </c>
      <c r="D14" s="408" t="str">
        <f ca="1">Berechnung3!P14</f>
        <v/>
      </c>
    </row>
    <row r="15" spans="1:4" ht="27.75" customHeight="1">
      <c r="A15" s="407" t="str">
        <f ca="1">Berechnung3!L15</f>
        <v/>
      </c>
      <c r="B15" s="407" t="str">
        <f ca="1">Berechnung3!N15</f>
        <v/>
      </c>
      <c r="C15" s="408" t="str">
        <f ca="1">Berechnung3!O15</f>
        <v/>
      </c>
      <c r="D15" s="408" t="str">
        <f ca="1">Berechnung3!P15</f>
        <v/>
      </c>
    </row>
    <row r="16" spans="1:4" ht="27.75" customHeight="1">
      <c r="A16" s="407" t="str">
        <f ca="1">Berechnung3!L16</f>
        <v/>
      </c>
      <c r="B16" s="407" t="str">
        <f ca="1">Berechnung3!N16</f>
        <v/>
      </c>
      <c r="C16" s="408" t="str">
        <f ca="1">Berechnung3!O16</f>
        <v/>
      </c>
      <c r="D16" s="408" t="str">
        <f ca="1">Berechnung3!P16</f>
        <v/>
      </c>
    </row>
    <row r="17" spans="1:4" ht="27.75" customHeight="1">
      <c r="A17" s="407" t="str">
        <f ca="1">Berechnung3!L17</f>
        <v/>
      </c>
      <c r="B17" s="407" t="str">
        <f ca="1">Berechnung3!N17</f>
        <v/>
      </c>
      <c r="C17" s="408" t="str">
        <f ca="1">Berechnung3!O17</f>
        <v/>
      </c>
      <c r="D17" s="408" t="str">
        <f ca="1">Berechnung3!P17</f>
        <v/>
      </c>
    </row>
    <row r="18" spans="1:4" ht="27.75" customHeight="1">
      <c r="A18" s="407" t="str">
        <f ca="1">Berechnung3!L18</f>
        <v/>
      </c>
      <c r="B18" s="407" t="str">
        <f ca="1">Berechnung3!N18</f>
        <v/>
      </c>
      <c r="C18" s="408" t="str">
        <f ca="1">Berechnung3!O18</f>
        <v/>
      </c>
      <c r="D18" s="408" t="str">
        <f ca="1">Berechnung3!P18</f>
        <v/>
      </c>
    </row>
    <row r="19" spans="1:4" ht="27.75" customHeight="1">
      <c r="A19" s="407" t="str">
        <f ca="1">Berechnung3!L19</f>
        <v/>
      </c>
      <c r="B19" s="407" t="str">
        <f ca="1">Berechnung3!N19</f>
        <v/>
      </c>
      <c r="C19" s="408" t="str">
        <f ca="1">Berechnung3!O19</f>
        <v/>
      </c>
      <c r="D19" s="408" t="str">
        <f ca="1">Berechnung3!P19</f>
        <v/>
      </c>
    </row>
    <row r="20" spans="1:4" ht="27.75" customHeight="1">
      <c r="A20" s="407" t="str">
        <f ca="1">Berechnung3!L20</f>
        <v/>
      </c>
      <c r="B20" s="407" t="str">
        <f ca="1">Berechnung3!N20</f>
        <v/>
      </c>
      <c r="C20" s="408" t="str">
        <f ca="1">Berechnung3!O20</f>
        <v/>
      </c>
      <c r="D20" s="408" t="str">
        <f ca="1">Berechnung3!P20</f>
        <v/>
      </c>
    </row>
    <row r="21" spans="1:4" ht="27.75" customHeight="1">
      <c r="A21" s="407" t="str">
        <f ca="1">Berechnung3!L21</f>
        <v/>
      </c>
      <c r="B21" s="407" t="str">
        <f ca="1">Berechnung3!N21</f>
        <v/>
      </c>
      <c r="C21" s="408" t="str">
        <f ca="1">Berechnung3!O21</f>
        <v/>
      </c>
      <c r="D21" s="408" t="str">
        <f ca="1">Berechnung3!P21</f>
        <v/>
      </c>
    </row>
    <row r="22" spans="1:4" ht="27.75" customHeight="1">
      <c r="A22" s="407" t="str">
        <f ca="1">Berechnung3!L22</f>
        <v/>
      </c>
      <c r="B22" s="407" t="str">
        <f ca="1">Berechnung3!N22</f>
        <v/>
      </c>
      <c r="C22" s="408" t="str">
        <f ca="1">Berechnung3!O22</f>
        <v/>
      </c>
      <c r="D22" s="408" t="str">
        <f ca="1">Berechnung3!P22</f>
        <v/>
      </c>
    </row>
    <row r="23" spans="1:4" ht="27.75" customHeight="1">
      <c r="A23" s="407" t="str">
        <f ca="1">Berechnung3!L23</f>
        <v/>
      </c>
      <c r="B23" s="407" t="str">
        <f ca="1">Berechnung3!N23</f>
        <v/>
      </c>
      <c r="C23" s="408" t="str">
        <f ca="1">Berechnung3!O23</f>
        <v/>
      </c>
      <c r="D23" s="408" t="str">
        <f ca="1">Berechnung3!P23</f>
        <v/>
      </c>
    </row>
    <row r="24" spans="1:4" ht="27.75" customHeight="1">
      <c r="A24" s="407" t="str">
        <f ca="1">Berechnung3!L24</f>
        <v/>
      </c>
      <c r="B24" s="407" t="str">
        <f ca="1">Berechnung3!N24</f>
        <v/>
      </c>
      <c r="C24" s="408" t="str">
        <f ca="1">Berechnung3!O24</f>
        <v/>
      </c>
      <c r="D24" s="408" t="str">
        <f ca="1">Berechnung3!P24</f>
        <v/>
      </c>
    </row>
    <row r="25" spans="1:4" ht="27.75" customHeight="1">
      <c r="A25" s="407" t="str">
        <f ca="1">Berechnung3!L25</f>
        <v/>
      </c>
      <c r="B25" s="407" t="str">
        <f ca="1">Berechnung3!N25</f>
        <v/>
      </c>
      <c r="C25" s="408" t="str">
        <f ca="1">Berechnung3!O25</f>
        <v/>
      </c>
      <c r="D25" s="408" t="str">
        <f ca="1">Berechnung3!P25</f>
        <v/>
      </c>
    </row>
    <row r="26" spans="1:4" ht="27.75" customHeight="1">
      <c r="A26" s="407" t="str">
        <f ca="1">Berechnung3!L26</f>
        <v/>
      </c>
      <c r="B26" s="407" t="str">
        <f ca="1">Berechnung3!N26</f>
        <v/>
      </c>
      <c r="C26" s="408" t="str">
        <f ca="1">Berechnung3!O26</f>
        <v/>
      </c>
      <c r="D26" s="408" t="str">
        <f ca="1">Berechnung3!P26</f>
        <v/>
      </c>
    </row>
    <row r="27" spans="1:4" ht="27.75" customHeight="1">
      <c r="A27" s="407" t="str">
        <f ca="1">Berechnung3!L27</f>
        <v/>
      </c>
      <c r="B27" s="407" t="str">
        <f ca="1">Berechnung3!N27</f>
        <v/>
      </c>
      <c r="C27" s="408" t="str">
        <f ca="1">Berechnung3!O27</f>
        <v/>
      </c>
      <c r="D27" s="408" t="str">
        <f ca="1">Berechnung3!P27</f>
        <v/>
      </c>
    </row>
    <row r="28" spans="1:4" ht="27.75" customHeight="1">
      <c r="A28" s="407" t="str">
        <f ca="1">Berechnung3!L28</f>
        <v/>
      </c>
      <c r="B28" s="407" t="str">
        <f ca="1">Berechnung3!N28</f>
        <v/>
      </c>
      <c r="C28" s="408" t="str">
        <f ca="1">Berechnung3!O28</f>
        <v/>
      </c>
      <c r="D28" s="408" t="str">
        <f ca="1">Berechnung3!P28</f>
        <v/>
      </c>
    </row>
    <row r="29" spans="1:4" ht="27.75" customHeight="1">
      <c r="A29" s="407" t="str">
        <f ca="1">Berechnung3!L29</f>
        <v/>
      </c>
      <c r="B29" s="407" t="str">
        <f ca="1">Berechnung3!N29</f>
        <v/>
      </c>
      <c r="C29" s="408" t="str">
        <f ca="1">Berechnung3!O29</f>
        <v/>
      </c>
      <c r="D29" s="408" t="str">
        <f ca="1">Berechnung3!P29</f>
        <v/>
      </c>
    </row>
    <row r="30" spans="1:4" ht="27.75" customHeight="1">
      <c r="A30" s="407" t="str">
        <f ca="1">Berechnung3!L30</f>
        <v/>
      </c>
      <c r="B30" s="407" t="str">
        <f ca="1">Berechnung3!N30</f>
        <v/>
      </c>
      <c r="C30" s="408" t="str">
        <f ca="1">Berechnung3!O30</f>
        <v/>
      </c>
      <c r="D30" s="408" t="str">
        <f ca="1">Berechnung3!P30</f>
        <v/>
      </c>
    </row>
    <row r="31" spans="1:4" ht="27.75" customHeight="1">
      <c r="A31" s="407" t="str">
        <f ca="1">Berechnung3!L31</f>
        <v/>
      </c>
      <c r="B31" s="407" t="str">
        <f ca="1">Berechnung3!N31</f>
        <v/>
      </c>
      <c r="C31" s="408" t="str">
        <f ca="1">Berechnung3!O31</f>
        <v/>
      </c>
      <c r="D31" s="408" t="str">
        <f ca="1">Berechnung3!P31</f>
        <v/>
      </c>
    </row>
    <row r="32" spans="1:4" ht="27.75" customHeight="1">
      <c r="A32" s="407" t="str">
        <f ca="1">Berechnung3!L32</f>
        <v/>
      </c>
      <c r="B32" s="407" t="str">
        <f ca="1">Berechnung3!N32</f>
        <v/>
      </c>
      <c r="C32" s="408" t="str">
        <f ca="1">Berechnung3!O32</f>
        <v/>
      </c>
      <c r="D32" s="408" t="str">
        <f ca="1">Berechnung3!P32</f>
        <v/>
      </c>
    </row>
    <row r="33" spans="1:4" ht="27.75" customHeight="1">
      <c r="A33" s="407" t="str">
        <f ca="1">Berechnung3!L33</f>
        <v/>
      </c>
      <c r="B33" s="407" t="str">
        <f ca="1">Berechnung3!N33</f>
        <v/>
      </c>
      <c r="C33" s="408" t="str">
        <f ca="1">Berechnung3!O33</f>
        <v/>
      </c>
      <c r="D33" s="408" t="str">
        <f ca="1">Berechnung3!P33</f>
        <v/>
      </c>
    </row>
    <row r="34" spans="1:4" ht="27.75" customHeight="1">
      <c r="A34" s="407" t="str">
        <f ca="1">Berechnung3!L34</f>
        <v/>
      </c>
      <c r="B34" s="407" t="str">
        <f ca="1">Berechnung3!N34</f>
        <v/>
      </c>
      <c r="C34" s="408" t="str">
        <f ca="1">Berechnung3!O34</f>
        <v/>
      </c>
      <c r="D34" s="408" t="str">
        <f ca="1">Berechnung3!P34</f>
        <v/>
      </c>
    </row>
    <row r="35" spans="1:4" ht="27.75" customHeight="1">
      <c r="A35" s="407" t="str">
        <f ca="1">Berechnung3!L35</f>
        <v/>
      </c>
      <c r="B35" s="407" t="str">
        <f ca="1">Berechnung3!N35</f>
        <v/>
      </c>
      <c r="C35" s="408" t="str">
        <f ca="1">Berechnung3!O35</f>
        <v/>
      </c>
      <c r="D35" s="408" t="str">
        <f ca="1">Berechnung3!P35</f>
        <v/>
      </c>
    </row>
    <row r="36" spans="1:4" ht="27.75" customHeight="1">
      <c r="A36" s="407" t="str">
        <f ca="1">Berechnung3!L36</f>
        <v/>
      </c>
      <c r="B36" s="407" t="str">
        <f ca="1">Berechnung3!N36</f>
        <v/>
      </c>
      <c r="C36" s="408" t="str">
        <f ca="1">Berechnung3!O36</f>
        <v/>
      </c>
      <c r="D36" s="408" t="str">
        <f ca="1">Berechnung3!P36</f>
        <v/>
      </c>
    </row>
    <row r="37" spans="1:4" ht="27.75" customHeight="1">
      <c r="A37" s="407" t="str">
        <f ca="1">Berechnung3!L37</f>
        <v/>
      </c>
      <c r="B37" s="407" t="str">
        <f ca="1">Berechnung3!N37</f>
        <v/>
      </c>
      <c r="C37" s="408" t="str">
        <f ca="1">Berechnung3!O37</f>
        <v/>
      </c>
      <c r="D37" s="408" t="str">
        <f ca="1">Berechnung3!P37</f>
        <v/>
      </c>
    </row>
    <row r="38" spans="1:4" ht="27.75" customHeight="1">
      <c r="A38" s="407" t="str">
        <f ca="1">Berechnung3!L38</f>
        <v/>
      </c>
      <c r="B38" s="407" t="str">
        <f ca="1">Berechnung3!N38</f>
        <v/>
      </c>
      <c r="C38" s="408" t="str">
        <f ca="1">Berechnung3!O38</f>
        <v/>
      </c>
      <c r="D38" s="408" t="str">
        <f ca="1">Berechnung3!P38</f>
        <v/>
      </c>
    </row>
    <row r="39" spans="1:4" ht="27.75" customHeight="1">
      <c r="A39" s="407" t="str">
        <f ca="1">Berechnung3!L39</f>
        <v/>
      </c>
      <c r="B39" s="407" t="str">
        <f ca="1">Berechnung3!N39</f>
        <v/>
      </c>
      <c r="C39" s="408" t="str">
        <f ca="1">Berechnung3!O39</f>
        <v/>
      </c>
      <c r="D39" s="408" t="str">
        <f ca="1">Berechnung3!P39</f>
        <v/>
      </c>
    </row>
    <row r="40" spans="1:4" ht="27.75" customHeight="1">
      <c r="A40" s="407" t="str">
        <f ca="1">Berechnung3!L40</f>
        <v/>
      </c>
      <c r="B40" s="407" t="str">
        <f ca="1">Berechnung3!N40</f>
        <v/>
      </c>
      <c r="C40" s="408" t="str">
        <f ca="1">Berechnung3!O40</f>
        <v/>
      </c>
      <c r="D40" s="408" t="str">
        <f ca="1">Berechnung3!P40</f>
        <v/>
      </c>
    </row>
    <row r="41" spans="1:4" ht="27.75" customHeight="1">
      <c r="A41" s="407" t="str">
        <f ca="1">Berechnung3!L41</f>
        <v/>
      </c>
      <c r="B41" s="407" t="str">
        <f ca="1">Berechnung3!N41</f>
        <v/>
      </c>
      <c r="C41" s="408" t="str">
        <f ca="1">Berechnung3!O41</f>
        <v/>
      </c>
      <c r="D41" s="408" t="str">
        <f ca="1">Berechnung3!P41</f>
        <v/>
      </c>
    </row>
    <row r="42" spans="1:4" ht="27.75" customHeight="1">
      <c r="A42" s="407" t="str">
        <f ca="1">Berechnung3!L42</f>
        <v/>
      </c>
      <c r="B42" s="407" t="str">
        <f ca="1">Berechnung3!N42</f>
        <v/>
      </c>
      <c r="C42" s="408" t="str">
        <f ca="1">Berechnung3!O42</f>
        <v/>
      </c>
      <c r="D42" s="408" t="str">
        <f ca="1">Berechnung3!P42</f>
        <v/>
      </c>
    </row>
    <row r="43" spans="1:4" ht="27.75" customHeight="1">
      <c r="A43" s="407" t="str">
        <f ca="1">Berechnung3!L43</f>
        <v/>
      </c>
      <c r="B43" s="407" t="str">
        <f ca="1">Berechnung3!N43</f>
        <v/>
      </c>
      <c r="C43" s="408" t="str">
        <f ca="1">Berechnung3!O43</f>
        <v/>
      </c>
      <c r="D43" s="408" t="str">
        <f ca="1">Berechnung3!P43</f>
        <v/>
      </c>
    </row>
    <row r="44" spans="1:4" ht="27.75" customHeight="1">
      <c r="A44" s="407" t="str">
        <f ca="1">Berechnung3!L44</f>
        <v/>
      </c>
      <c r="B44" s="407" t="str">
        <f ca="1">Berechnung3!N44</f>
        <v/>
      </c>
      <c r="C44" s="408" t="str">
        <f ca="1">Berechnung3!O44</f>
        <v/>
      </c>
      <c r="D44" s="408" t="str">
        <f ca="1">Berechnung3!P44</f>
        <v/>
      </c>
    </row>
    <row r="45" spans="1:4" ht="27.75" customHeight="1">
      <c r="A45" s="407" t="str">
        <f ca="1">Berechnung3!L45</f>
        <v/>
      </c>
      <c r="B45" s="407" t="str">
        <f ca="1">Berechnung3!N45</f>
        <v/>
      </c>
      <c r="C45" s="408" t="str">
        <f ca="1">Berechnung3!O45</f>
        <v/>
      </c>
      <c r="D45" s="408" t="str">
        <f ca="1">Berechnung3!P45</f>
        <v/>
      </c>
    </row>
    <row r="46" spans="1:4" ht="27.75" customHeight="1">
      <c r="A46" s="407" t="str">
        <f ca="1">Berechnung3!L46</f>
        <v/>
      </c>
      <c r="B46" s="407" t="str">
        <f ca="1">Berechnung3!N46</f>
        <v/>
      </c>
      <c r="C46" s="408" t="str">
        <f ca="1">Berechnung3!O46</f>
        <v/>
      </c>
      <c r="D46" s="408" t="str">
        <f ca="1">Berechnung3!P46</f>
        <v/>
      </c>
    </row>
    <row r="47" spans="1:4" ht="27.75" customHeight="1">
      <c r="A47" s="407" t="str">
        <f ca="1">Berechnung3!L47</f>
        <v/>
      </c>
      <c r="B47" s="407" t="str">
        <f ca="1">Berechnung3!N47</f>
        <v/>
      </c>
      <c r="C47" s="408" t="str">
        <f ca="1">Berechnung3!O47</f>
        <v/>
      </c>
      <c r="D47" s="408" t="str">
        <f ca="1">Berechnung3!P47</f>
        <v/>
      </c>
    </row>
    <row r="48" spans="1:4" ht="27.75" customHeight="1">
      <c r="A48" s="407" t="str">
        <f ca="1">Berechnung3!L48</f>
        <v/>
      </c>
      <c r="B48" s="407" t="str">
        <f ca="1">Berechnung3!N48</f>
        <v/>
      </c>
      <c r="C48" s="408" t="str">
        <f ca="1">Berechnung3!O48</f>
        <v/>
      </c>
      <c r="D48" s="408" t="str">
        <f ca="1">Berechnung3!P48</f>
        <v/>
      </c>
    </row>
    <row r="49" spans="1:4" ht="27.75" customHeight="1">
      <c r="A49" s="407" t="str">
        <f ca="1">Berechnung3!L49</f>
        <v/>
      </c>
      <c r="B49" s="407" t="str">
        <f ca="1">Berechnung3!N49</f>
        <v/>
      </c>
      <c r="C49" s="408" t="str">
        <f ca="1">Berechnung3!O49</f>
        <v/>
      </c>
      <c r="D49" s="408" t="str">
        <f ca="1">Berechnung3!P49</f>
        <v/>
      </c>
    </row>
    <row r="50" spans="1:4" ht="27.75" customHeight="1">
      <c r="A50" s="407" t="str">
        <f ca="1">Berechnung3!L50</f>
        <v/>
      </c>
      <c r="B50" s="407" t="str">
        <f ca="1">Berechnung3!N50</f>
        <v/>
      </c>
      <c r="C50" s="408" t="str">
        <f ca="1">Berechnung3!O50</f>
        <v/>
      </c>
      <c r="D50" s="408" t="str">
        <f ca="1">Berechnung3!P50</f>
        <v/>
      </c>
    </row>
    <row r="51" spans="1:4" ht="27.75" customHeight="1">
      <c r="A51" s="407" t="str">
        <f ca="1">Berechnung3!L51</f>
        <v/>
      </c>
      <c r="B51" s="407" t="str">
        <f ca="1">Berechnung3!N51</f>
        <v/>
      </c>
      <c r="C51" s="408" t="str">
        <f ca="1">Berechnung3!O51</f>
        <v/>
      </c>
      <c r="D51" s="408" t="str">
        <f ca="1">Berechnung3!P51</f>
        <v/>
      </c>
    </row>
    <row r="52" spans="1:4" ht="27.75" customHeight="1">
      <c r="A52" s="407" t="str">
        <f ca="1">Berechnung3!L52</f>
        <v/>
      </c>
      <c r="B52" s="407" t="str">
        <f ca="1">Berechnung3!N52</f>
        <v/>
      </c>
      <c r="C52" s="408" t="str">
        <f ca="1">Berechnung3!O52</f>
        <v/>
      </c>
      <c r="D52" s="408" t="str">
        <f ca="1">Berechnung3!P52</f>
        <v/>
      </c>
    </row>
    <row r="53" spans="1:4" ht="27.75" customHeight="1">
      <c r="A53" s="407"/>
      <c r="B53" s="407"/>
      <c r="C53" s="408"/>
      <c r="D53" s="408"/>
    </row>
  </sheetData>
  <phoneticPr fontId="41"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16</vt:i4>
      </vt:variant>
    </vt:vector>
  </HeadingPairs>
  <TitlesOfParts>
    <vt:vector size="31" baseType="lpstr">
      <vt:lpstr>Basisdaten</vt:lpstr>
      <vt:lpstr>HilfstabelleSD</vt:lpstr>
      <vt:lpstr>HilfstabelleB</vt:lpstr>
      <vt:lpstr>Datenquelle</vt:lpstr>
      <vt:lpstr>Kennzahlenbogen_(KB)</vt:lpstr>
      <vt:lpstr>Berechnung1</vt:lpstr>
      <vt:lpstr>HilfstabelleKB</vt:lpstr>
      <vt:lpstr>Datendefizite_KB</vt:lpstr>
      <vt:lpstr>Hilfstabelle Datendef KB</vt:lpstr>
      <vt:lpstr>Matrix</vt:lpstr>
      <vt:lpstr>Berechnung2</vt:lpstr>
      <vt:lpstr>Berechnung3</vt:lpstr>
      <vt:lpstr>Datendefizite_Matrix</vt:lpstr>
      <vt:lpstr>HilfstabelleM</vt:lpstr>
      <vt:lpstr>HilfstabelleDM</vt:lpstr>
      <vt:lpstr>Basisdaten!Druckbereich</vt:lpstr>
      <vt:lpstr>Datendefizite_Matrix!Druckbereich</vt:lpstr>
      <vt:lpstr>'Kennzahlenbogen_(KB)'!Druckbereich</vt:lpstr>
      <vt:lpstr>Matrix!Druckbereich</vt:lpstr>
      <vt:lpstr>Druckbereich</vt:lpstr>
      <vt:lpstr>Basisdaten!Drucktitel</vt:lpstr>
      <vt:lpstr>Datendefizite_KB!Drucktitel</vt:lpstr>
      <vt:lpstr>Datendefizite_Matrix!Drucktitel</vt:lpstr>
      <vt:lpstr>'Hilfstabelle Datendef KB'!Drucktitel</vt:lpstr>
      <vt:lpstr>'Kennzahlenbogen_(KB)'!Drucktitel</vt:lpstr>
      <vt:lpstr>Keine_Zusammenarbeit</vt:lpstr>
      <vt:lpstr>KlinischesKrebsregister</vt:lpstr>
      <vt:lpstr>KrebsregisterZusammenarbeit</vt:lpstr>
      <vt:lpstr>myCategory</vt:lpstr>
      <vt:lpstr>Tumordokumentation</vt:lpstr>
      <vt:lpstr>ZentrumRegNr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Florina Dudu</cp:lastModifiedBy>
  <cp:lastPrinted>2021-09-16T08:39:44Z</cp:lastPrinted>
  <dcterms:created xsi:type="dcterms:W3CDTF">2012-04-12T09:13:43Z</dcterms:created>
  <dcterms:modified xsi:type="dcterms:W3CDTF">2021-11-17T14:26:17Z</dcterms:modified>
</cp:coreProperties>
</file>