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updateLinks="never" codeName="ThisWorkbook"/>
  <workbookProtection workbookAlgorithmName="SHA-512" workbookHashValue="N+jTRK60hWI8VXTaFddnZQBzQQj8qKMACAN4NAGULEQnarFXRBvavP4+gkMaO6dRgWItiQb1OxbBNrAVoVMYrQ==" workbookSaltValue="k/hHlyKT3A03x8vqyaIEwA==" workbookSpinCount="100000" lockStructure="1"/>
  <bookViews>
    <workbookView xWindow="-120" yWindow="-120" windowWidth="29040" windowHeight="15840" tabRatio="744"/>
  </bookViews>
  <sheets>
    <sheet name="Basisdaten" sheetId="1" r:id="rId1"/>
    <sheet name="HilfstabelleB" sheetId="24" state="hidden" r:id="rId2"/>
    <sheet name="HilfstabelleSD" sheetId="8" state="hidden" r:id="rId3"/>
    <sheet name="Datenquelle" sheetId="16" state="hidden" r:id="rId4"/>
    <sheet name="Kennzahlenbogen_(KB)" sheetId="18" r:id="rId5"/>
    <sheet name="HilfstabelleKB" sheetId="7" state="hidden" r:id="rId6"/>
    <sheet name="Berechnung1" sheetId="11" state="hidden" r:id="rId7"/>
    <sheet name="Datendefizite_KB" sheetId="3" r:id="rId8"/>
    <sheet name="Hilfstabelle Datendef KB" sheetId="29" state="hidden" r:id="rId9"/>
    <sheet name="Matrix" sheetId="4" r:id="rId10"/>
    <sheet name="Berechnung2" sheetId="12" state="hidden" r:id="rId11"/>
    <sheet name="HilfstabelleM" sheetId="9" state="hidden" r:id="rId12"/>
    <sheet name="Berechnung3" sheetId="27" state="hidden" r:id="rId13"/>
    <sheet name="HilfstabelleDM" sheetId="28" state="hidden" r:id="rId14"/>
    <sheet name="Datendefizite_Matrix" sheetId="5" r:id="rId15"/>
  </sheets>
  <definedNames>
    <definedName name="_xlnm._FilterDatabase" localSheetId="10" hidden="1">Berechnung2!#REF!</definedName>
    <definedName name="_xlnm._FilterDatabase" localSheetId="3" hidden="1">Datenquelle!$A$111:$AA$257</definedName>
    <definedName name="AngabeKKR">Datenquelle!$B$98:$B$102</definedName>
    <definedName name="_xlnm.Print_Area" localSheetId="0">Basisdaten!$A$1:$O$67</definedName>
    <definedName name="_xlnm.Print_Area" localSheetId="7">OFFSET(Datendefizite_KB!$B$1,0,0,SUMPRODUCT((Datendefizite_KB!$B$14:$B$40&lt;&gt;"")+0)+13,11)</definedName>
    <definedName name="_xlnm.Print_Area" localSheetId="4">'Kennzahlenbogen_(KB)'!$A$1:$R$110</definedName>
    <definedName name="_xlnm.Print_Area" localSheetId="9">Matrix!$A$1:$U$51</definedName>
    <definedName name="_xlnm.Print_Titles" localSheetId="7">Datendefizite_KB!$12:$13</definedName>
    <definedName name="_xlnm.Print_Titles" localSheetId="14">Datendefizite_Matrix!$14:$15</definedName>
    <definedName name="_xlnm.Print_Titles" localSheetId="4">'Kennzahlenbogen_(KB)'!$10:$11</definedName>
    <definedName name="_xlnm.Print_Titles">'Kennzahlenbogen_(KB)'!$A$1:$Q$9</definedName>
    <definedName name="Keine_Zusammenarbeit">Datenquelle!$B$99</definedName>
    <definedName name="myCategory">Datenquelle!$A$68:$S$68</definedName>
    <definedName name="myItem">OFFSET(myItemList,0,0,COUNTA(myItemList),1)</definedName>
    <definedName name="myItemList">INDEX(Datenquelle!$A$69:$S$89,0,MATCH(Datenquelle!$F$109,Datenquelle!$A$68:$S$68,0))</definedName>
    <definedName name="Tumordokumentation">Datenquelle!$B$2:$B$53</definedName>
    <definedName name="Universitätsstatus">Datenquelle!$B$93:$B$94</definedName>
    <definedName name="Z_AD479C9E_06F7_4C03_8179_295428B49475_.wvu.PrintArea" localSheetId="0" hidden="1">Basisdaten!$A$1:$O$67</definedName>
    <definedName name="Z_AD479C9E_06F7_4C03_8179_295428B49475_.wvu.PrintTitles" localSheetId="7" hidden="1">Datendefizite_KB!$12:$13</definedName>
    <definedName name="Z_AD479C9E_06F7_4C03_8179_295428B49475_.wvu.PrintTitles" localSheetId="14" hidden="1">Datendefizite_Matrix!$14:$15</definedName>
    <definedName name="Z_AD479C9E_06F7_4C03_8179_295428B49475_.wvu.PrintTitles" localSheetId="4" hidden="1">'Kennzahlenbogen_(KB)'!$10:$11</definedName>
    <definedName name="Z_DAA0C1F4_4D8F_4BD8_91F9_40281B589772_.wvu.PrintArea" localSheetId="0" hidden="1">Basisdaten!$A$1:$O$67</definedName>
    <definedName name="Z_DAA0C1F4_4D8F_4BD8_91F9_40281B589772_.wvu.PrintTitles" localSheetId="7" hidden="1">Datendefizite_KB!$12:$13</definedName>
    <definedName name="Z_DAA0C1F4_4D8F_4BD8_91F9_40281B589772_.wvu.PrintTitles" localSheetId="14" hidden="1">Datendefizite_Matrix!$14:$15</definedName>
    <definedName name="Z_DAA0C1F4_4D8F_4BD8_91F9_40281B589772_.wvu.PrintTitles" localSheetId="4" hidden="1">'Kennzahlenbogen_(KB)'!$10:$11</definedName>
    <definedName name="Z_DAA0C1F4_4D8F_4BD8_91F9_40281B589772_.wvu.Rows" localSheetId="6" hidden="1">Berechnung1!#REF!</definedName>
    <definedName name="ZentrumRegNr">Datenquelle!$A$112:$A$257</definedName>
  </definedNames>
  <calcPr calcId="145621"/>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9" i="1" l="1"/>
  <c r="O47" i="1"/>
  <c r="O46" i="1"/>
  <c r="O45" i="1"/>
  <c r="D1" i="9"/>
  <c r="A14" i="24" l="1"/>
  <c r="A13" i="24"/>
  <c r="A12" i="24"/>
  <c r="A11" i="24"/>
  <c r="B6" i="27"/>
  <c r="B5" i="27"/>
  <c r="B4" i="27"/>
  <c r="B3" i="27"/>
  <c r="B2" i="27"/>
  <c r="O110" i="11" l="1"/>
  <c r="O107" i="11"/>
  <c r="G16" i="7" l="1"/>
  <c r="F16" i="7"/>
  <c r="O41" i="11"/>
  <c r="H16" i="7" s="1"/>
  <c r="U25" i="18" l="1"/>
  <c r="Q24" i="18"/>
  <c r="B16" i="7" s="1"/>
  <c r="Q68" i="18"/>
  <c r="L41" i="11" l="1"/>
  <c r="R24" i="18"/>
  <c r="A6" i="29" s="1"/>
  <c r="D6" i="29" s="1"/>
  <c r="F6" i="29" l="1"/>
  <c r="C6" i="29"/>
  <c r="I6" i="29"/>
  <c r="E6" i="29"/>
  <c r="K6" i="29"/>
  <c r="J6" i="29"/>
  <c r="L6" i="29"/>
  <c r="G6" i="29"/>
  <c r="M6" i="29"/>
  <c r="H6" i="29"/>
  <c r="M41" i="11"/>
  <c r="N41" i="11" s="1"/>
  <c r="E16" i="7" s="1"/>
  <c r="O38" i="1"/>
  <c r="G39" i="7" l="1"/>
  <c r="G38" i="7"/>
  <c r="F39" i="7"/>
  <c r="F38" i="7"/>
  <c r="C39" i="7"/>
  <c r="C38" i="7"/>
  <c r="B39" i="7"/>
  <c r="B38" i="7"/>
  <c r="G34" i="7" l="1"/>
  <c r="F34" i="7"/>
  <c r="C34" i="7"/>
  <c r="C33" i="7"/>
  <c r="B34" i="7"/>
  <c r="B33" i="7"/>
  <c r="Q46" i="18" l="1"/>
  <c r="H39" i="7" l="1"/>
  <c r="H38" i="7"/>
  <c r="O104" i="11"/>
  <c r="Q98" i="18" l="1"/>
  <c r="R96" i="18" s="1"/>
  <c r="M110" i="11" s="1"/>
  <c r="Q95" i="18"/>
  <c r="R93" i="18" s="1"/>
  <c r="N110" i="11" l="1"/>
  <c r="E39" i="7" s="1"/>
  <c r="A29" i="29"/>
  <c r="M107" i="11"/>
  <c r="N107" i="11" s="1"/>
  <c r="E38" i="7" s="1"/>
  <c r="A28" i="29"/>
  <c r="D39" i="7"/>
  <c r="D38" i="7"/>
  <c r="L110" i="11"/>
  <c r="L107" i="11"/>
  <c r="Q86" i="18"/>
  <c r="R84" i="18" s="1"/>
  <c r="F29" i="29" l="1"/>
  <c r="J29" i="29"/>
  <c r="H29" i="29"/>
  <c r="G29" i="29"/>
  <c r="M29" i="29"/>
  <c r="D29" i="29"/>
  <c r="C29" i="29"/>
  <c r="I29" i="29"/>
  <c r="E29" i="29"/>
  <c r="L29" i="29"/>
  <c r="K29" i="29"/>
  <c r="F28" i="29"/>
  <c r="H28" i="29"/>
  <c r="K28" i="29"/>
  <c r="D28" i="29"/>
  <c r="G28" i="29"/>
  <c r="I28" i="29"/>
  <c r="C28" i="29"/>
  <c r="L28" i="29"/>
  <c r="E28" i="29"/>
  <c r="J28" i="29"/>
  <c r="M28" i="29"/>
  <c r="G37" i="7"/>
  <c r="F37" i="7"/>
  <c r="C37" i="7" l="1"/>
  <c r="B37" i="7"/>
  <c r="D40" i="1" l="1"/>
  <c r="D51" i="1" s="1"/>
  <c r="H37" i="7" l="1"/>
  <c r="Q92" i="18" l="1"/>
  <c r="R90" i="18" l="1"/>
  <c r="M104" i="11" s="1"/>
  <c r="N104" i="11" s="1"/>
  <c r="D37" i="7"/>
  <c r="L104" i="11"/>
  <c r="Q35" i="18"/>
  <c r="R33" i="18" s="1"/>
  <c r="Q38" i="18"/>
  <c r="R36" i="18" s="1"/>
  <c r="E37" i="7" l="1"/>
  <c r="A27" i="29"/>
  <c r="M53" i="11"/>
  <c r="J27" i="29" l="1"/>
  <c r="F27" i="29"/>
  <c r="M27" i="29"/>
  <c r="I27" i="29"/>
  <c r="E27" i="29"/>
  <c r="L27" i="29"/>
  <c r="H27" i="29"/>
  <c r="D27" i="29"/>
  <c r="K27" i="29"/>
  <c r="G27" i="29"/>
  <c r="C27" i="29"/>
  <c r="A15" i="24"/>
  <c r="M98" i="11" l="1"/>
  <c r="O101" i="11"/>
  <c r="O98" i="11"/>
  <c r="G21" i="7"/>
  <c r="F21" i="7"/>
  <c r="B21" i="7"/>
  <c r="G20" i="7"/>
  <c r="F20" i="7"/>
  <c r="B20" i="7"/>
  <c r="O56" i="11"/>
  <c r="O53" i="11"/>
  <c r="H20" i="7" s="1"/>
  <c r="L51" i="4" l="1"/>
  <c r="L50" i="4"/>
  <c r="L49" i="4"/>
  <c r="L48" i="4"/>
  <c r="L47" i="4"/>
  <c r="L46" i="4" l="1"/>
  <c r="L45" i="4"/>
  <c r="L44" i="4"/>
  <c r="L43" i="4"/>
  <c r="A18" i="24" l="1"/>
  <c r="A19" i="24"/>
  <c r="A17" i="24"/>
  <c r="A16" i="24"/>
  <c r="Q89" i="18" l="1"/>
  <c r="R87" i="18" s="1"/>
  <c r="Q83" i="18"/>
  <c r="Q80" i="18"/>
  <c r="Q77" i="18"/>
  <c r="R75" i="18" s="1"/>
  <c r="M92" i="11" s="1"/>
  <c r="Q74" i="18"/>
  <c r="D32" i="7" s="1"/>
  <c r="Q29" i="18"/>
  <c r="R27" i="18" s="1"/>
  <c r="R72" i="18" l="1"/>
  <c r="R78" i="18"/>
  <c r="M95" i="11" s="1"/>
  <c r="D34" i="7"/>
  <c r="A25" i="29"/>
  <c r="N98" i="11"/>
  <c r="D33" i="7"/>
  <c r="D35" i="7"/>
  <c r="D36" i="7"/>
  <c r="D17" i="7"/>
  <c r="G36" i="7"/>
  <c r="F36" i="7"/>
  <c r="C36" i="7"/>
  <c r="B36" i="7"/>
  <c r="G35" i="7"/>
  <c r="F35" i="7"/>
  <c r="C35" i="7"/>
  <c r="B35" i="7"/>
  <c r="A22" i="29" l="1"/>
  <c r="J22" i="29" s="1"/>
  <c r="M89" i="11"/>
  <c r="A26" i="29"/>
  <c r="C26" i="29" s="1"/>
  <c r="M101" i="11"/>
  <c r="N101" i="11" s="1"/>
  <c r="A24" i="29"/>
  <c r="E24" i="29" s="1"/>
  <c r="A23" i="29"/>
  <c r="H23" i="29" s="1"/>
  <c r="C25" i="29"/>
  <c r="J25" i="29"/>
  <c r="M25" i="29"/>
  <c r="G25" i="29"/>
  <c r="D25" i="29"/>
  <c r="I25" i="29"/>
  <c r="L25" i="29"/>
  <c r="H25" i="29"/>
  <c r="F25" i="29"/>
  <c r="E25" i="29"/>
  <c r="K25" i="29"/>
  <c r="C18" i="7"/>
  <c r="B18" i="7"/>
  <c r="K22" i="29" l="1"/>
  <c r="G22" i="29"/>
  <c r="F22" i="29"/>
  <c r="L22" i="29"/>
  <c r="D22" i="29"/>
  <c r="C22" i="29"/>
  <c r="I22" i="29"/>
  <c r="E22" i="29"/>
  <c r="H22" i="29"/>
  <c r="M22" i="29"/>
  <c r="L26" i="29"/>
  <c r="F26" i="29"/>
  <c r="G26" i="29"/>
  <c r="E26" i="29"/>
  <c r="H26" i="29"/>
  <c r="I26" i="29"/>
  <c r="K26" i="29"/>
  <c r="J26" i="29"/>
  <c r="D26" i="29"/>
  <c r="M26" i="29"/>
  <c r="F24" i="29"/>
  <c r="M24" i="29"/>
  <c r="D24" i="29"/>
  <c r="I24" i="29"/>
  <c r="J24" i="29"/>
  <c r="C24" i="29"/>
  <c r="L24" i="29"/>
  <c r="H24" i="29"/>
  <c r="K24" i="29"/>
  <c r="G24" i="29"/>
  <c r="M23" i="29"/>
  <c r="D23" i="29"/>
  <c r="L23" i="29"/>
  <c r="I23" i="29"/>
  <c r="J23" i="29"/>
  <c r="G23" i="29"/>
  <c r="C23" i="29"/>
  <c r="K23" i="29"/>
  <c r="E23" i="29"/>
  <c r="F23" i="29"/>
  <c r="C6" i="8"/>
  <c r="C14" i="24" l="1"/>
  <c r="D14" i="24"/>
  <c r="E14" i="24"/>
  <c r="F14" i="24"/>
  <c r="G14" i="24"/>
  <c r="H14" i="24"/>
  <c r="I14" i="24"/>
  <c r="J14" i="24"/>
  <c r="K14" i="24"/>
  <c r="L14" i="24"/>
  <c r="C11" i="24"/>
  <c r="D11" i="24"/>
  <c r="E11" i="24"/>
  <c r="F11" i="24"/>
  <c r="G11" i="24"/>
  <c r="H11" i="24"/>
  <c r="I11" i="24"/>
  <c r="J11" i="24"/>
  <c r="K11" i="24"/>
  <c r="L11" i="24"/>
  <c r="C12" i="24"/>
  <c r="D12" i="24"/>
  <c r="E12" i="24"/>
  <c r="F12" i="24"/>
  <c r="G12" i="24"/>
  <c r="H12" i="24"/>
  <c r="I12" i="24"/>
  <c r="J12" i="24"/>
  <c r="K12" i="24"/>
  <c r="L12" i="24"/>
  <c r="C13" i="24"/>
  <c r="D13" i="24"/>
  <c r="E13" i="24"/>
  <c r="F13" i="24"/>
  <c r="G13" i="24"/>
  <c r="H13" i="24"/>
  <c r="I13" i="24"/>
  <c r="J13" i="24"/>
  <c r="K13" i="24"/>
  <c r="L13" i="24"/>
  <c r="C3" i="24"/>
  <c r="D3" i="24"/>
  <c r="E3" i="24"/>
  <c r="F3" i="24"/>
  <c r="G3" i="24"/>
  <c r="H3" i="24"/>
  <c r="I3" i="24"/>
  <c r="J3" i="24"/>
  <c r="K3" i="24"/>
  <c r="L3" i="24"/>
  <c r="C4" i="24"/>
  <c r="D4" i="24"/>
  <c r="E4" i="24"/>
  <c r="F4" i="24"/>
  <c r="G4" i="24"/>
  <c r="H4" i="24"/>
  <c r="I4" i="24"/>
  <c r="J4" i="24"/>
  <c r="K4" i="24"/>
  <c r="L4" i="24"/>
  <c r="C5" i="24"/>
  <c r="D5" i="24"/>
  <c r="E5" i="24"/>
  <c r="F5" i="24"/>
  <c r="G5" i="24"/>
  <c r="H5" i="24"/>
  <c r="I5" i="24"/>
  <c r="J5" i="24"/>
  <c r="K5" i="24"/>
  <c r="L5" i="24"/>
  <c r="C6" i="24"/>
  <c r="D6" i="24"/>
  <c r="E6" i="24"/>
  <c r="F6" i="24"/>
  <c r="G6" i="24"/>
  <c r="H6" i="24"/>
  <c r="I6" i="24"/>
  <c r="J6" i="24"/>
  <c r="K6" i="24"/>
  <c r="L6" i="24"/>
  <c r="C7" i="24"/>
  <c r="D7" i="24"/>
  <c r="E7" i="24"/>
  <c r="F7" i="24"/>
  <c r="G7" i="24"/>
  <c r="H7" i="24"/>
  <c r="I7" i="24"/>
  <c r="J7" i="24"/>
  <c r="K7" i="24"/>
  <c r="L7" i="24"/>
  <c r="C8" i="24"/>
  <c r="D8" i="24"/>
  <c r="E8" i="24"/>
  <c r="F8" i="24"/>
  <c r="G8" i="24"/>
  <c r="H8" i="24"/>
  <c r="I8" i="24"/>
  <c r="J8" i="24"/>
  <c r="K8" i="24"/>
  <c r="L8" i="24"/>
  <c r="D10" i="24"/>
  <c r="E10" i="24"/>
  <c r="F10" i="24"/>
  <c r="G10" i="24"/>
  <c r="H10" i="24"/>
  <c r="I10" i="24"/>
  <c r="J10" i="24"/>
  <c r="K10" i="24"/>
  <c r="L10" i="24"/>
  <c r="B3" i="24"/>
  <c r="B4" i="24"/>
  <c r="B5" i="24"/>
  <c r="B8" i="24"/>
  <c r="C2" i="24"/>
  <c r="D2" i="24"/>
  <c r="E2" i="24"/>
  <c r="F2" i="24"/>
  <c r="G2" i="24"/>
  <c r="H2" i="24"/>
  <c r="I2" i="24"/>
  <c r="J2" i="24"/>
  <c r="K2" i="24"/>
  <c r="L2" i="24"/>
  <c r="B2" i="24"/>
  <c r="A10" i="24"/>
  <c r="A9" i="24"/>
  <c r="A8" i="24"/>
  <c r="A7" i="24"/>
  <c r="A6" i="24"/>
  <c r="A5" i="24"/>
  <c r="A4" i="24"/>
  <c r="A3" i="24"/>
  <c r="A2" i="24"/>
  <c r="M1" i="24"/>
  <c r="L1" i="24"/>
  <c r="K1" i="24"/>
  <c r="J1" i="24"/>
  <c r="F1" i="24"/>
  <c r="I1" i="24"/>
  <c r="H1" i="24"/>
  <c r="G1" i="24"/>
  <c r="E1" i="24"/>
  <c r="D1" i="24"/>
  <c r="C1" i="24"/>
  <c r="B1" i="24"/>
  <c r="A1" i="24"/>
  <c r="H36" i="7" l="1"/>
  <c r="Q47" i="18"/>
  <c r="Q42" i="18"/>
  <c r="O33" i="1"/>
  <c r="Q43" i="18" s="1"/>
  <c r="R45" i="18" l="1"/>
  <c r="M62" i="11" s="1"/>
  <c r="Q44" i="18"/>
  <c r="M2" i="24"/>
  <c r="Q15" i="18"/>
  <c r="R15" i="18" s="1"/>
  <c r="A3" i="29" s="1"/>
  <c r="D3" i="29" s="1"/>
  <c r="U39" i="18"/>
  <c r="Q40" i="18"/>
  <c r="M12" i="24"/>
  <c r="O42" i="1"/>
  <c r="M10" i="24" s="1"/>
  <c r="N40" i="1"/>
  <c r="O39" i="1"/>
  <c r="C20" i="7"/>
  <c r="O37" i="1"/>
  <c r="M6" i="24" s="1"/>
  <c r="O36" i="1"/>
  <c r="M5" i="24" s="1"/>
  <c r="O35" i="1"/>
  <c r="O34" i="1"/>
  <c r="E40" i="1"/>
  <c r="F40" i="1"/>
  <c r="U94" i="18" s="1"/>
  <c r="G40" i="1"/>
  <c r="N54" i="1" s="1"/>
  <c r="H40" i="1"/>
  <c r="N55" i="1" s="1"/>
  <c r="I40" i="1"/>
  <c r="J40" i="1"/>
  <c r="U67" i="18" s="1"/>
  <c r="K40" i="1"/>
  <c r="L40" i="1"/>
  <c r="M40" i="1"/>
  <c r="M8" i="24" l="1"/>
  <c r="U38" i="18"/>
  <c r="U61" i="18"/>
  <c r="U34" i="18"/>
  <c r="A13" i="29"/>
  <c r="D13" i="29" s="1"/>
  <c r="U37" i="18"/>
  <c r="U28" i="18"/>
  <c r="Q41" i="18"/>
  <c r="R39" i="18" s="1"/>
  <c r="M7" i="24"/>
  <c r="M11" i="24"/>
  <c r="C3" i="29"/>
  <c r="H3" i="29"/>
  <c r="N53" i="1"/>
  <c r="M14" i="24"/>
  <c r="M13" i="24"/>
  <c r="I9" i="24"/>
  <c r="K51" i="1"/>
  <c r="I15" i="24" s="1"/>
  <c r="H9" i="24"/>
  <c r="J51" i="1"/>
  <c r="H15" i="24" s="1"/>
  <c r="L9" i="24"/>
  <c r="N51" i="1"/>
  <c r="L15" i="24" s="1"/>
  <c r="Q18" i="18"/>
  <c r="R18" i="18" s="1"/>
  <c r="A4" i="29" s="1"/>
  <c r="D4" i="29" s="1"/>
  <c r="M3" i="24"/>
  <c r="K9" i="24"/>
  <c r="M51" i="1"/>
  <c r="K15" i="24" s="1"/>
  <c r="B15" i="24"/>
  <c r="B9" i="24"/>
  <c r="J9" i="24"/>
  <c r="L51" i="1"/>
  <c r="J15" i="24" s="1"/>
  <c r="G9" i="24"/>
  <c r="I51" i="1"/>
  <c r="G15" i="24" s="1"/>
  <c r="L18" i="24"/>
  <c r="F9" i="24"/>
  <c r="H51" i="1"/>
  <c r="F15" i="24" s="1"/>
  <c r="E9" i="24"/>
  <c r="G51" i="1"/>
  <c r="E15" i="24" s="1"/>
  <c r="D9" i="24"/>
  <c r="F51" i="1"/>
  <c r="D15" i="24" s="1"/>
  <c r="C9" i="24"/>
  <c r="E51" i="1"/>
  <c r="C15" i="24" s="1"/>
  <c r="Q21" i="18"/>
  <c r="R21" i="18" s="1"/>
  <c r="M4" i="24"/>
  <c r="Q69" i="18"/>
  <c r="B31" i="7" s="1"/>
  <c r="R66" i="18"/>
  <c r="Q63" i="18"/>
  <c r="B29" i="7" s="1"/>
  <c r="L17" i="24"/>
  <c r="O40" i="1"/>
  <c r="Q12" i="18" s="1"/>
  <c r="Q49" i="18" s="1"/>
  <c r="Q62" i="18"/>
  <c r="R60" i="18" s="1"/>
  <c r="H35" i="7"/>
  <c r="O92" i="11"/>
  <c r="H33" i="7" s="1"/>
  <c r="O95" i="11"/>
  <c r="H34" i="7" s="1"/>
  <c r="O89" i="11"/>
  <c r="H32" i="7" s="1"/>
  <c r="O62" i="11"/>
  <c r="H23" i="7" s="1"/>
  <c r="G33" i="7"/>
  <c r="G32" i="7"/>
  <c r="F33" i="7"/>
  <c r="F32" i="7"/>
  <c r="B32" i="7"/>
  <c r="G23" i="7"/>
  <c r="F23" i="7"/>
  <c r="C23" i="7"/>
  <c r="B23" i="7"/>
  <c r="B24" i="7"/>
  <c r="F24" i="7"/>
  <c r="G24" i="7"/>
  <c r="B2" i="8"/>
  <c r="B1" i="8"/>
  <c r="M24" i="4"/>
  <c r="I6" i="9" s="1"/>
  <c r="C3" i="9"/>
  <c r="D3" i="9"/>
  <c r="F3" i="9"/>
  <c r="H3" i="9"/>
  <c r="C4" i="9"/>
  <c r="D4" i="9"/>
  <c r="F4" i="9"/>
  <c r="H4" i="9"/>
  <c r="C5" i="9"/>
  <c r="D5" i="9"/>
  <c r="F5" i="9"/>
  <c r="H5" i="9"/>
  <c r="C6" i="9"/>
  <c r="D6" i="9"/>
  <c r="F6" i="9"/>
  <c r="H6" i="9"/>
  <c r="H2" i="9"/>
  <c r="F2" i="9"/>
  <c r="D2" i="9"/>
  <c r="C2" i="9"/>
  <c r="I1" i="9"/>
  <c r="H1" i="9"/>
  <c r="G1" i="9"/>
  <c r="F1" i="9"/>
  <c r="E1" i="9"/>
  <c r="C1" i="9"/>
  <c r="B1" i="9"/>
  <c r="A1" i="9"/>
  <c r="O38" i="11"/>
  <c r="H15" i="7" s="1"/>
  <c r="O77" i="11"/>
  <c r="H28" i="7" s="1"/>
  <c r="O80" i="11"/>
  <c r="H29" i="7" s="1"/>
  <c r="O83" i="11"/>
  <c r="H30" i="7" s="1"/>
  <c r="O86" i="11"/>
  <c r="H31" i="7" s="1"/>
  <c r="O74" i="11"/>
  <c r="H27" i="7" s="1"/>
  <c r="O47" i="11"/>
  <c r="H18" i="7" s="1"/>
  <c r="O50" i="11"/>
  <c r="H19" i="7" s="1"/>
  <c r="H21" i="7"/>
  <c r="O59" i="11"/>
  <c r="H22" i="7" s="1"/>
  <c r="O65" i="11"/>
  <c r="H24" i="7" s="1"/>
  <c r="O68" i="11"/>
  <c r="H25" i="7" s="1"/>
  <c r="O71" i="11"/>
  <c r="H26" i="7" s="1"/>
  <c r="O44" i="11"/>
  <c r="H17" i="7" s="1"/>
  <c r="I86" i="4"/>
  <c r="G20" i="4"/>
  <c r="E2" i="9" s="1"/>
  <c r="I90" i="4"/>
  <c r="I89" i="4"/>
  <c r="I87" i="4"/>
  <c r="I83" i="4"/>
  <c r="I82" i="4"/>
  <c r="I81" i="4"/>
  <c r="I80" i="4"/>
  <c r="I79" i="4"/>
  <c r="F90" i="4"/>
  <c r="F89" i="4"/>
  <c r="F88" i="4"/>
  <c r="F87" i="4"/>
  <c r="F86" i="4"/>
  <c r="F83" i="4"/>
  <c r="F82" i="4"/>
  <c r="F81" i="4"/>
  <c r="F80" i="4"/>
  <c r="F79" i="4"/>
  <c r="F8" i="18"/>
  <c r="K8" i="18"/>
  <c r="Q32" i="18"/>
  <c r="R30" i="18" s="1"/>
  <c r="D8" i="3"/>
  <c r="K8" i="3"/>
  <c r="C8" i="4"/>
  <c r="K8" i="4"/>
  <c r="J20" i="4"/>
  <c r="G2" i="9" s="1"/>
  <c r="M20" i="4"/>
  <c r="I2" i="9" s="1"/>
  <c r="G21" i="4"/>
  <c r="E3" i="9" s="1"/>
  <c r="J21" i="4"/>
  <c r="G3" i="9" s="1"/>
  <c r="M21" i="4"/>
  <c r="I3" i="9" s="1"/>
  <c r="G22" i="4"/>
  <c r="E4" i="9" s="1"/>
  <c r="J22" i="4"/>
  <c r="G4" i="9" s="1"/>
  <c r="M22" i="4"/>
  <c r="I4" i="9" s="1"/>
  <c r="G23" i="4"/>
  <c r="E5" i="9" s="1"/>
  <c r="J23" i="4"/>
  <c r="G5" i="9" s="1"/>
  <c r="M23" i="4"/>
  <c r="I5" i="9" s="1"/>
  <c r="G24" i="4"/>
  <c r="E6" i="9" s="1"/>
  <c r="J24" i="4"/>
  <c r="G6" i="9" s="1"/>
  <c r="B67" i="4"/>
  <c r="C67" i="4"/>
  <c r="D67" i="4"/>
  <c r="E67" i="4"/>
  <c r="F67" i="4"/>
  <c r="G67" i="4"/>
  <c r="H67" i="4"/>
  <c r="I67" i="4"/>
  <c r="J67" i="4"/>
  <c r="K67" i="4"/>
  <c r="L67" i="4"/>
  <c r="M67" i="4"/>
  <c r="N67" i="4"/>
  <c r="O67" i="4"/>
  <c r="P67" i="4"/>
  <c r="B68" i="4"/>
  <c r="C68" i="4"/>
  <c r="D68" i="4"/>
  <c r="E68" i="4"/>
  <c r="F68" i="4"/>
  <c r="G68" i="4"/>
  <c r="H68" i="4"/>
  <c r="I68" i="4"/>
  <c r="J68" i="4"/>
  <c r="K68" i="4"/>
  <c r="L68" i="4"/>
  <c r="M68" i="4"/>
  <c r="N68" i="4"/>
  <c r="O68" i="4"/>
  <c r="P68" i="4"/>
  <c r="B69" i="4"/>
  <c r="C69" i="4"/>
  <c r="D69" i="4"/>
  <c r="E69" i="4"/>
  <c r="F69" i="4"/>
  <c r="G69" i="4"/>
  <c r="H69" i="4"/>
  <c r="I69" i="4"/>
  <c r="J69" i="4"/>
  <c r="K69" i="4"/>
  <c r="L69" i="4"/>
  <c r="M69" i="4"/>
  <c r="N69" i="4"/>
  <c r="O69" i="4"/>
  <c r="P69" i="4"/>
  <c r="B70" i="4"/>
  <c r="C70" i="4"/>
  <c r="D70" i="4"/>
  <c r="E70" i="4"/>
  <c r="F70" i="4"/>
  <c r="G70" i="4"/>
  <c r="H70" i="4"/>
  <c r="I70" i="4"/>
  <c r="J70" i="4"/>
  <c r="K70" i="4"/>
  <c r="L70" i="4"/>
  <c r="M70" i="4"/>
  <c r="N70" i="4"/>
  <c r="O70" i="4"/>
  <c r="P70" i="4"/>
  <c r="B71" i="4"/>
  <c r="C71" i="4"/>
  <c r="D71" i="4"/>
  <c r="E71" i="4"/>
  <c r="F71" i="4"/>
  <c r="G71" i="4"/>
  <c r="H71" i="4"/>
  <c r="J71" i="4"/>
  <c r="K71" i="4"/>
  <c r="L71" i="4"/>
  <c r="M71" i="4"/>
  <c r="N71" i="4"/>
  <c r="O71" i="4"/>
  <c r="P71" i="4"/>
  <c r="B72" i="4"/>
  <c r="C72" i="4"/>
  <c r="D72" i="4"/>
  <c r="E72" i="4"/>
  <c r="F72" i="4"/>
  <c r="G72" i="4"/>
  <c r="H72" i="4"/>
  <c r="J72" i="4"/>
  <c r="K72" i="4"/>
  <c r="L72" i="4"/>
  <c r="M72" i="4"/>
  <c r="N72" i="4"/>
  <c r="O72" i="4"/>
  <c r="P72" i="4"/>
  <c r="B73" i="4"/>
  <c r="C73" i="4"/>
  <c r="D73" i="4"/>
  <c r="E73" i="4"/>
  <c r="F73" i="4"/>
  <c r="G73" i="4"/>
  <c r="H73" i="4"/>
  <c r="I73" i="4"/>
  <c r="J73" i="4"/>
  <c r="K73" i="4"/>
  <c r="L73" i="4"/>
  <c r="M73" i="4"/>
  <c r="N73" i="4"/>
  <c r="O73" i="4"/>
  <c r="P73" i="4"/>
  <c r="B74" i="4"/>
  <c r="C74" i="4"/>
  <c r="D74" i="4"/>
  <c r="E74" i="4"/>
  <c r="F74" i="4"/>
  <c r="G74" i="4"/>
  <c r="H74" i="4"/>
  <c r="I74" i="4"/>
  <c r="J74" i="4"/>
  <c r="K74" i="4"/>
  <c r="L74" i="4"/>
  <c r="M74" i="4"/>
  <c r="N74" i="4"/>
  <c r="O74" i="4"/>
  <c r="P74" i="4"/>
  <c r="B75" i="4"/>
  <c r="C75" i="4"/>
  <c r="D75" i="4"/>
  <c r="E75" i="4"/>
  <c r="F75" i="4"/>
  <c r="G75" i="4"/>
  <c r="H75" i="4"/>
  <c r="I75" i="4"/>
  <c r="J75" i="4"/>
  <c r="K75" i="4"/>
  <c r="L75" i="4"/>
  <c r="M75" i="4"/>
  <c r="N75" i="4"/>
  <c r="O75" i="4"/>
  <c r="P75" i="4"/>
  <c r="B76" i="4"/>
  <c r="C76" i="4"/>
  <c r="D76" i="4"/>
  <c r="E76" i="4"/>
  <c r="F76" i="4"/>
  <c r="G76" i="4"/>
  <c r="H76" i="4"/>
  <c r="I76" i="4"/>
  <c r="J76" i="4"/>
  <c r="K76" i="4"/>
  <c r="L76" i="4"/>
  <c r="M76" i="4"/>
  <c r="N76" i="4"/>
  <c r="O76" i="4"/>
  <c r="P76" i="4"/>
  <c r="B77" i="4"/>
  <c r="C77" i="4"/>
  <c r="D77" i="4"/>
  <c r="E77" i="4"/>
  <c r="F77" i="4"/>
  <c r="G77" i="4"/>
  <c r="H77" i="4"/>
  <c r="I77" i="4"/>
  <c r="J77" i="4"/>
  <c r="K77" i="4"/>
  <c r="L77" i="4"/>
  <c r="M77" i="4"/>
  <c r="N77" i="4"/>
  <c r="O77" i="4"/>
  <c r="P77" i="4"/>
  <c r="B78" i="4"/>
  <c r="C78" i="4"/>
  <c r="D78" i="4"/>
  <c r="E78" i="4"/>
  <c r="F78" i="4"/>
  <c r="G78" i="4"/>
  <c r="H78" i="4"/>
  <c r="I78" i="4"/>
  <c r="J78" i="4"/>
  <c r="K78" i="4"/>
  <c r="L78" i="4"/>
  <c r="M78" i="4"/>
  <c r="N78" i="4"/>
  <c r="O78" i="4"/>
  <c r="P78" i="4"/>
  <c r="B79" i="4"/>
  <c r="C79" i="4"/>
  <c r="D79" i="4"/>
  <c r="E79" i="4"/>
  <c r="G79" i="4"/>
  <c r="H79" i="4"/>
  <c r="J79" i="4"/>
  <c r="K79" i="4"/>
  <c r="L79" i="4"/>
  <c r="M79" i="4"/>
  <c r="N79" i="4"/>
  <c r="O79" i="4"/>
  <c r="P79" i="4"/>
  <c r="B80" i="4"/>
  <c r="C80" i="4"/>
  <c r="D80" i="4"/>
  <c r="E80" i="4"/>
  <c r="G80" i="4"/>
  <c r="H80" i="4"/>
  <c r="J80" i="4"/>
  <c r="K80" i="4"/>
  <c r="L80" i="4"/>
  <c r="M80" i="4"/>
  <c r="N80" i="4"/>
  <c r="O80" i="4"/>
  <c r="P80" i="4"/>
  <c r="B81" i="4"/>
  <c r="C81" i="4"/>
  <c r="D81" i="4"/>
  <c r="E81" i="4"/>
  <c r="G81" i="4"/>
  <c r="H81" i="4"/>
  <c r="J81" i="4"/>
  <c r="K81" i="4"/>
  <c r="L81" i="4"/>
  <c r="M81" i="4"/>
  <c r="N81" i="4"/>
  <c r="O81" i="4"/>
  <c r="P81" i="4"/>
  <c r="B82" i="4"/>
  <c r="C82" i="4"/>
  <c r="D82" i="4"/>
  <c r="E82" i="4"/>
  <c r="G82" i="4"/>
  <c r="H82" i="4"/>
  <c r="J82" i="4"/>
  <c r="K82" i="4"/>
  <c r="L82" i="4"/>
  <c r="M82" i="4"/>
  <c r="N82" i="4"/>
  <c r="O82" i="4"/>
  <c r="P82" i="4"/>
  <c r="B83" i="4"/>
  <c r="C83" i="4"/>
  <c r="D83" i="4"/>
  <c r="E83" i="4"/>
  <c r="G83" i="4"/>
  <c r="H83" i="4"/>
  <c r="J83" i="4"/>
  <c r="K83" i="4"/>
  <c r="L83" i="4"/>
  <c r="M83" i="4"/>
  <c r="N83" i="4"/>
  <c r="O83" i="4"/>
  <c r="P83" i="4"/>
  <c r="B84" i="4"/>
  <c r="C84" i="4"/>
  <c r="D84" i="4"/>
  <c r="E84" i="4"/>
  <c r="F84" i="4"/>
  <c r="G84" i="4"/>
  <c r="H84" i="4"/>
  <c r="I84" i="4"/>
  <c r="J84" i="4"/>
  <c r="K84" i="4"/>
  <c r="L84" i="4"/>
  <c r="M84" i="4"/>
  <c r="N84" i="4"/>
  <c r="O84" i="4"/>
  <c r="P84" i="4"/>
  <c r="B85" i="4"/>
  <c r="C85" i="4"/>
  <c r="D85" i="4"/>
  <c r="E85" i="4"/>
  <c r="F85" i="4"/>
  <c r="G85" i="4"/>
  <c r="H85" i="4"/>
  <c r="I85" i="4"/>
  <c r="J85" i="4"/>
  <c r="K85" i="4"/>
  <c r="L85" i="4"/>
  <c r="M85" i="4"/>
  <c r="N85" i="4"/>
  <c r="O85" i="4"/>
  <c r="P85" i="4"/>
  <c r="B86" i="4"/>
  <c r="C86" i="4"/>
  <c r="D86" i="4"/>
  <c r="E86" i="4"/>
  <c r="G86" i="4"/>
  <c r="H86" i="4"/>
  <c r="J86" i="4"/>
  <c r="K86" i="4"/>
  <c r="L86" i="4"/>
  <c r="M86" i="4"/>
  <c r="N86" i="4"/>
  <c r="O86" i="4"/>
  <c r="P86" i="4"/>
  <c r="B87" i="4"/>
  <c r="C87" i="4"/>
  <c r="D87" i="4"/>
  <c r="E87" i="4"/>
  <c r="G87" i="4"/>
  <c r="H87" i="4"/>
  <c r="J87" i="4"/>
  <c r="K87" i="4"/>
  <c r="L87" i="4"/>
  <c r="M87" i="4"/>
  <c r="N87" i="4"/>
  <c r="O87" i="4"/>
  <c r="P87" i="4"/>
  <c r="B88" i="4"/>
  <c r="C88" i="4"/>
  <c r="D88" i="4"/>
  <c r="E88" i="4"/>
  <c r="G88" i="4"/>
  <c r="H88" i="4"/>
  <c r="J88" i="4"/>
  <c r="K88" i="4"/>
  <c r="L88" i="4"/>
  <c r="M88" i="4"/>
  <c r="N88" i="4"/>
  <c r="O88" i="4"/>
  <c r="P88" i="4"/>
  <c r="B89" i="4"/>
  <c r="C89" i="4"/>
  <c r="D89" i="4"/>
  <c r="E89" i="4"/>
  <c r="G89" i="4"/>
  <c r="H89" i="4"/>
  <c r="J89" i="4"/>
  <c r="K89" i="4"/>
  <c r="L89" i="4"/>
  <c r="M89" i="4"/>
  <c r="N89" i="4"/>
  <c r="O89" i="4"/>
  <c r="P89" i="4"/>
  <c r="B90" i="4"/>
  <c r="C90" i="4"/>
  <c r="D90" i="4"/>
  <c r="E90" i="4"/>
  <c r="G90" i="4"/>
  <c r="H90" i="4"/>
  <c r="J90" i="4"/>
  <c r="K90" i="4"/>
  <c r="L90" i="4"/>
  <c r="M90" i="4"/>
  <c r="O90" i="4"/>
  <c r="P90" i="4"/>
  <c r="C8" i="5"/>
  <c r="G8" i="5"/>
  <c r="A109" i="16"/>
  <c r="J109" i="16" s="1"/>
  <c r="O29" i="11"/>
  <c r="H12" i="7" s="1"/>
  <c r="O32" i="11"/>
  <c r="H13" i="7" s="1"/>
  <c r="M33" i="11"/>
  <c r="M34" i="11"/>
  <c r="O35" i="11"/>
  <c r="H14" i="7" s="1"/>
  <c r="M36" i="11"/>
  <c r="M37" i="11"/>
  <c r="M81" i="11"/>
  <c r="M82" i="11"/>
  <c r="I71" i="4"/>
  <c r="I72" i="4"/>
  <c r="I88" i="4"/>
  <c r="B6" i="8"/>
  <c r="D6" i="8"/>
  <c r="B2" i="7"/>
  <c r="B3" i="7"/>
  <c r="F12" i="7"/>
  <c r="G12" i="7"/>
  <c r="F13" i="7"/>
  <c r="G13" i="7"/>
  <c r="F14" i="7"/>
  <c r="G14" i="7"/>
  <c r="F15" i="7"/>
  <c r="G15" i="7"/>
  <c r="B17" i="7"/>
  <c r="C17" i="7"/>
  <c r="F17" i="7"/>
  <c r="G17" i="7"/>
  <c r="F18" i="7"/>
  <c r="G18" i="7"/>
  <c r="B19" i="7"/>
  <c r="C19" i="7"/>
  <c r="G19" i="7"/>
  <c r="F22" i="7"/>
  <c r="G22" i="7"/>
  <c r="B25" i="7"/>
  <c r="F25" i="7"/>
  <c r="G25" i="7"/>
  <c r="B26" i="7"/>
  <c r="F26" i="7"/>
  <c r="G26" i="7"/>
  <c r="F27" i="7"/>
  <c r="G27" i="7"/>
  <c r="B28" i="7"/>
  <c r="C28" i="7"/>
  <c r="F28" i="7"/>
  <c r="G28" i="7"/>
  <c r="F29" i="7"/>
  <c r="G29" i="7"/>
  <c r="B30" i="7"/>
  <c r="F30" i="7"/>
  <c r="G30" i="7"/>
  <c r="F31" i="7"/>
  <c r="G31" i="7"/>
  <c r="B2" i="9"/>
  <c r="B3" i="9"/>
  <c r="B4" i="9"/>
  <c r="B5" i="9"/>
  <c r="B6" i="9"/>
  <c r="F19" i="7"/>
  <c r="E20" i="12"/>
  <c r="D20" i="12"/>
  <c r="B20" i="12"/>
  <c r="C20" i="12" s="1"/>
  <c r="M83" i="11" l="1"/>
  <c r="M77" i="11"/>
  <c r="M56" i="11"/>
  <c r="M47" i="11"/>
  <c r="L13" i="29"/>
  <c r="J13" i="29"/>
  <c r="M50" i="11"/>
  <c r="D21" i="7"/>
  <c r="C13" i="29"/>
  <c r="A10" i="29"/>
  <c r="J10" i="29" s="1"/>
  <c r="I13" i="29"/>
  <c r="K13" i="29"/>
  <c r="M13" i="29"/>
  <c r="H13" i="29"/>
  <c r="E13" i="29"/>
  <c r="G13" i="29"/>
  <c r="F13" i="29"/>
  <c r="D20" i="7"/>
  <c r="D18" i="7"/>
  <c r="C21" i="7"/>
  <c r="L56" i="11"/>
  <c r="L53" i="11"/>
  <c r="C4" i="29"/>
  <c r="H4" i="29"/>
  <c r="O53" i="1"/>
  <c r="L101" i="11"/>
  <c r="L98" i="11"/>
  <c r="E36" i="7"/>
  <c r="D19" i="7"/>
  <c r="E35" i="7"/>
  <c r="L62" i="11"/>
  <c r="L16" i="24"/>
  <c r="M9" i="24"/>
  <c r="C30" i="7"/>
  <c r="L92" i="11"/>
  <c r="O51" i="1"/>
  <c r="M15" i="24" s="1"/>
  <c r="L95" i="11"/>
  <c r="D23" i="7"/>
  <c r="B22" i="7"/>
  <c r="B14" i="7"/>
  <c r="L35" i="11"/>
  <c r="J4" i="29"/>
  <c r="M35" i="11"/>
  <c r="N35" i="11" s="1"/>
  <c r="E14" i="7" s="1"/>
  <c r="B13" i="7"/>
  <c r="L32" i="11"/>
  <c r="G109" i="16"/>
  <c r="M14" i="1" s="1"/>
  <c r="A31" i="12" s="1"/>
  <c r="L50" i="11"/>
  <c r="L44" i="11"/>
  <c r="H109" i="16"/>
  <c r="E109" i="16"/>
  <c r="R42" i="18"/>
  <c r="A12" i="29" s="1"/>
  <c r="D12" i="29" s="1"/>
  <c r="C22" i="7"/>
  <c r="D28" i="7"/>
  <c r="L77" i="11"/>
  <c r="F109" i="16"/>
  <c r="B22" i="1" s="1"/>
  <c r="A6" i="8" s="1"/>
  <c r="C109" i="16"/>
  <c r="C10" i="1" s="1"/>
  <c r="B109" i="16"/>
  <c r="C8" i="1" s="1"/>
  <c r="C6" i="4" s="1"/>
  <c r="I109" i="16"/>
  <c r="D109" i="16"/>
  <c r="L47" i="11"/>
  <c r="B3" i="8" l="1"/>
  <c r="B31" i="12"/>
  <c r="A2" i="27" s="1"/>
  <c r="N77" i="11"/>
  <c r="E28" i="7" s="1"/>
  <c r="A18" i="29"/>
  <c r="J18" i="29" s="1"/>
  <c r="N56" i="11"/>
  <c r="E21" i="7" s="1"/>
  <c r="N50" i="11"/>
  <c r="E19" i="7" s="1"/>
  <c r="N47" i="11"/>
  <c r="E18" i="7" s="1"/>
  <c r="I10" i="29"/>
  <c r="F10" i="29"/>
  <c r="E10" i="29"/>
  <c r="C10" i="29"/>
  <c r="H10" i="29"/>
  <c r="G10" i="29"/>
  <c r="M10" i="29"/>
  <c r="L10" i="29"/>
  <c r="D10" i="29"/>
  <c r="K10" i="29"/>
  <c r="A20" i="29"/>
  <c r="N53" i="11"/>
  <c r="E20" i="7" s="1"/>
  <c r="A8" i="29"/>
  <c r="H12" i="29"/>
  <c r="C12" i="29"/>
  <c r="F12" i="29"/>
  <c r="G12" i="29"/>
  <c r="J12" i="29"/>
  <c r="I12" i="29"/>
  <c r="M12" i="29"/>
  <c r="K12" i="29"/>
  <c r="L12" i="29"/>
  <c r="E12" i="29"/>
  <c r="A11" i="29"/>
  <c r="D11" i="29" s="1"/>
  <c r="L83" i="11"/>
  <c r="Q70" i="18"/>
  <c r="Q71" i="18" s="1"/>
  <c r="R12" i="18"/>
  <c r="A9" i="29"/>
  <c r="J9" i="29" s="1"/>
  <c r="N95" i="11"/>
  <c r="E34" i="7" s="1"/>
  <c r="C32" i="7"/>
  <c r="Q55" i="18"/>
  <c r="Q56" i="18" s="1"/>
  <c r="Q50" i="18"/>
  <c r="Q64" i="18"/>
  <c r="Q57" i="18"/>
  <c r="M19" i="24"/>
  <c r="N92" i="11"/>
  <c r="E33" i="7" s="1"/>
  <c r="D30" i="7"/>
  <c r="F4" i="29"/>
  <c r="E4" i="29"/>
  <c r="G4" i="29"/>
  <c r="I4" i="29"/>
  <c r="K4" i="29"/>
  <c r="M4" i="29"/>
  <c r="M32" i="11"/>
  <c r="N32" i="11" s="1"/>
  <c r="E13" i="7" s="1"/>
  <c r="N62" i="11"/>
  <c r="E23" i="7" s="1"/>
  <c r="L4" i="29"/>
  <c r="F6" i="18"/>
  <c r="D6" i="3"/>
  <c r="C6" i="5"/>
  <c r="B15" i="7"/>
  <c r="L38" i="11"/>
  <c r="A5" i="29"/>
  <c r="L59" i="11"/>
  <c r="D22" i="7"/>
  <c r="C18" i="29" l="1"/>
  <c r="K18" i="29"/>
  <c r="G18" i="29"/>
  <c r="H18" i="29"/>
  <c r="E18" i="29"/>
  <c r="I18" i="29"/>
  <c r="F18" i="29"/>
  <c r="M18" i="29"/>
  <c r="L18" i="29"/>
  <c r="D18" i="29"/>
  <c r="M20" i="29"/>
  <c r="J20" i="29"/>
  <c r="J11" i="29"/>
  <c r="D5" i="29"/>
  <c r="J5" i="29"/>
  <c r="D8" i="29"/>
  <c r="J8" i="29"/>
  <c r="E20" i="29"/>
  <c r="G20" i="29"/>
  <c r="L20" i="29"/>
  <c r="H34" i="27"/>
  <c r="E34" i="27" s="1"/>
  <c r="H39" i="27"/>
  <c r="E39" i="27" s="1"/>
  <c r="L8" i="29"/>
  <c r="I8" i="29"/>
  <c r="E8" i="29"/>
  <c r="H8" i="29"/>
  <c r="C8" i="29"/>
  <c r="G8" i="29"/>
  <c r="K8" i="29"/>
  <c r="F8" i="29"/>
  <c r="M8" i="29"/>
  <c r="F20" i="29"/>
  <c r="D20" i="29"/>
  <c r="I20" i="29"/>
  <c r="K20" i="29"/>
  <c r="C20" i="29"/>
  <c r="H20" i="29"/>
  <c r="L11" i="29"/>
  <c r="F11" i="29"/>
  <c r="C11" i="29"/>
  <c r="M11" i="29"/>
  <c r="I11" i="29"/>
  <c r="H11" i="29"/>
  <c r="G11" i="29"/>
  <c r="K11" i="29"/>
  <c r="E11" i="29"/>
  <c r="F9" i="29"/>
  <c r="C5" i="29"/>
  <c r="H5" i="29"/>
  <c r="C9" i="29"/>
  <c r="I9" i="29"/>
  <c r="H9" i="29"/>
  <c r="R48" i="18"/>
  <c r="L65" i="11"/>
  <c r="D24" i="7"/>
  <c r="B27" i="7"/>
  <c r="R57" i="18"/>
  <c r="A17" i="29" s="1"/>
  <c r="D31" i="7"/>
  <c r="R69" i="18"/>
  <c r="R54" i="18"/>
  <c r="L71" i="11"/>
  <c r="D26" i="7"/>
  <c r="L86" i="11"/>
  <c r="L9" i="29"/>
  <c r="K9" i="29"/>
  <c r="N83" i="11"/>
  <c r="E30" i="7" s="1"/>
  <c r="M9" i="29"/>
  <c r="D9" i="29"/>
  <c r="G9" i="29"/>
  <c r="E9" i="29"/>
  <c r="L74" i="11"/>
  <c r="A6" i="27"/>
  <c r="H43" i="27" s="1"/>
  <c r="E43" i="27" s="1"/>
  <c r="B21" i="4"/>
  <c r="A3" i="9" s="1"/>
  <c r="B24" i="4"/>
  <c r="G26" i="4" s="1"/>
  <c r="B20" i="4"/>
  <c r="A2" i="9" s="1"/>
  <c r="A4" i="27"/>
  <c r="H41" i="27" s="1"/>
  <c r="E41" i="27" s="1"/>
  <c r="A3" i="27"/>
  <c r="B22" i="4"/>
  <c r="A4" i="9" s="1"/>
  <c r="A5" i="27"/>
  <c r="B23" i="4"/>
  <c r="A5" i="9" s="1"/>
  <c r="E3" i="29"/>
  <c r="K3" i="29"/>
  <c r="F3" i="29"/>
  <c r="I3" i="29"/>
  <c r="L3" i="29"/>
  <c r="M3" i="29"/>
  <c r="J3" i="29"/>
  <c r="G3" i="29"/>
  <c r="M38" i="11"/>
  <c r="N38" i="11" s="1"/>
  <c r="E15" i="7" s="1"/>
  <c r="M59" i="11"/>
  <c r="N59" i="11" s="1"/>
  <c r="E22" i="7" s="1"/>
  <c r="C26" i="7"/>
  <c r="B12" i="7"/>
  <c r="L29" i="11"/>
  <c r="C29" i="7"/>
  <c r="Q65" i="18"/>
  <c r="R63" i="18" s="1"/>
  <c r="A19" i="29" s="1"/>
  <c r="C19" i="29" s="1"/>
  <c r="H17" i="27"/>
  <c r="E17" i="27" s="1"/>
  <c r="H12" i="27"/>
  <c r="E12" i="27" s="1"/>
  <c r="H2" i="27"/>
  <c r="E2" i="27" s="1"/>
  <c r="H7" i="27"/>
  <c r="E7" i="27" s="1"/>
  <c r="Q52" i="18"/>
  <c r="C24" i="7"/>
  <c r="C31" i="7"/>
  <c r="C17" i="29" l="1"/>
  <c r="J17" i="29"/>
  <c r="I43" i="27"/>
  <c r="A16" i="29"/>
  <c r="C16" i="29" s="1"/>
  <c r="A14" i="29"/>
  <c r="C14" i="29" s="1"/>
  <c r="H28" i="27"/>
  <c r="E28" i="27" s="1"/>
  <c r="H22" i="27"/>
  <c r="E22" i="27" s="1"/>
  <c r="H35" i="27"/>
  <c r="E35" i="27" s="1"/>
  <c r="H40" i="27"/>
  <c r="E40" i="27" s="1"/>
  <c r="H11" i="27"/>
  <c r="E11" i="27" s="1"/>
  <c r="H33" i="27"/>
  <c r="E33" i="27" s="1"/>
  <c r="H38" i="27"/>
  <c r="E38" i="27" s="1"/>
  <c r="H10" i="27"/>
  <c r="E10" i="27" s="1"/>
  <c r="H37" i="27"/>
  <c r="E37" i="27" s="1"/>
  <c r="H42" i="27"/>
  <c r="E42" i="27" s="1"/>
  <c r="H32" i="27"/>
  <c r="E32" i="27" s="1"/>
  <c r="H4" i="27"/>
  <c r="E4" i="27" s="1"/>
  <c r="H36" i="27"/>
  <c r="E36" i="27" s="1"/>
  <c r="H31" i="27"/>
  <c r="E31" i="27" s="1"/>
  <c r="H19" i="29"/>
  <c r="D19" i="29"/>
  <c r="F19" i="29"/>
  <c r="K19" i="29"/>
  <c r="J19" i="29"/>
  <c r="L19" i="29"/>
  <c r="E19" i="29"/>
  <c r="G19" i="29"/>
  <c r="M19" i="29"/>
  <c r="I19" i="29"/>
  <c r="M86" i="11"/>
  <c r="N86" i="11" s="1"/>
  <c r="E31" i="7" s="1"/>
  <c r="A21" i="29"/>
  <c r="C21" i="29" s="1"/>
  <c r="D17" i="29"/>
  <c r="F17" i="29"/>
  <c r="E17" i="29"/>
  <c r="H17" i="29"/>
  <c r="G17" i="29"/>
  <c r="I17" i="29"/>
  <c r="K17" i="29"/>
  <c r="M17" i="29"/>
  <c r="L17" i="29"/>
  <c r="Q53" i="18"/>
  <c r="H16" i="27"/>
  <c r="E16" i="27" s="1"/>
  <c r="M65" i="11"/>
  <c r="N65" i="11" s="1"/>
  <c r="E24" i="7" s="1"/>
  <c r="L89" i="11"/>
  <c r="M71" i="11"/>
  <c r="N71" i="11" s="1"/>
  <c r="E26" i="7" s="1"/>
  <c r="M74" i="11"/>
  <c r="N74" i="11" s="1"/>
  <c r="E27" i="7" s="1"/>
  <c r="H6" i="27"/>
  <c r="E6" i="27" s="1"/>
  <c r="H21" i="27"/>
  <c r="E21" i="27" s="1"/>
  <c r="N89" i="11"/>
  <c r="E32" i="7" s="1"/>
  <c r="A6" i="9"/>
  <c r="H3" i="27"/>
  <c r="E3" i="27" s="1"/>
  <c r="H8" i="27"/>
  <c r="E8" i="27" s="1"/>
  <c r="H20" i="27"/>
  <c r="E20" i="27" s="1"/>
  <c r="H5" i="27"/>
  <c r="E5" i="27" s="1"/>
  <c r="H13" i="27"/>
  <c r="E13" i="27" s="1"/>
  <c r="H18" i="27"/>
  <c r="E18" i="27" s="1"/>
  <c r="H9" i="27"/>
  <c r="E9" i="27" s="1"/>
  <c r="H14" i="27"/>
  <c r="E14" i="27" s="1"/>
  <c r="H19" i="27"/>
  <c r="E19" i="27" s="1"/>
  <c r="H15" i="27"/>
  <c r="E15" i="27" s="1"/>
  <c r="J17" i="27"/>
  <c r="I17" i="27"/>
  <c r="G17" i="27" s="1"/>
  <c r="F17" i="27"/>
  <c r="J34" i="27"/>
  <c r="F34" i="27"/>
  <c r="F12" i="27"/>
  <c r="J12" i="27"/>
  <c r="J39" i="27"/>
  <c r="F39" i="27"/>
  <c r="C25" i="7"/>
  <c r="E5" i="29"/>
  <c r="G5" i="29"/>
  <c r="F5" i="29"/>
  <c r="I5" i="29"/>
  <c r="M5" i="29"/>
  <c r="L5" i="29"/>
  <c r="K5" i="29"/>
  <c r="F7" i="27"/>
  <c r="J7" i="27"/>
  <c r="I7" i="27"/>
  <c r="G7" i="27" s="1"/>
  <c r="J2" i="27"/>
  <c r="F2" i="27"/>
  <c r="A2" i="29"/>
  <c r="M29" i="11"/>
  <c r="N29" i="11" s="1"/>
  <c r="E12" i="7" s="1"/>
  <c r="L80" i="11"/>
  <c r="D29" i="7"/>
  <c r="F10" i="27" l="1"/>
  <c r="M14" i="29"/>
  <c r="D16" i="29"/>
  <c r="F16" i="29"/>
  <c r="H16" i="29"/>
  <c r="E16" i="29"/>
  <c r="J16" i="29"/>
  <c r="G16" i="29"/>
  <c r="K16" i="29"/>
  <c r="M16" i="29"/>
  <c r="I16" i="29"/>
  <c r="L16" i="29"/>
  <c r="L14" i="29"/>
  <c r="D14" i="29"/>
  <c r="I14" i="29"/>
  <c r="J14" i="29"/>
  <c r="G14" i="29"/>
  <c r="E14" i="29"/>
  <c r="K14" i="29"/>
  <c r="F14" i="29"/>
  <c r="H14" i="29"/>
  <c r="J10" i="27"/>
  <c r="F40" i="27"/>
  <c r="J40" i="27"/>
  <c r="F4" i="27"/>
  <c r="F11" i="27"/>
  <c r="J11" i="27"/>
  <c r="J4" i="27"/>
  <c r="H2" i="29"/>
  <c r="F21" i="29"/>
  <c r="D21" i="29"/>
  <c r="K21" i="29"/>
  <c r="L21" i="29"/>
  <c r="I21" i="29"/>
  <c r="J21" i="29"/>
  <c r="G21" i="29"/>
  <c r="H21" i="29"/>
  <c r="E21" i="29"/>
  <c r="M21" i="29"/>
  <c r="R51" i="18"/>
  <c r="D25" i="7"/>
  <c r="L68" i="11"/>
  <c r="J15" i="27"/>
  <c r="J31" i="27"/>
  <c r="F18" i="27"/>
  <c r="J37" i="27"/>
  <c r="I8" i="27"/>
  <c r="G8" i="27" s="1"/>
  <c r="F3" i="27"/>
  <c r="J43" i="27"/>
  <c r="J6" i="27"/>
  <c r="F38" i="27"/>
  <c r="F19" i="27"/>
  <c r="F14" i="27"/>
  <c r="J41" i="27"/>
  <c r="J13" i="27"/>
  <c r="F35" i="27"/>
  <c r="F21" i="27"/>
  <c r="F33" i="27"/>
  <c r="F16" i="27"/>
  <c r="J16" i="27"/>
  <c r="J33" i="27"/>
  <c r="F43" i="27"/>
  <c r="J21" i="27"/>
  <c r="J38" i="27"/>
  <c r="I21" i="27"/>
  <c r="G21" i="27" s="1"/>
  <c r="D25" i="12"/>
  <c r="B25" i="12"/>
  <c r="C25" i="12" s="1"/>
  <c r="E25" i="12"/>
  <c r="B15" i="12"/>
  <c r="C15" i="12" s="1"/>
  <c r="F6" i="27"/>
  <c r="J3" i="27"/>
  <c r="J8" i="27"/>
  <c r="J36" i="27"/>
  <c r="F8" i="27"/>
  <c r="E23" i="12"/>
  <c r="F32" i="27"/>
  <c r="J32" i="27"/>
  <c r="B16" i="12"/>
  <c r="C16" i="12" s="1"/>
  <c r="F37" i="27"/>
  <c r="D23" i="12"/>
  <c r="J35" i="27"/>
  <c r="F36" i="27"/>
  <c r="F42" i="27"/>
  <c r="D22" i="12"/>
  <c r="B22" i="12"/>
  <c r="C22" i="12" s="1"/>
  <c r="B23" i="12"/>
  <c r="C23" i="12" s="1"/>
  <c r="E22" i="12"/>
  <c r="F31" i="27"/>
  <c r="J42" i="27"/>
  <c r="J5" i="27"/>
  <c r="J18" i="27"/>
  <c r="D18" i="12"/>
  <c r="E15" i="12"/>
  <c r="F13" i="27"/>
  <c r="D15" i="12"/>
  <c r="E24" i="12"/>
  <c r="F5" i="27"/>
  <c r="D16" i="12"/>
  <c r="J14" i="27"/>
  <c r="J20" i="27"/>
  <c r="B18" i="12"/>
  <c r="C18" i="12" s="1"/>
  <c r="D17" i="12"/>
  <c r="I20" i="27"/>
  <c r="G20" i="27" s="1"/>
  <c r="E17" i="12"/>
  <c r="E16" i="12"/>
  <c r="F9" i="27"/>
  <c r="J9" i="27"/>
  <c r="F20" i="27"/>
  <c r="D24" i="12"/>
  <c r="F41" i="27"/>
  <c r="B17" i="12"/>
  <c r="C17" i="12" s="1"/>
  <c r="F15" i="27"/>
  <c r="B24" i="12"/>
  <c r="C24" i="12" s="1"/>
  <c r="E18" i="12"/>
  <c r="J19" i="27"/>
  <c r="M80" i="11"/>
  <c r="N80" i="11" s="1"/>
  <c r="E29" i="7" s="1"/>
  <c r="J2" i="29"/>
  <c r="D2" i="29"/>
  <c r="E2" i="29"/>
  <c r="K2" i="29"/>
  <c r="I2" i="29"/>
  <c r="G2" i="29"/>
  <c r="F2" i="29"/>
  <c r="M2" i="29"/>
  <c r="C2" i="29"/>
  <c r="L2" i="29"/>
  <c r="D19" i="12"/>
  <c r="C19" i="12" s="1"/>
  <c r="E19" i="12"/>
  <c r="F22" i="27"/>
  <c r="J22" i="27"/>
  <c r="J48" i="27" s="1"/>
  <c r="D6" i="12" s="1"/>
  <c r="D21" i="12"/>
  <c r="C21" i="12" s="1"/>
  <c r="E21" i="12"/>
  <c r="J28" i="27"/>
  <c r="F28" i="27"/>
  <c r="O32" i="27" a="1"/>
  <c r="O11" i="27" a="1"/>
  <c r="O43" i="27" a="1"/>
  <c r="O25" i="27" a="1"/>
  <c r="O3" i="27" a="1"/>
  <c r="O9" i="27" a="1"/>
  <c r="O5" i="27" a="1"/>
  <c r="O31" i="27" a="1"/>
  <c r="O15" i="27" a="1"/>
  <c r="O38" i="27" a="1"/>
  <c r="O24" i="27" a="1"/>
  <c r="O23" i="27" a="1"/>
  <c r="O17" i="27" a="1"/>
  <c r="O8" i="27" a="1"/>
  <c r="O19" i="27" a="1"/>
  <c r="O21" i="27" a="1"/>
  <c r="O36" i="27" a="1"/>
  <c r="O18" i="27" a="1"/>
  <c r="O29" i="27" a="1"/>
  <c r="L12" i="27" a="1"/>
  <c r="O42" i="27" a="1"/>
  <c r="O41" i="27" a="1"/>
  <c r="O7" i="27" a="1"/>
  <c r="M10" i="27" a="1"/>
  <c r="O34" i="27" a="1"/>
  <c r="O2" i="27" a="1"/>
  <c r="O26" i="27" a="1"/>
  <c r="O30" i="27" a="1"/>
  <c r="O22" i="27" a="1"/>
  <c r="O33" i="27" a="1"/>
  <c r="O28" i="27" a="1"/>
  <c r="O12" i="27" a="1"/>
  <c r="O39" i="27" a="1"/>
  <c r="O14" i="27" a="1"/>
  <c r="O6" i="27" a="1"/>
  <c r="O16" i="27" a="1"/>
  <c r="O20" i="27" a="1"/>
  <c r="O13" i="27" a="1"/>
  <c r="O40" i="27" a="1"/>
  <c r="O37" i="27" a="1"/>
  <c r="O4" i="27" a="1"/>
  <c r="O27" i="27" a="1"/>
  <c r="O10" i="27" a="1"/>
  <c r="O35" i="27" a="1"/>
  <c r="G5" i="11" l="1"/>
  <c r="C5" i="11"/>
  <c r="E5" i="11"/>
  <c r="H5" i="11"/>
  <c r="H8" i="11" s="1"/>
  <c r="F5" i="11"/>
  <c r="F8" i="11" s="1"/>
  <c r="G105" i="18" s="1"/>
  <c r="D5" i="11"/>
  <c r="J45" i="27"/>
  <c r="F6" i="12" s="1"/>
  <c r="G12" i="5" s="1"/>
  <c r="A15" i="29"/>
  <c r="C15" i="29" s="1"/>
  <c r="M68" i="11"/>
  <c r="N68" i="11" s="1"/>
  <c r="E25" i="7" s="1"/>
  <c r="O23" i="27"/>
  <c r="C23" i="28" s="1"/>
  <c r="O22" i="27"/>
  <c r="C22" i="28" s="1"/>
  <c r="O41" i="27"/>
  <c r="C41" i="28" s="1"/>
  <c r="O16" i="27"/>
  <c r="C16" i="28" s="1"/>
  <c r="O20" i="27"/>
  <c r="C20" i="28" s="1"/>
  <c r="O34" i="27"/>
  <c r="C34" i="28" s="1"/>
  <c r="J47" i="27"/>
  <c r="C6" i="12" s="1"/>
  <c r="D12" i="5" s="1"/>
  <c r="J46" i="27"/>
  <c r="E6" i="12" s="1"/>
  <c r="I16" i="12" a="1"/>
  <c r="I16" i="12" s="1"/>
  <c r="J16" i="12" s="1"/>
  <c r="O25" i="27"/>
  <c r="C25" i="28" s="1"/>
  <c r="O5" i="27"/>
  <c r="C5" i="28" s="1"/>
  <c r="O38" i="27"/>
  <c r="C38" i="28" s="1"/>
  <c r="O13" i="27"/>
  <c r="C13" i="28" s="1"/>
  <c r="O43" i="27"/>
  <c r="C43" i="28" s="1"/>
  <c r="O2" i="27"/>
  <c r="C2" i="28" s="1"/>
  <c r="O8" i="27"/>
  <c r="C8" i="28" s="1"/>
  <c r="O35" i="27"/>
  <c r="C35" i="28" s="1"/>
  <c r="O40" i="27"/>
  <c r="C40" i="28" s="1"/>
  <c r="O29" i="27"/>
  <c r="C29" i="28" s="1"/>
  <c r="O14" i="27"/>
  <c r="C14" i="28" s="1"/>
  <c r="O17" i="27"/>
  <c r="C17" i="28" s="1"/>
  <c r="O26" i="27"/>
  <c r="C26" i="28" s="1"/>
  <c r="O7" i="27"/>
  <c r="C7" i="28" s="1"/>
  <c r="O12" i="27"/>
  <c r="C12" i="28" s="1"/>
  <c r="O10" i="27"/>
  <c r="C10" i="28" s="1"/>
  <c r="O11" i="27"/>
  <c r="C11" i="28" s="1"/>
  <c r="O24" i="27"/>
  <c r="C24" i="28" s="1"/>
  <c r="O39" i="27"/>
  <c r="C39" i="28" s="1"/>
  <c r="O36" i="27"/>
  <c r="C36" i="28" s="1"/>
  <c r="O30" i="27"/>
  <c r="C30" i="28" s="1"/>
  <c r="O21" i="27"/>
  <c r="C21" i="28" s="1"/>
  <c r="O27" i="27"/>
  <c r="C27" i="28" s="1"/>
  <c r="O18" i="27"/>
  <c r="C18" i="28" s="1"/>
  <c r="O31" i="27"/>
  <c r="C31" i="28" s="1"/>
  <c r="O33" i="27"/>
  <c r="C33" i="28" s="1"/>
  <c r="O42" i="27"/>
  <c r="C42" i="28" s="1"/>
  <c r="O6" i="27"/>
  <c r="C6" i="28" s="1"/>
  <c r="O4" i="27"/>
  <c r="C4" i="28" s="1"/>
  <c r="O28" i="27"/>
  <c r="C28" i="28" s="1"/>
  <c r="O32" i="27"/>
  <c r="C32" i="28" s="1"/>
  <c r="O15" i="27"/>
  <c r="C15" i="28" s="1"/>
  <c r="O9" i="27"/>
  <c r="C9" i="28" s="1"/>
  <c r="O19" i="27"/>
  <c r="C19" i="28" s="1"/>
  <c r="O37" i="27"/>
  <c r="C37" i="28" s="1"/>
  <c r="O3" i="27"/>
  <c r="C3" i="28" s="1"/>
  <c r="H17" i="12" a="1"/>
  <c r="H17" i="12" s="1"/>
  <c r="C18" i="5" s="1"/>
  <c r="I19" i="12" a="1"/>
  <c r="I19" i="12" s="1"/>
  <c r="J19" i="12" s="1"/>
  <c r="H20" i="12" a="1"/>
  <c r="H20" i="12" s="1"/>
  <c r="C21" i="5" s="1"/>
  <c r="I25" i="12" a="1"/>
  <c r="I25" i="12" s="1"/>
  <c r="J25" i="12" s="1"/>
  <c r="I22" i="12" a="1"/>
  <c r="I22" i="12" s="1"/>
  <c r="J22" i="12" s="1"/>
  <c r="H24" i="12" a="1"/>
  <c r="H24" i="12" s="1"/>
  <c r="H25" i="12" a="1"/>
  <c r="H25" i="12" s="1"/>
  <c r="I23" i="12" a="1"/>
  <c r="I23" i="12" s="1"/>
  <c r="J23" i="12" s="1"/>
  <c r="G23" i="12" a="1"/>
  <c r="G23" i="12" s="1"/>
  <c r="B24" i="5" s="1"/>
  <c r="L12" i="27"/>
  <c r="A12" i="28" s="1"/>
  <c r="M10" i="27"/>
  <c r="I17" i="12" a="1"/>
  <c r="I17" i="12" s="1"/>
  <c r="J17" i="12" s="1"/>
  <c r="H15" i="12" a="1"/>
  <c r="H15" i="12" s="1"/>
  <c r="C16" i="5" s="1"/>
  <c r="H19" i="12" a="1"/>
  <c r="H19" i="12" s="1"/>
  <c r="C20" i="5" s="1"/>
  <c r="G24" i="12" a="1"/>
  <c r="G24" i="12" s="1"/>
  <c r="G14" i="4"/>
  <c r="E12" i="5"/>
  <c r="H21" i="12" a="1"/>
  <c r="H21" i="12" s="1"/>
  <c r="C22" i="5" s="1"/>
  <c r="G20" i="12" a="1"/>
  <c r="G20" i="12" s="1"/>
  <c r="B21" i="5" s="1"/>
  <c r="I15" i="12" a="1"/>
  <c r="I15" i="12" s="1"/>
  <c r="I18" i="27" s="1"/>
  <c r="G18" i="27" s="1"/>
  <c r="H23" i="12" a="1"/>
  <c r="H23" i="12" s="1"/>
  <c r="C24" i="5" s="1"/>
  <c r="G16" i="12" a="1"/>
  <c r="G16" i="12" s="1"/>
  <c r="B17" i="5" s="1"/>
  <c r="H18" i="12" a="1"/>
  <c r="H18" i="12" s="1"/>
  <c r="C19" i="5" s="1"/>
  <c r="H22" i="12" a="1"/>
  <c r="H22" i="12" s="1"/>
  <c r="C23" i="5" s="1"/>
  <c r="I18" i="12" a="1"/>
  <c r="I18" i="12" s="1"/>
  <c r="J18" i="12" s="1"/>
  <c r="G17" i="12" a="1"/>
  <c r="G17" i="12" s="1"/>
  <c r="B18" i="5" s="1"/>
  <c r="G15" i="12" a="1"/>
  <c r="G15" i="12" s="1"/>
  <c r="B16" i="5" s="1"/>
  <c r="G22" i="12" a="1"/>
  <c r="G22" i="12" s="1"/>
  <c r="B23" i="5" s="1"/>
  <c r="G19" i="12" a="1"/>
  <c r="G19" i="12" s="1"/>
  <c r="B20" i="5" s="1"/>
  <c r="I24" i="12" a="1"/>
  <c r="I24" i="12" s="1"/>
  <c r="J24" i="12" s="1"/>
  <c r="H16" i="12" a="1"/>
  <c r="H16" i="12" s="1"/>
  <c r="C17" i="5" s="1"/>
  <c r="I20" i="12" a="1"/>
  <c r="I20" i="12" s="1"/>
  <c r="J20" i="12" s="1"/>
  <c r="G25" i="12" a="1"/>
  <c r="G25" i="12" s="1"/>
  <c r="I21" i="12" a="1"/>
  <c r="I21" i="12" s="1"/>
  <c r="J21" i="12" s="1"/>
  <c r="G18" i="12" a="1"/>
  <c r="G18" i="12" s="1"/>
  <c r="B19" i="5" s="1"/>
  <c r="G21" i="12" a="1"/>
  <c r="G21" i="12" s="1"/>
  <c r="B22" i="5" s="1"/>
  <c r="G9" i="11" l="1"/>
  <c r="I16" i="27"/>
  <c r="G16" i="27" s="1"/>
  <c r="I39" i="27"/>
  <c r="G39" i="27" s="1"/>
  <c r="I14" i="27"/>
  <c r="G14" i="27" s="1"/>
  <c r="I13" i="27"/>
  <c r="G13" i="27" s="1"/>
  <c r="I15" i="29"/>
  <c r="E15" i="29"/>
  <c r="D15" i="29"/>
  <c r="K15" i="29"/>
  <c r="G15" i="29"/>
  <c r="L15" i="29"/>
  <c r="J15" i="29"/>
  <c r="H15" i="29"/>
  <c r="M15" i="29"/>
  <c r="F15" i="29"/>
  <c r="I37" i="27"/>
  <c r="G37" i="27" s="1"/>
  <c r="I15" i="27"/>
  <c r="G15" i="27" s="1"/>
  <c r="G43" i="27"/>
  <c r="I38" i="27"/>
  <c r="G38" i="27" s="1"/>
  <c r="I42" i="27"/>
  <c r="G42" i="27" s="1"/>
  <c r="I36" i="27"/>
  <c r="G36" i="27" s="1"/>
  <c r="I19" i="27"/>
  <c r="G19" i="27" s="1"/>
  <c r="I41" i="27"/>
  <c r="G41" i="27" s="1"/>
  <c r="I40" i="27"/>
  <c r="G40" i="27" s="1"/>
  <c r="I35" i="27"/>
  <c r="G35" i="27" s="1"/>
  <c r="I12" i="27"/>
  <c r="G12" i="27" s="1"/>
  <c r="I34" i="27"/>
  <c r="G34" i="27" s="1"/>
  <c r="I11" i="27"/>
  <c r="G11" i="27" s="1"/>
  <c r="I10" i="27"/>
  <c r="G10" i="27" s="1"/>
  <c r="I9" i="27"/>
  <c r="G9" i="27" s="1"/>
  <c r="I32" i="27"/>
  <c r="G32" i="27" s="1"/>
  <c r="I33" i="27"/>
  <c r="G33" i="27" s="1"/>
  <c r="I22" i="27"/>
  <c r="G22" i="27" s="1"/>
  <c r="I31" i="27"/>
  <c r="G31" i="27" s="1"/>
  <c r="D14" i="4"/>
  <c r="L14" i="4"/>
  <c r="B6" i="12"/>
  <c r="B14" i="4" s="1"/>
  <c r="B13" i="4" s="1"/>
  <c r="J14" i="4"/>
  <c r="F12" i="5"/>
  <c r="J15" i="12"/>
  <c r="I5" i="27" s="1"/>
  <c r="G5" i="27" s="1"/>
  <c r="I28" i="27" l="1"/>
  <c r="G28" i="27" s="1"/>
  <c r="I2" i="27"/>
  <c r="G2" i="27" s="1"/>
  <c r="I4" i="27"/>
  <c r="G4" i="27" s="1"/>
  <c r="C12" i="5"/>
  <c r="C11" i="5" s="1"/>
  <c r="I3" i="27"/>
  <c r="G3" i="27" s="1"/>
  <c r="I6" i="27"/>
  <c r="G6" i="27" l="1"/>
  <c r="L35" i="27" a="1"/>
  <c r="L5" i="27" a="1"/>
  <c r="M42" i="27" a="1"/>
  <c r="L36" i="27" a="1"/>
  <c r="M19" i="27" a="1"/>
  <c r="P36" i="27" a="1"/>
  <c r="L41" i="27" a="1"/>
  <c r="M4" i="27" a="1"/>
  <c r="L8" i="27" a="1"/>
  <c r="L40" i="27" a="1"/>
  <c r="M32" i="27" a="1"/>
  <c r="M8" i="27" a="1"/>
  <c r="P10" i="27" a="1"/>
  <c r="L9" i="27" a="1"/>
  <c r="L2" i="27" a="1"/>
  <c r="M16" i="27" a="1"/>
  <c r="P6" i="27" a="1"/>
  <c r="L38" i="27" a="1"/>
  <c r="P22" i="27" a="1"/>
  <c r="M5" i="27" a="1"/>
  <c r="L18" i="27" a="1"/>
  <c r="L39" i="27" a="1"/>
  <c r="P15" i="27" a="1"/>
  <c r="M11" i="27" a="1"/>
  <c r="M22" i="27" a="1"/>
  <c r="L27" i="27" a="1"/>
  <c r="P14" i="27" a="1"/>
  <c r="M36" i="27" a="1"/>
  <c r="P9" i="27" a="1"/>
  <c r="M39" i="27" a="1"/>
  <c r="M35" i="27" a="1"/>
  <c r="P30" i="27" a="1"/>
  <c r="L17" i="27" a="1"/>
  <c r="L34" i="27" a="1"/>
  <c r="L16" i="27" a="1"/>
  <c r="P12" i="27" a="1"/>
  <c r="L42" i="27" a="1"/>
  <c r="L29" i="27" a="1"/>
  <c r="P18" i="27" a="1"/>
  <c r="P24" i="27" a="1"/>
  <c r="M37" i="27" a="1"/>
  <c r="L43" i="27" a="1"/>
  <c r="M20" i="27" a="1"/>
  <c r="P13" i="27" a="1"/>
  <c r="M30" i="27" a="1"/>
  <c r="M15" i="27" a="1"/>
  <c r="P29" i="27" a="1"/>
  <c r="M21" i="27" a="1"/>
  <c r="M2" i="27" a="1"/>
  <c r="L6" i="27" a="1"/>
  <c r="L33" i="27" a="1"/>
  <c r="L23" i="27" a="1"/>
  <c r="M13" i="27" a="1"/>
  <c r="P2" i="27" a="1"/>
  <c r="P20" i="27" a="1"/>
  <c r="P41" i="27" a="1"/>
  <c r="L37" i="27" a="1"/>
  <c r="P35" i="27" a="1"/>
  <c r="M38" i="27" a="1"/>
  <c r="P23" i="27" a="1"/>
  <c r="P5" i="27" a="1"/>
  <c r="M12" i="27" a="1"/>
  <c r="P4" i="27" a="1"/>
  <c r="M9" i="27" a="1"/>
  <c r="L15" i="27" a="1"/>
  <c r="M17" i="27" a="1"/>
  <c r="M14" i="27" a="1"/>
  <c r="M34" i="27" a="1"/>
  <c r="M28" i="27" a="1"/>
  <c r="L32" i="27" a="1"/>
  <c r="P3" i="27" a="1"/>
  <c r="P33" i="27" a="1"/>
  <c r="M33" i="27" a="1"/>
  <c r="L31" i="27" a="1"/>
  <c r="P11" i="27" a="1"/>
  <c r="L13" i="27" a="1"/>
  <c r="M25" i="27" a="1"/>
  <c r="P16" i="27" a="1"/>
  <c r="L4" i="27" a="1"/>
  <c r="P34" i="27" a="1"/>
  <c r="L25" i="27" a="1"/>
  <c r="P17" i="27" a="1"/>
  <c r="P25" i="27" a="1"/>
  <c r="M31" i="27" a="1"/>
  <c r="L3" i="27" a="1"/>
  <c r="P27" i="27" a="1"/>
  <c r="P26" i="27" a="1"/>
  <c r="L24" i="27" a="1"/>
  <c r="P31" i="27" a="1"/>
  <c r="L20" i="27" a="1"/>
  <c r="M29" i="27" a="1"/>
  <c r="M43" i="27" a="1"/>
  <c r="P40" i="27" a="1"/>
  <c r="P37" i="27" a="1"/>
  <c r="L21" i="27" a="1"/>
  <c r="P38" i="27" a="1"/>
  <c r="N20" i="27" a="1"/>
  <c r="M7" i="27" a="1"/>
  <c r="M3" i="27" a="1"/>
  <c r="M6" i="27" a="1"/>
  <c r="L22" i="27" a="1"/>
  <c r="M18" i="27" a="1"/>
  <c r="M24" i="27" a="1"/>
  <c r="L26" i="27" a="1"/>
  <c r="P7" i="27" a="1"/>
  <c r="L11" i="27" a="1"/>
  <c r="P42" i="27" a="1"/>
  <c r="L28" i="27" a="1"/>
  <c r="P21" i="27" a="1"/>
  <c r="M26" i="27" a="1"/>
  <c r="M40" i="27" a="1"/>
  <c r="L10" i="27" a="1"/>
  <c r="L7" i="27" a="1"/>
  <c r="L19" i="27" a="1"/>
  <c r="L30" i="27" a="1"/>
  <c r="P43" i="27" a="1"/>
  <c r="P39" i="27" a="1"/>
  <c r="N40" i="27" a="1"/>
  <c r="P32" i="27" a="1"/>
  <c r="P28" i="27" a="1"/>
  <c r="P8" i="27" a="1"/>
  <c r="P19" i="27" a="1"/>
  <c r="M27" i="27" a="1"/>
  <c r="L14" i="27" a="1"/>
  <c r="M41" i="27" a="1"/>
  <c r="M23" i="27" a="1"/>
  <c r="M2" i="27" l="1"/>
  <c r="L21" i="27"/>
  <c r="A21" i="28" s="1"/>
  <c r="P7" i="27"/>
  <c r="D7" i="28" s="1"/>
  <c r="P15" i="27"/>
  <c r="D15" i="28" s="1"/>
  <c r="M34" i="27"/>
  <c r="P2" i="27"/>
  <c r="D2" i="28" s="1"/>
  <c r="L27" i="27"/>
  <c r="A27" i="28" s="1"/>
  <c r="P42" i="27"/>
  <c r="D42" i="28" s="1"/>
  <c r="M16" i="27"/>
  <c r="M22" i="27"/>
  <c r="M21" i="27"/>
  <c r="P25" i="27"/>
  <c r="D25" i="28" s="1"/>
  <c r="P17" i="27"/>
  <c r="D17" i="28" s="1"/>
  <c r="M8" i="27"/>
  <c r="M12" i="27"/>
  <c r="P34" i="27"/>
  <c r="D34" i="28" s="1"/>
  <c r="M35" i="27"/>
  <c r="L40" i="27"/>
  <c r="A40" i="28" s="1"/>
  <c r="P37" i="27"/>
  <c r="D37" i="28" s="1"/>
  <c r="M38" i="27"/>
  <c r="P30" i="27"/>
  <c r="D30" i="28" s="1"/>
  <c r="P18" i="27"/>
  <c r="D18" i="28" s="1"/>
  <c r="P12" i="27"/>
  <c r="D12" i="28" s="1"/>
  <c r="L7" i="27"/>
  <c r="A7" i="28" s="1"/>
  <c r="M30" i="27"/>
  <c r="N40" i="27"/>
  <c r="B40" i="28" s="1"/>
  <c r="L16" i="27"/>
  <c r="A16" i="28" s="1"/>
  <c r="P31" i="27"/>
  <c r="D31" i="28" s="1"/>
  <c r="M29" i="27"/>
  <c r="M19" i="27"/>
  <c r="L15" i="27"/>
  <c r="A15" i="28" s="1"/>
  <c r="M43" i="27"/>
  <c r="L35" i="27"/>
  <c r="A35" i="28" s="1"/>
  <c r="M5" i="27"/>
  <c r="M20" i="27"/>
  <c r="M4" i="27"/>
  <c r="L38" i="27"/>
  <c r="A38" i="28" s="1"/>
  <c r="L34" i="27"/>
  <c r="A34" i="28" s="1"/>
  <c r="L36" i="27"/>
  <c r="A36" i="28" s="1"/>
  <c r="L33" i="27"/>
  <c r="A33" i="28" s="1"/>
  <c r="L30" i="27"/>
  <c r="A30" i="28" s="1"/>
  <c r="L25" i="27"/>
  <c r="A25" i="28" s="1"/>
  <c r="L4" i="27"/>
  <c r="A4" i="28" s="1"/>
  <c r="L13" i="27"/>
  <c r="A13" i="28" s="1"/>
  <c r="M39" i="27"/>
  <c r="L37" i="27"/>
  <c r="A37" i="28" s="1"/>
  <c r="P13" i="27"/>
  <c r="D13" i="28" s="1"/>
  <c r="M13" i="27"/>
  <c r="L9" i="27"/>
  <c r="A9" i="28" s="1"/>
  <c r="L32" i="27"/>
  <c r="A32" i="28" s="1"/>
  <c r="P6" i="27"/>
  <c r="D6" i="28" s="1"/>
  <c r="L14" i="27"/>
  <c r="A14" i="28" s="1"/>
  <c r="L10" i="27"/>
  <c r="A10" i="28" s="1"/>
  <c r="L28" i="27"/>
  <c r="A28" i="28" s="1"/>
  <c r="P3" i="27"/>
  <c r="D3" i="28" s="1"/>
  <c r="L6" i="27"/>
  <c r="A6" i="28" s="1"/>
  <c r="P24" i="27"/>
  <c r="D24" i="28" s="1"/>
  <c r="L22" i="27"/>
  <c r="A22" i="28" s="1"/>
  <c r="P43" i="27"/>
  <c r="D43" i="28" s="1"/>
  <c r="L2" i="27"/>
  <c r="A2" i="28" s="1"/>
  <c r="M23" i="27"/>
  <c r="P39" i="27"/>
  <c r="D39" i="28" s="1"/>
  <c r="P4" i="27"/>
  <c r="D4" i="28" s="1"/>
  <c r="M28" i="27"/>
  <c r="L23" i="27"/>
  <c r="A23" i="28" s="1"/>
  <c r="M7" i="27"/>
  <c r="L19" i="27"/>
  <c r="A19" i="28" s="1"/>
  <c r="M36" i="27"/>
  <c r="L11" i="27"/>
  <c r="A11" i="28" s="1"/>
  <c r="M31" i="27"/>
  <c r="M9" i="27"/>
  <c r="P32" i="27"/>
  <c r="D32" i="28" s="1"/>
  <c r="P36" i="27"/>
  <c r="D36" i="28" s="1"/>
  <c r="M40" i="27"/>
  <c r="M18" i="27"/>
  <c r="P29" i="27"/>
  <c r="D29" i="28" s="1"/>
  <c r="L24" i="27"/>
  <c r="A24" i="28" s="1"/>
  <c r="M15" i="27"/>
  <c r="M17" i="27"/>
  <c r="M27" i="27"/>
  <c r="P41" i="27"/>
  <c r="D41" i="28" s="1"/>
  <c r="P40" i="27"/>
  <c r="D40" i="28" s="1"/>
  <c r="L39" i="27"/>
  <c r="A39" i="28" s="1"/>
  <c r="L26" i="27"/>
  <c r="A26" i="28" s="1"/>
  <c r="M26" i="27"/>
  <c r="M41" i="27"/>
  <c r="P21" i="27"/>
  <c r="D21" i="28" s="1"/>
  <c r="P11" i="27"/>
  <c r="D11" i="28" s="1"/>
  <c r="P22" i="27"/>
  <c r="D22" i="28" s="1"/>
  <c r="L18" i="27"/>
  <c r="A18" i="28" s="1"/>
  <c r="P9" i="27"/>
  <c r="D9" i="28" s="1"/>
  <c r="M33" i="27"/>
  <c r="P27" i="27"/>
  <c r="D27" i="28" s="1"/>
  <c r="L20" i="27"/>
  <c r="A20" i="28" s="1"/>
  <c r="M6" i="27"/>
  <c r="M25" i="27"/>
  <c r="M24" i="27"/>
  <c r="P35" i="27"/>
  <c r="D35" i="28" s="1"/>
  <c r="M42" i="27"/>
  <c r="P5" i="27"/>
  <c r="D5" i="28" s="1"/>
  <c r="P14" i="27"/>
  <c r="D14" i="28" s="1"/>
  <c r="N20" i="27"/>
  <c r="B20" i="28" s="1"/>
  <c r="M14" i="27"/>
  <c r="P38" i="27"/>
  <c r="D38" i="28" s="1"/>
  <c r="M32" i="27"/>
  <c r="M11" i="27"/>
  <c r="L5" i="27"/>
  <c r="A5" i="28" s="1"/>
  <c r="L8" i="27"/>
  <c r="A8" i="28" s="1"/>
  <c r="L43" i="27"/>
  <c r="A43" i="28" s="1"/>
  <c r="P10" i="27"/>
  <c r="D10" i="28" s="1"/>
  <c r="L17" i="27"/>
  <c r="A17" i="28" s="1"/>
  <c r="P16" i="27"/>
  <c r="D16" i="28" s="1"/>
  <c r="L3" i="27"/>
  <c r="A3" i="28" s="1"/>
  <c r="P19" i="27"/>
  <c r="D19" i="28" s="1"/>
  <c r="M3" i="27"/>
  <c r="M37" i="27"/>
  <c r="L29" i="27"/>
  <c r="A29" i="28" s="1"/>
  <c r="L41" i="27"/>
  <c r="A41" i="28" s="1"/>
  <c r="P33" i="27"/>
  <c r="D33" i="28" s="1"/>
  <c r="L42" i="27"/>
  <c r="A42" i="28" s="1"/>
  <c r="P23" i="27"/>
  <c r="D23" i="28" s="1"/>
  <c r="P26" i="27"/>
  <c r="D26" i="28" s="1"/>
  <c r="L31" i="27"/>
  <c r="A31" i="28" s="1"/>
  <c r="P20" i="27"/>
  <c r="D20" i="28" s="1"/>
  <c r="P8" i="27"/>
  <c r="D8" i="28" s="1"/>
  <c r="P28" i="27"/>
  <c r="D28" i="28" s="1"/>
  <c r="N39" i="27" a="1"/>
  <c r="N4" i="27" a="1"/>
  <c r="N13" i="27" a="1"/>
  <c r="N31" i="27" a="1"/>
  <c r="N14" i="27" a="1"/>
  <c r="N25" i="27" a="1"/>
  <c r="N16" i="27" a="1"/>
  <c r="N11" i="27" a="1"/>
  <c r="N19" i="27" a="1"/>
  <c r="N30" i="27" a="1"/>
  <c r="N5" i="27" a="1"/>
  <c r="N18" i="27" a="1"/>
  <c r="N38" i="27" a="1"/>
  <c r="N2" i="27" a="1"/>
  <c r="N34" i="27" a="1"/>
  <c r="N32" i="27" a="1"/>
  <c r="N35" i="27" a="1"/>
  <c r="N22" i="27" a="1"/>
  <c r="N3" i="27" a="1"/>
  <c r="N41" i="27" a="1"/>
  <c r="N33" i="27" a="1"/>
  <c r="N21" i="27" a="1"/>
  <c r="N15" i="27" a="1"/>
  <c r="N23" i="27" a="1"/>
  <c r="N9" i="27" a="1"/>
  <c r="N17" i="27" a="1"/>
  <c r="N43" i="27" a="1"/>
  <c r="N8" i="27" a="1"/>
  <c r="N29" i="27" a="1"/>
  <c r="N24" i="27" a="1"/>
  <c r="N37" i="27" a="1"/>
  <c r="N7" i="27" a="1"/>
  <c r="N26" i="27" a="1"/>
  <c r="N36" i="27" a="1"/>
  <c r="N27" i="27" a="1"/>
  <c r="N12" i="27" a="1"/>
  <c r="N10" i="27" a="1"/>
  <c r="N6" i="27" a="1"/>
  <c r="N28" i="27" a="1"/>
  <c r="N42" i="27" a="1"/>
  <c r="N10" i="27" l="1"/>
  <c r="B10" i="28" s="1"/>
  <c r="N4" i="27"/>
  <c r="B4" i="28" s="1"/>
  <c r="N36" i="27"/>
  <c r="B36" i="28" s="1"/>
  <c r="N5" i="27"/>
  <c r="B5" i="28" s="1"/>
  <c r="N30" i="27"/>
  <c r="B30" i="28" s="1"/>
  <c r="N22" i="27"/>
  <c r="B22" i="28" s="1"/>
  <c r="N23" i="27"/>
  <c r="B23" i="28" s="1"/>
  <c r="N3" i="27"/>
  <c r="B3" i="28" s="1"/>
  <c r="N28" i="27"/>
  <c r="B28" i="28" s="1"/>
  <c r="N43" i="27"/>
  <c r="B43" i="28" s="1"/>
  <c r="N11" i="27"/>
  <c r="B11" i="28" s="1"/>
  <c r="N41" i="27"/>
  <c r="B41" i="28" s="1"/>
  <c r="N9" i="27"/>
  <c r="B9" i="28" s="1"/>
  <c r="N31" i="27"/>
  <c r="B31" i="28" s="1"/>
  <c r="N19" i="27"/>
  <c r="B19" i="28" s="1"/>
  <c r="N32" i="27"/>
  <c r="B32" i="28" s="1"/>
  <c r="N25" i="27"/>
  <c r="B25" i="28" s="1"/>
  <c r="N13" i="27"/>
  <c r="B13" i="28" s="1"/>
  <c r="N12" i="27"/>
  <c r="B12" i="28" s="1"/>
  <c r="N16" i="27"/>
  <c r="B16" i="28" s="1"/>
  <c r="N2" i="27"/>
  <c r="B2" i="28" s="1"/>
  <c r="N37" i="27"/>
  <c r="B37" i="28" s="1"/>
  <c r="N7" i="27"/>
  <c r="B7" i="28" s="1"/>
  <c r="N38" i="27"/>
  <c r="B38" i="28" s="1"/>
  <c r="N33" i="27"/>
  <c r="B33" i="28" s="1"/>
  <c r="N39" i="27"/>
  <c r="B39" i="28" s="1"/>
  <c r="N6" i="27"/>
  <c r="B6" i="28" s="1"/>
  <c r="N15" i="27"/>
  <c r="B15" i="28" s="1"/>
  <c r="N35" i="27"/>
  <c r="B35" i="28" s="1"/>
  <c r="N34" i="27"/>
  <c r="B34" i="28" s="1"/>
  <c r="N42" i="27"/>
  <c r="B42" i="28" s="1"/>
  <c r="N18" i="27"/>
  <c r="B18" i="28" s="1"/>
  <c r="N17" i="27"/>
  <c r="B17" i="28" s="1"/>
  <c r="N8" i="27"/>
  <c r="B8" i="28" s="1"/>
  <c r="N27" i="27"/>
  <c r="B27" i="28" s="1"/>
  <c r="N29" i="27"/>
  <c r="B29" i="28" s="1"/>
  <c r="N26" i="27"/>
  <c r="B26" i="28" s="1"/>
  <c r="N21" i="27"/>
  <c r="B21" i="28" s="1"/>
  <c r="N14" i="27"/>
  <c r="B14" i="28" s="1"/>
  <c r="N24" i="27"/>
  <c r="B24" i="28" s="1"/>
  <c r="M44" i="11"/>
  <c r="N44" i="11" s="1"/>
  <c r="E17" i="7" s="1"/>
  <c r="A7" i="29"/>
  <c r="C7" i="29" s="1"/>
  <c r="K5" i="11" l="1"/>
  <c r="D8" i="11"/>
  <c r="K8" i="11" s="1"/>
  <c r="G8" i="11"/>
  <c r="G6" i="11"/>
  <c r="G7" i="11" s="1"/>
  <c r="H104" i="18" s="1"/>
  <c r="G7" i="29"/>
  <c r="H7" i="29"/>
  <c r="D7" i="29"/>
  <c r="E7" i="29"/>
  <c r="M7" i="29"/>
  <c r="F7" i="29"/>
  <c r="J7" i="29"/>
  <c r="K7" i="29"/>
  <c r="I7" i="29"/>
  <c r="L7" i="29"/>
  <c r="H6" i="11"/>
  <c r="O16" i="29" a="1"/>
  <c r="O27" i="29" a="1"/>
  <c r="O24" i="29" a="1"/>
  <c r="O8" i="29" a="1"/>
  <c r="O19" i="29" a="1"/>
  <c r="O3" i="29" a="1"/>
  <c r="O5" i="29" a="1"/>
  <c r="O14" i="29" a="1"/>
  <c r="O4" i="29" a="1"/>
  <c r="O23" i="29" a="1"/>
  <c r="O9" i="29" a="1"/>
  <c r="O12" i="29" a="1"/>
  <c r="O18" i="29" a="1"/>
  <c r="O10" i="29" a="1"/>
  <c r="O13" i="29" a="1"/>
  <c r="O25" i="29" a="1"/>
  <c r="O29" i="29" a="1"/>
  <c r="O28" i="29" a="1"/>
  <c r="O11" i="29" a="1"/>
  <c r="O15" i="29" a="1"/>
  <c r="O21" i="29" a="1"/>
  <c r="O2" i="29" a="1"/>
  <c r="O22" i="29" a="1"/>
  <c r="O26" i="29" a="1"/>
  <c r="O17" i="29" a="1"/>
  <c r="O6" i="29" a="1"/>
  <c r="O20" i="29" a="1"/>
  <c r="O7" i="29" a="1"/>
  <c r="O18" i="29" l="1"/>
  <c r="B30" i="3" s="1"/>
  <c r="O2" i="29"/>
  <c r="B14" i="3" s="1"/>
  <c r="O22" i="29"/>
  <c r="B34" i="3" s="1"/>
  <c r="O25" i="29"/>
  <c r="B37" i="3" s="1"/>
  <c r="O20" i="29"/>
  <c r="B32" i="3" s="1"/>
  <c r="O21" i="29"/>
  <c r="B33" i="3" s="1"/>
  <c r="O4" i="29"/>
  <c r="B16" i="3" s="1"/>
  <c r="O28" i="29"/>
  <c r="B40" i="3" s="1"/>
  <c r="O23" i="29"/>
  <c r="B35" i="3" s="1"/>
  <c r="O9" i="29"/>
  <c r="B21" i="3" s="1"/>
  <c r="O29" i="29"/>
  <c r="O5" i="29"/>
  <c r="B17" i="3" s="1"/>
  <c r="O7" i="29"/>
  <c r="B19" i="3" s="1"/>
  <c r="O6" i="29"/>
  <c r="B18" i="3" s="1"/>
  <c r="O16" i="29"/>
  <c r="B28" i="3" s="1"/>
  <c r="O8" i="29"/>
  <c r="B20" i="3" s="1"/>
  <c r="O15" i="29"/>
  <c r="B27" i="3" s="1"/>
  <c r="O11" i="29"/>
  <c r="B23" i="3" s="1"/>
  <c r="O14" i="29"/>
  <c r="B26" i="3" s="1"/>
  <c r="O12" i="29"/>
  <c r="B24" i="3" s="1"/>
  <c r="O19" i="29"/>
  <c r="B31" i="3" s="1"/>
  <c r="O3" i="29"/>
  <c r="B15" i="3" s="1"/>
  <c r="O13" i="29"/>
  <c r="B25" i="3" s="1"/>
  <c r="O26" i="29"/>
  <c r="B38" i="3" s="1"/>
  <c r="O10" i="29"/>
  <c r="B22" i="3" s="1"/>
  <c r="O24" i="29"/>
  <c r="B36" i="3" s="1"/>
  <c r="O17" i="29"/>
  <c r="B29" i="3" s="1"/>
  <c r="O27" i="29"/>
  <c r="B39" i="3" s="1"/>
  <c r="G102" i="18"/>
  <c r="G104" i="18"/>
  <c r="D9" i="11"/>
  <c r="D6" i="11"/>
  <c r="E10" i="11"/>
  <c r="I5" i="11"/>
  <c r="E6" i="11"/>
  <c r="E8" i="11"/>
  <c r="G10" i="11"/>
  <c r="C8" i="11"/>
  <c r="G101" i="18" s="1"/>
  <c r="E9" i="11"/>
  <c r="H9" i="11"/>
  <c r="V25" i="29" a="1"/>
  <c r="Q24" i="29" a="1"/>
  <c r="X17" i="29" a="1"/>
  <c r="T5" i="29" a="1"/>
  <c r="R10" i="29" a="1"/>
  <c r="X24" i="29" a="1"/>
  <c r="S23" i="29" a="1"/>
  <c r="Q25" i="29" a="1"/>
  <c r="U28" i="29" a="1"/>
  <c r="S20" i="29" a="1"/>
  <c r="P19" i="29" a="1"/>
  <c r="X14" i="29" a="1"/>
  <c r="P13" i="29" a="1"/>
  <c r="Y14" i="29" a="1"/>
  <c r="Y15" i="29" a="1"/>
  <c r="P20" i="29" a="1"/>
  <c r="W29" i="29" a="1"/>
  <c r="U7" i="29" a="1"/>
  <c r="T23" i="29" a="1"/>
  <c r="V26" i="29" a="1"/>
  <c r="Y4" i="29" a="1"/>
  <c r="Q29" i="29" a="1"/>
  <c r="V12" i="29" a="1"/>
  <c r="Y10" i="29" a="1"/>
  <c r="Y13" i="29" a="1"/>
  <c r="Y2" i="29" a="1"/>
  <c r="S24" i="29" a="1"/>
  <c r="V22" i="29" a="1"/>
  <c r="R2" i="29" a="1"/>
  <c r="T2" i="29" a="1"/>
  <c r="Q8" i="29" a="1"/>
  <c r="Y18" i="29" a="1"/>
  <c r="Y21" i="29" a="1"/>
  <c r="T13" i="29" a="1"/>
  <c r="U13" i="29" a="1"/>
  <c r="T27" i="29" a="1"/>
  <c r="R21" i="29" a="1"/>
  <c r="S13" i="29" a="1"/>
  <c r="V28" i="29" a="1"/>
  <c r="Q10" i="29" a="1"/>
  <c r="Q13" i="29" a="1"/>
  <c r="W13" i="29" a="1"/>
  <c r="T19" i="29" a="1"/>
  <c r="Y3" i="29" a="1"/>
  <c r="V14" i="29" a="1"/>
  <c r="R29" i="29" a="1"/>
  <c r="Y22" i="29" a="1"/>
  <c r="X7" i="29" a="1"/>
  <c r="U18" i="29" a="1"/>
  <c r="Y29" i="29" a="1"/>
  <c r="R11" i="29" a="1"/>
  <c r="R13" i="29" a="1"/>
  <c r="Y12" i="29" a="1"/>
  <c r="S26" i="29" a="1"/>
  <c r="W19" i="29" a="1"/>
  <c r="X9" i="29" a="1"/>
  <c r="X10" i="29" a="1"/>
  <c r="R8" i="29" a="1"/>
  <c r="P10" i="29" a="1"/>
  <c r="U29" i="29" a="1"/>
  <c r="U11" i="29" a="1"/>
  <c r="X15" i="29" a="1"/>
  <c r="Q21" i="29" a="1"/>
  <c r="S2" i="29" a="1"/>
  <c r="S16" i="29" a="1"/>
  <c r="Y11" i="29" a="1"/>
  <c r="Y28" i="29" a="1"/>
  <c r="U8" i="29" a="1"/>
  <c r="V27" i="29" a="1"/>
  <c r="Q16" i="29" a="1"/>
  <c r="R16" i="29" a="1"/>
  <c r="W28" i="29" a="1"/>
  <c r="Q17" i="29" a="1"/>
  <c r="Q14" i="29" a="1"/>
  <c r="T17" i="29" a="1"/>
  <c r="V5" i="29" a="1"/>
  <c r="Y24" i="29" a="1"/>
  <c r="Y16" i="29" a="1"/>
  <c r="U6" i="29" a="1"/>
  <c r="Y5" i="29" a="1"/>
  <c r="X8" i="29" a="1"/>
  <c r="Q15" i="29" a="1"/>
  <c r="T6" i="29" a="1"/>
  <c r="R15" i="29" a="1"/>
  <c r="S6" i="29" a="1"/>
  <c r="W3" i="29" a="1"/>
  <c r="Q4" i="29" a="1"/>
  <c r="V24" i="29" a="1"/>
  <c r="Q20" i="29" a="1"/>
  <c r="W26" i="29" a="1"/>
  <c r="P21" i="29" a="1"/>
  <c r="P25" i="29" a="1"/>
  <c r="V19" i="29" a="1"/>
  <c r="Q2" i="29" a="1"/>
  <c r="T24" i="29" a="1"/>
  <c r="U16" i="29" a="1"/>
  <c r="V13" i="29" a="1"/>
  <c r="V6" i="29" a="1"/>
  <c r="T14" i="29" a="1"/>
  <c r="S3" i="29" a="1"/>
  <c r="W4" i="29" a="1"/>
  <c r="P5" i="29" a="1"/>
  <c r="Q18" i="29" a="1"/>
  <c r="W22" i="29" a="1"/>
  <c r="R9" i="29" a="1"/>
  <c r="T16" i="29" a="1"/>
  <c r="X29" i="29" a="1"/>
  <c r="W7" i="29" a="1"/>
  <c r="P15" i="29" a="1"/>
  <c r="X2" i="29" a="1"/>
  <c r="V11" i="29" a="1"/>
  <c r="Q19" i="29" a="1"/>
  <c r="R18" i="29" a="1"/>
  <c r="S18" i="29" a="1"/>
  <c r="W17" i="29" a="1"/>
  <c r="S27" i="29" a="1"/>
  <c r="T9" i="29" a="1"/>
  <c r="V17" i="29" a="1"/>
  <c r="V16" i="29" a="1"/>
  <c r="W14" i="29" a="1"/>
  <c r="W11" i="29" a="1"/>
  <c r="T29" i="29" a="1"/>
  <c r="V21" i="29" a="1"/>
  <c r="P23" i="29" a="1"/>
  <c r="S4" i="29" a="1"/>
  <c r="Q5" i="29" a="1"/>
  <c r="V18" i="29" a="1"/>
  <c r="S7" i="29" a="1"/>
  <c r="W16" i="29" a="1"/>
  <c r="Y6" i="29" a="1"/>
  <c r="R7" i="29" a="1"/>
  <c r="Y20" i="29" a="1"/>
  <c r="W27" i="29" a="1"/>
  <c r="S28" i="29" a="1"/>
  <c r="W23" i="29" a="1"/>
  <c r="W5" i="29" a="1"/>
  <c r="P28" i="29" a="1"/>
  <c r="T26" i="29" a="1"/>
  <c r="V23" i="29" a="1"/>
  <c r="T15" i="29" a="1"/>
  <c r="X19" i="29" a="1"/>
  <c r="P9" i="29" a="1"/>
  <c r="T10" i="29" a="1"/>
  <c r="T12" i="29" a="1"/>
  <c r="X13" i="29" a="1"/>
  <c r="X22" i="29" a="1"/>
  <c r="X20" i="29" a="1"/>
  <c r="Y8" i="29" a="1"/>
  <c r="R3" i="29" a="1"/>
  <c r="W18" i="29" a="1"/>
  <c r="P27" i="29" a="1"/>
  <c r="Y27" i="29" a="1"/>
  <c r="R14" i="29" a="1"/>
  <c r="P29" i="29" a="1"/>
  <c r="P12" i="29" a="1"/>
  <c r="V29" i="29" a="1"/>
  <c r="S10" i="29" a="1"/>
  <c r="V8" i="29" a="1"/>
  <c r="U25" i="29" a="1"/>
  <c r="X11" i="29" a="1"/>
  <c r="S19" i="29" a="1"/>
  <c r="W9" i="29" a="1"/>
  <c r="V2" i="29" a="1"/>
  <c r="V3" i="29" a="1"/>
  <c r="R28" i="29" a="1"/>
  <c r="S11" i="29" a="1"/>
  <c r="S14" i="29" a="1"/>
  <c r="V20" i="29" a="1"/>
  <c r="Q6" i="29" a="1"/>
  <c r="X27" i="29" a="1"/>
  <c r="T8" i="29" a="1"/>
  <c r="Y23" i="29" a="1"/>
  <c r="U4" i="29" a="1"/>
  <c r="X16" i="29" a="1"/>
  <c r="T21" i="29" a="1"/>
  <c r="Y7" i="29" a="1"/>
  <c r="W15" i="29" a="1"/>
  <c r="R12" i="29" a="1"/>
  <c r="U5" i="29" a="1"/>
  <c r="V7" i="29" a="1"/>
  <c r="R26" i="29" a="1"/>
  <c r="P4" i="29" a="1"/>
  <c r="Y9" i="29" a="1"/>
  <c r="X18" i="29" a="1"/>
  <c r="U21" i="29" a="1"/>
  <c r="S29" i="29" a="1"/>
  <c r="P24" i="29" a="1"/>
  <c r="Q9" i="29" a="1"/>
  <c r="S21" i="29" a="1"/>
  <c r="V15" i="29" a="1"/>
  <c r="U2" i="29" a="1"/>
  <c r="P17" i="29" a="1"/>
  <c r="T11" i="29" a="1"/>
  <c r="T28" i="29" a="1"/>
  <c r="W24" i="29" a="1"/>
  <c r="X28" i="29" a="1"/>
  <c r="Q3" i="29" a="1"/>
  <c r="X3" i="29" a="1"/>
  <c r="V9" i="29" a="1"/>
  <c r="X26" i="29" a="1"/>
  <c r="U9" i="29" a="1"/>
  <c r="T3" i="29" a="1"/>
  <c r="Q28" i="29" a="1"/>
  <c r="W8" i="29" a="1"/>
  <c r="W10" i="29" a="1"/>
  <c r="P3" i="29" a="1"/>
  <c r="W20" i="29" a="1"/>
  <c r="T25" i="29" a="1"/>
  <c r="P18" i="29" a="1"/>
  <c r="T4" i="29" a="1"/>
  <c r="V10" i="29" a="1"/>
  <c r="R25" i="29" a="1"/>
  <c r="R20" i="29" a="1"/>
  <c r="T20" i="29" a="1"/>
  <c r="R22" i="29" a="1"/>
  <c r="X12" i="29" a="1"/>
  <c r="T18" i="29" a="1"/>
  <c r="P26" i="29" a="1"/>
  <c r="Y17" i="29" a="1"/>
  <c r="X4" i="29" a="1"/>
  <c r="X23" i="29" a="1"/>
  <c r="V4" i="29" a="1"/>
  <c r="X5" i="29" a="1"/>
  <c r="U24" i="29" a="1"/>
  <c r="U12" i="29" a="1"/>
  <c r="P2" i="29" a="1"/>
  <c r="W6" i="29" a="1"/>
  <c r="T22" i="29" a="1"/>
  <c r="S8" i="29" a="1"/>
  <c r="X21" i="29" a="1"/>
  <c r="U27" i="29" a="1"/>
  <c r="S17" i="29" a="1"/>
  <c r="R17" i="29" a="1"/>
  <c r="R5" i="29" a="1"/>
  <c r="X25" i="29" a="1"/>
  <c r="U15" i="29" a="1"/>
  <c r="S9" i="29" a="1"/>
  <c r="R4" i="29" a="1"/>
  <c r="U19" i="29" a="1"/>
  <c r="S15" i="29" a="1"/>
  <c r="S25" i="29" a="1"/>
  <c r="Y19" i="29" a="1"/>
  <c r="P8" i="29" a="1"/>
  <c r="P11" i="29" a="1"/>
  <c r="R24" i="29" a="1"/>
  <c r="U14" i="29" a="1"/>
  <c r="R19" i="29" a="1"/>
  <c r="Q26" i="29" a="1"/>
  <c r="R6" i="29" a="1"/>
  <c r="R23" i="29" a="1"/>
  <c r="U26" i="29" a="1"/>
  <c r="P6" i="29" a="1"/>
  <c r="P14" i="29" a="1"/>
  <c r="W25" i="29" a="1"/>
  <c r="Q12" i="29" a="1"/>
  <c r="R27" i="29" a="1"/>
  <c r="P7" i="29" a="1"/>
  <c r="Q22" i="29" a="1"/>
  <c r="S22" i="29" a="1"/>
  <c r="Q11" i="29" a="1"/>
  <c r="U22" i="29" a="1"/>
  <c r="W12" i="29" a="1"/>
  <c r="Y26" i="29" a="1"/>
  <c r="U3" i="29" a="1"/>
  <c r="T7" i="29" a="1"/>
  <c r="Y25" i="29" a="1"/>
  <c r="S12" i="29" a="1"/>
  <c r="Q23" i="29" a="1"/>
  <c r="Q7" i="29" a="1"/>
  <c r="U20" i="29" a="1"/>
  <c r="U17" i="29" a="1"/>
  <c r="Q27" i="29" a="1"/>
  <c r="S5" i="29" a="1"/>
  <c r="U23" i="29" a="1"/>
  <c r="W2" i="29" a="1"/>
  <c r="P16" i="29" a="1"/>
  <c r="P22" i="29" a="1"/>
  <c r="W21" i="29" a="1"/>
  <c r="U10" i="29" a="1"/>
  <c r="X6" i="29" a="1"/>
  <c r="S21" i="29" l="1"/>
  <c r="S20" i="29"/>
  <c r="T11" i="29"/>
  <c r="T25" i="29"/>
  <c r="X25" i="29"/>
  <c r="X18" i="29"/>
  <c r="X12" i="29"/>
  <c r="S6" i="29"/>
  <c r="F18" i="3" s="1"/>
  <c r="S23" i="29"/>
  <c r="S2" i="29"/>
  <c r="S14" i="29"/>
  <c r="S25" i="29"/>
  <c r="S4" i="29"/>
  <c r="S22" i="29"/>
  <c r="T15" i="29"/>
  <c r="T6" i="29"/>
  <c r="G18" i="3" s="1"/>
  <c r="T26" i="29"/>
  <c r="T28" i="29"/>
  <c r="T10" i="29"/>
  <c r="T12" i="29"/>
  <c r="T16" i="29"/>
  <c r="R2" i="29"/>
  <c r="R6" i="29"/>
  <c r="E18" i="3" s="1"/>
  <c r="R11" i="29"/>
  <c r="R19" i="29"/>
  <c r="R8" i="29"/>
  <c r="R10" i="29"/>
  <c r="R27" i="29"/>
  <c r="X19" i="29"/>
  <c r="X4" i="29"/>
  <c r="X24" i="29"/>
  <c r="X9" i="29"/>
  <c r="X20" i="29"/>
  <c r="X6" i="29"/>
  <c r="K18" i="3" s="1"/>
  <c r="X3" i="29"/>
  <c r="P19" i="29"/>
  <c r="P29" i="29"/>
  <c r="P25" i="29"/>
  <c r="P9" i="29"/>
  <c r="P14" i="29"/>
  <c r="P27" i="29"/>
  <c r="P20" i="29"/>
  <c r="V13" i="29"/>
  <c r="V20" i="29"/>
  <c r="V17" i="29"/>
  <c r="V2" i="29"/>
  <c r="V14" i="29"/>
  <c r="V24" i="29"/>
  <c r="V15" i="29"/>
  <c r="Q14" i="29"/>
  <c r="Q27" i="29"/>
  <c r="Q23" i="29"/>
  <c r="Q16" i="29"/>
  <c r="Q6" i="29"/>
  <c r="D18" i="3" s="1"/>
  <c r="Q13" i="29"/>
  <c r="Q24" i="29"/>
  <c r="W8" i="29"/>
  <c r="W18" i="29"/>
  <c r="W21" i="29"/>
  <c r="W12" i="29"/>
  <c r="W27" i="29"/>
  <c r="W7" i="29"/>
  <c r="W6" i="29"/>
  <c r="J18" i="3" s="1"/>
  <c r="Y9" i="29"/>
  <c r="Y3" i="29"/>
  <c r="Y28" i="29"/>
  <c r="Y24" i="29"/>
  <c r="Y5" i="29"/>
  <c r="Y2" i="29"/>
  <c r="Y29" i="29"/>
  <c r="U3" i="29"/>
  <c r="U21" i="29"/>
  <c r="U26" i="29"/>
  <c r="U17" i="29"/>
  <c r="U12" i="29"/>
  <c r="U9" i="29"/>
  <c r="U14" i="29"/>
  <c r="S10" i="29"/>
  <c r="S19" i="29"/>
  <c r="S26" i="29"/>
  <c r="T8" i="29"/>
  <c r="R21" i="29"/>
  <c r="R7" i="29"/>
  <c r="R13" i="29"/>
  <c r="R29" i="29"/>
  <c r="S7" i="29"/>
  <c r="S24" i="29"/>
  <c r="S11" i="29"/>
  <c r="S9" i="29"/>
  <c r="S27" i="29"/>
  <c r="S5" i="29"/>
  <c r="S16" i="29"/>
  <c r="T14" i="29"/>
  <c r="T7" i="29"/>
  <c r="T21" i="29"/>
  <c r="T17" i="29"/>
  <c r="T9" i="29"/>
  <c r="T4" i="29"/>
  <c r="T22" i="29"/>
  <c r="R26" i="29"/>
  <c r="R12" i="29"/>
  <c r="R3" i="29"/>
  <c r="R25" i="29"/>
  <c r="R16" i="29"/>
  <c r="R9" i="29"/>
  <c r="R22" i="29"/>
  <c r="X17" i="29"/>
  <c r="X22" i="29"/>
  <c r="X11" i="29"/>
  <c r="X7" i="29"/>
  <c r="X14" i="29"/>
  <c r="X10" i="29"/>
  <c r="X23" i="29"/>
  <c r="P10" i="29"/>
  <c r="P17" i="29"/>
  <c r="P12" i="29"/>
  <c r="P4" i="29"/>
  <c r="P16" i="29"/>
  <c r="P5" i="29"/>
  <c r="P28" i="29"/>
  <c r="V12" i="29"/>
  <c r="V3" i="29"/>
  <c r="V26" i="29"/>
  <c r="V6" i="29"/>
  <c r="I18" i="3" s="1"/>
  <c r="V11" i="29"/>
  <c r="V10" i="29"/>
  <c r="V18" i="29"/>
  <c r="Q20" i="29"/>
  <c r="Q10" i="29"/>
  <c r="Q3" i="29"/>
  <c r="Q18" i="29"/>
  <c r="Q21" i="29"/>
  <c r="Q28" i="29"/>
  <c r="Q17" i="29"/>
  <c r="W3" i="29"/>
  <c r="W26" i="29"/>
  <c r="W23" i="29"/>
  <c r="W16" i="29"/>
  <c r="W4" i="29"/>
  <c r="W17" i="29"/>
  <c r="W24" i="29"/>
  <c r="Y16" i="29"/>
  <c r="Y19" i="29"/>
  <c r="Y27" i="29"/>
  <c r="Y14" i="29"/>
  <c r="Y20" i="29"/>
  <c r="Y7" i="29"/>
  <c r="Y18" i="29"/>
  <c r="U25" i="29"/>
  <c r="U5" i="29"/>
  <c r="U2" i="29"/>
  <c r="U20" i="29"/>
  <c r="U18" i="29"/>
  <c r="U27" i="29"/>
  <c r="U15" i="29"/>
  <c r="S13" i="29"/>
  <c r="S3" i="29"/>
  <c r="S28" i="29"/>
  <c r="S29" i="29"/>
  <c r="S15" i="29"/>
  <c r="S12" i="29"/>
  <c r="S8" i="29"/>
  <c r="T20" i="29"/>
  <c r="T24" i="29"/>
  <c r="T18" i="29"/>
  <c r="T3" i="29"/>
  <c r="T13" i="29"/>
  <c r="T2" i="29"/>
  <c r="T23" i="29"/>
  <c r="R14" i="29"/>
  <c r="R15" i="29"/>
  <c r="R18" i="29"/>
  <c r="R5" i="29"/>
  <c r="R4" i="29"/>
  <c r="R20" i="29"/>
  <c r="R17" i="29"/>
  <c r="X27" i="29"/>
  <c r="X15" i="29"/>
  <c r="X26" i="29"/>
  <c r="X8" i="29"/>
  <c r="X5" i="29"/>
  <c r="X29" i="29"/>
  <c r="X28" i="29"/>
  <c r="P3" i="29"/>
  <c r="P8" i="29"/>
  <c r="P18" i="29"/>
  <c r="P21" i="29"/>
  <c r="P13" i="29"/>
  <c r="P22" i="29"/>
  <c r="P26" i="29"/>
  <c r="V19" i="29"/>
  <c r="V9" i="29"/>
  <c r="V27" i="29"/>
  <c r="V16" i="29"/>
  <c r="V25" i="29"/>
  <c r="V5" i="29"/>
  <c r="V28" i="29"/>
  <c r="Q15" i="29"/>
  <c r="Q11" i="29"/>
  <c r="Q2" i="29"/>
  <c r="Q4" i="29"/>
  <c r="Q29" i="29"/>
  <c r="Q7" i="29"/>
  <c r="Q26" i="29"/>
  <c r="W14" i="29"/>
  <c r="W13" i="29"/>
  <c r="W15" i="29"/>
  <c r="W20" i="29"/>
  <c r="W29" i="29"/>
  <c r="W2" i="29"/>
  <c r="W22" i="29"/>
  <c r="Y23" i="29"/>
  <c r="Y26" i="29"/>
  <c r="Y4" i="29"/>
  <c r="Y21" i="29"/>
  <c r="Y25" i="29"/>
  <c r="Y8" i="29"/>
  <c r="Y11" i="29"/>
  <c r="U7" i="29"/>
  <c r="U8" i="29"/>
  <c r="U19" i="29"/>
  <c r="U24" i="29"/>
  <c r="U11" i="29"/>
  <c r="U10" i="29"/>
  <c r="U16" i="29"/>
  <c r="S17" i="29"/>
  <c r="S18" i="29"/>
  <c r="T5" i="29"/>
  <c r="T19" i="29"/>
  <c r="T29" i="29"/>
  <c r="T27" i="29"/>
  <c r="R23" i="29"/>
  <c r="R28" i="29"/>
  <c r="R24" i="29"/>
  <c r="X2" i="29"/>
  <c r="X21" i="29"/>
  <c r="X16" i="29"/>
  <c r="X13" i="29"/>
  <c r="P23" i="29"/>
  <c r="P15" i="29"/>
  <c r="P2" i="29"/>
  <c r="P11" i="29"/>
  <c r="P7" i="29"/>
  <c r="P6" i="29"/>
  <c r="C18" i="3" s="1"/>
  <c r="P24" i="29"/>
  <c r="V29" i="29"/>
  <c r="V21" i="29"/>
  <c r="V4" i="29"/>
  <c r="V22" i="29"/>
  <c r="V8" i="29"/>
  <c r="V7" i="29"/>
  <c r="V23" i="29"/>
  <c r="Q22" i="29"/>
  <c r="Q25" i="29"/>
  <c r="Q19" i="29"/>
  <c r="Q8" i="29"/>
  <c r="Q9" i="29"/>
  <c r="Q12" i="29"/>
  <c r="Q5" i="29"/>
  <c r="W25" i="29"/>
  <c r="W5" i="29"/>
  <c r="W19" i="29"/>
  <c r="W9" i="29"/>
  <c r="W11" i="29"/>
  <c r="W10" i="29"/>
  <c r="W28" i="29"/>
  <c r="Y13" i="29"/>
  <c r="Y10" i="29"/>
  <c r="Y15" i="29"/>
  <c r="Y12" i="29"/>
  <c r="Y22" i="29"/>
  <c r="Y6" i="29"/>
  <c r="L18" i="3" s="1"/>
  <c r="Y17" i="29"/>
  <c r="U6" i="29"/>
  <c r="H18" i="3" s="1"/>
  <c r="U23" i="29"/>
  <c r="U29" i="29"/>
  <c r="U4" i="29"/>
  <c r="U28" i="29"/>
  <c r="U22" i="29"/>
  <c r="U13" i="29"/>
  <c r="H103" i="18"/>
  <c r="H101" i="18"/>
  <c r="N11" i="3" a="1"/>
  <c r="N11" i="3" s="1"/>
  <c r="K12" i="3" s="1"/>
  <c r="I8" i="11"/>
  <c r="I9" i="11"/>
  <c r="I10" i="11"/>
  <c r="I6" i="11"/>
  <c r="E7" i="11"/>
  <c r="I103" i="18" s="1"/>
  <c r="C12" i="3" l="1"/>
  <c r="G12" i="3"/>
  <c r="I13" i="3"/>
  <c r="G13" i="3"/>
  <c r="J12" i="3"/>
  <c r="D13" i="3"/>
  <c r="B12" i="3"/>
  <c r="C1" i="3" s="1"/>
  <c r="L13" i="3"/>
  <c r="E13" i="3"/>
  <c r="C11" i="3"/>
  <c r="C10" i="3"/>
  <c r="K13" i="3"/>
  <c r="H13" i="3"/>
  <c r="D12" i="3"/>
  <c r="F13" i="3"/>
  <c r="I7" i="11"/>
  <c r="C17" i="3" l="1"/>
  <c r="E29" i="3"/>
  <c r="J17" i="3"/>
  <c r="F28" i="3"/>
  <c r="H35" i="3"/>
  <c r="D23" i="3"/>
  <c r="I16" i="3"/>
  <c r="K35" i="3"/>
  <c r="G27" i="3"/>
  <c r="K26" i="3"/>
  <c r="G26" i="3"/>
  <c r="C36" i="3"/>
  <c r="D17" i="3"/>
  <c r="J40" i="3"/>
  <c r="K24" i="3"/>
  <c r="E30" i="3"/>
  <c r="L14" i="3"/>
  <c r="L30" i="3"/>
  <c r="J39" i="3"/>
  <c r="C16" i="3"/>
  <c r="L40" i="3"/>
  <c r="L15" i="3"/>
  <c r="L35" i="3"/>
  <c r="J34" i="3"/>
  <c r="C35" i="3"/>
  <c r="L17" i="3"/>
  <c r="I19" i="3"/>
  <c r="J33" i="3"/>
  <c r="C21" i="3"/>
  <c r="D19" i="3"/>
  <c r="C37" i="3"/>
  <c r="I22" i="3"/>
  <c r="G20" i="3"/>
  <c r="F39" i="3"/>
  <c r="H30" i="3"/>
  <c r="C29" i="3"/>
  <c r="D32" i="3"/>
  <c r="F33" i="3"/>
  <c r="E34" i="3"/>
  <c r="C38" i="3"/>
  <c r="G17" i="3"/>
  <c r="D39" i="3"/>
  <c r="L23" i="3"/>
  <c r="E35" i="3"/>
  <c r="H36" i="3"/>
  <c r="F35" i="3"/>
  <c r="D33" i="3"/>
  <c r="J31" i="3"/>
  <c r="D35" i="3"/>
  <c r="E19" i="3"/>
  <c r="H31" i="3"/>
  <c r="D24" i="3"/>
  <c r="J24" i="3"/>
  <c r="I14" i="3"/>
  <c r="G15" i="3"/>
  <c r="E27" i="3"/>
  <c r="L22" i="3"/>
  <c r="I15" i="3"/>
  <c r="L36" i="3"/>
  <c r="G38" i="3"/>
  <c r="E36" i="3"/>
  <c r="H25" i="3"/>
  <c r="E33" i="3"/>
  <c r="H39" i="3"/>
  <c r="F16" i="3"/>
  <c r="D28" i="3"/>
  <c r="F20" i="3"/>
  <c r="E23" i="3"/>
  <c r="I23" i="3"/>
  <c r="H17" i="3"/>
  <c r="E32" i="3"/>
  <c r="H34" i="3"/>
  <c r="E17" i="3"/>
  <c r="E15" i="3"/>
  <c r="D21" i="3"/>
  <c r="L38" i="3"/>
  <c r="J29" i="3"/>
  <c r="G19" i="3"/>
  <c r="F27" i="3"/>
  <c r="D36" i="3"/>
  <c r="L32" i="3"/>
  <c r="E24" i="3"/>
  <c r="I27" i="3"/>
  <c r="I34" i="3"/>
  <c r="D29" i="3"/>
  <c r="D20" i="3"/>
  <c r="C33" i="3"/>
  <c r="C22" i="3"/>
  <c r="G22" i="3"/>
  <c r="J35" i="3"/>
  <c r="C26" i="3"/>
  <c r="E25" i="3"/>
  <c r="D15" i="3"/>
  <c r="K23" i="3"/>
  <c r="G29" i="3"/>
  <c r="J19" i="3"/>
  <c r="L28" i="3"/>
  <c r="G34" i="3"/>
  <c r="H26" i="3"/>
  <c r="H40" i="3"/>
  <c r="H21" i="3"/>
  <c r="C32" i="3"/>
  <c r="K34" i="3"/>
  <c r="K40" i="3"/>
  <c r="K20" i="3"/>
  <c r="G30" i="3"/>
  <c r="C23" i="3"/>
  <c r="I29" i="3"/>
  <c r="K25" i="3"/>
  <c r="I40" i="3"/>
  <c r="F24" i="3"/>
  <c r="F23" i="3"/>
  <c r="F25" i="3"/>
  <c r="J38" i="3"/>
  <c r="L26" i="3"/>
  <c r="I28" i="3"/>
  <c r="L16" i="3"/>
  <c r="I20" i="3"/>
  <c r="G16" i="3"/>
  <c r="J26" i="3"/>
  <c r="H24" i="3"/>
  <c r="E28" i="3"/>
  <c r="C27" i="3"/>
  <c r="F38" i="3"/>
  <c r="E38" i="3"/>
  <c r="G28" i="3"/>
  <c r="F22" i="3"/>
  <c r="K33" i="3"/>
  <c r="H29" i="3"/>
  <c r="C24" i="3"/>
  <c r="K38" i="3"/>
  <c r="E31" i="3"/>
  <c r="J27" i="3"/>
  <c r="H33" i="3"/>
  <c r="C28" i="3"/>
  <c r="E21" i="3"/>
  <c r="F29" i="3"/>
  <c r="K19" i="3"/>
  <c r="H16" i="3"/>
  <c r="D31" i="3"/>
  <c r="D16" i="3"/>
  <c r="J28" i="3"/>
  <c r="J20" i="3"/>
  <c r="L27" i="3"/>
  <c r="D37" i="3"/>
  <c r="K27" i="3"/>
  <c r="L25" i="3"/>
  <c r="L20" i="3"/>
  <c r="J32" i="3"/>
  <c r="F37" i="3"/>
  <c r="G25" i="3"/>
  <c r="G40" i="3"/>
  <c r="G37" i="3"/>
  <c r="H37" i="3"/>
  <c r="J21" i="3"/>
  <c r="I31" i="3"/>
  <c r="D40" i="3"/>
  <c r="K32" i="3"/>
  <c r="L24" i="3"/>
  <c r="C30" i="3"/>
  <c r="C19" i="3"/>
  <c r="D38" i="3"/>
  <c r="F34" i="3"/>
  <c r="H27" i="3"/>
  <c r="K30" i="3"/>
  <c r="F30" i="3"/>
  <c r="J16" i="3"/>
  <c r="D22" i="3"/>
  <c r="L21" i="3"/>
  <c r="E14" i="3"/>
  <c r="F31" i="3"/>
  <c r="I33" i="3"/>
  <c r="K15" i="3"/>
  <c r="F17" i="3"/>
  <c r="H20" i="3"/>
  <c r="E39" i="3"/>
  <c r="F36" i="3"/>
  <c r="H14" i="3"/>
  <c r="F26" i="3"/>
  <c r="I38" i="3"/>
  <c r="D26" i="3"/>
  <c r="E22" i="3"/>
  <c r="G36" i="3"/>
  <c r="E16" i="3"/>
  <c r="I36" i="3"/>
  <c r="K17" i="3"/>
  <c r="L19" i="3"/>
  <c r="E26" i="3"/>
  <c r="J14" i="3"/>
  <c r="C40" i="3"/>
  <c r="C39" i="3"/>
  <c r="F40" i="3"/>
  <c r="D25" i="3"/>
  <c r="I37" i="3"/>
  <c r="H38" i="3"/>
  <c r="G21" i="3"/>
  <c r="L33" i="3"/>
  <c r="H23" i="3"/>
  <c r="F14" i="3"/>
  <c r="E40" i="3"/>
  <c r="G39" i="3"/>
  <c r="J23" i="3"/>
  <c r="J22" i="3"/>
  <c r="K29" i="3"/>
  <c r="I25" i="3"/>
  <c r="C20" i="3"/>
  <c r="L34" i="3"/>
  <c r="K16" i="3"/>
  <c r="J37" i="3"/>
  <c r="I26" i="3"/>
  <c r="J36" i="3"/>
  <c r="G23" i="3"/>
  <c r="K21" i="3"/>
  <c r="G14" i="3"/>
  <c r="G33" i="3"/>
  <c r="H15" i="3"/>
  <c r="E20" i="3"/>
  <c r="D34" i="3"/>
  <c r="I30" i="3"/>
  <c r="G24" i="3"/>
  <c r="G31" i="3"/>
  <c r="G32" i="3"/>
  <c r="F19" i="3"/>
  <c r="I17" i="3"/>
  <c r="C34" i="3"/>
  <c r="H32" i="3"/>
  <c r="K14" i="3"/>
  <c r="C15" i="3"/>
  <c r="H22" i="3"/>
  <c r="F32" i="3"/>
  <c r="J30" i="3"/>
  <c r="L31" i="3"/>
  <c r="C25" i="3"/>
  <c r="F21" i="3"/>
  <c r="I35" i="3"/>
  <c r="J25" i="3"/>
  <c r="I24" i="3"/>
  <c r="K37" i="3"/>
  <c r="K39" i="3"/>
  <c r="H28" i="3"/>
  <c r="D30" i="3"/>
  <c r="G35" i="3"/>
  <c r="I21" i="3"/>
  <c r="D14" i="3"/>
  <c r="K28" i="3"/>
  <c r="D27" i="3"/>
  <c r="I32" i="3"/>
  <c r="C31" i="3"/>
  <c r="H19" i="3"/>
  <c r="K31" i="3"/>
  <c r="J15" i="3"/>
  <c r="K36" i="3"/>
  <c r="C14" i="3"/>
  <c r="L39" i="3"/>
  <c r="E37" i="3"/>
  <c r="I39" i="3"/>
  <c r="L29" i="3"/>
  <c r="F15" i="3"/>
  <c r="K22" i="3"/>
  <c r="L37" i="3"/>
</calcChain>
</file>

<file path=xl/comments1.xml><?xml version="1.0" encoding="utf-8"?>
<comments xmlns="http://schemas.openxmlformats.org/spreadsheetml/2006/main">
  <authors>
    <author>OnkoZert</author>
    <author>OnkoZert - Florina Dudu</author>
  </authors>
  <commentList>
    <comment ref="C6" authorId="0">
      <text>
        <r>
          <rPr>
            <sz val="8"/>
            <color indexed="81"/>
            <rFont val="Arial"/>
            <family val="2"/>
          </rPr>
          <t>Bitte Reg.-Nr. auswählen, siehe Zertifikat Beispiel, und dann die grauen Felder ausfüllen.</t>
        </r>
      </text>
    </comment>
    <comment ref="M6" authorId="0">
      <text>
        <r>
          <rPr>
            <sz val="9"/>
            <color indexed="81"/>
            <rFont val="Tahoma"/>
            <family val="2"/>
          </rPr>
          <t xml:space="preserve">
</t>
        </r>
      </text>
    </comment>
    <comment ref="C12" authorId="0">
      <text>
        <r>
          <rPr>
            <sz val="9"/>
            <color indexed="81"/>
            <rFont val="Arial"/>
            <family val="2"/>
          </rPr>
          <t>Name, Vorname</t>
        </r>
      </text>
    </comment>
    <comment ref="M12" authorId="0">
      <text>
        <r>
          <rPr>
            <sz val="9"/>
            <color indexed="81"/>
            <rFont val="Arial"/>
            <family val="2"/>
          </rPr>
          <t>tt.mm.jjjj
Übertrag in weitere Tabellenblätter erfolgt automatisch.</t>
        </r>
      </text>
    </comment>
    <comment ref="M14" authorId="0">
      <text>
        <r>
          <rPr>
            <sz val="9"/>
            <color indexed="81"/>
            <rFont val="Arial"/>
            <family val="2"/>
          </rPr>
          <t>Auswahl erfolgt über Reg.-Nr.</t>
        </r>
      </text>
    </comment>
    <comment ref="H21" authorId="0">
      <text>
        <r>
          <rPr>
            <sz val="9"/>
            <color indexed="81"/>
            <rFont val="Arial"/>
            <family val="2"/>
          </rPr>
          <t>Subjektive Bewertung der Zusammenarbeit hinsichtlich Darlegung der Zertifizierungsdaten und Rückmeldung der Follow-Up-Daten.</t>
        </r>
      </text>
    </comment>
    <comment ref="H24" authorId="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D33" authorId="0">
      <text>
        <r>
          <rPr>
            <sz val="9"/>
            <color indexed="81"/>
            <rFont val="Arial"/>
            <family val="2"/>
          </rPr>
          <t>Zähler KN: 4</t>
        </r>
      </text>
    </comment>
    <comment ref="O33" authorId="0">
      <text>
        <r>
          <rPr>
            <sz val="9"/>
            <color indexed="81"/>
            <rFont val="Arial"/>
            <family val="2"/>
          </rPr>
          <t>Anzahl KN: 1b)1
Nenner KN: 4</t>
        </r>
      </text>
    </comment>
    <comment ref="O34" authorId="0">
      <text>
        <r>
          <rPr>
            <sz val="9"/>
            <color indexed="81"/>
            <rFont val="Arial"/>
            <family val="2"/>
          </rPr>
          <t>Anzahl KN: 1b)2</t>
        </r>
      </text>
    </comment>
    <comment ref="I35" authorId="1">
      <text>
        <r>
          <rPr>
            <sz val="9"/>
            <color indexed="81"/>
            <rFont val="Tahoma"/>
            <family val="2"/>
          </rPr>
          <t>Nenner KN: 5</t>
        </r>
      </text>
    </comment>
    <comment ref="O35" authorId="0">
      <text>
        <r>
          <rPr>
            <sz val="9"/>
            <color indexed="81"/>
            <rFont val="Arial"/>
            <family val="2"/>
          </rPr>
          <t>Anzahl KN: 1b)3</t>
        </r>
      </text>
    </comment>
    <comment ref="I40" authorId="0">
      <text>
        <r>
          <rPr>
            <sz val="9"/>
            <color indexed="81"/>
            <rFont val="Arial"/>
            <family val="2"/>
          </rPr>
          <t>Zähler KN: 11</t>
        </r>
      </text>
    </comment>
    <comment ref="K40" authorId="0">
      <text>
        <r>
          <rPr>
            <sz val="9"/>
            <color indexed="81"/>
            <rFont val="Arial"/>
            <family val="2"/>
          </rPr>
          <t>Zähler KN: 13</t>
        </r>
      </text>
    </comment>
    <comment ref="O40" authorId="0">
      <text>
        <r>
          <rPr>
            <sz val="9"/>
            <color indexed="81"/>
            <rFont val="Arial"/>
            <family val="2"/>
          </rPr>
          <t>Anzahl KN 1a)
Teil von Nenner KN: 6, 7
Nenner KN: 8, 11, 13</t>
        </r>
      </text>
    </comment>
    <comment ref="O45" authorId="0">
      <text>
        <r>
          <rPr>
            <sz val="9"/>
            <color indexed="81"/>
            <rFont val="Arial"/>
            <family val="2"/>
          </rPr>
          <t>Teil von Anzahl KN 1c
Teil von Nenner KN: 3c, 6, 7</t>
        </r>
      </text>
    </comment>
    <comment ref="O46" authorId="0">
      <text>
        <r>
          <rPr>
            <sz val="9"/>
            <color indexed="81"/>
            <rFont val="Arial"/>
            <family val="2"/>
          </rPr>
          <t>Teil von Anzahl KN 1c
Teil von Nenner KN: 3c, 6, 7</t>
        </r>
      </text>
    </comment>
    <comment ref="O53" authorId="0">
      <text>
        <r>
          <rPr>
            <sz val="9"/>
            <color indexed="81"/>
            <rFont val="Arial"/>
            <family val="2"/>
          </rPr>
          <t>Anzahl KN: 9</t>
        </r>
      </text>
    </comment>
  </commentList>
</comments>
</file>

<file path=xl/comments2.xml><?xml version="1.0" encoding="utf-8"?>
<comments xmlns="http://schemas.openxmlformats.org/spreadsheetml/2006/main">
  <authors>
    <author>OnkoZert</author>
    <author>Florina</author>
  </authors>
  <commentList>
    <comment ref="F6" authorId="0">
      <text>
        <r>
          <rPr>
            <sz val="9"/>
            <color indexed="81"/>
            <rFont val="Arial"/>
            <family val="2"/>
          </rPr>
          <t>Übertrag erfolgt aus Tabellenblatt Basisdaten</t>
        </r>
      </text>
    </comment>
    <comment ref="F8" authorId="0">
      <text>
        <r>
          <rPr>
            <sz val="9"/>
            <color indexed="81"/>
            <rFont val="Arial"/>
            <family val="2"/>
          </rPr>
          <t>Übertrag erfolgt aus Tabellenblatt Basisdaten</t>
        </r>
      </text>
    </comment>
    <comment ref="K8" authorId="0">
      <text>
        <r>
          <rPr>
            <sz val="9"/>
            <color indexed="81"/>
            <rFont val="Arial"/>
            <family val="2"/>
          </rPr>
          <t>Übertrag erfolgt aus Tabellenblatt Basisdaten</t>
        </r>
      </text>
    </comment>
    <comment ref="B10" authorId="0">
      <text>
        <r>
          <rPr>
            <sz val="9"/>
            <color indexed="81"/>
            <rFont val="Arial"/>
            <family val="2"/>
          </rPr>
          <t>KN = Kennzahl</t>
        </r>
      </text>
    </comment>
    <comment ref="D10" authorId="0">
      <text>
        <r>
          <rPr>
            <sz val="9"/>
            <color indexed="81"/>
            <rFont val="Arial"/>
            <family val="2"/>
          </rPr>
          <t>EB = Erhebungsbogen
LL = Leitlinie (www.leitlinienprogramm-onkologie.de)</t>
        </r>
      </text>
    </comment>
    <comment ref="P10" authorId="0">
      <text>
        <r>
          <rPr>
            <sz val="9"/>
            <color indexed="81"/>
            <rFont val="Arial"/>
            <family val="2"/>
          </rPr>
          <t>Bitte zuerst Tabellenblatt Basisdaten komplett bearbeiten, 
dann graue Felder Ist-Werte ausfüllen.</t>
        </r>
      </text>
    </comment>
    <comment ref="S11" authorId="0">
      <text>
        <r>
          <rPr>
            <sz val="9"/>
            <color indexed="81"/>
            <rFont val="Arial"/>
            <family val="2"/>
          </rPr>
          <t>Wenn Zelle grau, bitte Begründung angeben.</t>
        </r>
      </text>
    </comment>
    <comment ref="Q12" authorId="0">
      <text>
        <r>
          <rPr>
            <sz val="9"/>
            <color indexed="81"/>
            <rFont val="Arial"/>
            <family val="2"/>
          </rPr>
          <t>Übertrag erfolgt aus Tabellenblatt Basisdaten
Zelle O40</t>
        </r>
      </text>
    </comment>
    <comment ref="Q15" authorId="0">
      <text>
        <r>
          <rPr>
            <sz val="9"/>
            <color indexed="81"/>
            <rFont val="Arial"/>
            <family val="2"/>
          </rPr>
          <t>Übertrag erfolgt aus Tabellenblatt Basisdaten
Zelle O33</t>
        </r>
      </text>
    </comment>
    <comment ref="Q18" authorId="0">
      <text>
        <r>
          <rPr>
            <sz val="9"/>
            <color indexed="81"/>
            <rFont val="Arial"/>
            <family val="2"/>
          </rPr>
          <t>Übertrag erfolgt aus Tabellenblatt Basisdaten
Zelle O34</t>
        </r>
      </text>
    </comment>
    <comment ref="Q21" authorId="0">
      <text>
        <r>
          <rPr>
            <sz val="9"/>
            <color indexed="81"/>
            <rFont val="Arial"/>
            <family val="2"/>
          </rPr>
          <t>Übertrag erfolgt aus Tabellenblatt Basisdaten
Zelle O35</t>
        </r>
      </text>
    </comment>
    <comment ref="Q24" authorId="1">
      <text>
        <r>
          <rPr>
            <sz val="9"/>
            <color indexed="81"/>
            <rFont val="Arial"/>
            <family val="2"/>
          </rPr>
          <t>Übertrag erfolgt aus Tabellenblatt Basisdaten
Zelle O45 + O46</t>
        </r>
      </text>
    </comment>
    <comment ref="Q28" authorId="0">
      <text>
        <r>
          <rPr>
            <sz val="9"/>
            <color indexed="81"/>
            <rFont val="Arial"/>
            <family val="2"/>
          </rPr>
          <t>Leistungserbringer Urologie</t>
        </r>
      </text>
    </comment>
    <comment ref="Q31" authorId="0">
      <text>
        <r>
          <rPr>
            <sz val="9"/>
            <color indexed="81"/>
            <rFont val="Arial"/>
            <family val="2"/>
          </rPr>
          <t>Leistungserbringer Strahlentherapie</t>
        </r>
      </text>
    </comment>
    <comment ref="Q40" authorId="0">
      <text>
        <r>
          <rPr>
            <sz val="9"/>
            <color indexed="81"/>
            <rFont val="Arial"/>
            <family val="2"/>
          </rPr>
          <t>Übertrag erfolgt aus Tabellenblatt Basisdaten
Zelle O45 + O46</t>
        </r>
      </text>
    </comment>
    <comment ref="Q42" authorId="0">
      <text>
        <r>
          <rPr>
            <sz val="9"/>
            <color indexed="81"/>
            <rFont val="Arial"/>
            <family val="2"/>
          </rPr>
          <t>Übertrag erfolgt aus Tabellenblatt Basisdaten
Zelle D33</t>
        </r>
      </text>
    </comment>
    <comment ref="Q43" authorId="0">
      <text>
        <r>
          <rPr>
            <sz val="9"/>
            <color indexed="81"/>
            <rFont val="Arial"/>
            <family val="2"/>
          </rPr>
          <t>Übertrag erfolgt aus Tabellenblatt Basisdaten
Zelle O33</t>
        </r>
      </text>
    </comment>
    <comment ref="Q46" authorId="0">
      <text>
        <r>
          <rPr>
            <sz val="9"/>
            <color indexed="81"/>
            <rFont val="Arial"/>
            <family val="2"/>
          </rPr>
          <t>Übertrag erfolgt aus Tabellenblatt Basisdaten
Zelle I35</t>
        </r>
      </text>
    </comment>
    <comment ref="Q49" authorId="0">
      <text>
        <r>
          <rPr>
            <sz val="9"/>
            <color indexed="81"/>
            <rFont val="Arial"/>
            <family val="2"/>
          </rPr>
          <t>Anzahl KN 1a + Anzahl KN 1c</t>
        </r>
      </text>
    </comment>
    <comment ref="Q52" authorId="0">
      <text>
        <r>
          <rPr>
            <sz val="9"/>
            <color indexed="81"/>
            <rFont val="Arial"/>
            <family val="2"/>
          </rPr>
          <t>Anzahl KN 1a + Anzahl KN 1c</t>
        </r>
      </text>
    </comment>
    <comment ref="Q54" authorId="0">
      <text>
        <r>
          <rPr>
            <sz val="9"/>
            <color indexed="81"/>
            <rFont val="Arial"/>
            <family val="2"/>
          </rPr>
          <t>Der Zähler ist keine Teilmenge des Nenners.</t>
        </r>
      </text>
    </comment>
    <comment ref="Q55" authorId="0">
      <text>
        <r>
          <rPr>
            <sz val="9"/>
            <color indexed="81"/>
            <rFont val="Arial"/>
            <family val="2"/>
          </rPr>
          <t>Übertrag erfolgt aus Tabellenblatt Basisdaten
Zelle O40</t>
        </r>
      </text>
    </comment>
    <comment ref="Q57" authorId="0">
      <text>
        <r>
          <rPr>
            <sz val="9"/>
            <color indexed="81"/>
            <rFont val="Arial"/>
            <family val="2"/>
          </rPr>
          <t>Übertrag erfolgt aus Tabellenblatt Basisdaten
Zelle O53</t>
        </r>
      </text>
    </comment>
    <comment ref="Q63" authorId="0">
      <text>
        <r>
          <rPr>
            <sz val="9"/>
            <color indexed="81"/>
            <rFont val="Arial"/>
            <family val="2"/>
          </rPr>
          <t>Übertrag erfolgt aus Tabellenblatt Basisdaten
Zelle I40</t>
        </r>
      </text>
    </comment>
    <comment ref="Q64" authorId="0">
      <text>
        <r>
          <rPr>
            <sz val="9"/>
            <color indexed="81"/>
            <rFont val="Arial"/>
            <family val="2"/>
          </rPr>
          <t>Übertrag erfolgt aus Tabellenblatt Basisdaten
Zelle O40</t>
        </r>
      </text>
    </comment>
    <comment ref="Q66" authorId="0">
      <text>
        <r>
          <rPr>
            <sz val="9"/>
            <color indexed="81"/>
            <rFont val="Arial"/>
            <family val="2"/>
          </rPr>
          <t>Wenn Therapieform nicht durchgeführt bitte 0 eintragen.</t>
        </r>
      </text>
    </comment>
    <comment ref="Q69" authorId="0">
      <text>
        <r>
          <rPr>
            <sz val="9"/>
            <color indexed="81"/>
            <rFont val="Arial"/>
            <family val="2"/>
          </rPr>
          <t>Übertrag erfolgt aus Tabellenblatt Basisdaten
Zelle K40</t>
        </r>
      </text>
    </comment>
    <comment ref="Q70" authorId="0">
      <text>
        <r>
          <rPr>
            <sz val="9"/>
            <color indexed="81"/>
            <rFont val="Arial"/>
            <family val="2"/>
          </rPr>
          <t>Übertrag erfolgt aus Tabellenblatt Basisdaten
Zelle O40</t>
        </r>
      </text>
    </comment>
  </commentList>
</comments>
</file>

<file path=xl/comments3.xml><?xml version="1.0" encoding="utf-8"?>
<comments xmlns="http://schemas.openxmlformats.org/spreadsheetml/2006/main">
  <authors>
    <author>OnkoZert - Christine Keller</author>
  </authors>
  <commentList>
    <comment ref="H27" authorId="0">
      <text>
        <r>
          <rPr>
            <b/>
            <sz val="9"/>
            <color indexed="81"/>
            <rFont val="Tahoma"/>
            <family val="2"/>
          </rPr>
          <t>OnkoZert - Christine Keller:</t>
        </r>
        <r>
          <rPr>
            <sz val="9"/>
            <color indexed="81"/>
            <rFont val="Tahoma"/>
            <family val="2"/>
          </rPr>
          <t xml:space="preserve">
Angabe aus KB übernommen.</t>
        </r>
      </text>
    </comment>
  </commentList>
</comments>
</file>

<file path=xl/comments4.xml><?xml version="1.0" encoding="utf-8"?>
<comments xmlns="http://schemas.openxmlformats.org/spreadsheetml/2006/main">
  <authors>
    <author>OnkoZert</author>
  </authors>
  <commentList>
    <comment ref="D6" authorId="0">
      <text>
        <r>
          <rPr>
            <sz val="9"/>
            <color indexed="81"/>
            <rFont val="Arial"/>
            <family val="2"/>
          </rPr>
          <t>Übertrag erfolgt aus Tabellenblatt Basisdaten</t>
        </r>
        <r>
          <rPr>
            <sz val="9"/>
            <color indexed="81"/>
            <rFont val="Tahoma"/>
            <family val="2"/>
          </rPr>
          <t xml:space="preserve">
</t>
        </r>
      </text>
    </comment>
    <comment ref="D8" authorId="0">
      <text>
        <r>
          <rPr>
            <sz val="9"/>
            <color indexed="81"/>
            <rFont val="Arial"/>
            <family val="2"/>
          </rPr>
          <t>Übertrag erfolgt aus Tabellenblatt Basisdaten</t>
        </r>
      </text>
    </comment>
    <comment ref="K8" authorId="0">
      <text>
        <r>
          <rPr>
            <sz val="9"/>
            <color indexed="81"/>
            <rFont val="Arial"/>
            <family val="2"/>
          </rPr>
          <t>Übertrag erfolgt aus Tabellenblatt Basisdaten</t>
        </r>
      </text>
    </comment>
  </commentList>
</comments>
</file>

<file path=xl/comments5.xml><?xml version="1.0" encoding="utf-8"?>
<comments xmlns="http://schemas.openxmlformats.org/spreadsheetml/2006/main">
  <authors>
    <author>OnkoZert</author>
  </authors>
  <commentList>
    <comment ref="C6" authorId="0">
      <text>
        <r>
          <rPr>
            <sz val="9"/>
            <color indexed="81"/>
            <rFont val="Arial"/>
            <family val="2"/>
          </rPr>
          <t>Übertrag erfolgt aus Tabellenblatt Basisdaten</t>
        </r>
      </text>
    </comment>
    <comment ref="C8" authorId="0">
      <text>
        <r>
          <rPr>
            <sz val="9"/>
            <color indexed="81"/>
            <rFont val="Arial"/>
            <family val="2"/>
          </rPr>
          <t>Übertrag erfolgt aus Tabellenblatt Basisdaten</t>
        </r>
        <r>
          <rPr>
            <sz val="9"/>
            <color indexed="81"/>
            <rFont val="Tahoma"/>
            <family val="2"/>
          </rPr>
          <t xml:space="preserve">
</t>
        </r>
      </text>
    </comment>
    <comment ref="K8" authorId="0">
      <text>
        <r>
          <rPr>
            <sz val="9"/>
            <color indexed="81"/>
            <rFont val="Arial"/>
            <family val="2"/>
          </rPr>
          <t>Übertrag erfolgt aus Tabellenblatt Basisdaten</t>
        </r>
        <r>
          <rPr>
            <sz val="9"/>
            <color indexed="81"/>
            <rFont val="Tahoma"/>
            <family val="2"/>
          </rPr>
          <t xml:space="preserve">
</t>
        </r>
      </text>
    </comment>
    <comment ref="G26" authorId="0">
      <text>
        <r>
          <rPr>
            <sz val="9"/>
            <color indexed="81"/>
            <rFont val="Arial"/>
            <family val="2"/>
          </rPr>
          <t>Voraussetzung REDZYK mind. 80,0%</t>
        </r>
      </text>
    </comment>
  </commentList>
</comments>
</file>

<file path=xl/comments6.xml><?xml version="1.0" encoding="utf-8"?>
<comments xmlns="http://schemas.openxmlformats.org/spreadsheetml/2006/main">
  <authors>
    <author>OnkoZert</author>
  </authors>
  <commentList>
    <comment ref="C6" authorId="0">
      <text>
        <r>
          <rPr>
            <sz val="9"/>
            <color indexed="81"/>
            <rFont val="Arial"/>
            <family val="2"/>
          </rPr>
          <t>Übertrag erfolgt aus Tabellenblatt Basisdaten</t>
        </r>
      </text>
    </comment>
    <comment ref="C8" authorId="0">
      <text>
        <r>
          <rPr>
            <sz val="9"/>
            <color indexed="81"/>
            <rFont val="Arial"/>
            <family val="2"/>
          </rPr>
          <t>Übertrag erfolgt aus Tabellenblatt Basisdaten</t>
        </r>
      </text>
    </comment>
    <comment ref="G8" authorId="0">
      <text>
        <r>
          <rPr>
            <sz val="9"/>
            <color indexed="81"/>
            <rFont val="Arial"/>
            <family val="2"/>
          </rPr>
          <t>Übertrag erfolgt aus Tabellenblatt Basisdaten</t>
        </r>
        <r>
          <rPr>
            <sz val="9"/>
            <color indexed="81"/>
            <rFont val="Tahoma"/>
            <family val="2"/>
          </rPr>
          <t xml:space="preserve">
</t>
        </r>
      </text>
    </comment>
    <comment ref="C14" authorId="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<sst xmlns="http://schemas.openxmlformats.org/spreadsheetml/2006/main" count="1853" uniqueCount="1092">
  <si>
    <t>Nr.</t>
  </si>
  <si>
    <t>Kennzahlenziel</t>
  </si>
  <si>
    <t>Zähler</t>
  </si>
  <si>
    <t>Sollvorgabe</t>
  </si>
  <si>
    <t>Nenner</t>
  </si>
  <si>
    <t>%</t>
  </si>
  <si>
    <t>Primärfälle</t>
  </si>
  <si>
    <t>Siehe Sollvorgabe</t>
  </si>
  <si>
    <t>Anzahl</t>
  </si>
  <si>
    <t>Psychoonkologische Betreuung</t>
  </si>
  <si>
    <t>Beratung Sozialdienst</t>
  </si>
  <si>
    <t>Adäquate Rate an psychoonkologischer Betreuung</t>
  </si>
  <si>
    <t>Adäquate Rate an Beratung durch Sozialdienst</t>
  </si>
  <si>
    <t>Sollvorgabe nicht erfüllt</t>
  </si>
  <si>
    <t>F</t>
  </si>
  <si>
    <t>I</t>
  </si>
  <si>
    <t>Summe</t>
  </si>
  <si>
    <t>Quote</t>
  </si>
  <si>
    <t>Reg.-Nr.</t>
  </si>
  <si>
    <t>Bundesland</t>
  </si>
  <si>
    <t>Universitätsstatus</t>
  </si>
  <si>
    <t>Thüringen</t>
  </si>
  <si>
    <t>GTDS</t>
  </si>
  <si>
    <t>Tumorzentrum Erfurt</t>
  </si>
  <si>
    <t>Tumordokumentationssystem</t>
  </si>
  <si>
    <t>KIS-Erweiterung</t>
  </si>
  <si>
    <t>Comprehensive Cancer Center Tübingen</t>
  </si>
  <si>
    <t>Comprehensive Cancer Center Ulm</t>
  </si>
  <si>
    <t>Kassenärztliche Vereinigung Niedersachsen</t>
  </si>
  <si>
    <t>Onkol. Schwerpunkt Ludwigsburg-Bietigheim</t>
  </si>
  <si>
    <t>Onkologischer Schwerpunkt Konstanz-Singen</t>
  </si>
  <si>
    <t>Onkologischer Schwerpunkt Ortenaukreis</t>
  </si>
  <si>
    <t>Onkologischer Schwerpunkt Stuttgart</t>
  </si>
  <si>
    <t>Tumorzentrum Augsburg</t>
  </si>
  <si>
    <t>Tumorzentrum Erlangen-Nürnberg</t>
  </si>
  <si>
    <t>Tumorzentrum Gera</t>
  </si>
  <si>
    <t>Tumorzentrum Halle</t>
  </si>
  <si>
    <t>Tumorzentrum Jena</t>
  </si>
  <si>
    <t>Tumorzentrum Leipzig</t>
  </si>
  <si>
    <t>Tumorzentrum Magdeburg</t>
  </si>
  <si>
    <t>Tumorzentrum Marburg</t>
  </si>
  <si>
    <t>Tumorzentrum München</t>
  </si>
  <si>
    <t>Tumorzentrum Regensburg</t>
  </si>
  <si>
    <t>Tumorzentrum Rheinland-Pfalz</t>
  </si>
  <si>
    <t>Universitär</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</si>
  <si>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</si>
  <si>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</si>
  <si>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</si>
  <si>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</si>
  <si>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</si>
  <si>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</si>
  <si>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</si>
  <si>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</si>
  <si>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</si>
  <si>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</si>
  <si>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</si>
  <si>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</si>
  <si>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</si>
  <si>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</si>
  <si>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</si>
  <si>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</si>
  <si>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</si>
  <si>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</si>
  <si>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</si>
  <si>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</si>
  <si>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</si>
  <si>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</si>
  <si>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</si>
  <si>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</si>
  <si>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</si>
  <si>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</si>
  <si>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</si>
  <si>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</si>
  <si>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</si>
  <si>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</si>
  <si>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 Angabe</t>
  </si>
  <si>
    <t>Tumorzentrum Zwickau</t>
  </si>
  <si>
    <t>Italien</t>
  </si>
  <si>
    <t xml:space="preserve"> </t>
  </si>
  <si>
    <t>Eigenentwicklung (MS Excel, MS Access etc.)</t>
  </si>
  <si>
    <t>KRAZTUR</t>
  </si>
  <si>
    <t>Kennzahlenbogen</t>
  </si>
  <si>
    <t>Erstelldatum</t>
  </si>
  <si>
    <t>Plausibilität unklar</t>
  </si>
  <si>
    <t>Verifizierung Zentrum</t>
  </si>
  <si>
    <t xml:space="preserve">Reg.-Nr. </t>
  </si>
  <si>
    <t>Erstzertifizierung</t>
  </si>
  <si>
    <t>Datenqualität Kennzahlen</t>
  </si>
  <si>
    <t>Grundgesamtheit 
(= Nenner)</t>
  </si>
  <si>
    <t>L</t>
  </si>
  <si>
    <t>Follow-Up-Meldungen</t>
  </si>
  <si>
    <t>I.O.</t>
  </si>
  <si>
    <t>I.O. (Plausibilität unklar)</t>
  </si>
  <si>
    <t>Pflicht Berechnung</t>
  </si>
  <si>
    <t>Optional Berechnung</t>
  </si>
  <si>
    <t>optional - I.O.</t>
  </si>
  <si>
    <t>optional - I.O. (Plausibilität unklar)</t>
  </si>
  <si>
    <t>optional - Sollvorgabe nicht erfüllt</t>
  </si>
  <si>
    <t>optional - unvollständig</t>
  </si>
  <si>
    <t>optional - inkorrekt</t>
  </si>
  <si>
    <t>In Ordnung</t>
  </si>
  <si>
    <t>Plausibel</t>
  </si>
  <si>
    <t>Inkorrekt</t>
  </si>
  <si>
    <t>Fehlerhaft</t>
  </si>
  <si>
    <t>Unvollständig</t>
  </si>
  <si>
    <t>kein Eintrag</t>
  </si>
  <si>
    <t>n.d.</t>
  </si>
  <si>
    <t>Bearbeitungs-qualität</t>
  </si>
  <si>
    <t>DFS</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</si>
  <si>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</si>
  <si>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</si>
  <si>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</si>
  <si>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</si>
  <si>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</si>
  <si>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</si>
  <si>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</si>
  <si>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</si>
  <si>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</si>
  <si>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</si>
  <si>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</si>
  <si>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geringe Follow-Up-Quote</t>
  </si>
  <si>
    <t>untere Grenze</t>
  </si>
  <si>
    <t>obere Grenze</t>
  </si>
  <si>
    <t>Werte</t>
  </si>
  <si>
    <t>Texte</t>
  </si>
  <si>
    <t>von</t>
  </si>
  <si>
    <t>ART</t>
  </si>
  <si>
    <t>plausi</t>
  </si>
  <si>
    <t>sollvorgabe</t>
  </si>
  <si>
    <t>unvollständig</t>
  </si>
  <si>
    <t>Liste zum Übertragen</t>
  </si>
  <si>
    <t>Kalenderjahr(e) 
(Erstdiagnose)</t>
  </si>
  <si>
    <t>Länge</t>
  </si>
  <si>
    <t xml:space="preserve">Fehlermeldungen </t>
  </si>
  <si>
    <t>Kommentare</t>
  </si>
  <si>
    <t>Wenn Zelle farbig, bitte Begründung angeben.</t>
  </si>
  <si>
    <t>durchschnittliche Follow-Up-Quote &gt; 95%</t>
  </si>
  <si>
    <t>Wert</t>
  </si>
  <si>
    <t>Erläuterung</t>
  </si>
  <si>
    <t>relevant</t>
  </si>
  <si>
    <t>Zentrum</t>
  </si>
  <si>
    <t>Standort</t>
  </si>
  <si>
    <t>Matrix kann eingereicht werden</t>
  </si>
  <si>
    <t>Einrichtung 1</t>
  </si>
  <si>
    <t>Status</t>
  </si>
  <si>
    <t>Land</t>
  </si>
  <si>
    <t>Nebenstandort</t>
  </si>
  <si>
    <t>Phase</t>
  </si>
  <si>
    <t>Audit Start</t>
  </si>
  <si>
    <t>Audit Ende</t>
  </si>
  <si>
    <t>Deutschland</t>
  </si>
  <si>
    <t>Universitätsklinikum Ulm</t>
  </si>
  <si>
    <t>St.-Antonius-Hospital Eschweiler</t>
  </si>
  <si>
    <t>Phase 2012</t>
  </si>
  <si>
    <t>Phase 2013</t>
  </si>
  <si>
    <t>Universitätsklinikum Carl Gustav Carus</t>
  </si>
  <si>
    <t>imland Klinik Rendsburg</t>
  </si>
  <si>
    <t>Klinikum Memmingen</t>
  </si>
  <si>
    <t>Klinikum Ludwigsburg</t>
  </si>
  <si>
    <t>Universitätsklinikum Jena</t>
  </si>
  <si>
    <t>Klinikum Fulda gAG</t>
  </si>
  <si>
    <t>Hegau-Bodensee-Klinikum Singen</t>
  </si>
  <si>
    <t>UniversitätsSpital Zürich</t>
  </si>
  <si>
    <t>die inkorrekten und unvollständigen Einträge beheben</t>
  </si>
  <si>
    <t>Zellen müssen nicht ausgefüllt werden</t>
  </si>
  <si>
    <t>OnkoNet</t>
  </si>
  <si>
    <t>NUK</t>
  </si>
  <si>
    <t>FAP-Z004</t>
  </si>
  <si>
    <t>Prostatakarzinomzentrum Zeisigwaldkliniken Bethanien</t>
  </si>
  <si>
    <t>Zeisigwaldkliniken Bethanien Chemnitz</t>
  </si>
  <si>
    <t>Kliniken Maria Hilf GmbH</t>
  </si>
  <si>
    <t>FAP-Z007</t>
  </si>
  <si>
    <t>FAP-Z008</t>
  </si>
  <si>
    <t>FAP-Z009</t>
  </si>
  <si>
    <t>Prostatakarzinomzentrum am Krankenhaus Nordwest</t>
  </si>
  <si>
    <t>Prostatakarzinomzentrum Martini-Klinik am UKE</t>
  </si>
  <si>
    <t>FAP-Z011</t>
  </si>
  <si>
    <t>Prostatakarzinomzentrum Offenburg</t>
  </si>
  <si>
    <t>FAP-Z012</t>
  </si>
  <si>
    <t>Prostatakarzinomzentrum Nordoberpfalz</t>
  </si>
  <si>
    <t>FAP-Z013</t>
  </si>
  <si>
    <t>Prostatakarzinomzentrum Region Landshut</t>
  </si>
  <si>
    <t>Klinikum Landshut</t>
  </si>
  <si>
    <t>FAP-Z014</t>
  </si>
  <si>
    <t>Prostatakarzinomzentrum Rheinpfalz</t>
  </si>
  <si>
    <t>Prostatakarzinomzentrum Klinikum Fulda</t>
  </si>
  <si>
    <t>FAP-Z016</t>
  </si>
  <si>
    <t>Prostatakarzinomzentrum Südthüringen</t>
  </si>
  <si>
    <t>FAP-Z017-1</t>
  </si>
  <si>
    <t>Charité - Campus Benjamin-Franklin</t>
  </si>
  <si>
    <t>FAP-Z018</t>
  </si>
  <si>
    <t>Prostatakarzinomzentrum Sigmaringen</t>
  </si>
  <si>
    <t>FAP-Z022</t>
  </si>
  <si>
    <t>Prostatakarzinomzentrum am Diakonie-Klinikum Stuttgart</t>
  </si>
  <si>
    <t>Diakonie-Klinikum Stuttgart</t>
  </si>
  <si>
    <t>FAP-Z023</t>
  </si>
  <si>
    <t>Prostatakarzinomzentrum Vinzenzkrankenhaus Hannover</t>
  </si>
  <si>
    <t>FAP-Z025</t>
  </si>
  <si>
    <t>Prostatakarzinomzentrum Tauber-Franken</t>
  </si>
  <si>
    <t>Caritas Krankenhaus Bad Mergentheim</t>
  </si>
  <si>
    <t>FAP-Z026</t>
  </si>
  <si>
    <t>FAP-Z027</t>
  </si>
  <si>
    <t>Prostatakarzinomzentrum Ahaus</t>
  </si>
  <si>
    <t>St. Marien-Krankenhaus Ahaus</t>
  </si>
  <si>
    <t>FAP-Z028</t>
  </si>
  <si>
    <t>Prostatakarzinomzentrum Marburg im Comprehensive Cancer Center (CCC) Marburg</t>
  </si>
  <si>
    <t>Universitätsklinikum Gießen und Marburg GmbH, Standort Marburg</t>
  </si>
  <si>
    <t>FAP-Z029</t>
  </si>
  <si>
    <t>Prostatazentrum Memmingen</t>
  </si>
  <si>
    <t>Prostatakarzinomzentrum Hegau-Bodensee</t>
  </si>
  <si>
    <t>FAP-Z032</t>
  </si>
  <si>
    <t>Prostatakarzinomzentrum Ostvest</t>
  </si>
  <si>
    <t>St. Vincenz-Krankenhaus Datteln</t>
  </si>
  <si>
    <t>FAP-Z033</t>
  </si>
  <si>
    <t>Prostatakarzinomzentrum Martha-Maria Halle-Dölau</t>
  </si>
  <si>
    <t>FAP-Z034</t>
  </si>
  <si>
    <t>Prostatazentrum im Friederikenstift</t>
  </si>
  <si>
    <t>FAP-Z035</t>
  </si>
  <si>
    <t>Universitätsklinikum Schleswig-Holstein, Campus Kiel</t>
  </si>
  <si>
    <t>FAP-Z038</t>
  </si>
  <si>
    <t>Prostatakarzinomzentrum Klinikum Dortmund</t>
  </si>
  <si>
    <t>FAP-Z039</t>
  </si>
  <si>
    <t>Interdisziplinäres Prostatakarzinomzentrum Nagold</t>
  </si>
  <si>
    <t>FAP-Z040</t>
  </si>
  <si>
    <t>Universitäts-Prostatakarzinomzentrum Erlangen</t>
  </si>
  <si>
    <t>FAP-Z042</t>
  </si>
  <si>
    <t>Prostatakarzinomzentrum Dresden-Friedrichstadt</t>
  </si>
  <si>
    <t>FAP-Z043</t>
  </si>
  <si>
    <t>Prostatakarzinomzentrum Klinikum Stuttgart</t>
  </si>
  <si>
    <t>Klinikum Stuttgart, Katharinenhospital</t>
  </si>
  <si>
    <t>FAP-Z044</t>
  </si>
  <si>
    <t>FAP-Z045</t>
  </si>
  <si>
    <t>Prostatazentrum Klinikum Worms</t>
  </si>
  <si>
    <t>FAP-Z048</t>
  </si>
  <si>
    <t>Prostatakarzinomzentrum Nordwest Gronau</t>
  </si>
  <si>
    <t>FAP-Z049</t>
  </si>
  <si>
    <t>Prostatakarzinomzentrum Gütersloh</t>
  </si>
  <si>
    <t>FAP-Z050</t>
  </si>
  <si>
    <t>Prostatakarzinomzentrum Ingolstadt</t>
  </si>
  <si>
    <t>FAP-Z051</t>
  </si>
  <si>
    <t>Prostatakarzinomzentrum Trier</t>
  </si>
  <si>
    <t>Krankenhaus der Barmherzigen Brüder</t>
  </si>
  <si>
    <t>FAP-Z054</t>
  </si>
  <si>
    <t>Prostatakarzinomzentrum Ludwigsburg</t>
  </si>
  <si>
    <t>Prostatakarzinomzentrum Straubing</t>
  </si>
  <si>
    <t>FAP-Z057</t>
  </si>
  <si>
    <t>Prostatakarzinomzentrum Villingen-Schwenningen</t>
  </si>
  <si>
    <t>FAP-Z058</t>
  </si>
  <si>
    <t>Prostatakarzinomzentrum Wesermünde</t>
  </si>
  <si>
    <t>FAP-Z059</t>
  </si>
  <si>
    <t>FAP-Z062</t>
  </si>
  <si>
    <t>Brüderkrankenhaus St. Josef Paderborn</t>
  </si>
  <si>
    <t>FAP-Z068</t>
  </si>
  <si>
    <t>Prostatazentrum Wolfsburg</t>
  </si>
  <si>
    <t>FAP-Z069</t>
  </si>
  <si>
    <t>Prostatakarzinomzentrum Luckenwalde</t>
  </si>
  <si>
    <t>Prostatakarzinomzentrum Ulm</t>
  </si>
  <si>
    <t>Caritas-Krankenhaus St. Josef</t>
  </si>
  <si>
    <t>Katholisches Krankenhaus St. Johann Nepomuk Erfurt</t>
  </si>
  <si>
    <t>FAP-Z076</t>
  </si>
  <si>
    <t>Prostatakarzinomzentrum imland Klinik Rendsburg</t>
  </si>
  <si>
    <t>Prostatakarzinomzentrum Klinikum Großburgwedel</t>
  </si>
  <si>
    <t>KRH Klinikum Großburgwedel</t>
  </si>
  <si>
    <t>FAP-Z080</t>
  </si>
  <si>
    <t>Prostatakarzinomzentrum im Carl-Thiem-Klinikum Cottbus</t>
  </si>
  <si>
    <t>Carl-Thiem-Klinikum Cottbus gGmbH</t>
  </si>
  <si>
    <t>FAP-Z083</t>
  </si>
  <si>
    <t>Prostatakrebszentrum Jena</t>
  </si>
  <si>
    <t>FAP-Z084</t>
  </si>
  <si>
    <t>Universitätsklinikum Leipzig AöR</t>
  </si>
  <si>
    <t>FAP-Z087</t>
  </si>
  <si>
    <t>Prostatakarzinomzentrum Braunschweig</t>
  </si>
  <si>
    <t>Städtisches Klinikum Braunschweig</t>
  </si>
  <si>
    <t>FAP-Z088</t>
  </si>
  <si>
    <t>FAP-Z089</t>
  </si>
  <si>
    <t>Prostatakarzinomzentrum Rostock</t>
  </si>
  <si>
    <t>Prostatakarzinomzentrum Mannheim</t>
  </si>
  <si>
    <t>FAP-Z092</t>
  </si>
  <si>
    <t>Prostatakarzinomzentrum Fürth</t>
  </si>
  <si>
    <t>Klinikum Fürth</t>
  </si>
  <si>
    <t>FAP-Z094</t>
  </si>
  <si>
    <t>Prostatakrebszentrum Lüneburg</t>
  </si>
  <si>
    <t>FAP-Z095</t>
  </si>
  <si>
    <t>Prostatakarzinomzentrum Koblenz-Mittelrhein</t>
  </si>
  <si>
    <t>Bundeswehrzentralkrankenhaus Koblenz</t>
  </si>
  <si>
    <t>FAP-Z097</t>
  </si>
  <si>
    <t>Universitätsklinikum Münster</t>
  </si>
  <si>
    <t>Prostatakarzinomzentrum an der UMG</t>
  </si>
  <si>
    <t>Universitätsmedizin Greifswald</t>
  </si>
  <si>
    <t>Anzahl Primärfälle</t>
  </si>
  <si>
    <t>DFS (Disease Free Survival) absolut</t>
  </si>
  <si>
    <t>DFS (Disease Free Survival)  in %</t>
  </si>
  <si>
    <t>OAS (Overall Survival) absolut</t>
  </si>
  <si>
    <t>OAS (Overall Survival)  in %</t>
  </si>
  <si>
    <t>durchschnittliche Follow-Up-Quote &lt; 80%</t>
  </si>
  <si>
    <t>&lt; Follow-Up</t>
  </si>
  <si>
    <t>DFS auffällig niedrig</t>
  </si>
  <si>
    <t xml:space="preserve">OAS auffällig niedrig </t>
  </si>
  <si>
    <t xml:space="preserve">  </t>
  </si>
  <si>
    <t>1 a)</t>
  </si>
  <si>
    <t xml:space="preserve">Anzahl Primärfälle Prostatakarzinom </t>
  </si>
  <si>
    <t>Aufteilung Primärfälle mit lokal begrenztem Prostatakarzinom</t>
  </si>
  <si>
    <t>Anzahl Prostatektomien Zentrum</t>
  </si>
  <si>
    <t>Erfassung der R1 Resektionen bei pT2 c/pN0 oder Nx M0</t>
  </si>
  <si>
    <t>Definitive Strahlentherapie</t>
  </si>
  <si>
    <t>1a</t>
  </si>
  <si>
    <t>2b</t>
  </si>
  <si>
    <t>2a</t>
  </si>
  <si>
    <t>1b1</t>
  </si>
  <si>
    <t>1b2</t>
  </si>
  <si>
    <t>1b3</t>
  </si>
  <si>
    <t>3a</t>
  </si>
  <si>
    <t>3b</t>
  </si>
  <si>
    <t>Nicht universitär / Akademisches Lehrkrankenhaus</t>
  </si>
  <si>
    <t>1.2.1</t>
  </si>
  <si>
    <t>1.2.4</t>
  </si>
  <si>
    <t>1.4.4</t>
  </si>
  <si>
    <t>1.7.5</t>
  </si>
  <si>
    <t>5.2.1</t>
  </si>
  <si>
    <t>≥ 5%</t>
  </si>
  <si>
    <t>≥ 95%</t>
  </si>
  <si>
    <t>Zähler/ Anzahl</t>
  </si>
  <si>
    <t>FAP-Z081</t>
  </si>
  <si>
    <t>Prostatakarzinomzentrum Oberhausen Niederrhein</t>
  </si>
  <si>
    <t>Evangelisches und Johanniterkrankenhaus Oberhausen</t>
  </si>
  <si>
    <t>FAP-Z096</t>
  </si>
  <si>
    <t>Prostatakrebszentrum Bonn/Rhein-Sieg</t>
  </si>
  <si>
    <t>FAP-Z100</t>
  </si>
  <si>
    <t>FAP-Z102</t>
  </si>
  <si>
    <t>Kennzahl</t>
  </si>
  <si>
    <t>Art</t>
  </si>
  <si>
    <t>Zähler :</t>
  </si>
  <si>
    <t>1. Zähler muss eine positive ganze Zahl sein.</t>
  </si>
  <si>
    <t>2. Zähler kann nicht größer als Nenner sein.</t>
  </si>
  <si>
    <t>Nenner:</t>
  </si>
  <si>
    <t xml:space="preserve">1. Nenner muss eine positive ganze Zahl sein. </t>
  </si>
  <si>
    <t>2. Nenner kann nicht kleiner als Zähler sein.</t>
  </si>
  <si>
    <t>3. Zähler kann nicht größer sein als Anzahl Primärfälle.</t>
  </si>
  <si>
    <t>Zähler:</t>
  </si>
  <si>
    <t>Übertrag erfolgt aus Tabellenblatt Basisdaten.</t>
  </si>
  <si>
    <t>Übertag in Kennzahlenbogen und Matrix erfolgt automatisch.</t>
  </si>
  <si>
    <t>Vorstellung in der wöchentlichen prätherapeutischen Konferenz</t>
  </si>
  <si>
    <t>HDR-Brachytherapie
* Durchführung dieser Therapieform ist freiwillig!</t>
  </si>
  <si>
    <t>a</t>
  </si>
  <si>
    <t>b</t>
  </si>
  <si>
    <t>Texte Matrix Datenquali</t>
  </si>
  <si>
    <t>Fehlermeldungen Matrix</t>
  </si>
  <si>
    <t>Ganze Zahl zwischen 0 und 5000 eingeben.</t>
  </si>
  <si>
    <t>zu wenig Primärfälle angegeben</t>
  </si>
  <si>
    <t>DFS auffällig hoch</t>
  </si>
  <si>
    <t>OAS auffällig hoch</t>
  </si>
  <si>
    <t>DFS niedrig</t>
  </si>
  <si>
    <t>MATRIX- Hilfstabelle</t>
  </si>
  <si>
    <t>D</t>
  </si>
  <si>
    <t>G</t>
  </si>
  <si>
    <t>J</t>
  </si>
  <si>
    <t>M</t>
  </si>
  <si>
    <t>Tabelle Plausibilitätsabfragen:</t>
  </si>
  <si>
    <t>Tumordoku. liegt größtenteils beim Krebsregister</t>
  </si>
  <si>
    <t>Primärfälle &gt; pT3a und/oder R1 und/ oder pN+</t>
  </si>
  <si>
    <t>C</t>
  </si>
  <si>
    <t>Kennzahl-
definition</t>
  </si>
  <si>
    <t>Basisdaten Prostata</t>
  </si>
  <si>
    <t>Keine Zusammenarbeit</t>
  </si>
  <si>
    <t>Geringe / punktuelle Zusammenarbeit</t>
  </si>
  <si>
    <t>Intensive / regelmäßige Zusammenarbeit</t>
  </si>
  <si>
    <t xml:space="preserve">≥ 100 </t>
  </si>
  <si>
    <t>nicht relevant</t>
  </si>
  <si>
    <t>leere Zellen</t>
  </si>
  <si>
    <t>Nicht gelistet</t>
  </si>
  <si>
    <t>Unbekannt</t>
  </si>
  <si>
    <t>&gt; 80%</t>
  </si>
  <si>
    <t>Comprehensive Cancer Center Freiburg</t>
  </si>
  <si>
    <t>Bevölkerungsbezogenes Krebsregister Bayern</t>
  </si>
  <si>
    <t>Charité Comprehensive Cancer Center</t>
  </si>
  <si>
    <t>Gemeinsames Krebsregister Berlin-Brandenburg</t>
  </si>
  <si>
    <t>Krebsregister des Landes Bremen</t>
  </si>
  <si>
    <t>Hamburgisches Krebsregister</t>
  </si>
  <si>
    <t>Hessisches Krebsregister</t>
  </si>
  <si>
    <t>Tumorzentrum Neubrandenburg</t>
  </si>
  <si>
    <t>Epidemiologisches Krebsregister Niedersachsen</t>
  </si>
  <si>
    <t>Westdeutsches Tumorzentrum Essen</t>
  </si>
  <si>
    <t>Krebsregister Rheinland-Pfalz</t>
  </si>
  <si>
    <t>Epidemiologisches Krebsregister Saarland</t>
  </si>
  <si>
    <t>Tumorzentrum Chemnitz</t>
  </si>
  <si>
    <t>Tumorzentrum Anhalt</t>
  </si>
  <si>
    <t>klinisches Krebsregister Schleswig Holstein/Lübeck</t>
  </si>
  <si>
    <t>Tumorzentrum Altenburg</t>
  </si>
  <si>
    <t>Tumorzentrum Land Brandenburg</t>
  </si>
  <si>
    <t>Keine Anbindung an Klinisches Krebsregister</t>
  </si>
  <si>
    <t>Krebsregister Hessen</t>
  </si>
  <si>
    <t>Tumorzentrum Rostock</t>
  </si>
  <si>
    <t>Comprehensive Cancer Center Münster</t>
  </si>
  <si>
    <t>Tumorzentrum Koblenz</t>
  </si>
  <si>
    <t>Tumorzentrum Homburg</t>
  </si>
  <si>
    <t>Tumorzentrum Dresden</t>
  </si>
  <si>
    <t>Krebsregister Schleswig-Holstein</t>
  </si>
  <si>
    <t>Tumorzentrum Berlin-Buch</t>
  </si>
  <si>
    <t>GKR (Gemeinsames Krebsregister der Länder)</t>
  </si>
  <si>
    <t>Onkologischer Schwerpunkt Wiesbaden</t>
  </si>
  <si>
    <t>Tumorzentrum Schwerin</t>
  </si>
  <si>
    <t>Krebsregister Niedersachsen</t>
  </si>
  <si>
    <t xml:space="preserve">Epidemiologisches Krebsregister Münster </t>
  </si>
  <si>
    <t>Tumorzentrum Kiel</t>
  </si>
  <si>
    <t>Epidemiologisches Krebsregister Baden-Württemberg</t>
  </si>
  <si>
    <t>Tumorzentrum für Klinik &amp; Praxis in Berlin</t>
  </si>
  <si>
    <t>Tumorzentrum Kassel</t>
  </si>
  <si>
    <t>Tumorzentrum Vorpommern</t>
  </si>
  <si>
    <t>Tumorzentrum Göttingen</t>
  </si>
  <si>
    <t>Epidemiologisches Krebsregister NRW</t>
  </si>
  <si>
    <t>Tumorzentrum Südharz</t>
  </si>
  <si>
    <t>Krebsregister Baden-Württemberg</t>
  </si>
  <si>
    <t>Tumorzentrum Oberfranken</t>
  </si>
  <si>
    <t>Tumorzentrum Spandau</t>
  </si>
  <si>
    <t>Tumorzentrum Hannover</t>
  </si>
  <si>
    <t>Krebsregister NRW</t>
  </si>
  <si>
    <t>Tumorzentrum Suhl</t>
  </si>
  <si>
    <t>NCT Heidelberg</t>
  </si>
  <si>
    <t>Tumorzentrum Vivantes</t>
  </si>
  <si>
    <t>Onkologischer Schwerpunkt Hamm</t>
  </si>
  <si>
    <t>Onkol. Schwerpunkt Lörrach-Rheinfelden</t>
  </si>
  <si>
    <t>Tumorzentrum Würzburg</t>
  </si>
  <si>
    <t>Onkol. Schwerpunkt Villingen-Schwenningen</t>
  </si>
  <si>
    <t>Onkologischer Schwerpunkt Göppingen</t>
  </si>
  <si>
    <t>Onkologischer Schwerpunkt Heilbronn</t>
  </si>
  <si>
    <t>Onkologischer Schwerpunkt Karlsruhe</t>
  </si>
  <si>
    <t>Onkologischer Schwerpunkt Oberschwaben</t>
  </si>
  <si>
    <t>Onkologischer Schwerpunkt Ostwürttemberg</t>
  </si>
  <si>
    <t>Onkologischer Schwerpunkt Reutlingen</t>
  </si>
  <si>
    <t>-----</t>
  </si>
  <si>
    <t>B</t>
  </si>
  <si>
    <t>Angabe Primärfälle</t>
  </si>
  <si>
    <t>inkorrekt</t>
  </si>
  <si>
    <t>zu viele Patienten im Follow Up</t>
  </si>
  <si>
    <t>zu viele Patienten bei DFS absolut</t>
  </si>
  <si>
    <t>zu viele Patienten bei OAS absolut</t>
  </si>
  <si>
    <t>Spalte D</t>
  </si>
  <si>
    <t>Spalte F</t>
  </si>
  <si>
    <t>Kennzahlenbogen Prostata</t>
  </si>
  <si>
    <t>Kennzahlenbogen - Analyseprotokoll Datendefizite Prostata</t>
  </si>
  <si>
    <t>Matrix - Analyseprotokoll Datendefizite Prostata</t>
  </si>
  <si>
    <t>Matrix - Ergebnisqualität Prostata</t>
  </si>
  <si>
    <t>Spalte/ Zelle</t>
  </si>
  <si>
    <t>&lt; 0,01%</t>
  </si>
  <si>
    <t>Werte Spalte I "DFS absolut" müssen kleiner gleich sein als Spalte F "Patienten mit Follow-Up"</t>
  </si>
  <si>
    <t>Werte Spalte L "OAS absolut" müssen kleiner gleich sein als Spalte F "Patienten mit Follow-Up"</t>
  </si>
  <si>
    <t>Werte Spalte F "Patienten mit Follow-Up" müssen kleiner gleich sein als Spalte D "Anzahl Primärfälle"</t>
  </si>
  <si>
    <t>geringe Follow-Up Quote der Nachsorgejahre</t>
  </si>
  <si>
    <t>Alle relevanten Nachsorgejahre sind zu bearbeiten, abhängig vom Datum der Erstzertifizierung</t>
  </si>
  <si>
    <t>Geringe Follow-Up Quote der Nachsorgejahre</t>
  </si>
  <si>
    <t>&lt; 4%</t>
  </si>
  <si>
    <t>&lt; 50%</t>
  </si>
  <si>
    <t>x &lt; 50%</t>
  </si>
  <si>
    <t>J22</t>
  </si>
  <si>
    <t>J23</t>
  </si>
  <si>
    <t>x &lt; 60%</t>
  </si>
  <si>
    <t>x &lt; 70%</t>
  </si>
  <si>
    <t>x &lt; 80%</t>
  </si>
  <si>
    <t>M23</t>
  </si>
  <si>
    <t>x &lt; 90%</t>
  </si>
  <si>
    <t>x &lt; 60% || x = 100%</t>
  </si>
  <si>
    <t>x &lt; 70% || x = 100%</t>
  </si>
  <si>
    <t>x &lt; 80% || x = 100%</t>
  </si>
  <si>
    <t>x &lt; 90% || x = 100%</t>
  </si>
  <si>
    <t>M20</t>
  </si>
  <si>
    <t>M21</t>
  </si>
  <si>
    <t>M22</t>
  </si>
  <si>
    <t>OAS auffällig niedrig oder hoch</t>
  </si>
  <si>
    <t xml:space="preserve">OAS </t>
  </si>
  <si>
    <t>OAS 2011</t>
  </si>
  <si>
    <t xml:space="preserve">Nicht ausgefüllte Zellen von relevanten Nachsorgejahren </t>
  </si>
  <si>
    <t>Follow-Up Quote in % (F / D)</t>
  </si>
  <si>
    <t>Bundesland / Land</t>
  </si>
  <si>
    <t>Begründung / Ursache</t>
  </si>
  <si>
    <t>Eingeleitete / geplante Aktionen</t>
  </si>
  <si>
    <t>1. DFS / OAS (jährliche Bestimmung)</t>
  </si>
  <si>
    <t>Erläuterung hinsichtlich Datendefizit
Begründung / Ursachenanalyse / Aktionen</t>
  </si>
  <si>
    <t>G &lt; 70%</t>
  </si>
  <si>
    <t>Ansprechpartner</t>
  </si>
  <si>
    <t xml:space="preserve">               Erstelldatum</t>
  </si>
  <si>
    <t>Achieva</t>
  </si>
  <si>
    <t>Achiever Medical System</t>
  </si>
  <si>
    <t>Alcedis MED</t>
  </si>
  <si>
    <t>c37.CancerCenter</t>
  </si>
  <si>
    <t>CARAT</t>
  </si>
  <si>
    <t>CREDOS</t>
  </si>
  <si>
    <t>H.I.T.</t>
  </si>
  <si>
    <t>IndivuNET</t>
  </si>
  <si>
    <t>Kolorekt</t>
  </si>
  <si>
    <t>Medbrix</t>
  </si>
  <si>
    <t>MR-TU-DO</t>
  </si>
  <si>
    <t>Oncolution</t>
  </si>
  <si>
    <t>onkodok (XAXOA)</t>
  </si>
  <si>
    <t>OnkoManager</t>
  </si>
  <si>
    <t>Onkomedia</t>
  </si>
  <si>
    <t>online Dokumentation IDZB</t>
  </si>
  <si>
    <t>Tudok (Tumorzentrum Regensburg)</t>
  </si>
  <si>
    <t>WDC-Kolonakte</t>
  </si>
  <si>
    <t>Daten-qualität</t>
  </si>
  <si>
    <t>Plausi unklar</t>
  </si>
  <si>
    <t>Tumorzentrum Ostsachsen</t>
  </si>
  <si>
    <t>Tumorzentrum Weser-Ems</t>
  </si>
  <si>
    <t>FAP-Z103</t>
  </si>
  <si>
    <t>Prostatakarzinomzentrum am Diakonissenkrankenhaus Dresden</t>
  </si>
  <si>
    <t>Diakonissenkrankenhaus Dresden</t>
  </si>
  <si>
    <t>relevante Nachsorgejahre nicht / unvollständig bearbeitet</t>
  </si>
  <si>
    <t>Allgemeine Feststellungen</t>
  </si>
  <si>
    <t>Allgemeine Hinweise</t>
  </si>
  <si>
    <t>Allgemeine Abweichungen</t>
  </si>
  <si>
    <t>Bewertung Ausschuss</t>
  </si>
  <si>
    <t>Anmerkung OnkoZert</t>
  </si>
  <si>
    <t>Feststellung</t>
  </si>
  <si>
    <t>Hinweis</t>
  </si>
  <si>
    <t>Abweichung</t>
  </si>
  <si>
    <t>1 b)1</t>
  </si>
  <si>
    <t>1 b)2</t>
  </si>
  <si>
    <t>1 b)3</t>
  </si>
  <si>
    <t>Datenverifizierung_ID</t>
  </si>
  <si>
    <t>ID_intern</t>
  </si>
  <si>
    <t>lokal begrenzt (T1/2-N0-M0)</t>
  </si>
  <si>
    <t>ID:a</t>
  </si>
  <si>
    <t>ID:b</t>
  </si>
  <si>
    <t>ID:c</t>
  </si>
  <si>
    <t>ID:d</t>
  </si>
  <si>
    <t>Sollvorgabe nicht erfüllt; durchschnittliche Follow-Up Quote &lt; 80%; ID: e</t>
  </si>
  <si>
    <t>ID: f</t>
  </si>
  <si>
    <t>Plausibilität unklar; durchschnittliche Follow-Up Quote &gt; 95%; ID: g</t>
  </si>
  <si>
    <t>ID: h</t>
  </si>
  <si>
    <t>DFS auffällig niedrig oder hoch</t>
  </si>
  <si>
    <t>ID: j</t>
  </si>
  <si>
    <t>ID: i</t>
  </si>
  <si>
    <t>Erläuterung hinsichtlich Datendefizit</t>
  </si>
  <si>
    <t>FAP-Z021</t>
  </si>
  <si>
    <t>Prostatakarzinomzentrum Sana Klinikum Hof</t>
  </si>
  <si>
    <t>FAP-Z104</t>
  </si>
  <si>
    <t>Österreich</t>
  </si>
  <si>
    <t>Inselspital Bern</t>
  </si>
  <si>
    <t>Datum EZ</t>
  </si>
  <si>
    <t>Heartsoft Tumordatenbank</t>
  </si>
  <si>
    <t>Kennzahldefinition</t>
  </si>
  <si>
    <r>
      <t xml:space="preserve">Eingeleitete / geplante Aktionen
</t>
    </r>
    <r>
      <rPr>
        <sz val="8"/>
        <color indexed="8"/>
        <rFont val="Arial"/>
        <family val="2"/>
      </rPr>
      <t>(bei plausibler Begründung keine Aktion erforderlich)</t>
    </r>
  </si>
  <si>
    <t>Für Übertragung in Datendefizite_KB:</t>
  </si>
  <si>
    <t>Alle KN leer:</t>
  </si>
  <si>
    <t xml:space="preserve">        Erstelldatum</t>
  </si>
  <si>
    <t xml:space="preserve">      Erstelldatum</t>
  </si>
  <si>
    <t>Plausibilität unklar; OAS auffällig niedrig; ID: k</t>
  </si>
  <si>
    <t>Prostata-Ca Register</t>
  </si>
  <si>
    <t>QuaDoSta</t>
  </si>
  <si>
    <t>UroCloud</t>
  </si>
  <si>
    <t>ixserv.4</t>
  </si>
  <si>
    <t>Unvollständige Jahre</t>
  </si>
  <si>
    <t>Nein</t>
  </si>
  <si>
    <t>KN</t>
  </si>
  <si>
    <t>FAP-Z108</t>
  </si>
  <si>
    <t>Prostatakrebscentrum Münster-Süd</t>
  </si>
  <si>
    <t>Herz-Jesu-Krankenhaus Münster-Hiltrup</t>
  </si>
  <si>
    <t>Prostatakrebszentrum des Universitätsklinikums Würzburg</t>
  </si>
  <si>
    <t>FAP-Z109</t>
  </si>
  <si>
    <t>Universitätsklinikum Würzburg</t>
  </si>
  <si>
    <t>FAP-Z110</t>
  </si>
  <si>
    <t>Prostatakrebszentrum Ammerland-Klinik</t>
  </si>
  <si>
    <t>FAP-Z111</t>
  </si>
  <si>
    <t>Centre du Cancer de la Prostate des Hôpitaux Universitaires de Genève</t>
  </si>
  <si>
    <t>Universitätskliniken Genf</t>
  </si>
  <si>
    <t>Prostatakrebszentrum Traunstein</t>
  </si>
  <si>
    <t>Klinikum St. Elisabeth Straubing</t>
  </si>
  <si>
    <t>Klinikum Wolfsburg</t>
  </si>
  <si>
    <t>Klinikum Traunstein/Kliniken Südostbayern AG</t>
  </si>
  <si>
    <t>ambucare</t>
  </si>
  <si>
    <t>em.net</t>
  </si>
  <si>
    <t>FileTuDo</t>
  </si>
  <si>
    <t>MIQ-KRCA</t>
  </si>
  <si>
    <t>ORBIS-ODOK</t>
  </si>
  <si>
    <t>OncoAssist Tumordokumentation</t>
  </si>
  <si>
    <t>ONKOSTAR</t>
  </si>
  <si>
    <t>ONDIS</t>
  </si>
  <si>
    <t>Qualitätssicherung Kolorektalkarzinom</t>
  </si>
  <si>
    <t>SMATOS</t>
  </si>
  <si>
    <t>StuDoQ</t>
  </si>
  <si>
    <t>Tumordokumentation des Instituts für Krebsepidemiologie</t>
  </si>
  <si>
    <t>FAP-Z112</t>
  </si>
  <si>
    <t>FAP-Z113</t>
  </si>
  <si>
    <t>Prostatakrebszentrum Heilig Geist-Krankenhaus Köln</t>
  </si>
  <si>
    <t>Prostatakrebszentrum Urologische Klinik Sindelfingen</t>
  </si>
  <si>
    <t>Klinikverbund Südwest, Klinikum Sindelfingen-Böblingen, Kliniken Sindelfingen</t>
  </si>
  <si>
    <t>Primärfälle mit lokal begrenztem PCa und niedrigem Risiko (PSA ≤ 10ng/ml und Gleason-Score 6 und cT-Kategorie ≤ 2a)</t>
  </si>
  <si>
    <t>Primärfälle mit lokal begrenztem  PCa u. mittlerem Risiko (PSA &gt; 10-20 ng/ml o. Gleason-Score 7 o. cT 2b)</t>
  </si>
  <si>
    <t>Primärfälle mit lokal begrenztem PCa u. hohem Risiko (PSA &gt; 20 ng/ml o. Gleason-Score ≥ 8 o. cT 2c)</t>
  </si>
  <si>
    <t>Primärfälle mit Prostatakarzinom T1-2 N0 M0 mit hohem Risiko (PSA &gt;20ng/ml o. Gleason-Score ≥ 8 o.cT-Kategorie 2c) und perkutaner Strahlentherapie</t>
  </si>
  <si>
    <t>Derzeit keine
Vorgaben</t>
  </si>
  <si>
    <t xml:space="preserve">Permanente Seedimplantation – 
D 90 &gt; 130 Gy
* Durchführung dieser Therapieform ist freiwillig!    </t>
  </si>
  <si>
    <t>Befundbericht Stanzbiopsie</t>
  </si>
  <si>
    <t>Möglichst häufig vollständige Befundberichte</t>
  </si>
  <si>
    <t>Befundbericht Lymphknoten</t>
  </si>
  <si>
    <t>Active-Surveillance (AS)</t>
  </si>
  <si>
    <t xml:space="preserve">Möglichst häufig SRT mit frühzeitigem Beginn </t>
  </si>
  <si>
    <t>Postoperative Komplikationen nach Radikaler Prostatektomie</t>
  </si>
  <si>
    <t>Möglichst selten Komplikationen nach RPE</t>
  </si>
  <si>
    <r>
      <t xml:space="preserve">Begründung / Ursache
</t>
    </r>
    <r>
      <rPr>
        <sz val="8"/>
        <color indexed="8"/>
        <rFont val="Arial"/>
        <family val="2"/>
      </rPr>
      <t>(min. 30 Zeichen / max. 500 Zeichen)</t>
    </r>
  </si>
  <si>
    <t>Datum Erstzertifizierung</t>
  </si>
  <si>
    <t xml:space="preserve">Radikale Prostatektomien / Zystoprostatektomien gesamt  (siehe Basisdaten) </t>
  </si>
  <si>
    <t>3. Summe Nenner KN 2a und KN 2b muss kleiner als Anzahl Primärfälle sein.</t>
  </si>
  <si>
    <t>2a, 2b</t>
  </si>
  <si>
    <t xml:space="preserve">1.Nenner muss eine positive ganze Zahl sein. </t>
  </si>
  <si>
    <t>2.Nenner kann nicht kleiner als Zähler sein.</t>
  </si>
  <si>
    <t>Zähler muss eine positive ganze Zahl sein.</t>
  </si>
  <si>
    <t>max. 5000</t>
  </si>
  <si>
    <t>15, 16, 17, 18, 19, 20, 21, 22, 23, 24</t>
  </si>
  <si>
    <t>Primärfälle 
(= Kennzahl 1a)</t>
  </si>
  <si>
    <t>Primärfälle
(= Kennzahl 1a)</t>
  </si>
  <si>
    <t>XML-OncoBox Prostata</t>
  </si>
  <si>
    <t>Krebsregister Schweiz</t>
  </si>
  <si>
    <t>Krebsregister Österreich</t>
  </si>
  <si>
    <t>2a, 2b, 3a, 13</t>
  </si>
  <si>
    <t>3. Nenner kann nicht größer als die Anzahl der Primärfälle sein.</t>
  </si>
  <si>
    <t>3b, 5, 6, 7, 10, 11, 13; 14</t>
  </si>
  <si>
    <t>19,  21, 22, 23, 24</t>
  </si>
  <si>
    <t>15;16;20</t>
  </si>
  <si>
    <t>Fehlermeldungen Basisdaten</t>
  </si>
  <si>
    <t>Fehlermeldungen Kennzahlenbogen</t>
  </si>
  <si>
    <t>Nur Texteingabe bis 100 Zeichen möglich.</t>
  </si>
  <si>
    <t>Format: dd.mm.jjjj</t>
  </si>
  <si>
    <t>Zeitraum zwischen 01.09.2014 - 01.01.2016 angeben.</t>
  </si>
  <si>
    <t>Zuerst Reg.-Nr auswählen, dann das jeweilig zugehörige Krebsregister.</t>
  </si>
  <si>
    <t>3a, 13, 
15; 16; 20</t>
  </si>
  <si>
    <t>3b; 11</t>
  </si>
  <si>
    <t>3. Nenner kann nicht größer sein als die Anzahl der lokal begrenzten Primärfälle mit hohem Risiko (Basisdaten Zelle I32).</t>
  </si>
  <si>
    <t>3. Nenner kann nicht größer sein als die Anzahl der lokal fortgeschrittenen Primärfälle (Basisdaten Zelle I33).</t>
  </si>
  <si>
    <t>fortgeschritten (N1, M0)</t>
  </si>
  <si>
    <t>fortgeschritten (N0/1, M1)</t>
  </si>
  <si>
    <t>Krebsregister Italien</t>
  </si>
  <si>
    <t>KR7</t>
  </si>
  <si>
    <t>MaDoS</t>
  </si>
  <si>
    <t>KoReDos</t>
  </si>
  <si>
    <t>ProDos</t>
  </si>
  <si>
    <t>Angabe Primärfälle mit definitiver Strahlentherapie</t>
  </si>
  <si>
    <t>Angabe Anzahl Primärfälle mit HDR-Brachytherapie</t>
  </si>
  <si>
    <t>OAS auffällig niedrig</t>
  </si>
  <si>
    <t>Angabe Jahr Primärfälle</t>
  </si>
  <si>
    <t>nicht mehr gültig</t>
  </si>
  <si>
    <t>UCC-TDS (Tumorzentrum Dresden)</t>
  </si>
  <si>
    <t xml:space="preserve">             (Muster Zertifikat)</t>
  </si>
  <si>
    <t>lokale Behandlung der Prostata</t>
  </si>
  <si>
    <t>Active Surveillance</t>
  </si>
  <si>
    <t>Watchful Waiting</t>
  </si>
  <si>
    <t>Gesamt</t>
  </si>
  <si>
    <t>RPE</t>
  </si>
  <si>
    <t xml:space="preserve">Definitive perkutane
Strahlentherapie  </t>
  </si>
  <si>
    <t>LDR-Brachytherapie</t>
  </si>
  <si>
    <t>HDR-Brachytherapie</t>
  </si>
  <si>
    <t>lokal fortgeschritten (T3/4-N0-M0)</t>
  </si>
  <si>
    <t>davon Pat. mit Historie "AS/WW"</t>
  </si>
  <si>
    <t>davon Pat. parallel Status Primärfall-Pat.</t>
  </si>
  <si>
    <t>Bearbeitungshinweise:</t>
  </si>
  <si>
    <t>3) z.B. HIFU,….</t>
  </si>
  <si>
    <t>4) z.B. alleinige Hormontherapie, Chemotherapie</t>
  </si>
  <si>
    <t>7)  nur in Ausnahmen anwendbar; z.B. langjährige Hormontherapie vor Erstdiagnose, Zufallsbefund nach radikaler Zystektomie</t>
  </si>
  <si>
    <t>Kennzahlenjahr</t>
  </si>
  <si>
    <t>&lt; 10%</t>
  </si>
  <si>
    <t>&gt; 90%</t>
  </si>
  <si>
    <t>Strahlentherapie-dosis pro Zeit</t>
  </si>
  <si>
    <t>Möglichst häufig komplette Durchführung der Strahlentherapie in der geplanten Dosis u. Zeit</t>
  </si>
  <si>
    <t>FAP-Z116</t>
  </si>
  <si>
    <t>FAP-Z117</t>
  </si>
  <si>
    <t>FAP-Z119</t>
  </si>
  <si>
    <t>Prostatakarzinomzentrum der Kliniken Maria Hilf GmbH Mönchengladbach</t>
  </si>
  <si>
    <t>Prostatazentrum Dortmund-Ost</t>
  </si>
  <si>
    <t>Klinikum Westfalen / Knappschaftskrankenhaus Dortmund</t>
  </si>
  <si>
    <t>ProstataKarzinomZentrum Eschweiler</t>
  </si>
  <si>
    <t>Krankenhaus Nordwest GmbH</t>
  </si>
  <si>
    <t>HELIOS Klinikum Meiningen</t>
  </si>
  <si>
    <t>Interdisziplinäres Prostatakarzinomzentrum der Charité (IPZ) im Charité Comprehensive Cancer Center</t>
  </si>
  <si>
    <t>Prostatakarzinomzentrum am Diakonissenkrankenhaus Dessau</t>
  </si>
  <si>
    <t>Diakonissenkrankenhaus Dessau</t>
  </si>
  <si>
    <t>SRH Krankenhaus Sigmaringen</t>
  </si>
  <si>
    <t>Krankenhaus Martha-Maria Halle-Dölau</t>
  </si>
  <si>
    <t>Klinikum Dortmund</t>
  </si>
  <si>
    <t>Klinikverbund Südwest, Kreisklinikum Calw-Nagold, Kliniken Nagold</t>
  </si>
  <si>
    <t>SRH Wald-Klinikum Gera</t>
  </si>
  <si>
    <t>Klinikum Worms</t>
  </si>
  <si>
    <t>St. Antonius-Hospital Gronau</t>
  </si>
  <si>
    <t>Schwarzwald Baar Klinikum Villingen-Schwenningen</t>
  </si>
  <si>
    <t>AMEOS Klinikum Seepark Geestland</t>
  </si>
  <si>
    <t>Prostatakarzinomzentrum am Universitätsklinikum Leipzig</t>
  </si>
  <si>
    <t>Prostatakrebszentrum Bremen-Mitte</t>
  </si>
  <si>
    <t>Gesundheit Nord, Standort Klinikum Bremen-Mitte</t>
  </si>
  <si>
    <t>Universitätsmedizin Rostock</t>
  </si>
  <si>
    <t>Universitätsmedizin Mannheim</t>
  </si>
  <si>
    <t xml:space="preserve">UKM - Prostatakarzinomzentrum </t>
  </si>
  <si>
    <t>Prostatakarzinomzentrum an den Johanniter-Kliniken Bonn</t>
  </si>
  <si>
    <t>Prostatazentrum Luzern</t>
  </si>
  <si>
    <t>Luzerner Kantonsspital</t>
  </si>
  <si>
    <t>ProstaTUM</t>
  </si>
  <si>
    <t>Klinikum rechts der Isar der Technischen Universität München</t>
  </si>
  <si>
    <t>RPE (Summe aus F40 + F47)</t>
  </si>
  <si>
    <t>Zufallsbefund nach RZE  (Summe aus H40 + H47)</t>
  </si>
  <si>
    <t>Zufallsbefund nach RZE</t>
  </si>
  <si>
    <t>Primärfallpat. gesamt</t>
  </si>
  <si>
    <t>Ist-Wert
ausfüllen</t>
  </si>
  <si>
    <t>Bei permanenter Seedimplantation sollte D 90 &gt; 130 Gy bei ≥ 90% erreicht werden</t>
  </si>
  <si>
    <t>Anzahl Primärfälle
(posttherapeutisch tumorfrei)</t>
  </si>
  <si>
    <t>c</t>
  </si>
  <si>
    <t>Primärfälle mit primär M1</t>
  </si>
  <si>
    <t>3c</t>
  </si>
  <si>
    <t>≥ 70%</t>
  </si>
  <si>
    <t>OncoBox</t>
  </si>
  <si>
    <t>Zusammenarbeit mit KFRG-Krebsregister</t>
  </si>
  <si>
    <t>Uro-Link</t>
  </si>
  <si>
    <t>Ausnahme</t>
  </si>
  <si>
    <t>G26</t>
  </si>
  <si>
    <t>G22 - G24</t>
  </si>
  <si>
    <t>J20 - J21</t>
  </si>
  <si>
    <t>J24</t>
  </si>
  <si>
    <t>M24</t>
  </si>
  <si>
    <t>G26 &lt; 80%</t>
  </si>
  <si>
    <t>G26 &gt; 95%</t>
  </si>
  <si>
    <t>Kliniken Nordoberpfalz, Standort Klinikum Weiden</t>
  </si>
  <si>
    <t>Klinikum der Stadt Ludwigshafen am Rhein gGmbH</t>
  </si>
  <si>
    <t>Prostatakrebszentrum UKSH Kiel</t>
  </si>
  <si>
    <t>Prostatakarzinomzentrum Ruit</t>
  </si>
  <si>
    <t>Marien Hospital Herne, Klinikum der Ruhr-Universität Bochum</t>
  </si>
  <si>
    <t>Klinikum Oldenburg</t>
  </si>
  <si>
    <t>Klinikum Gütersloh</t>
  </si>
  <si>
    <t>Klinikum Ingolstadt</t>
  </si>
  <si>
    <t>Prostatakarzinomzentrum am Katholischen Krankenhaus St. Johann Nepomuk Erfurt</t>
  </si>
  <si>
    <t>Prostatakarzinomzentrum St. Marien Amberg</t>
  </si>
  <si>
    <t>Universitäres Prostatazentrum Inselspital Bern</t>
  </si>
  <si>
    <t>FAP-Z120</t>
  </si>
  <si>
    <t>Prostatakrebszentrum am Kantonsspital Aarau</t>
  </si>
  <si>
    <t>Kantonsspital Aarau</t>
  </si>
  <si>
    <t>Prostatakrebszentrum am Klinikum – Aschaffenburg</t>
  </si>
  <si>
    <t>FAP-Z122</t>
  </si>
  <si>
    <t>Prostatakrebszentrum Sana Kliniken Lübeck</t>
  </si>
  <si>
    <t>Sana Kliniken Lübeck</t>
  </si>
  <si>
    <t>FAP-Z123</t>
  </si>
  <si>
    <t>Prostatakrebszentrum Lippe</t>
  </si>
  <si>
    <t>Klinikum Lippe</t>
  </si>
  <si>
    <t>FAP-Z124</t>
  </si>
  <si>
    <t>Prostatakrebszentrum Kantonsspital Baden</t>
  </si>
  <si>
    <t>Kantonsspital Baden</t>
  </si>
  <si>
    <t>Vorstellung in der monatlichen Tumorkonferenz</t>
  </si>
  <si>
    <t>Zahnärztlicher Untersuchung 
vor Beginn der Bisphosphonat oder Denosumab-Therapie</t>
  </si>
  <si>
    <t>Möglichst häufig Empfehlung der zahnärztlichen Untersuchung 
vor Beginn der Bisphosphonat oder Denosumab-Therapie</t>
  </si>
  <si>
    <t>≥ 90%</t>
  </si>
  <si>
    <t>Martini-Klinik am UKE</t>
  </si>
  <si>
    <t>Sana Klinikum Hof</t>
  </si>
  <si>
    <t>Diakovere Friederikenstift</t>
  </si>
  <si>
    <t>Prostatakrebszentrum am Cancer Center UniversitätsSpital Zürich</t>
  </si>
  <si>
    <t>medius KLINIK OSTFILDERN-RUIT</t>
  </si>
  <si>
    <t>Städtisches Klinikum Dresden, Standort Friedrichstadt</t>
  </si>
  <si>
    <t>FAP-Z053</t>
  </si>
  <si>
    <t>Prostatakarzinomzentrum Deggendorf</t>
  </si>
  <si>
    <t>DONAUISAR Klinikum Deggendorf</t>
  </si>
  <si>
    <t>Klinikum St. Marien Amberg</t>
  </si>
  <si>
    <t>KRH Klinikum Siloah</t>
  </si>
  <si>
    <t>Heilig Geist-Krankenhaus Köln</t>
  </si>
  <si>
    <t>Universitäres Prostatakarzinomzentrum Mainz</t>
  </si>
  <si>
    <t>Universitätsmedizin der Johannes Gutenberg - Universität Mainz</t>
  </si>
  <si>
    <t>Prostatakrebszentrum am Westdeutschen Tumorzentrum - Universitätsmedizin Essen</t>
  </si>
  <si>
    <t>Universitätsklinikum Essen</t>
  </si>
  <si>
    <t>FAP-Z128</t>
  </si>
  <si>
    <t>Prostatakrebszentrum Kliniken Essen-Mitte</t>
  </si>
  <si>
    <t>FAP-Z129</t>
  </si>
  <si>
    <t>Prostatakrebszentrum des Universitätsklinikums Magdeburg A.ö.R.</t>
  </si>
  <si>
    <t>Universitätsklinik Magdeburg A.ö.R.</t>
  </si>
  <si>
    <t>FAP-Z130</t>
  </si>
  <si>
    <t>HFR Freiburg - Kantonsspital</t>
  </si>
  <si>
    <t>FAP-Z132</t>
  </si>
  <si>
    <t>Prostatakrebszentrum Klinikum Friedrichshafen</t>
  </si>
  <si>
    <t>FAP-Z133</t>
  </si>
  <si>
    <t>Klinik Hirslanden Zürich</t>
  </si>
  <si>
    <t>Prostatakarzinomzentrums am Krukenberg-Krebszentrum Halle der Universitätsmedizin Halle (Saale)</t>
  </si>
  <si>
    <t>Universitätsklinikum Halle (Saale)</t>
  </si>
  <si>
    <t>FAP-Z140</t>
  </si>
  <si>
    <t>Universitätsmedizin Göttingen</t>
  </si>
  <si>
    <t>6) Einteilung der Primärfälle muss auf Grundlage des klinischen Tumorstatus erfolgen. 
    Risikoklassifizierung: Niedriges Risiko: PSA ≤ 10ng/ml u. Gleason-Score 6 u. cT-Kategorie ≤  2a; Mittleres Risiko: PSA &gt; 10-20 ng/ml  
    o. Gleason-Score 7 o. cT 2b; Hohes Risiko: PSA &gt; 20 ng/ml o. Gleason-Score ≥ 8 o. cT 2c
    Insofern eine doppelte Zuordnung möglich ist, gilt folgende Regel:
    Wenn eine der Bedingungen für hohes Risiko erfüllt ist ("oder"-Verknüpfung): hohes Risiko
    Wenn alle Bedingungen für niedriges Risiko erfüllt sind ("und"-Verknüpfung): niedriges Risiko</t>
  </si>
  <si>
    <r>
      <t xml:space="preserve">nicht interventionell </t>
    </r>
    <r>
      <rPr>
        <vertAlign val="superscript"/>
        <sz val="10"/>
        <color theme="1"/>
        <rFont val="Arial"/>
        <family val="2"/>
      </rPr>
      <t>2)</t>
    </r>
  </si>
  <si>
    <r>
      <t xml:space="preserve">interventionell </t>
    </r>
    <r>
      <rPr>
        <vertAlign val="superscript"/>
        <sz val="10"/>
        <color theme="1"/>
        <rFont val="Arial"/>
        <family val="2"/>
      </rPr>
      <t>2)</t>
    </r>
  </si>
  <si>
    <r>
      <t xml:space="preserve">ausschließliche systemische 
Behandlung  </t>
    </r>
    <r>
      <rPr>
        <vertAlign val="superscript"/>
        <sz val="10"/>
        <color theme="1"/>
        <rFont val="Arial"/>
        <family val="2"/>
      </rPr>
      <t>4)</t>
    </r>
  </si>
  <si>
    <r>
      <t xml:space="preserve">andere Behandlung </t>
    </r>
    <r>
      <rPr>
        <vertAlign val="superscript"/>
        <sz val="10"/>
        <color theme="1"/>
        <rFont val="Arial"/>
        <family val="2"/>
      </rPr>
      <t>5)</t>
    </r>
  </si>
  <si>
    <r>
      <t xml:space="preserve">andere lokale Therapie </t>
    </r>
    <r>
      <rPr>
        <vertAlign val="superscript"/>
        <sz val="10"/>
        <color theme="1"/>
        <rFont val="Arial"/>
        <family val="2"/>
      </rPr>
      <t>3)</t>
    </r>
  </si>
  <si>
    <r>
      <t xml:space="preserve">a) Primärfall-Pat. </t>
    </r>
    <r>
      <rPr>
        <vertAlign val="superscript"/>
        <sz val="11"/>
        <color theme="1"/>
        <rFont val="Arial"/>
        <family val="2"/>
      </rPr>
      <t>1)</t>
    </r>
  </si>
  <si>
    <r>
      <t xml:space="preserve">niedrigem Risiko </t>
    </r>
    <r>
      <rPr>
        <vertAlign val="superscript"/>
        <sz val="10"/>
        <color theme="1"/>
        <rFont val="Arial"/>
        <family val="2"/>
      </rPr>
      <t>6)</t>
    </r>
  </si>
  <si>
    <r>
      <t xml:space="preserve">mittlerem Risiko </t>
    </r>
    <r>
      <rPr>
        <vertAlign val="superscript"/>
        <sz val="10"/>
        <color theme="1"/>
        <rFont val="Arial"/>
        <family val="2"/>
      </rPr>
      <t>6)</t>
    </r>
  </si>
  <si>
    <r>
      <t xml:space="preserve">hohem Risiko </t>
    </r>
    <r>
      <rPr>
        <vertAlign val="superscript"/>
        <sz val="10"/>
        <color theme="1"/>
        <rFont val="Arial"/>
        <family val="2"/>
      </rPr>
      <t>6)</t>
    </r>
  </si>
  <si>
    <r>
      <t xml:space="preserve">nicht zuzuordnen </t>
    </r>
    <r>
      <rPr>
        <vertAlign val="superscript"/>
        <sz val="10"/>
        <color theme="1"/>
        <rFont val="Arial"/>
        <family val="2"/>
      </rPr>
      <t>7)</t>
    </r>
  </si>
  <si>
    <r>
      <rPr>
        <b/>
        <sz val="9"/>
        <color theme="1"/>
        <rFont val="Arial"/>
        <family val="2"/>
      </rPr>
      <t>Pat. gesamt</t>
    </r>
    <r>
      <rPr>
        <sz val="9"/>
        <color theme="1"/>
        <rFont val="Arial"/>
        <family val="2"/>
      </rPr>
      <t xml:space="preserve"> (ohne Mehrfachnennung)</t>
    </r>
  </si>
  <si>
    <r>
      <t xml:space="preserve">Zentrumspat. GESAMT 
</t>
    </r>
    <r>
      <rPr>
        <sz val="10"/>
        <color theme="1"/>
        <rFont val="Arial"/>
        <family val="2"/>
      </rPr>
      <t>(Zeile 40 + 47 - 49)</t>
    </r>
  </si>
  <si>
    <r>
      <t xml:space="preserve">Operative Expertise
</t>
    </r>
    <r>
      <rPr>
        <sz val="10"/>
        <color theme="1"/>
        <rFont val="Arial"/>
        <family val="2"/>
      </rPr>
      <t>(Grundlage für EB 5.2.1)</t>
    </r>
  </si>
  <si>
    <t>RZE aufgrund von PCa  (Summe aus G40 + G47)</t>
  </si>
  <si>
    <t xml:space="preserve">Legende: 
RPE - Radikale Prostatektomie
RZE - Radikale Zystoprostatektomie
LDR - Low-Dose-Rate
HDR - High-Dose-Rate
PCa - Prostatakarzinom
AS - Active Surveillance
WW - Watchful Waiting </t>
  </si>
  <si>
    <t>RZE aufgrund von PCa</t>
  </si>
  <si>
    <t>Strahlentherapie und hormonablative Therapie bei lokal begrenztem PCa mit hohem Risiko</t>
  </si>
  <si>
    <t>MADOS 4</t>
  </si>
  <si>
    <t>5) Andere Behandlung; z.B. palliative Bestrahlung von Knochenmetastasen, Best Supportive Care</t>
  </si>
  <si>
    <t>≥ 50</t>
  </si>
  <si>
    <t>Keine hormonablative Therapie bei lokal fortgeschrittenem Prostatakarzinom mit radikaler Prostatektomie</t>
  </si>
  <si>
    <t>Keine adjuvante hormonablative Therapie bei lokal fortgeschrittenem Prostatakarzinom und radikaler Prostatektomie (RPE)</t>
  </si>
  <si>
    <t>Ausnahme (Plausibilität unklar)</t>
  </si>
  <si>
    <t>Summe Plausibilität unklar</t>
  </si>
  <si>
    <t>optional - Ausnahme (Plausibilität unklar)</t>
  </si>
  <si>
    <t>Vinzenzkrankenhaus Hannover</t>
  </si>
  <si>
    <t>Urologische und Kinderurologische Universitätsklinik im Malteser Waldkrankenhaus St. Marien</t>
  </si>
  <si>
    <t>Prostatakarzinomzentrum Kempten-Allgäu</t>
  </si>
  <si>
    <t>Prostatakrebszentrum im Brüderkrankenhaus St. Josef Paderborn</t>
  </si>
  <si>
    <t>FAP-Z066</t>
  </si>
  <si>
    <t>Prostatakrebszentrum Medizinische Hochschule Hannover</t>
  </si>
  <si>
    <t>Medizinische Hochschule Hannover</t>
  </si>
  <si>
    <t>Städtisches Klinikum Lüneburg</t>
  </si>
  <si>
    <t>Johanniter GmbH - Johanniter Krankenhaus Bonn</t>
  </si>
  <si>
    <t>FAP-Z114</t>
  </si>
  <si>
    <t>Prostatazentrum Freiburg</t>
  </si>
  <si>
    <t>Universitätsklinikum Freiburg</t>
  </si>
  <si>
    <t>Klinikum Aschaffenburg - Alzenau gemeinnützige GmbH Standort AB</t>
  </si>
  <si>
    <t>Prostatakrebszentrum Freiburg PZF HFR Freiburg - Daler-Spital</t>
  </si>
  <si>
    <t>Prostatakrebszentrum Klinik Hirslanden Zürich</t>
  </si>
  <si>
    <t>FAP-Z137</t>
  </si>
  <si>
    <t>Prostatakrebszentrum Franziskus Hospital Bielefeld</t>
  </si>
  <si>
    <t>Franziskus Hospital Bielefeld</t>
  </si>
  <si>
    <t>FAP-Z138</t>
  </si>
  <si>
    <t>Prostatakrebszentrum Hôpitaux Robert Schuman</t>
  </si>
  <si>
    <t>Hôpitaux Robert Schuman</t>
  </si>
  <si>
    <t>Luxemburg</t>
  </si>
  <si>
    <t>Prostatakrebszentrum der Universitätsmedizin Göttingen</t>
  </si>
  <si>
    <t>Prostata Tumorzentrum Winterthur</t>
  </si>
  <si>
    <t>Kantonsspital Winterthur</t>
  </si>
  <si>
    <t>FAP-Z142</t>
  </si>
  <si>
    <t>Prostatakarzinomzentrum am Auguste-Viktoria-Klinikum Berlin</t>
  </si>
  <si>
    <t>Vivantes Auguste-Viktoria-Klinikum Berlin</t>
  </si>
  <si>
    <t>Prostatakrebszentrum Universitätsspital Basel</t>
  </si>
  <si>
    <t>Universitätsspital Basel</t>
  </si>
  <si>
    <t>FAP-Z144</t>
  </si>
  <si>
    <t>Prostatakrebszentrum Leipziger Land</t>
  </si>
  <si>
    <t>Sana Klinikum Borna</t>
  </si>
  <si>
    <t>FAP-Z145</t>
  </si>
  <si>
    <t>Prostatakrebszentrum Helios Kliniken Schwerin</t>
  </si>
  <si>
    <t>Helios Kliniken Schwerin</t>
  </si>
  <si>
    <t>Adjumed</t>
  </si>
  <si>
    <t>CADA (Eigenentwicklung)</t>
  </si>
  <si>
    <t>CaOnkoDok (Eigenentwicklung)</t>
  </si>
  <si>
    <t>Clinic WinData</t>
  </si>
  <si>
    <t>Martini-Data</t>
  </si>
  <si>
    <t>ODSeasy / ODSeasyNet</t>
  </si>
  <si>
    <t>Oncodossier (Eigenentwicklung auf Basis ORBIS)</t>
  </si>
  <si>
    <t>Tumorregister München (TRM)</t>
  </si>
  <si>
    <t>Eigenentwicklung auf Basis medico (Cerner)</t>
  </si>
  <si>
    <t>Prostatakrebszentrum im Zentrum für Urogenitale Tumoren Tübingen</t>
  </si>
  <si>
    <t>Universitätsklinikum Tübingen, CCC Tübingen-Stuttgart</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</si>
  <si>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</si>
  <si>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t>Primärfälle des Nenners unter AS</t>
  </si>
  <si>
    <t>Primärfälle des Nenners mit zusätzlicher neo- und / oder adjuvanter hormonablativer Therapie</t>
  </si>
  <si>
    <t>≤ 15%</t>
  </si>
  <si>
    <t>Operationen des Nenners mit R1</t>
  </si>
  <si>
    <t>Primärfälle des Nenners mit definitiver Strahlentherapie</t>
  </si>
  <si>
    <t>Primärfälle des Nenners bei denen D90 &gt; 130 Gy erreicht wurde</t>
  </si>
  <si>
    <t>Primärfälle mit LDR-Monotherapie</t>
  </si>
  <si>
    <t>Primärfälle des Nenners mit HDR-Brachytherapie</t>
  </si>
  <si>
    <t>Primärfälle mit Stanzbiopsie</t>
  </si>
  <si>
    <t>Primärfälle des Nenners mit Befundberichten mit Angabe von:
• pN-Kategorie
• Zahl befallener LK im Verhältnis zu entfernten LK</t>
  </si>
  <si>
    <t xml:space="preserve">Primärfälle mit Lymphadenektomie </t>
  </si>
  <si>
    <t>Beginn Salvage-Radiotherapie bei rezidiviertem PCa</t>
  </si>
  <si>
    <t>Primärfälle des Nenners mit Komplikation Clavien-Dindo Grade III oder IV innerhalb der ersten 6 Monate nach RPE</t>
  </si>
  <si>
    <t>Unerwünschte Wirkungen nach Strahlentherapie</t>
  </si>
  <si>
    <t>Möglichst selten unerwünschte Wirkungen nach Strahlentherapie</t>
  </si>
  <si>
    <t>Primärfälle des Nenners mit  unerwünschte Wirkungen CTCAE Grade III oder IV innerhalb der ersten 6 Monate nach Strahlentherapie</t>
  </si>
  <si>
    <t>Primärfälle mit definitiver Strahlentherapie (aus Vorkennzahlenjahr)</t>
  </si>
  <si>
    <t>Primärfälle des Nenners mit adjuvanter hormonablativer Therapie</t>
  </si>
  <si>
    <t>Primärfälle pT3-4 pN0 M0 und RPE</t>
  </si>
  <si>
    <t>Clinical Information Catalogue (CIC) (Eigenentwicklung)</t>
  </si>
  <si>
    <t>nur Prostata</t>
  </si>
  <si>
    <t>nur Darm</t>
  </si>
  <si>
    <t>nur Brust / Gyn</t>
  </si>
  <si>
    <t>SHGHoncoDoc</t>
  </si>
  <si>
    <t>Darm, Leber, Magen , Pankreas</t>
  </si>
  <si>
    <t>TD System KEM (Eigenentwicklung)</t>
  </si>
  <si>
    <t>Ortenau Klinikum Offenburg-Kehl</t>
  </si>
  <si>
    <t>FAP-Z024</t>
  </si>
  <si>
    <t>Prostatakarzinomzentrum Heilbronn-Franken</t>
  </si>
  <si>
    <t>SLK-Kliniken Heilbronn</t>
  </si>
  <si>
    <t>Prostatakrebszentrum Gera</t>
  </si>
  <si>
    <t>Prostatakarzinomzentrum der Ruhr-Universität Bochum am Marien Hospital Herne</t>
  </si>
  <si>
    <t>FAP-Z061 U</t>
  </si>
  <si>
    <t>Helios Prostatakarzinomzentrum Erfurt</t>
  </si>
  <si>
    <t>Helios Klinikum Erfurt</t>
  </si>
  <si>
    <t>KMG Klinikum Luckenwalde</t>
  </si>
  <si>
    <t>FAP-Z090 U</t>
  </si>
  <si>
    <t>Ordensklinikum Linz Elisabethinen</t>
  </si>
  <si>
    <t>FAP-Z127 U</t>
  </si>
  <si>
    <t>Klinikum Friedrichshafen</t>
  </si>
  <si>
    <t>FAP-Z136</t>
  </si>
  <si>
    <t>Prostatakrebszentrum Neuruppin</t>
  </si>
  <si>
    <t>Ruppiner Kliniken</t>
  </si>
  <si>
    <t>FAP-Z146</t>
  </si>
  <si>
    <t>Prostatakrebszentrum St. Claraspital Basel</t>
  </si>
  <si>
    <t>St. Claraspital</t>
  </si>
  <si>
    <t>geringe Follow-Up-Quote der Jahre 2015-2017</t>
  </si>
  <si>
    <t>zu hohe Follow-Up-Quote der Jahre 2015-2017</t>
  </si>
  <si>
    <t>1.2.5</t>
  </si>
  <si>
    <t>Max. 15% Rate an R1 bei pT2 c/pN0 oder Nx M0</t>
  </si>
  <si>
    <t>FAP-Z017-2</t>
  </si>
  <si>
    <t>Charité - Campus Mitte</t>
  </si>
  <si>
    <t>FAP-Z067</t>
  </si>
  <si>
    <t>Prostatakarzinomzentrum Reutlingen</t>
  </si>
  <si>
    <t xml:space="preserve">Klinikum am Steinenberg, Kreiskliniken Reutlingen </t>
  </si>
  <si>
    <t>FAP-Z075</t>
  </si>
  <si>
    <t>Prostatakarzinomzentrum Troisdorf Rhein-Sieg</t>
  </si>
  <si>
    <t>GFO Kliniken Troisdorf, Standort St. Josef</t>
  </si>
  <si>
    <t>Prostatakarzinomzentrum des Universitätsklinikums Düsseldorf</t>
  </si>
  <si>
    <t>Centrum für Integrierte Onkologie Aachen Bonn Köln Düsseldorf im Universitätsklinikum Düsseldorf</t>
  </si>
  <si>
    <t>FAP-Z105</t>
  </si>
  <si>
    <t>Prostatakarzinomzentrum am Klinikum der Universität München Campus Großhadern</t>
  </si>
  <si>
    <t>Klinikum der Universität München Campus Großhadern</t>
  </si>
  <si>
    <t>Prostatakrebszentrum EvKB Bielefeld</t>
  </si>
  <si>
    <t xml:space="preserve">Evangelisches Klinikum Bethel </t>
  </si>
  <si>
    <t>Prostatakrebszentrum im CIO Köln</t>
  </si>
  <si>
    <t>Centrum für Integrierte Onkologie Aachen Bonn Köln Düsseldorf im Universitätsklinikum Köln</t>
  </si>
  <si>
    <t xml:space="preserve">   Pat. mit neuaufgetretenem Rezidiv</t>
  </si>
  <si>
    <t xml:space="preserve">   Pat. mit neuaufgetretener Fernmetastase</t>
  </si>
  <si>
    <t>EB/ LL</t>
  </si>
  <si>
    <t>1c)</t>
  </si>
  <si>
    <t>1a)</t>
  </si>
  <si>
    <t xml:space="preserve">1b) </t>
  </si>
  <si>
    <t>LL QI</t>
  </si>
  <si>
    <t>1c</t>
  </si>
  <si>
    <t>Follow-Up Quote der Jahre 2016-2018 (positive Unplausibilität)</t>
  </si>
  <si>
    <t>FAP-Z019 U</t>
  </si>
  <si>
    <t>FAP-Z036 U</t>
  </si>
  <si>
    <t>FAP-Z046 U</t>
  </si>
  <si>
    <t>Klinikverbund Allgäu - c/o Klinikum Kempten</t>
  </si>
  <si>
    <t>FAP-Z070 U</t>
  </si>
  <si>
    <t>FAP-Z072 U</t>
  </si>
  <si>
    <t>Prostatakrebszentrum am KRH Klinikum Siloah</t>
  </si>
  <si>
    <t>FAP-Z091 U</t>
  </si>
  <si>
    <t>Prostatakarzinomzentrum Universitätsklinikum Frankfurt</t>
  </si>
  <si>
    <t>FAP-Z093 U</t>
  </si>
  <si>
    <t>FAP-Z101 U</t>
  </si>
  <si>
    <t>Prostatazentrum Ordensklinikum Linz</t>
  </si>
  <si>
    <t>FAP-Z107 U</t>
  </si>
  <si>
    <t>Ammerland-Klinik Westerstede</t>
  </si>
  <si>
    <t>FAP-Z118 U</t>
  </si>
  <si>
    <t>Stiftungsklinikum PROSELIS, Standort Prosper-Hospital Recklinghausen</t>
  </si>
  <si>
    <t>FAP-Z121 U</t>
  </si>
  <si>
    <t>FAP-Z125 U</t>
  </si>
  <si>
    <t>FAP-Z126 U</t>
  </si>
  <si>
    <t>FAP-Z139 U</t>
  </si>
  <si>
    <t>FAP-Z147</t>
  </si>
  <si>
    <t xml:space="preserve">Prostatakrebszentrum St. Georg Leipzig </t>
  </si>
  <si>
    <t>Klinikum St. Georg Leipzig</t>
  </si>
  <si>
    <t>FAP-Z148</t>
  </si>
  <si>
    <t>Prostatakrebszentrum Klinikum Nürnberg</t>
  </si>
  <si>
    <t>Klinikum Nürnberg</t>
  </si>
  <si>
    <t>FAP-Z150</t>
  </si>
  <si>
    <t>Prostatakrebszentrum Augsburg - Schwaben</t>
  </si>
  <si>
    <t>Universitätsklinikum Augsburg - Medizincampus</t>
  </si>
  <si>
    <t>FAP-Z151</t>
  </si>
  <si>
    <t>Prostatakrebszentrum Lindenhofspital Bern</t>
  </si>
  <si>
    <t>Lindenhofspital Bern</t>
  </si>
  <si>
    <t>FAP-Z152</t>
  </si>
  <si>
    <t>Prostatakrebszentrum Barmherzige Brüder Wien</t>
  </si>
  <si>
    <t>Krankenhaus der Barmherzigen Brüder Wien</t>
  </si>
  <si>
    <r>
      <t xml:space="preserve">Aus </t>
    </r>
    <r>
      <rPr>
        <b/>
        <sz val="9"/>
        <color indexed="8"/>
        <rFont val="Arial"/>
        <family val="2"/>
      </rPr>
      <t>Darm/Brust/Prostata</t>
    </r>
    <r>
      <rPr>
        <sz val="9"/>
        <color indexed="8"/>
        <rFont val="Arial"/>
        <family val="2"/>
      </rPr>
      <t xml:space="preserve"> könnt ihr es rausnehmen</t>
    </r>
  </si>
  <si>
    <t>1.5.4</t>
  </si>
  <si>
    <t xml:space="preserve">Operationen bei Primärfällen mit pT2 c/pN0 oder Nx M0 </t>
  </si>
  <si>
    <t>FAP-Z082 U</t>
  </si>
  <si>
    <t>Anlage EB Version M1.1 (Auditjahr 2022 / Kennzahlenjahr 2021)</t>
  </si>
  <si>
    <t>Auditjahr 2022 / Kennzahlenjahr 2021</t>
  </si>
  <si>
    <t>Nicht relevant - Zentrum nicht in Deutschland</t>
  </si>
  <si>
    <t xml:space="preserve">Grundlage des Erhebungsbogens stellt die TNM – Klassifikation maligner Tumoren, 8. Auflage 2017 sowie die ICD-Klassifikation ICD-10-GM 2021 (DIMDI) und die OPS-Klassifikation OPS 2021 (DIMDI) dar.
</t>
  </si>
  <si>
    <r>
      <t xml:space="preserve">b) Pat. mit neuaufgetretenem Rezidiv und/oder Fernmetastasen im Kalenderjahr </t>
    </r>
    <r>
      <rPr>
        <vertAlign val="superscript"/>
        <sz val="11"/>
        <color theme="1"/>
        <rFont val="Arial"/>
        <family val="2"/>
      </rPr>
      <t>1)</t>
    </r>
  </si>
  <si>
    <t>2) Jeder Pat. kann pro Kalenderjahr nur einer Therapie zugeordnet werden.
Der Pat. wird jeweils der führenden Therapie zugeordnet. Beispiele:  
- Der Pat. erhält eine perkutane Strahlentherapie und zusätzlich eine Hormontherapie, dann gehört dieser Pat. in Spalte I (Definitive perkutane Strahlentherapie)
- Im Januar wird AS/WW festgelegt und im Oktober erhält der Pat. auf eigenen Wunsch eine RPE. Dieser Pat. ist dann nur in Spalte F (RPE) einzutragen.</t>
  </si>
  <si>
    <r>
      <t xml:space="preserve">Zentrumspat. 
Prostatakarzinom </t>
    </r>
    <r>
      <rPr>
        <vertAlign val="superscript"/>
        <sz val="10"/>
        <color theme="1"/>
        <rFont val="Arial"/>
        <family val="2"/>
      </rPr>
      <t>1)</t>
    </r>
  </si>
  <si>
    <t>1) Pat. kann in einem Kalenderjahr unter "a) Primäfall" nur einmalig gezählt werden; unter "b) Rezidive und/oder Fernmetastasen" kann ein Pat. in Zeile 45 UND Zeile 46 jeweils 1x gezählt werden; wenn bei Primärfallpat. in dem Kalenderjahr auch die Diagnose "Rezidiv und/oder Fernmetastasen" auftritt, dann wird der Pat. unter a) und b) gezählt. Die Definitionen für Zentrumspat. und Primärfall sind im EB unter 1.2.1 hinterlegt. Zählzeitpunkt ist Zeitpunkt der (Erst-) Vorstellung im Zentrum.</t>
  </si>
  <si>
    <t>≥ 80%</t>
  </si>
  <si>
    <t xml:space="preserve">Pat. des Nenners mit Beginn der SRT bei PSA&lt;0,5ng/ml </t>
  </si>
  <si>
    <t>Pat. mit Z.n. RPE und PSA-Rezidiv und SRT</t>
  </si>
  <si>
    <t>Primärfälle pT1-2 N0 M0 und RPE (aus Vorkennzahlenjahr)</t>
  </si>
  <si>
    <t>≤ 3%</t>
  </si>
  <si>
    <t>Pat. des Nenners mit Empfehlung einer zahnärztlichen Untersuchung 
vor Beginn der Bisphosphonat oder Denosumab-Therapie</t>
  </si>
  <si>
    <t>Pat. mit Bisphosphonat- oder Denosumab-Therapie</t>
  </si>
  <si>
    <t>22
Angabe optional</t>
  </si>
  <si>
    <t>Fokale Therapie bei lokal fortgeschrittenem Prostatakarzinom</t>
  </si>
  <si>
    <t>Keine fokale Therapie bei lokal fortgeschrittenem Prostatakarzinom</t>
  </si>
  <si>
    <t>Primärfälle des Nenners, die eine fokale Therapie erhalten haben</t>
  </si>
  <si>
    <t>Primärfälle mit lokal fortgeschrittenem Prostatakarzinom</t>
  </si>
  <si>
    <t>&gt; 0,01%</t>
  </si>
  <si>
    <t>Pat. mit neuaufgetretenem Rezidiv und/oder 
Fernmetastasen</t>
  </si>
  <si>
    <t>Vorstellung möglichst vieler Pat. in der prätherapeutischen Konferenz (über Urologie)</t>
  </si>
  <si>
    <t>Vorstellung möglichst vieler Pat. in der prätherapeutischen Konferenz (über Strahlentherapie)</t>
  </si>
  <si>
    <t>Pat. des Nenners, die in der prätherapeutischen Konferenz vorgestellt wurden</t>
  </si>
  <si>
    <t>Vorstellung möglichst vieler Pat. in der Tumorkonferenz</t>
  </si>
  <si>
    <t>Pat. des Nenners, die in der Tumorkonferenz vorgestellt wurden (postoperativ: operierte Primärfälle und prätherapeutisch: primär M1, Rezidiv/Fernmetastasen)</t>
  </si>
  <si>
    <t>Pat. mit neuaufgetretenem Rezidiv und/oder 
Fernmetastasen (= Kennzahl 1c)</t>
  </si>
  <si>
    <t>Pat. des Nenners, die stationär oder ambulant psychoonkologisch betreut wurden (Gesprächsdauer 
≥ 25 Min.)</t>
  </si>
  <si>
    <t>Primärfälle (= Kennzahl 1a) und Pat. mit neuaufgetretenem Rezidiv und/oder 
Fernmetastasen (=Kennzahl 1c)</t>
  </si>
  <si>
    <t>Pat. des Nenners, die stationär oder ambulant durch den Sozialdienst beraten wurden</t>
  </si>
  <si>
    <t>Anteil Studienpat.</t>
  </si>
  <si>
    <t>Einschleusung von möglichst vielen Pat. in Studien</t>
  </si>
  <si>
    <t>Pat., die in eine Studie mit Ethikvotum eingebracht wurden</t>
  </si>
  <si>
    <t>Die jeweilige Eingabe oder Änderung  "Anzahl / Zähler / Nenner" (gepunktete Felder) ist nur im Tabellenblatt "Basisdaten" möglich, die Übertragung erfolgt automatisch.
Der Zähler ist immer eine Teilmenge des Nenners (Ausnahme: Kennzahl 8 -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</si>
  <si>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</si>
  <si>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r>
      <rPr>
        <b/>
        <u/>
        <sz val="8"/>
        <color rgb="FF000000"/>
        <rFont val="Arial"/>
        <family val="2"/>
      </rPr>
      <t>Anmerkung:</t>
    </r>
    <r>
      <rPr>
        <sz val="8"/>
        <color indexed="8"/>
        <rFont val="Arial"/>
        <family val="2"/>
      </rPr>
      <t xml:space="preserve">
Im Sinne einer gendergerechten Sprache verwenden wir für die Begriffe „Patientinnen“, „Patienten“, „Patient*innen“ die Bezeichnung „Pat.“, die ausdrücklich jede Geschlechtszuschreibung (weiblich, männlich, divers) einschließt.</t>
    </r>
  </si>
  <si>
    <t>Adäquater Anteil an Pat. unter AS</t>
  </si>
  <si>
    <t>Möglichst hoher Anteil an Pat. mit hohem Risikoprofil u. perkutaner Strahlen- + Hormontherapie</t>
  </si>
  <si>
    <r>
      <t xml:space="preserve">Pat. mit Follow-Up </t>
    </r>
    <r>
      <rPr>
        <vertAlign val="superscript"/>
        <sz val="9"/>
        <rFont val="Arial"/>
        <family val="2"/>
      </rPr>
      <t>1)</t>
    </r>
  </si>
  <si>
    <r>
      <rPr>
        <b/>
        <u/>
        <sz val="8"/>
        <color indexed="8"/>
        <rFont val="Arial"/>
        <family val="2"/>
      </rPr>
      <t xml:space="preserve">
Bearbeitungshinweise:
</t>
    </r>
    <r>
      <rPr>
        <sz val="8"/>
        <color indexed="8"/>
        <rFont val="Arial"/>
        <family val="2"/>
      </rPr>
      <t xml:space="preserve">Für Prostatakrebszentren ist die Matrix Ergebnisqualität verbindlich zu bearbeiten.
Für die Bewertung der Matrix Ergebnisqualität - DFS / OAS gelten folgende Regelungen:
            a) Alle Pat. ab dem Folgejahr der EZ sind im Follow-Up zu berücksichtigen; alle relevanten Nachsorgejahre sind zu bearbeiten, abhängig vom Datum der Erstzertifizierung.
            b) Nachsorgejahr "relevant" (B) =&gt; Sämtliche „hellgrau“ hinterlegte Felder sind vollständig zu bearbeiten; dies gilt auch für Nullwerte (=0).
            c) Bei den „hellrot“ hinterlegten Feldern liegt eine Falscheingabe vor, diese sind zu korrigieren.
            d) Zahlen müssen manuell eingegeben werden, diese dürfen nicht kopiert werden.
            e) „Hellgrün“ hinterlegte Felder weisen auf Unplausibilitäten hin. Diese Werte sind zu analysieren und das Ergebnis ist auf dem Folgeblatt „Datendefizite_Matrix“ darzulegen.
</t>
    </r>
    <r>
      <rPr>
        <u/>
        <sz val="8"/>
        <color indexed="8"/>
        <rFont val="Arial"/>
        <family val="2"/>
      </rPr>
      <t xml:space="preserve">
</t>
    </r>
    <r>
      <rPr>
        <b/>
        <u/>
        <sz val="8"/>
        <color indexed="8"/>
        <rFont val="Arial"/>
        <family val="2"/>
      </rPr>
      <t xml:space="preserve">Anmerkungen:
</t>
    </r>
    <r>
      <rPr>
        <sz val="8"/>
        <color indexed="8"/>
        <rFont val="Arial"/>
        <family val="2"/>
      </rPr>
      <t>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</si>
  <si>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Werte Spalte F "Pat. mit Follow-Up" müssen kleiner gleich sein als Spalte D "Anzahl Primärfälle"</t>
  </si>
  <si>
    <t>Werte Spalte I "DFS absolut" müssen kleiner gleich sein als Spalte F "Pat. mit Follow-Up"</t>
  </si>
  <si>
    <t>Werte Spalte L "OAS absolut" müssen kleiner gleich sein als Spalte F "Pat. mit Follow-Up"</t>
  </si>
  <si>
    <t xml:space="preserve"> In Ordnung</t>
  </si>
  <si>
    <t xml:space="preserve">              Sollvorgabe nicht erfüllt</t>
  </si>
  <si>
    <t xml:space="preserve">        Ø Follow-Up Quote der Jahre 2017-2019</t>
  </si>
  <si>
    <t>Follow-Up Quote der Jahre 2017-2019</t>
  </si>
  <si>
    <t>2017-2019</t>
  </si>
  <si>
    <t>FAP-Z002 U</t>
  </si>
  <si>
    <t>Prostatakarzinomzentrum Dresden am Nationalen Centrum für Tumorerkrankungen Dresden (NCT/UCC)</t>
  </si>
  <si>
    <t>FAP-Z005 U</t>
  </si>
  <si>
    <t>FAP-Z010 U</t>
  </si>
  <si>
    <t>FAP-Z015 U</t>
  </si>
  <si>
    <t>FAP-Z031 U</t>
  </si>
  <si>
    <t>FAP-Z041 U</t>
  </si>
  <si>
    <t>FAP-Z047 U</t>
  </si>
  <si>
    <t>Prostatakarzinomzentrum Klinikum Oldenburg</t>
  </si>
  <si>
    <t>FAP-Z055 U</t>
  </si>
  <si>
    <t>Prostatakarzinomzentrum am Caritas-Krankenhaus St. Josef Regensburg</t>
  </si>
  <si>
    <t>FAP-Z073 U</t>
  </si>
  <si>
    <t>FAP-Z074 U</t>
  </si>
  <si>
    <t>FAP-Z079 U</t>
  </si>
  <si>
    <t>Universitätsklinikum Frankfurt</t>
  </si>
  <si>
    <t>Helios Klinikum Bonn/Rhein-Sieg</t>
  </si>
  <si>
    <t>ProstatakrebsZentrum Proselis Recklinghausen</t>
  </si>
  <si>
    <t>Kliniken Essen-Mitte, Standort Evang. Huyssens-Stiftung Essen-Huttrop</t>
  </si>
  <si>
    <t>FAP-Z134</t>
  </si>
  <si>
    <t>HELIOS Prostatakrebszentrum Krefeld</t>
  </si>
  <si>
    <t>HELIOS Klinikum Krefeld</t>
  </si>
  <si>
    <t>FAP-Z141</t>
  </si>
  <si>
    <t>FAP-Z143 U</t>
  </si>
  <si>
    <t>FAP-Z155</t>
  </si>
  <si>
    <t>Prostatakrebszentrum Siloah St. Trudpert Klinikum Pforzheim</t>
  </si>
  <si>
    <t>Siloah St. Trudpert-Klinikum</t>
  </si>
  <si>
    <t>FAP-Z157</t>
  </si>
  <si>
    <t>Prostatakrebszentrum Ravensburg</t>
  </si>
  <si>
    <t>Oberschwabenklinik, St. Elisabethen-Klinikum, Ravensburg</t>
  </si>
  <si>
    <t>FAP-Z158</t>
  </si>
  <si>
    <t>Prostatakrebszentrum am Klinikum Magdeburg</t>
  </si>
  <si>
    <t xml:space="preserve">Klinikum Magdeburg </t>
  </si>
  <si>
    <t>FAP-Z159</t>
  </si>
  <si>
    <t>Prostatakrebszentrum Klinikum Bamberg</t>
  </si>
  <si>
    <t>Sozialstiftung Bamberg Klinikum am Bruderwald</t>
  </si>
  <si>
    <t>FAP-Z160</t>
  </si>
  <si>
    <t>Prostatakarzinomzentrum am Knappschaftskrankenhaus Bottrop</t>
  </si>
  <si>
    <t>Knappschaftskrankenhaus Bottrop</t>
  </si>
  <si>
    <t>FAP-Z161 U</t>
  </si>
  <si>
    <t>Prostatakrebszentrum am Helios Universitätsklinikum Wuppertal</t>
  </si>
  <si>
    <t>Helios Universitätsklinikum Wuppertal</t>
  </si>
  <si>
    <t>FAP-Z163</t>
  </si>
  <si>
    <t>Prostatakrebszentrum St. Anna Luzern</t>
  </si>
  <si>
    <t>Hirslanden Klinik St. Anna Luzern</t>
  </si>
  <si>
    <t>FAP-Z166</t>
  </si>
  <si>
    <t>Prostatakrebszentrum Barmherzige Brüder Regensburg</t>
  </si>
  <si>
    <t>Krankenhaus Barmherzige Brüder Regensburg</t>
  </si>
  <si>
    <t>FAP-Z167</t>
  </si>
  <si>
    <t>Prostatakrebszentrum Vivantes Klinikum am Urban Berlin</t>
  </si>
  <si>
    <t>Vivantes Klinikum Am Urban Berlin</t>
  </si>
  <si>
    <t>FAP-Z169 U</t>
  </si>
  <si>
    <t>Prostatakrebszentrum SAAR an den SHG Kliniken Völklingen</t>
  </si>
  <si>
    <t>SHG-Kliniken Völklingen</t>
  </si>
  <si>
    <t>FAP-Z170</t>
  </si>
  <si>
    <t>Prostatakrebszentrum Vivantes Klinikum im Friedrichshain</t>
  </si>
  <si>
    <t>Vivantes Klinikum im Friedrichshain</t>
  </si>
  <si>
    <t>FAP-Z171</t>
  </si>
  <si>
    <t>Prostatakrebszentrum Sana Klinikum Offenbach</t>
  </si>
  <si>
    <t>Sana Klinikum Offenbach</t>
  </si>
  <si>
    <t>FAP-Z172</t>
  </si>
  <si>
    <t>Alfried Krupp Prostatakrebszentrum Essen</t>
  </si>
  <si>
    <t>Alfried-Krupp-Krankenhaus Essen</t>
  </si>
  <si>
    <t>FAP-Z174 U</t>
  </si>
  <si>
    <t>Prostatakrebszentrum Sankt Vincentius Krankenhaus Speyer</t>
  </si>
  <si>
    <t>Sankt Vincentius Krankenhaus Speyer</t>
  </si>
  <si>
    <t>FAP-Z175 U</t>
  </si>
  <si>
    <t>Prostatakrebszentrum Krankenhaus Barmherzige Brüder München</t>
  </si>
  <si>
    <t>Krankenhaus Barmherzige Brüder München</t>
  </si>
  <si>
    <t>FAP-Z176 U</t>
  </si>
  <si>
    <t>Prostatakrebszentrum am Helios Klinikum Aue</t>
  </si>
  <si>
    <t>Helios Klinikum Aue</t>
  </si>
  <si>
    <t xml:space="preserve">Filtername EMAC: "Liste Reg.Nr DS" </t>
  </si>
  <si>
    <r>
      <rPr>
        <vertAlign val="superscript"/>
        <sz val="8"/>
        <rFont val="Arial"/>
        <family val="2"/>
      </rPr>
      <t xml:space="preserve">1)  </t>
    </r>
    <r>
      <rPr>
        <sz val="8"/>
        <rFont val="Arial"/>
        <family val="2"/>
      </rPr>
      <t>Die Daten müssen pat.bezogen rückverfolgbar sein. Ausgelöst durch die Follow-Up-Strukturen der Krebsregister (Latenzzeit Vollzähligkeit der Registrierung von Zielereignissen) werden Follow-Up-Daten aus dem vorletzten Kalenderjahr vor dem Auditjahr betrachtet (Auditjahr 2022 =&gt; Follow-Up Daten aus dem Zeitraum 01.01.2020-31.12.2020).</t>
    </r>
  </si>
  <si>
    <t>&lt; 0,1%</t>
  </si>
  <si>
    <t>Pat., die in der Urologie bzw. Strahlentherapie vorstellig (z.B. über Einweisung) und als Primärfall gemäß EB 1.2.1 diagnostiziert sind (ohne primär M1, ohne Zufallsbefund nach RZE)</t>
  </si>
  <si>
    <t xml:space="preserve">Keine Verbindlichkeit im Auditjahr 2022
Kennzahl wird aktuell organübergreifend definiert. Eine verbindliche Darlegung der Kennzahl in dem Auditjahr 2022 ist unabhg. der geführten Diskussionen nicht vorgesehen. </t>
  </si>
  <si>
    <t>Stand: 22.09.2021</t>
  </si>
  <si>
    <t>Aktualisierung: 16.11.2021</t>
  </si>
  <si>
    <t>Primärfälle des Nenners mit Befundbericht mit Angabe von:
- Lokalisation und Anzahl Karzinom-positiver Gewebeproben im Verhältnis zu den entnommenen Stanzen
- Semiquantitative Abschätzung  der Tumorausdehnung (in Prozent und/oder mm) 
- Gleason- Score gemäß ISUP 2014 und WHO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</si>
</sst>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0%"/>
    <numFmt numFmtId="165" formatCode="0.0"/>
    <numFmt numFmtId="166" formatCode="0.000%"/>
  </numFmts>
  <fonts count="148" x14ac:knownFonts="1">
    <font>
      <sz val="11"/>
      <color theme="1"/>
      <name val="Calibri"/>
      <family val="2"/>
      <scheme val="minor"/>
    </font>
    <font>
      <sz val="10"/>
      <color theme="1"/>
      <name val="Arial"/>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9"/>
      <color indexed="8"/>
      <name val="Calibri"/>
      <family val="2"/>
    </font>
    <font>
      <sz val="11"/>
      <color indexed="23"/>
      <name val="Arial"/>
      <family val="2"/>
    </font>
    <font>
      <b/>
      <sz val="12"/>
      <color indexed="8"/>
      <name val="Arial"/>
      <family val="2"/>
    </font>
    <font>
      <sz val="9"/>
      <color indexed="8"/>
      <name val="Times New Roman"/>
      <family val="1"/>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b/>
      <sz val="9"/>
      <color indexed="8"/>
      <name val="Calibri"/>
      <family val="2"/>
    </font>
    <font>
      <sz val="11"/>
      <name val="Calibri"/>
      <family val="2"/>
    </font>
    <font>
      <b/>
      <u/>
      <sz val="8"/>
      <color indexed="8"/>
      <name val="Arial"/>
      <family val="2"/>
    </font>
    <font>
      <sz val="8"/>
      <color indexed="81"/>
      <name val="Arial"/>
      <family val="2"/>
    </font>
    <font>
      <b/>
      <sz val="8.5"/>
      <color indexed="8"/>
      <name val="Arial"/>
      <family val="2"/>
    </font>
    <font>
      <sz val="6"/>
      <name val="Arial"/>
      <family val="2"/>
    </font>
    <font>
      <sz val="9"/>
      <color indexed="9"/>
      <name val="Arial"/>
      <family val="2"/>
    </font>
    <font>
      <b/>
      <sz val="16"/>
      <color indexed="8"/>
      <name val="Arial"/>
      <family val="2"/>
    </font>
    <font>
      <sz val="8"/>
      <color indexed="8"/>
      <name val="Arial Narrow"/>
      <family val="2"/>
    </font>
    <font>
      <sz val="8"/>
      <name val="Arial Narrow"/>
      <family val="2"/>
    </font>
    <font>
      <b/>
      <sz val="8"/>
      <color indexed="8"/>
      <name val="Arial Narrow"/>
      <family val="2"/>
    </font>
    <font>
      <u/>
      <sz val="8"/>
      <color indexed="8"/>
      <name val="Arial"/>
      <family val="2"/>
    </font>
    <font>
      <b/>
      <sz val="11"/>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u/>
      <sz val="11"/>
      <color theme="10"/>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b/>
      <sz val="18"/>
      <color indexed="62"/>
      <name val="Cambria"/>
      <family val="2"/>
      <scheme val="major"/>
    </font>
    <font>
      <sz val="11"/>
      <color rgb="FFFF0000"/>
      <name val="Calibri"/>
      <family val="2"/>
      <scheme val="minor"/>
    </font>
    <font>
      <sz val="11"/>
      <color indexed="53"/>
      <name val="Calibri"/>
      <family val="2"/>
      <scheme val="minor"/>
    </font>
    <font>
      <sz val="8"/>
      <color theme="1"/>
      <name val="Arial"/>
      <family val="2"/>
    </font>
    <font>
      <sz val="11"/>
      <color theme="1"/>
      <name val="Arial"/>
      <family val="2"/>
    </font>
    <font>
      <sz val="9"/>
      <color theme="1"/>
      <name val="Calibri"/>
      <family val="2"/>
      <scheme val="minor"/>
    </font>
    <font>
      <b/>
      <sz val="9"/>
      <color theme="1"/>
      <name val="Calibri"/>
      <family val="2"/>
      <scheme val="minor"/>
    </font>
    <font>
      <b/>
      <sz val="9"/>
      <color theme="1"/>
      <name val="Arial"/>
      <family val="2"/>
    </font>
    <font>
      <sz val="10"/>
      <color theme="1"/>
      <name val="Arial"/>
      <family val="2"/>
    </font>
    <font>
      <b/>
      <sz val="8"/>
      <color theme="1"/>
      <name val="Arial"/>
      <family val="2"/>
    </font>
    <font>
      <sz val="9"/>
      <color theme="1"/>
      <name val="Arial"/>
      <family val="2"/>
    </font>
    <font>
      <b/>
      <sz val="10"/>
      <color theme="1"/>
      <name val="Arial"/>
      <family val="2"/>
    </font>
    <font>
      <b/>
      <sz val="11"/>
      <color theme="1"/>
      <name val="Arial"/>
      <family val="2"/>
    </font>
    <font>
      <sz val="10"/>
      <color theme="1"/>
      <name val="Calibri"/>
      <family val="2"/>
      <scheme val="minor"/>
    </font>
    <font>
      <sz val="8"/>
      <color theme="1"/>
      <name val="Arial Narrow"/>
      <family val="2"/>
    </font>
    <font>
      <sz val="11"/>
      <name val="Calibri"/>
      <family val="2"/>
      <scheme val="minor"/>
    </font>
    <font>
      <b/>
      <sz val="8"/>
      <color theme="1"/>
      <name val="Arial Narrow"/>
      <family val="2"/>
    </font>
    <font>
      <sz val="7"/>
      <name val="Arial"/>
      <family val="2"/>
    </font>
    <font>
      <vertAlign val="superscript"/>
      <sz val="9"/>
      <name val="Arial"/>
      <family val="2"/>
    </font>
    <font>
      <sz val="7"/>
      <color theme="1"/>
      <name val="Arial"/>
      <family val="2"/>
    </font>
    <font>
      <vertAlign val="superscript"/>
      <sz val="8"/>
      <name val="Arial"/>
      <family val="2"/>
    </font>
    <font>
      <sz val="9"/>
      <color rgb="FFFF0000"/>
      <name val="Arial"/>
      <family val="2"/>
    </font>
    <font>
      <strike/>
      <sz val="8"/>
      <name val="Arial Narrow"/>
      <family val="2"/>
    </font>
    <font>
      <strike/>
      <sz val="8"/>
      <color rgb="FFFF0000"/>
      <name val="Arial Narrow"/>
      <family val="2"/>
    </font>
    <font>
      <b/>
      <sz val="13"/>
      <name val="Arial"/>
      <family val="2"/>
    </font>
    <font>
      <sz val="11"/>
      <color indexed="8"/>
      <name val="Arial"/>
      <family val="2"/>
    </font>
    <font>
      <sz val="9"/>
      <color indexed="8"/>
      <name val="Arial"/>
      <family val="2"/>
    </font>
    <font>
      <sz val="10"/>
      <color indexed="8"/>
      <name val="Arial"/>
      <family val="2"/>
    </font>
    <font>
      <b/>
      <sz val="13"/>
      <color indexed="8"/>
      <name val="Arial"/>
      <family val="2"/>
    </font>
    <font>
      <b/>
      <sz val="12"/>
      <color indexed="8"/>
      <name val="Arial"/>
      <family val="2"/>
    </font>
    <font>
      <sz val="8"/>
      <color rgb="FFFF0000"/>
      <name val="Arial"/>
      <family val="2"/>
    </font>
    <font>
      <b/>
      <sz val="10"/>
      <color indexed="8"/>
      <name val="Arial"/>
      <family val="2"/>
    </font>
    <font>
      <sz val="10"/>
      <name val="Arial"/>
      <family val="2"/>
    </font>
    <font>
      <sz val="9"/>
      <name val="Arial"/>
      <family val="2"/>
    </font>
    <font>
      <sz val="8"/>
      <color indexed="55"/>
      <name val="Arial"/>
      <family val="2"/>
    </font>
    <font>
      <sz val="10"/>
      <color rgb="FFFF0000"/>
      <name val="Arial"/>
      <family val="2"/>
    </font>
    <font>
      <b/>
      <sz val="9"/>
      <color indexed="8"/>
      <name val="Arial"/>
      <family val="2"/>
    </font>
    <font>
      <b/>
      <sz val="9"/>
      <name val="Arial"/>
      <family val="2"/>
    </font>
    <font>
      <sz val="9"/>
      <color theme="1"/>
      <name val="Arial"/>
      <family val="2"/>
    </font>
    <font>
      <sz val="8"/>
      <name val="Arial"/>
      <family val="2"/>
    </font>
    <font>
      <b/>
      <u/>
      <sz val="8"/>
      <color indexed="8"/>
      <name val="Arial"/>
      <family val="2"/>
    </font>
    <font>
      <sz val="8"/>
      <color indexed="8"/>
      <name val="Arial"/>
      <family val="2"/>
    </font>
    <font>
      <sz val="11"/>
      <color theme="1"/>
      <name val="Arial"/>
      <family val="2"/>
    </font>
    <font>
      <vertAlign val="superscript"/>
      <sz val="10"/>
      <color theme="1"/>
      <name val="Arial"/>
      <family val="2"/>
    </font>
    <font>
      <vertAlign val="superscript"/>
      <sz val="11"/>
      <color theme="1"/>
      <name val="Arial"/>
      <family val="2"/>
    </font>
    <font>
      <sz val="11"/>
      <name val="Arial"/>
      <family val="2"/>
    </font>
    <font>
      <sz val="8"/>
      <color theme="1"/>
      <name val="Arial"/>
      <family val="2"/>
    </font>
    <font>
      <b/>
      <sz val="8"/>
      <color theme="1"/>
      <name val="Arial"/>
      <family val="2"/>
    </font>
    <font>
      <b/>
      <sz val="11"/>
      <color indexed="8"/>
      <name val="Calibri"/>
      <family val="2"/>
      <scheme val="minor"/>
    </font>
    <font>
      <sz val="11"/>
      <color theme="0" tint="-0.499984740745262"/>
      <name val="Arial"/>
      <family val="2"/>
    </font>
    <font>
      <sz val="8"/>
      <color theme="1" tint="0.499984740745262"/>
      <name val="Arial"/>
      <family val="2"/>
    </font>
    <font>
      <sz val="7"/>
      <color theme="1" tint="0.499984740745262"/>
      <name val="Arial"/>
      <family val="2"/>
    </font>
    <font>
      <sz val="8"/>
      <color theme="1" tint="0.499984740745262"/>
      <name val="Arial Narrow"/>
      <family val="2"/>
    </font>
    <font>
      <b/>
      <sz val="8"/>
      <color theme="1" tint="0.499984740745262"/>
      <name val="Arial"/>
      <family val="2"/>
    </font>
    <font>
      <sz val="6"/>
      <color theme="1" tint="0.499984740745262"/>
      <name val="Arial"/>
      <family val="2"/>
    </font>
    <font>
      <b/>
      <u/>
      <sz val="8"/>
      <name val="Arial"/>
      <family val="2"/>
    </font>
    <font>
      <b/>
      <u/>
      <sz val="8"/>
      <color rgb="FF000000"/>
      <name val="Arial"/>
      <family val="2"/>
    </font>
  </fonts>
  <fills count="98">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gray0625">
        <fgColor indexed="23"/>
        <bgColor indexed="9"/>
      </patternFill>
    </fill>
    <fill>
      <patternFill patternType="solid">
        <fgColor indexed="11"/>
        <bgColor indexed="64"/>
      </patternFill>
    </fill>
    <fill>
      <patternFill patternType="solid">
        <fgColor indexed="14"/>
        <bgColor indexed="64"/>
      </patternFill>
    </fill>
    <fill>
      <patternFill patternType="solid">
        <fgColor indexed="9"/>
        <b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DCE6F1"/>
        <bgColor indexed="64"/>
      </patternFill>
    </fill>
    <fill>
      <patternFill patternType="solid">
        <fgColor theme="0" tint="-0.499984740745262"/>
        <bgColor indexed="64"/>
      </patternFill>
    </fill>
    <fill>
      <patternFill patternType="solid">
        <fgColor rgb="FFFFFF9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gray0625">
        <fgColor rgb="FF808080"/>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BFBFBF"/>
        <bgColor indexed="64"/>
      </patternFill>
    </fill>
    <fill>
      <patternFill patternType="solid">
        <fgColor rgb="FFF2DCDB"/>
        <bgColor indexed="64"/>
      </patternFill>
    </fill>
    <fill>
      <patternFill patternType="solid">
        <fgColor rgb="FFD3FDDA"/>
        <bgColor indexed="64"/>
      </patternFill>
    </fill>
    <fill>
      <patternFill patternType="solid">
        <fgColor rgb="FFFFFF66"/>
        <bgColor indexed="64"/>
      </patternFill>
    </fill>
    <fill>
      <patternFill patternType="solid">
        <fgColor rgb="FFADDB7B"/>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rgb="FFDCE6F1"/>
        <bgColor indexed="9"/>
      </patternFill>
    </fill>
    <fill>
      <patternFill patternType="solid">
        <fgColor theme="4" tint="0.79998168889431442"/>
        <bgColor indexed="9"/>
      </patternFill>
    </fill>
    <fill>
      <patternFill patternType="solid">
        <fgColor rgb="FF99FF66"/>
        <bgColor indexed="64"/>
      </patternFill>
    </fill>
    <fill>
      <patternFill patternType="gray0625">
        <bgColor theme="4" tint="0.79998168889431442"/>
      </patternFill>
    </fill>
    <fill>
      <patternFill patternType="solid">
        <fgColor rgb="FF777777"/>
        <bgColor indexed="64"/>
      </patternFill>
    </fill>
    <fill>
      <patternFill patternType="lightUp"/>
    </fill>
    <fill>
      <patternFill patternType="solid">
        <fgColor theme="9" tint="0.59999389629810485"/>
        <bgColor indexed="64"/>
      </patternFill>
    </fill>
    <fill>
      <patternFill patternType="solid">
        <fgColor rgb="FFFFC000"/>
        <bgColor indexed="64"/>
      </patternFill>
    </fill>
    <fill>
      <patternFill patternType="solid">
        <fgColor rgb="FFCCFFCC"/>
        <bgColor indexed="64"/>
      </patternFill>
    </fill>
    <fill>
      <patternFill patternType="solid">
        <fgColor theme="7" tint="0.59999389629810485"/>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C1C1C1"/>
        <bgColor indexed="64"/>
      </patternFill>
    </fill>
  </fills>
  <borders count="114">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medium">
        <color indexed="64"/>
      </top>
      <bottom style="thick">
        <color indexed="64"/>
      </bottom>
      <diagonal/>
    </border>
    <border>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medium">
        <color indexed="64"/>
      </right>
      <top/>
      <bottom/>
      <diagonal/>
    </border>
    <border>
      <left/>
      <right/>
      <top style="medium">
        <color indexed="64"/>
      </top>
      <bottom/>
      <diagonal/>
    </border>
    <border>
      <left style="medium">
        <color indexed="64"/>
      </left>
      <right style="thick">
        <color indexed="64"/>
      </right>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style="thick">
        <color indexed="64"/>
      </bottom>
      <diagonal/>
    </border>
  </borders>
  <cellStyleXfs count="1132">
    <xf numFmtId="0" fontId="0" fillId="0" borderId="0"/>
    <xf numFmtId="0" fontId="70" fillId="34" borderId="0" applyNumberFormat="0" applyBorder="0" applyAlignment="0" applyProtection="0"/>
    <xf numFmtId="0" fontId="70" fillId="3" borderId="0" applyNumberFormat="0" applyBorder="0" applyAlignment="0" applyProtection="0"/>
    <xf numFmtId="0" fontId="70" fillId="3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34" borderId="0" applyNumberFormat="0" applyBorder="0" applyAlignment="0" applyProtection="0"/>
    <xf numFmtId="0" fontId="70" fillId="2" borderId="0" applyNumberFormat="0" applyBorder="0" applyAlignment="0" applyProtection="0"/>
    <xf numFmtId="0" fontId="70" fillId="2"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70" fillId="35" borderId="0" applyNumberFormat="0" applyBorder="0" applyAlignment="0" applyProtection="0"/>
    <xf numFmtId="0" fontId="70" fillId="6" borderId="0" applyNumberFormat="0" applyBorder="0" applyAlignment="0" applyProtection="0"/>
    <xf numFmtId="0" fontId="70" fillId="3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3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70" fillId="36" borderId="0" applyNumberFormat="0" applyBorder="0" applyAlignment="0" applyProtection="0"/>
    <xf numFmtId="0" fontId="70" fillId="8" borderId="0" applyNumberFormat="0" applyBorder="0" applyAlignment="0" applyProtection="0"/>
    <xf numFmtId="0" fontId="70" fillId="36"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36"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70" fillId="37" borderId="0" applyNumberFormat="0" applyBorder="0" applyAlignment="0" applyProtection="0"/>
    <xf numFmtId="0" fontId="70" fillId="10" borderId="0" applyNumberFormat="0" applyBorder="0" applyAlignment="0" applyProtection="0"/>
    <xf numFmtId="0" fontId="70" fillId="37"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37"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70" fillId="38"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38" borderId="0" applyNumberFormat="0" applyBorder="0" applyAlignment="0" applyProtection="0"/>
    <xf numFmtId="0" fontId="70" fillId="2"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70" fillId="39"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70" fillId="41"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70" fillId="42" borderId="0" applyNumberFormat="0" applyBorder="0" applyAlignment="0" applyProtection="0"/>
    <xf numFmtId="0" fontId="70" fillId="14" borderId="0" applyNumberFormat="0" applyBorder="0" applyAlignment="0" applyProtection="0"/>
    <xf numFmtId="0" fontId="70" fillId="42"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42"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70" fillId="43"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43" borderId="0" applyNumberFormat="0" applyBorder="0" applyAlignment="0" applyProtection="0"/>
    <xf numFmtId="0" fontId="70" fillId="15"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70" fillId="44" borderId="0" applyNumberFormat="0" applyBorder="0" applyAlignment="0" applyProtection="0"/>
    <xf numFmtId="0" fontId="70" fillId="44" borderId="0" applyNumberFormat="0" applyBorder="0" applyAlignment="0" applyProtection="0"/>
    <xf numFmtId="0" fontId="70"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70" fillId="4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5" borderId="0" applyNumberFormat="0" applyBorder="0" applyAlignment="0" applyProtection="0"/>
    <xf numFmtId="0" fontId="70" fillId="5"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1" fillId="46"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6" borderId="0" applyNumberFormat="0" applyBorder="0" applyAlignment="0" applyProtection="0"/>
    <xf numFmtId="0" fontId="71" fillId="2"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71" fillId="47"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71" fillId="48"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71" fillId="49" borderId="0" applyNumberFormat="0" applyBorder="0" applyAlignment="0" applyProtection="0"/>
    <xf numFmtId="0" fontId="71" fillId="18" borderId="0" applyNumberFormat="0" applyBorder="0" applyAlignment="0" applyProtection="0"/>
    <xf numFmtId="0" fontId="71" fillId="49"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49"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71" fillId="50"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50" borderId="0" applyNumberFormat="0" applyBorder="0" applyAlignment="0" applyProtection="0"/>
    <xf numFmtId="0" fontId="71" fillId="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71" fillId="51" borderId="0" applyNumberFormat="0" applyBorder="0" applyAlignment="0" applyProtection="0"/>
    <xf numFmtId="0" fontId="71" fillId="20" borderId="0" applyNumberFormat="0" applyBorder="0" applyAlignment="0" applyProtection="0"/>
    <xf numFmtId="0" fontId="71" fillId="51"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1"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71" fillId="52" borderId="0" applyNumberFormat="0" applyBorder="0" applyAlignment="0" applyProtection="0"/>
    <xf numFmtId="0" fontId="35" fillId="21"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52" borderId="0" applyNumberFormat="0" applyBorder="0" applyAlignment="0" applyProtection="0"/>
    <xf numFmtId="0" fontId="71" fillId="19" borderId="0" applyNumberFormat="0" applyBorder="0" applyAlignment="0" applyProtection="0"/>
    <xf numFmtId="0" fontId="71" fillId="21" borderId="0" applyNumberFormat="0" applyBorder="0" applyAlignment="0" applyProtection="0"/>
    <xf numFmtId="0" fontId="71" fillId="53" borderId="0" applyNumberFormat="0" applyBorder="0" applyAlignment="0" applyProtection="0"/>
    <xf numFmtId="0" fontId="35" fillId="22" borderId="0" applyNumberFormat="0" applyBorder="0" applyAlignment="0" applyProtection="0"/>
    <xf numFmtId="0" fontId="71" fillId="23" borderId="0" applyNumberFormat="0" applyBorder="0" applyAlignment="0" applyProtection="0"/>
    <xf numFmtId="0" fontId="71" fillId="22" borderId="0" applyNumberFormat="0" applyBorder="0" applyAlignment="0" applyProtection="0"/>
    <xf numFmtId="0" fontId="35" fillId="24" borderId="0" applyNumberFormat="0" applyBorder="0" applyAlignment="0" applyProtection="0"/>
    <xf numFmtId="0" fontId="71" fillId="55" borderId="0" applyNumberFormat="0" applyBorder="0" applyAlignment="0" applyProtection="0"/>
    <xf numFmtId="0" fontId="35" fillId="18"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55" borderId="0" applyNumberFormat="0" applyBorder="0" applyAlignment="0" applyProtection="0"/>
    <xf numFmtId="0" fontId="71" fillId="25" borderId="0" applyNumberFormat="0" applyBorder="0" applyAlignment="0" applyProtection="0"/>
    <xf numFmtId="0" fontId="71" fillId="18" borderId="0" applyNumberFormat="0" applyBorder="0" applyAlignment="0" applyProtection="0"/>
    <xf numFmtId="0" fontId="35" fillId="19" borderId="0" applyNumberFormat="0" applyBorder="0" applyAlignment="0" applyProtection="0"/>
    <xf numFmtId="0" fontId="35" fillId="23"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56" borderId="0" applyNumberFormat="0" applyBorder="0" applyAlignment="0" applyProtection="0"/>
    <xf numFmtId="0" fontId="71" fillId="56" borderId="0" applyNumberFormat="0" applyBorder="0" applyAlignment="0" applyProtection="0"/>
    <xf numFmtId="0" fontId="71" fillId="56" borderId="0" applyNumberFormat="0" applyBorder="0" applyAlignment="0" applyProtection="0"/>
    <xf numFmtId="0" fontId="71" fillId="57" borderId="0" applyNumberFormat="0" applyBorder="0" applyAlignment="0" applyProtection="0"/>
    <xf numFmtId="0" fontId="71" fillId="57" borderId="0" applyNumberFormat="0" applyBorder="0" applyAlignment="0" applyProtection="0"/>
    <xf numFmtId="0" fontId="71" fillId="57" borderId="0" applyNumberFormat="0" applyBorder="0" applyAlignment="0" applyProtection="0"/>
    <xf numFmtId="0" fontId="72" fillId="58" borderId="100" applyNumberFormat="0" applyAlignment="0" applyProtection="0"/>
    <xf numFmtId="0" fontId="72" fillId="15" borderId="100" applyNumberFormat="0" applyAlignment="0" applyProtection="0"/>
    <xf numFmtId="0" fontId="72" fillId="15" borderId="100" applyNumberFormat="0" applyAlignment="0" applyProtection="0"/>
    <xf numFmtId="0" fontId="12" fillId="15" borderId="1" applyNumberFormat="0" applyAlignment="0" applyProtection="0"/>
    <xf numFmtId="0" fontId="72" fillId="58" borderId="100" applyNumberFormat="0" applyAlignment="0" applyProtection="0"/>
    <xf numFmtId="0" fontId="72" fillId="9" borderId="100" applyNumberFormat="0" applyAlignment="0" applyProtection="0"/>
    <xf numFmtId="0" fontId="72" fillId="9" borderId="100" applyNumberFormat="0" applyAlignment="0" applyProtection="0"/>
    <xf numFmtId="0" fontId="72" fillId="58" borderId="100" applyNumberFormat="0" applyAlignment="0" applyProtection="0"/>
    <xf numFmtId="0" fontId="12" fillId="9" borderId="1" applyNumberFormat="0" applyAlignment="0" applyProtection="0"/>
    <xf numFmtId="0" fontId="72" fillId="15" borderId="100" applyNumberFormat="0" applyAlignment="0" applyProtection="0"/>
    <xf numFmtId="0" fontId="12" fillId="9" borderId="1" applyNumberFormat="0" applyAlignment="0" applyProtection="0"/>
    <xf numFmtId="0" fontId="72" fillId="15" borderId="100" applyNumberFormat="0" applyAlignment="0" applyProtection="0"/>
    <xf numFmtId="0" fontId="72" fillId="15" borderId="100" applyNumberFormat="0" applyAlignment="0" applyProtection="0"/>
    <xf numFmtId="0" fontId="12" fillId="15" borderId="1"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72" fillId="15" borderId="100" applyNumberFormat="0" applyAlignment="0" applyProtection="0"/>
    <xf numFmtId="0" fontId="36" fillId="15" borderId="2" applyNumberFormat="0" applyAlignment="0" applyProtection="0"/>
    <xf numFmtId="0" fontId="72" fillId="15" borderId="100" applyNumberFormat="0" applyAlignment="0" applyProtection="0"/>
    <xf numFmtId="0" fontId="72" fillId="15" borderId="100" applyNumberFormat="0" applyAlignment="0" applyProtection="0"/>
    <xf numFmtId="0" fontId="12" fillId="15" borderId="1" applyNumberFormat="0" applyAlignment="0" applyProtection="0"/>
    <xf numFmtId="0" fontId="72" fillId="15" borderId="100" applyNumberFormat="0" applyAlignment="0" applyProtection="0"/>
    <xf numFmtId="0" fontId="36" fillId="15" borderId="2" applyNumberFormat="0" applyAlignment="0" applyProtection="0"/>
    <xf numFmtId="0" fontId="36" fillId="15" borderId="2" applyNumberFormat="0" applyAlignment="0" applyProtection="0"/>
    <xf numFmtId="0" fontId="72" fillId="15" borderId="100" applyNumberFormat="0" applyAlignment="0" applyProtection="0"/>
    <xf numFmtId="0" fontId="48" fillId="6" borderId="0" applyNumberFormat="0" applyBorder="0" applyAlignment="0" applyProtection="0"/>
    <xf numFmtId="0" fontId="74" fillId="58" borderId="101" applyNumberFormat="0" applyAlignment="0" applyProtection="0"/>
    <xf numFmtId="0" fontId="74" fillId="15" borderId="101" applyNumberFormat="0" applyAlignment="0" applyProtection="0"/>
    <xf numFmtId="0" fontId="74" fillId="58" borderId="101" applyNumberFormat="0" applyAlignment="0" applyProtection="0"/>
    <xf numFmtId="0" fontId="74" fillId="9" borderId="101" applyNumberFormat="0" applyAlignment="0" applyProtection="0"/>
    <xf numFmtId="0" fontId="74" fillId="9" borderId="101" applyNumberFormat="0" applyAlignment="0" applyProtection="0"/>
    <xf numFmtId="0" fontId="74" fillId="58" borderId="101" applyNumberFormat="0" applyAlignment="0" applyProtection="0"/>
    <xf numFmtId="0" fontId="74" fillId="9" borderId="101" applyNumberFormat="0" applyAlignment="0" applyProtection="0"/>
    <xf numFmtId="0" fontId="74" fillId="9" borderId="101" applyNumberFormat="0" applyAlignment="0" applyProtection="0"/>
    <xf numFmtId="0" fontId="74" fillId="15" borderId="101"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74" fillId="15" borderId="101" applyNumberFormat="0" applyAlignment="0" applyProtection="0"/>
    <xf numFmtId="0" fontId="37" fillId="15" borderId="3" applyNumberFormat="0" applyAlignment="0" applyProtection="0"/>
    <xf numFmtId="0" fontId="74" fillId="15" borderId="101" applyNumberFormat="0" applyAlignment="0" applyProtection="0"/>
    <xf numFmtId="0" fontId="37" fillId="15" borderId="3" applyNumberFormat="0" applyAlignment="0" applyProtection="0"/>
    <xf numFmtId="0" fontId="37" fillId="15" borderId="3" applyNumberFormat="0" applyAlignment="0" applyProtection="0"/>
    <xf numFmtId="0" fontId="50" fillId="26" borderId="5" applyNumberFormat="0" applyAlignment="0" applyProtection="0"/>
    <xf numFmtId="0" fontId="75" fillId="60" borderId="102" applyNumberFormat="0" applyAlignment="0" applyProtection="0"/>
    <xf numFmtId="0" fontId="75" fillId="60" borderId="4" applyNumberFormat="0" applyAlignment="0" applyProtection="0"/>
    <xf numFmtId="0" fontId="76" fillId="61" borderId="101"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77" fillId="0" borderId="103" applyNumberFormat="0" applyFill="0" applyAlignment="0" applyProtection="0"/>
    <xf numFmtId="0" fontId="77" fillId="0" borderId="7" applyNumberFormat="0" applyFill="0" applyAlignment="0" applyProtection="0"/>
    <xf numFmtId="0" fontId="77" fillId="0" borderId="7" applyNumberFormat="0" applyFill="0" applyAlignment="0" applyProtection="0"/>
    <xf numFmtId="0" fontId="77" fillId="0" borderId="7" applyNumberFormat="0" applyFill="0" applyAlignment="0" applyProtection="0"/>
    <xf numFmtId="0" fontId="77" fillId="0" borderId="103" applyNumberFormat="0" applyFill="0" applyAlignment="0" applyProtection="0"/>
    <xf numFmtId="0" fontId="77" fillId="0" borderId="6" applyNumberFormat="0" applyFill="0" applyAlignment="0" applyProtection="0"/>
    <xf numFmtId="0" fontId="77" fillId="0" borderId="6" applyNumberFormat="0" applyFill="0" applyAlignment="0" applyProtection="0"/>
    <xf numFmtId="0" fontId="77" fillId="0" borderId="103" applyNumberFormat="0" applyFill="0" applyAlignment="0" applyProtection="0"/>
    <xf numFmtId="0" fontId="77" fillId="0" borderId="6" applyNumberFormat="0" applyFill="0" applyAlignment="0" applyProtection="0"/>
    <xf numFmtId="0" fontId="77" fillId="0" borderId="6" applyNumberFormat="0" applyFill="0" applyAlignment="0" applyProtection="0"/>
    <xf numFmtId="0" fontId="77" fillId="0" borderId="7" applyNumberFormat="0" applyFill="0" applyAlignment="0" applyProtection="0"/>
    <xf numFmtId="0" fontId="77"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7"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7" fillId="0" borderId="7" applyNumberFormat="0" applyFill="0" applyAlignment="0" applyProtection="0"/>
    <xf numFmtId="0" fontId="12" fillId="0" borderId="7" applyNumberFormat="0" applyFill="0" applyAlignment="0" applyProtection="0"/>
    <xf numFmtId="0" fontId="77" fillId="0" borderId="7" applyNumberFormat="0" applyFill="0" applyAlignment="0" applyProtection="0"/>
    <xf numFmtId="0" fontId="12" fillId="0" borderId="7" applyNumberFormat="0" applyFill="0" applyAlignment="0" applyProtection="0"/>
    <xf numFmtId="0" fontId="78"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7" fillId="8"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80" fillId="0" borderId="104" applyNumberFormat="0" applyFill="0" applyAlignment="0" applyProtection="0"/>
    <xf numFmtId="0" fontId="81" fillId="0" borderId="8" applyNumberFormat="0" applyFill="0" applyAlignment="0" applyProtection="0"/>
    <xf numFmtId="0" fontId="65" fillId="0" borderId="8" applyNumberFormat="0" applyFill="0" applyAlignment="0" applyProtection="0"/>
    <xf numFmtId="0" fontId="80" fillId="0" borderId="104" applyNumberFormat="0" applyFill="0" applyAlignment="0" applyProtection="0"/>
    <xf numFmtId="0" fontId="65" fillId="0" borderId="8" applyNumberFormat="0" applyFill="0" applyAlignment="0" applyProtection="0"/>
    <xf numFmtId="0" fontId="42" fillId="0" borderId="9" applyNumberFormat="0" applyFill="0" applyAlignment="0" applyProtection="0"/>
    <xf numFmtId="0" fontId="82" fillId="0" borderId="105" applyNumberFormat="0" applyFill="0" applyAlignment="0" applyProtection="0"/>
    <xf numFmtId="0" fontId="83" fillId="0" borderId="11" applyNumberFormat="0" applyFill="0" applyAlignment="0" applyProtection="0"/>
    <xf numFmtId="0" fontId="66" fillId="0" borderId="11" applyNumberFormat="0" applyFill="0" applyAlignment="0" applyProtection="0"/>
    <xf numFmtId="0" fontId="82" fillId="0" borderId="105" applyNumberFormat="0" applyFill="0" applyAlignment="0" applyProtection="0"/>
    <xf numFmtId="0" fontId="66" fillId="0" borderId="10" applyNumberFormat="0" applyFill="0" applyAlignment="0" applyProtection="0"/>
    <xf numFmtId="0" fontId="45" fillId="0" borderId="12" applyNumberFormat="0" applyFill="0" applyAlignment="0" applyProtection="0"/>
    <xf numFmtId="0" fontId="84" fillId="0" borderId="106" applyNumberFormat="0" applyFill="0" applyAlignment="0" applyProtection="0"/>
    <xf numFmtId="0" fontId="85" fillId="0" borderId="14" applyNumberFormat="0" applyFill="0" applyAlignment="0" applyProtection="0"/>
    <xf numFmtId="0" fontId="67" fillId="0" borderId="14" applyNumberFormat="0" applyFill="0" applyAlignment="0" applyProtection="0"/>
    <xf numFmtId="0" fontId="84" fillId="0" borderId="106" applyNumberFormat="0" applyFill="0" applyAlignment="0" applyProtection="0"/>
    <xf numFmtId="0" fontId="67" fillId="0" borderId="13" applyNumberFormat="0" applyFill="0" applyAlignment="0" applyProtection="0"/>
    <xf numFmtId="0" fontId="43" fillId="0" borderId="15" applyNumberFormat="0" applyFill="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43" fillId="0" borderId="0" applyNumberFormat="0" applyFill="0" applyBorder="0" applyAlignment="0" applyProtection="0"/>
    <xf numFmtId="0" fontId="86" fillId="0" borderId="0" applyNumberFormat="0" applyFill="0" applyBorder="0" applyAlignment="0" applyProtection="0"/>
    <xf numFmtId="0" fontId="38" fillId="5" borderId="3" applyNumberFormat="0" applyAlignment="0" applyProtection="0"/>
    <xf numFmtId="43" fontId="2" fillId="0" borderId="0" applyFont="0" applyFill="0" applyBorder="0" applyAlignment="0" applyProtection="0"/>
    <xf numFmtId="0" fontId="49" fillId="0" borderId="16" applyNumberFormat="0" applyFill="0" applyAlignment="0" applyProtection="0"/>
    <xf numFmtId="0" fontId="88" fillId="63" borderId="0" applyNumberFormat="0" applyBorder="0" applyAlignment="0" applyProtection="0"/>
    <xf numFmtId="0" fontId="70" fillId="0" borderId="0"/>
    <xf numFmtId="0" fontId="70" fillId="64" borderId="108" applyNumberFormat="0" applyFont="0" applyAlignment="0" applyProtection="0"/>
    <xf numFmtId="0" fontId="3" fillId="7" borderId="17" applyNumberFormat="0" applyFont="0" applyAlignment="0" applyProtection="0"/>
    <xf numFmtId="0" fontId="3" fillId="7" borderId="17"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70"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70"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70"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36" fillId="15" borderId="2" applyNumberFormat="0" applyAlignment="0" applyProtection="0"/>
    <xf numFmtId="9" fontId="11"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7"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 fillId="0" borderId="0"/>
    <xf numFmtId="0" fontId="70" fillId="0" borderId="0"/>
    <xf numFmtId="0" fontId="70" fillId="0" borderId="0"/>
    <xf numFmtId="0" fontId="89" fillId="0" borderId="0"/>
    <xf numFmtId="0" fontId="3" fillId="0" borderId="0"/>
    <xf numFmtId="0" fontId="70" fillId="0" borderId="0"/>
    <xf numFmtId="0" fontId="70" fillId="0" borderId="0"/>
    <xf numFmtId="0" fontId="89" fillId="0" borderId="0"/>
    <xf numFmtId="0" fontId="27" fillId="0" borderId="0"/>
    <xf numFmtId="0" fontId="3" fillId="0" borderId="0"/>
    <xf numFmtId="0" fontId="11"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89"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70" fillId="0" borderId="0"/>
    <xf numFmtId="0" fontId="3" fillId="0" borderId="0"/>
    <xf numFmtId="0" fontId="3" fillId="0" borderId="0"/>
    <xf numFmtId="0" fontId="53" fillId="0" borderId="0"/>
    <xf numFmtId="0" fontId="53" fillId="0" borderId="0"/>
    <xf numFmtId="0" fontId="3" fillId="0" borderId="0"/>
    <xf numFmtId="0" fontId="3" fillId="0" borderId="0"/>
    <xf numFmtId="0" fontId="90" fillId="0" borderId="0" applyNumberFormat="0" applyFill="0" applyBorder="0" applyAlignment="0" applyProtection="0"/>
    <xf numFmtId="0" fontId="91"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12" fillId="0" borderId="7"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7" fillId="0" borderId="107" applyNumberFormat="0" applyFill="0" applyAlignment="0" applyProtection="0"/>
    <xf numFmtId="0" fontId="87" fillId="0" borderId="107" applyNumberFormat="0" applyFill="0" applyAlignment="0" applyProtection="0"/>
    <xf numFmtId="0" fontId="87" fillId="0" borderId="107" applyNumberFormat="0" applyFill="0" applyAlignment="0" applyProtection="0"/>
    <xf numFmtId="0" fontId="92" fillId="0" borderId="0" applyNumberFormat="0" applyFill="0" applyBorder="0" applyAlignment="0" applyProtection="0"/>
    <xf numFmtId="0" fontId="40" fillId="0" borderId="0" applyNumberForma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5" fillId="60" borderId="102" applyNumberFormat="0" applyAlignment="0" applyProtection="0"/>
    <xf numFmtId="0" fontId="75" fillId="60" borderId="102" applyNumberFormat="0" applyAlignment="0" applyProtection="0"/>
    <xf numFmtId="0" fontId="75" fillId="60" borderId="102" applyNumberFormat="0" applyAlignment="0" applyProtection="0"/>
    <xf numFmtId="0" fontId="75" fillId="60" borderId="4" applyNumberFormat="0" applyAlignment="0" applyProtection="0"/>
    <xf numFmtId="0" fontId="75" fillId="60" borderId="102" applyNumberFormat="0" applyAlignment="0" applyProtection="0"/>
    <xf numFmtId="0" fontId="75" fillId="60" borderId="4" applyNumberForma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1" fillId="52" borderId="0" applyNumberFormat="0" applyBorder="0" applyAlignment="0" applyProtection="0"/>
    <xf numFmtId="0" fontId="71" fillId="55"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56" borderId="0" applyNumberFormat="0" applyBorder="0" applyAlignment="0" applyProtection="0"/>
    <xf numFmtId="0" fontId="71" fillId="57" borderId="0" applyNumberFormat="0" applyBorder="0" applyAlignment="0" applyProtection="0"/>
    <xf numFmtId="0" fontId="139" fillId="9" borderId="1" applyNumberFormat="0" applyAlignment="0" applyProtection="0"/>
    <xf numFmtId="0" fontId="139" fillId="15" borderId="1" applyNumberFormat="0" applyAlignment="0" applyProtection="0"/>
    <xf numFmtId="0" fontId="139" fillId="15" borderId="1" applyNumberFormat="0" applyAlignment="0" applyProtection="0"/>
    <xf numFmtId="0" fontId="139" fillId="9" borderId="1" applyNumberFormat="0" applyAlignment="0" applyProtection="0"/>
    <xf numFmtId="0" fontId="139" fillId="9" borderId="1" applyNumberFormat="0" applyAlignment="0" applyProtection="0"/>
    <xf numFmtId="0" fontId="139" fillId="15" borderId="1" applyNumberFormat="0" applyAlignment="0" applyProtection="0"/>
    <xf numFmtId="0" fontId="139" fillId="15" borderId="1" applyNumberFormat="0" applyAlignment="0" applyProtection="0"/>
    <xf numFmtId="0" fontId="139" fillId="15" borderId="1" applyNumberFormat="0" applyAlignment="0" applyProtection="0"/>
    <xf numFmtId="0" fontId="48" fillId="6" borderId="0" applyNumberFormat="0" applyBorder="0" applyAlignment="0" applyProtection="0"/>
    <xf numFmtId="0" fontId="50" fillId="26" borderId="5" applyNumberFormat="0" applyAlignment="0" applyProtection="0"/>
    <xf numFmtId="0" fontId="75" fillId="60" borderId="4" applyNumberFormat="0" applyAlignment="0" applyProtection="0"/>
    <xf numFmtId="0" fontId="75" fillId="60" borderId="102" applyNumberFormat="0" applyAlignment="0" applyProtection="0"/>
    <xf numFmtId="0" fontId="75" fillId="60" borderId="102" applyNumberFormat="0" applyAlignment="0" applyProtection="0"/>
    <xf numFmtId="0" fontId="75" fillId="60" borderId="5" applyNumberFormat="0" applyAlignment="0" applyProtection="0"/>
    <xf numFmtId="0" fontId="47" fillId="8" borderId="0" applyNumberFormat="0" applyBorder="0" applyAlignment="0" applyProtection="0"/>
    <xf numFmtId="0" fontId="79" fillId="62" borderId="0" applyNumberFormat="0" applyBorder="0" applyAlignment="0" applyProtection="0"/>
    <xf numFmtId="0" fontId="81" fillId="0" borderId="8" applyNumberFormat="0" applyFill="0" applyAlignment="0" applyProtection="0"/>
    <xf numFmtId="0" fontId="80" fillId="0" borderId="104" applyNumberFormat="0" applyFill="0" applyAlignment="0" applyProtection="0"/>
    <xf numFmtId="0" fontId="83" fillId="0" borderId="10" applyNumberFormat="0" applyFill="0" applyAlignment="0" applyProtection="0"/>
    <xf numFmtId="0" fontId="83" fillId="0" borderId="11" applyNumberFormat="0" applyFill="0" applyAlignment="0" applyProtection="0"/>
    <xf numFmtId="0" fontId="82" fillId="0" borderId="105" applyNumberFormat="0" applyFill="0" applyAlignment="0" applyProtection="0"/>
    <xf numFmtId="0" fontId="85" fillId="0" borderId="13" applyNumberFormat="0" applyFill="0" applyAlignment="0" applyProtection="0"/>
    <xf numFmtId="0" fontId="85" fillId="0" borderId="14" applyNumberFormat="0" applyFill="0" applyAlignment="0" applyProtection="0"/>
    <xf numFmtId="0" fontId="84" fillId="0" borderId="106" applyNumberFormat="0" applyFill="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49" fillId="0" borderId="16" applyNumberFormat="0" applyFill="0" applyAlignment="0" applyProtection="0"/>
    <xf numFmtId="0" fontId="88" fillId="63" borderId="0" applyNumberFormat="0" applyBorder="0" applyAlignment="0" applyProtection="0"/>
    <xf numFmtId="0" fontId="2" fillId="64" borderId="108" applyNumberFormat="0" applyFont="0" applyAlignment="0" applyProtection="0"/>
    <xf numFmtId="0" fontId="70" fillId="64" borderId="108" applyNumberFormat="0" applyFont="0" applyAlignment="0" applyProtection="0"/>
    <xf numFmtId="0" fontId="2" fillId="64" borderId="108" applyNumberFormat="0" applyFont="0" applyAlignment="0" applyProtection="0"/>
    <xf numFmtId="0" fontId="70"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70" fillId="64" borderId="108" applyNumberFormat="0" applyFont="0" applyAlignment="0" applyProtection="0"/>
    <xf numFmtId="0" fontId="70" fillId="64" borderId="108" applyNumberFormat="0" applyFont="0" applyAlignment="0" applyProtection="0"/>
    <xf numFmtId="0" fontId="2" fillId="64" borderId="108" applyNumberFormat="0" applyFont="0" applyAlignment="0" applyProtection="0"/>
    <xf numFmtId="0" fontId="70"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9" fontId="2"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7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3" fillId="5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2" fillId="0" borderId="0"/>
    <xf numFmtId="0" fontId="2" fillId="0" borderId="0"/>
    <xf numFmtId="0" fontId="91"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81" fillId="0" borderId="8" applyNumberFormat="0" applyFill="0" applyAlignment="0" applyProtection="0"/>
    <xf numFmtId="0" fontId="81" fillId="0" borderId="8" applyNumberFormat="0" applyFill="0" applyAlignment="0" applyProtection="0"/>
    <xf numFmtId="0" fontId="83" fillId="0" borderId="10" applyNumberFormat="0" applyFill="0" applyAlignment="0" applyProtection="0"/>
    <xf numFmtId="0" fontId="83" fillId="0" borderId="10" applyNumberFormat="0" applyFill="0" applyAlignment="0" applyProtection="0"/>
    <xf numFmtId="0" fontId="85" fillId="0" borderId="13" applyNumberFormat="0" applyFill="0" applyAlignment="0" applyProtection="0"/>
    <xf numFmtId="0" fontId="85" fillId="0" borderId="13"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91" fillId="0" borderId="0" applyNumberFormat="0" applyFill="0" applyBorder="0" applyAlignment="0" applyProtection="0"/>
    <xf numFmtId="0" fontId="87" fillId="0" borderId="107" applyNumberFormat="0" applyFill="0" applyAlignment="0" applyProtection="0"/>
    <xf numFmtId="0" fontId="75" fillId="60" borderId="4" applyNumberFormat="0" applyAlignment="0" applyProtection="0"/>
    <xf numFmtId="0" fontId="75" fillId="60" borderId="4" applyNumberFormat="0" applyAlignment="0" applyProtection="0"/>
    <xf numFmtId="0" fontId="75" fillId="60" borderId="102" applyNumberFormat="0" applyAlignment="0" applyProtection="0"/>
    <xf numFmtId="0" fontId="71" fillId="19" borderId="0" applyNumberFormat="0" applyBorder="0" applyAlignment="0" applyProtection="0"/>
    <xf numFmtId="0" fontId="71" fillId="25" borderId="0" applyNumberFormat="0" applyBorder="0" applyAlignment="0" applyProtection="0"/>
    <xf numFmtId="0" fontId="71" fillId="22" borderId="0" applyNumberFormat="0" applyBorder="0" applyAlignment="0" applyProtection="0"/>
    <xf numFmtId="0" fontId="12" fillId="15" borderId="1" applyNumberFormat="0" applyAlignment="0" applyProtection="0"/>
    <xf numFmtId="0" fontId="12" fillId="9" borderId="1" applyNumberFormat="0" applyAlignment="0" applyProtection="0"/>
    <xf numFmtId="0" fontId="12" fillId="9" borderId="1" applyNumberFormat="0" applyAlignment="0" applyProtection="0"/>
    <xf numFmtId="0" fontId="12" fillId="15" borderId="1" applyNumberFormat="0" applyAlignment="0" applyProtection="0"/>
    <xf numFmtId="0" fontId="75" fillId="60" borderId="4" applyNumberFormat="0" applyAlignment="0" applyProtection="0"/>
    <xf numFmtId="0" fontId="65" fillId="0" borderId="8" applyNumberFormat="0" applyFill="0" applyAlignment="0" applyProtection="0"/>
    <xf numFmtId="0" fontId="65" fillId="0" borderId="8" applyNumberFormat="0" applyFill="0" applyAlignment="0" applyProtection="0"/>
    <xf numFmtId="0" fontId="66" fillId="0" borderId="11" applyNumberFormat="0" applyFill="0" applyAlignment="0" applyProtection="0"/>
    <xf numFmtId="0" fontId="66" fillId="0" borderId="10" applyNumberFormat="0" applyFill="0" applyAlignment="0" applyProtection="0"/>
    <xf numFmtId="0" fontId="67" fillId="0" borderId="14" applyNumberFormat="0" applyFill="0" applyAlignment="0" applyProtection="0"/>
    <xf numFmtId="0" fontId="67" fillId="0" borderId="13"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 fillId="64" borderId="108"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cellStyleXfs>
  <cellXfs count="1250">
    <xf numFmtId="0" fontId="0" fillId="0" borderId="0" xfId="0"/>
    <xf numFmtId="0" fontId="0" fillId="0" borderId="0" xfId="0" applyProtection="1"/>
    <xf numFmtId="0" fontId="0" fillId="0" borderId="0" xfId="0" applyFill="1" applyProtection="1"/>
    <xf numFmtId="0" fontId="0" fillId="0" borderId="0" xfId="0" applyFill="1"/>
    <xf numFmtId="0" fontId="8" fillId="0" borderId="0" xfId="0" applyFont="1" applyBorder="1" applyAlignment="1">
      <alignment horizontal="center"/>
    </xf>
    <xf numFmtId="0" fontId="7" fillId="0" borderId="0" xfId="547" applyFont="1" applyBorder="1" applyAlignment="1">
      <alignment horizontal="center"/>
    </xf>
    <xf numFmtId="0" fontId="17" fillId="0" borderId="0" xfId="0" applyFont="1" applyProtection="1"/>
    <xf numFmtId="0" fontId="21" fillId="0" borderId="0" xfId="0" applyFont="1" applyProtection="1"/>
    <xf numFmtId="0" fontId="4" fillId="0" borderId="0" xfId="513" applyFont="1" applyProtection="1"/>
    <xf numFmtId="0" fontId="22" fillId="0" borderId="0" xfId="513" applyFont="1" applyProtection="1"/>
    <xf numFmtId="0" fontId="17" fillId="0" borderId="0" xfId="0" applyFont="1" applyFill="1" applyProtection="1"/>
    <xf numFmtId="0" fontId="13" fillId="0" borderId="0" xfId="0" applyFont="1" applyProtection="1"/>
    <xf numFmtId="0" fontId="21" fillId="0" borderId="0" xfId="0" applyFont="1" applyAlignment="1" applyProtection="1">
      <alignment vertical="center"/>
    </xf>
    <xf numFmtId="0" fontId="17" fillId="0" borderId="0" xfId="0" applyFont="1" applyBorder="1" applyAlignment="1" applyProtection="1">
      <alignment horizontal="center"/>
    </xf>
    <xf numFmtId="0" fontId="21" fillId="0" borderId="0" xfId="0" applyFont="1" applyAlignment="1" applyProtection="1"/>
    <xf numFmtId="0" fontId="17" fillId="0" borderId="0" xfId="0" applyFont="1" applyFill="1" applyAlignment="1" applyProtection="1">
      <alignment horizontal="center"/>
    </xf>
    <xf numFmtId="0" fontId="17" fillId="0" borderId="0" xfId="0" applyFont="1" applyBorder="1" applyAlignment="1" applyProtection="1">
      <alignment horizontal="center" vertical="center"/>
    </xf>
    <xf numFmtId="0" fontId="17" fillId="0" borderId="0" xfId="0" applyFont="1" applyAlignment="1" applyProtection="1">
      <alignment horizontal="center" vertical="center"/>
    </xf>
    <xf numFmtId="0" fontId="3" fillId="0" borderId="0" xfId="0" applyFont="1" applyProtection="1"/>
    <xf numFmtId="0" fontId="19" fillId="0" borderId="0" xfId="0" applyFont="1" applyFill="1" applyProtection="1"/>
    <xf numFmtId="0" fontId="10" fillId="0" borderId="18" xfId="0" applyFont="1" applyFill="1" applyBorder="1" applyAlignment="1" applyProtection="1">
      <alignment horizontal="center" vertical="center"/>
    </xf>
    <xf numFmtId="0" fontId="0" fillId="0" borderId="0" xfId="0" applyAlignment="1" applyProtection="1">
      <alignment horizontal="center"/>
    </xf>
    <xf numFmtId="0" fontId="10" fillId="27" borderId="18" xfId="0" applyFont="1" applyFill="1" applyBorder="1" applyAlignment="1" applyProtection="1">
      <alignment horizontal="center" vertical="center"/>
    </xf>
    <xf numFmtId="0" fontId="32" fillId="0" borderId="0" xfId="0" applyFont="1" applyProtection="1"/>
    <xf numFmtId="0" fontId="17" fillId="0" borderId="0" xfId="0" applyFont="1" applyBorder="1" applyProtection="1"/>
    <xf numFmtId="0" fontId="5" fillId="0" borderId="0" xfId="0" applyFont="1" applyProtection="1"/>
    <xf numFmtId="0" fontId="6" fillId="0" borderId="0" xfId="0" applyFont="1" applyBorder="1" applyAlignment="1" applyProtection="1"/>
    <xf numFmtId="0" fontId="7" fillId="0" borderId="0" xfId="0" applyFont="1"/>
    <xf numFmtId="0" fontId="3" fillId="0" borderId="0" xfId="513" applyFont="1" applyProtection="1"/>
    <xf numFmtId="0" fontId="18" fillId="0" borderId="0" xfId="0" applyFont="1" applyFill="1" applyProtection="1"/>
    <xf numFmtId="0" fontId="14" fillId="0" borderId="0" xfId="0" applyFont="1" applyProtection="1"/>
    <xf numFmtId="0" fontId="3" fillId="0" borderId="0" xfId="513" applyFont="1" applyAlignment="1" applyProtection="1">
      <alignment horizontal="left"/>
    </xf>
    <xf numFmtId="0" fontId="15" fillId="0" borderId="0" xfId="0" applyFont="1" applyProtection="1"/>
    <xf numFmtId="0" fontId="16" fillId="0" borderId="0" xfId="513" applyFont="1" applyProtection="1"/>
    <xf numFmtId="0" fontId="4" fillId="0" borderId="0" xfId="513" applyFont="1" applyAlignment="1" applyProtection="1">
      <alignment horizontal="left"/>
    </xf>
    <xf numFmtId="0" fontId="16" fillId="0" borderId="0" xfId="513" applyFont="1" applyAlignment="1" applyProtection="1">
      <alignment vertical="center"/>
    </xf>
    <xf numFmtId="0" fontId="3" fillId="0" borderId="0" xfId="513" applyFont="1" applyAlignment="1" applyProtection="1">
      <alignment horizontal="center"/>
    </xf>
    <xf numFmtId="0" fontId="3" fillId="0" borderId="0" xfId="0" applyFont="1" applyAlignment="1" applyProtection="1">
      <alignment wrapText="1"/>
    </xf>
    <xf numFmtId="0" fontId="17" fillId="0" borderId="0" xfId="0" applyFont="1" applyBorder="1" applyAlignment="1" applyProtection="1"/>
    <xf numFmtId="0" fontId="20" fillId="0" borderId="0" xfId="0" applyFont="1" applyFill="1" applyProtection="1"/>
    <xf numFmtId="0" fontId="8" fillId="0" borderId="0" xfId="0" applyFont="1" applyBorder="1" applyAlignment="1" applyProtection="1">
      <alignment horizontal="center"/>
    </xf>
    <xf numFmtId="0" fontId="18" fillId="0" borderId="0" xfId="0" applyFont="1" applyBorder="1" applyProtection="1"/>
    <xf numFmtId="0" fontId="26" fillId="0" borderId="0" xfId="0" applyFont="1" applyProtection="1"/>
    <xf numFmtId="0" fontId="18" fillId="0" borderId="0" xfId="0" applyFont="1" applyProtection="1"/>
    <xf numFmtId="0" fontId="19" fillId="0" borderId="0" xfId="0" applyFont="1" applyProtection="1"/>
    <xf numFmtId="0" fontId="13" fillId="0" borderId="18" xfId="0" applyFont="1" applyBorder="1" applyAlignment="1" applyProtection="1">
      <alignment horizontal="center" vertical="center" wrapText="1"/>
    </xf>
    <xf numFmtId="0" fontId="21" fillId="0" borderId="18" xfId="0" applyNumberFormat="1" applyFont="1" applyBorder="1" applyAlignment="1" applyProtection="1">
      <alignment horizontal="center" vertical="center" wrapText="1"/>
    </xf>
    <xf numFmtId="0" fontId="21" fillId="0" borderId="18" xfId="0" applyNumberFormat="1" applyFont="1" applyFill="1" applyBorder="1" applyAlignment="1" applyProtection="1">
      <alignment horizontal="center" vertical="center" wrapText="1"/>
    </xf>
    <xf numFmtId="0" fontId="21" fillId="28" borderId="19" xfId="0" applyFont="1" applyFill="1" applyBorder="1" applyAlignment="1" applyProtection="1">
      <alignment horizontal="center"/>
    </xf>
    <xf numFmtId="164" fontId="16" fillId="29" borderId="19" xfId="425" applyNumberFormat="1" applyFont="1" applyFill="1" applyBorder="1" applyAlignment="1" applyProtection="1">
      <alignment horizontal="center" wrapText="1"/>
    </xf>
    <xf numFmtId="0" fontId="7" fillId="0" borderId="0" xfId="0" applyFont="1" applyFill="1" applyBorder="1" applyAlignment="1" applyProtection="1">
      <alignment wrapText="1"/>
    </xf>
    <xf numFmtId="0" fontId="0" fillId="0" borderId="0" xfId="0" applyFill="1" applyBorder="1" applyProtection="1"/>
    <xf numFmtId="0" fontId="12" fillId="0" borderId="0" xfId="0" applyFont="1" applyProtection="1"/>
    <xf numFmtId="0" fontId="0" fillId="0" borderId="0" xfId="0" applyAlignment="1" applyProtection="1"/>
    <xf numFmtId="0" fontId="13" fillId="0" borderId="0" xfId="0" applyFont="1" applyFill="1"/>
    <xf numFmtId="0" fontId="13" fillId="0" borderId="0" xfId="0" applyFont="1" applyFill="1" applyProtection="1"/>
    <xf numFmtId="0" fontId="23" fillId="0" borderId="0" xfId="0" applyFont="1" applyProtection="1"/>
    <xf numFmtId="14" fontId="28" fillId="30" borderId="18" xfId="0" applyNumberFormat="1" applyFont="1" applyFill="1" applyBorder="1" applyAlignment="1" applyProtection="1">
      <alignment horizontal="center" vertical="center"/>
    </xf>
    <xf numFmtId="0" fontId="10" fillId="30" borderId="18" xfId="513" applyFont="1" applyFill="1" applyBorder="1" applyAlignment="1" applyProtection="1">
      <alignment vertical="center"/>
    </xf>
    <xf numFmtId="164" fontId="16" fillId="29" borderId="19" xfId="425" applyNumberFormat="1" applyFont="1" applyFill="1" applyBorder="1" applyAlignment="1" applyProtection="1">
      <alignment horizontal="center" vertical="center" wrapText="1"/>
    </xf>
    <xf numFmtId="0" fontId="21" fillId="28" borderId="19" xfId="0" applyFont="1" applyFill="1" applyBorder="1" applyAlignment="1" applyProtection="1">
      <alignment horizontal="center" vertical="center"/>
    </xf>
    <xf numFmtId="0" fontId="17" fillId="0" borderId="0" xfId="0" applyFont="1" applyAlignment="1" applyProtection="1">
      <alignment horizontal="center" vertical="center" wrapText="1"/>
    </xf>
    <xf numFmtId="14" fontId="13" fillId="0" borderId="0" xfId="0" applyNumberFormat="1" applyFont="1" applyFill="1"/>
    <xf numFmtId="0" fontId="17" fillId="0" borderId="0" xfId="0" applyFont="1" applyFill="1" applyBorder="1" applyProtection="1"/>
    <xf numFmtId="0" fontId="21" fillId="0" borderId="0" xfId="0"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164" fontId="16" fillId="0" borderId="0" xfId="425" applyNumberFormat="1" applyFont="1" applyFill="1" applyBorder="1" applyAlignment="1" applyProtection="1">
      <alignment horizontal="center" vertical="center" wrapText="1"/>
    </xf>
    <xf numFmtId="0" fontId="17" fillId="0" borderId="0" xfId="0" applyFont="1" applyFill="1" applyBorder="1" applyAlignment="1" applyProtection="1">
      <alignment horizontal="left" vertical="center"/>
    </xf>
    <xf numFmtId="0" fontId="16" fillId="0" borderId="0" xfId="513" applyFont="1" applyAlignment="1" applyProtection="1">
      <alignment horizontal="center" vertical="center"/>
    </xf>
    <xf numFmtId="0" fontId="17" fillId="0" borderId="0" xfId="0" applyFont="1" applyFill="1" applyAlignment="1" applyProtection="1">
      <alignment vertical="center"/>
    </xf>
    <xf numFmtId="0" fontId="7" fillId="0" borderId="18" xfId="0" applyFont="1" applyBorder="1" applyAlignment="1" applyProtection="1">
      <alignment horizontal="center" vertical="center" wrapText="1"/>
    </xf>
    <xf numFmtId="0" fontId="33" fillId="27" borderId="0" xfId="0" applyFont="1" applyFill="1" applyAlignment="1" applyProtection="1">
      <alignment horizontal="left"/>
    </xf>
    <xf numFmtId="0" fontId="21" fillId="27" borderId="0" xfId="0" applyFont="1" applyFill="1" applyProtection="1"/>
    <xf numFmtId="0" fontId="21" fillId="0" borderId="0" xfId="0" applyFont="1" applyFill="1" applyProtection="1"/>
    <xf numFmtId="0" fontId="16" fillId="0" borderId="0" xfId="0" applyFont="1" applyFill="1" applyProtection="1"/>
    <xf numFmtId="10" fontId="13" fillId="0" borderId="0" xfId="0" applyNumberFormat="1"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164" fontId="7" fillId="0" borderId="0" xfId="425" applyNumberFormat="1" applyFont="1" applyFill="1" applyBorder="1" applyAlignment="1" applyProtection="1">
      <alignment horizontal="center" wrapText="1"/>
    </xf>
    <xf numFmtId="16" fontId="13" fillId="0" borderId="20" xfId="0" applyNumberFormat="1" applyFont="1" applyBorder="1" applyAlignment="1" applyProtection="1">
      <alignment vertical="center" wrapText="1"/>
    </xf>
    <xf numFmtId="0" fontId="17" fillId="27" borderId="0" xfId="0" applyFont="1" applyFill="1" applyProtection="1"/>
    <xf numFmtId="0" fontId="20" fillId="0" borderId="0" xfId="0" applyFont="1" applyProtection="1"/>
    <xf numFmtId="0" fontId="31" fillId="0" borderId="0" xfId="0" applyFont="1" applyProtection="1"/>
    <xf numFmtId="0" fontId="31" fillId="0" borderId="0" xfId="0" applyFont="1" applyAlignment="1" applyProtection="1">
      <alignment wrapText="1"/>
    </xf>
    <xf numFmtId="0" fontId="13" fillId="0" borderId="20" xfId="0" applyFont="1" applyBorder="1" applyAlignment="1" applyProtection="1">
      <alignment vertical="center" wrapText="1"/>
    </xf>
    <xf numFmtId="1" fontId="25" fillId="30" borderId="20" xfId="0" applyNumberFormat="1" applyFont="1" applyFill="1" applyBorder="1" applyAlignment="1" applyProtection="1">
      <alignment horizontal="center" vertical="center" wrapText="1"/>
    </xf>
    <xf numFmtId="14" fontId="28" fillId="0" borderId="0" xfId="0" applyNumberFormat="1" applyFont="1" applyFill="1" applyBorder="1" applyAlignment="1" applyProtection="1">
      <alignment horizontal="center" vertical="center"/>
    </xf>
    <xf numFmtId="0" fontId="21" fillId="0" borderId="0" xfId="0" applyFont="1" applyBorder="1" applyAlignment="1" applyProtection="1">
      <alignment horizontal="right"/>
    </xf>
    <xf numFmtId="0" fontId="15" fillId="0" borderId="0" xfId="0" applyFont="1" applyAlignment="1" applyProtection="1">
      <alignment horizontal="center" vertical="center"/>
    </xf>
    <xf numFmtId="0" fontId="21" fillId="29" borderId="21" xfId="0" applyFont="1" applyFill="1" applyBorder="1" applyAlignment="1" applyProtection="1">
      <alignment horizontal="center" vertical="center" wrapText="1"/>
    </xf>
    <xf numFmtId="0" fontId="21" fillId="28" borderId="21" xfId="0" applyFont="1" applyFill="1" applyBorder="1" applyAlignment="1" applyProtection="1">
      <alignment horizontal="center" vertical="center"/>
    </xf>
    <xf numFmtId="0" fontId="16" fillId="0" borderId="0" xfId="548" applyFont="1"/>
    <xf numFmtId="0" fontId="16" fillId="0" borderId="0" xfId="0" applyFont="1"/>
    <xf numFmtId="0" fontId="30" fillId="0" borderId="0" xfId="0" applyFont="1"/>
    <xf numFmtId="0" fontId="16" fillId="0" borderId="0" xfId="0" applyFont="1" applyFill="1" applyBorder="1" applyAlignment="1">
      <alignment wrapText="1"/>
    </xf>
    <xf numFmtId="0" fontId="24" fillId="31" borderId="21" xfId="0" applyFont="1" applyFill="1" applyBorder="1" applyAlignment="1" applyProtection="1">
      <alignment horizontal="center" vertical="center" wrapText="1"/>
    </xf>
    <xf numFmtId="0" fontId="21" fillId="32" borderId="22" xfId="0" applyFont="1" applyFill="1" applyBorder="1" applyAlignment="1" applyProtection="1">
      <alignment horizontal="center" vertical="center"/>
    </xf>
    <xf numFmtId="0" fontId="46" fillId="0" borderId="0" xfId="0" applyFont="1" applyProtection="1"/>
    <xf numFmtId="0" fontId="21" fillId="31" borderId="19" xfId="0" applyFont="1" applyFill="1" applyBorder="1" applyAlignment="1" applyProtection="1">
      <alignment horizontal="center"/>
    </xf>
    <xf numFmtId="0" fontId="21" fillId="32" borderId="19" xfId="0" applyFont="1" applyFill="1" applyBorder="1" applyAlignment="1" applyProtection="1">
      <alignment horizontal="center"/>
    </xf>
    <xf numFmtId="0" fontId="21" fillId="32" borderId="22" xfId="0" applyFont="1" applyFill="1" applyBorder="1" applyAlignment="1" applyProtection="1">
      <alignment horizontal="center"/>
    </xf>
    <xf numFmtId="0" fontId="28" fillId="0" borderId="18" xfId="0" applyFont="1" applyBorder="1" applyAlignment="1" applyProtection="1">
      <alignment horizontal="center" vertical="center"/>
    </xf>
    <xf numFmtId="0" fontId="16" fillId="0" borderId="20" xfId="0" applyFont="1" applyBorder="1" applyAlignment="1" applyProtection="1">
      <alignment horizontal="center" vertical="center" wrapText="1"/>
    </xf>
    <xf numFmtId="0" fontId="16" fillId="0" borderId="26" xfId="0" applyFont="1" applyBorder="1" applyAlignment="1" applyProtection="1">
      <alignment horizontal="center" vertical="center" wrapText="1"/>
    </xf>
    <xf numFmtId="0" fontId="16" fillId="0" borderId="27" xfId="0" applyFont="1" applyBorder="1" applyAlignment="1" applyProtection="1">
      <alignment horizontal="center" vertical="center" wrapText="1"/>
    </xf>
    <xf numFmtId="0" fontId="16" fillId="0" borderId="20" xfId="0" applyFont="1" applyFill="1" applyBorder="1" applyAlignment="1" applyProtection="1">
      <alignment horizontal="center" vertical="center" wrapText="1"/>
    </xf>
    <xf numFmtId="0" fontId="94" fillId="0" borderId="0" xfId="0" applyFont="1" applyFill="1"/>
    <xf numFmtId="14" fontId="94" fillId="0" borderId="0" xfId="0" applyNumberFormat="1" applyFont="1" applyFill="1"/>
    <xf numFmtId="0" fontId="94" fillId="0" borderId="0" xfId="0" applyFont="1"/>
    <xf numFmtId="1" fontId="25" fillId="65" borderId="20" xfId="0" applyNumberFormat="1" applyFont="1" applyFill="1" applyBorder="1" applyAlignment="1" applyProtection="1">
      <alignment horizontal="center" vertical="center"/>
      <protection locked="0"/>
    </xf>
    <xf numFmtId="1" fontId="25" fillId="65" borderId="0" xfId="0" applyNumberFormat="1" applyFont="1" applyFill="1" applyBorder="1" applyAlignment="1" applyProtection="1">
      <alignment horizontal="center" vertical="center"/>
      <protection locked="0"/>
    </xf>
    <xf numFmtId="0" fontId="16" fillId="0" borderId="26" xfId="0" applyFont="1" applyFill="1" applyBorder="1" applyAlignment="1" applyProtection="1">
      <alignment horizontal="center" wrapText="1"/>
    </xf>
    <xf numFmtId="0" fontId="16" fillId="0" borderId="18" xfId="548" applyFont="1" applyBorder="1"/>
    <xf numFmtId="0" fontId="10" fillId="0" borderId="23" xfId="548" applyFont="1" applyBorder="1"/>
    <xf numFmtId="0" fontId="13" fillId="0" borderId="18" xfId="0" applyFont="1" applyBorder="1"/>
    <xf numFmtId="14" fontId="13" fillId="0" borderId="18" xfId="0" applyNumberFormat="1" applyFont="1" applyBorder="1" applyAlignment="1">
      <alignment horizontal="left"/>
    </xf>
    <xf numFmtId="0" fontId="13" fillId="0" borderId="18" xfId="0" applyFont="1" applyBorder="1" applyAlignment="1">
      <alignment horizontal="left"/>
    </xf>
    <xf numFmtId="0" fontId="25" fillId="0" borderId="18" xfId="0" applyFont="1" applyBorder="1"/>
    <xf numFmtId="0" fontId="51" fillId="0" borderId="0" xfId="0" applyFont="1" applyProtection="1"/>
    <xf numFmtId="0" fontId="16" fillId="0" borderId="18" xfId="0" applyFont="1" applyFill="1" applyBorder="1" applyAlignment="1">
      <alignment wrapText="1"/>
    </xf>
    <xf numFmtId="0" fontId="10" fillId="0" borderId="23" xfId="0" applyFont="1" applyFill="1" applyBorder="1" applyAlignment="1">
      <alignment wrapText="1"/>
    </xf>
    <xf numFmtId="0" fontId="16" fillId="0" borderId="18" xfId="0" applyFont="1" applyFill="1" applyBorder="1" applyAlignment="1" applyProtection="1">
      <alignment horizontal="center" vertical="center" wrapText="1"/>
    </xf>
    <xf numFmtId="0" fontId="10" fillId="0" borderId="18" xfId="0" applyFont="1" applyFill="1" applyBorder="1" applyAlignment="1" applyProtection="1">
      <alignment horizontal="center" vertical="center" wrapText="1"/>
    </xf>
    <xf numFmtId="0" fontId="8" fillId="0" borderId="18" xfId="0" applyFont="1" applyFill="1" applyBorder="1" applyAlignment="1" applyProtection="1">
      <alignment horizontal="center" wrapText="1"/>
    </xf>
    <xf numFmtId="0" fontId="95" fillId="0" borderId="0" xfId="0" applyFont="1" applyProtection="1"/>
    <xf numFmtId="0" fontId="20" fillId="0" borderId="0" xfId="0" applyFont="1" applyFill="1" applyAlignment="1" applyProtection="1">
      <alignment vertical="center"/>
    </xf>
    <xf numFmtId="0" fontId="17" fillId="0" borderId="0" xfId="0" applyFont="1" applyFill="1" applyBorder="1" applyAlignment="1" applyProtection="1">
      <alignment horizontal="center"/>
    </xf>
    <xf numFmtId="0" fontId="0" fillId="0" borderId="0" xfId="0" applyAlignment="1">
      <alignment horizontal="center" vertical="center"/>
    </xf>
    <xf numFmtId="0" fontId="7" fillId="0" borderId="0" xfId="548" applyFont="1" applyAlignment="1">
      <alignment horizontal="center" vertical="center"/>
    </xf>
    <xf numFmtId="0" fontId="7" fillId="0" borderId="0" xfId="0" applyFont="1" applyAlignment="1">
      <alignment horizontal="center" vertical="center"/>
    </xf>
    <xf numFmtId="0" fontId="13"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xf>
    <xf numFmtId="0" fontId="25" fillId="0" borderId="0" xfId="0" applyFont="1" applyFill="1" applyAlignment="1">
      <alignment horizontal="center"/>
    </xf>
    <xf numFmtId="0" fontId="12" fillId="68" borderId="20" xfId="0" applyFont="1" applyFill="1" applyBorder="1" applyAlignment="1">
      <alignment horizontal="center"/>
    </xf>
    <xf numFmtId="0" fontId="12" fillId="68" borderId="20" xfId="0" applyFont="1" applyFill="1" applyBorder="1" applyAlignment="1">
      <alignment horizontal="center" vertical="center"/>
    </xf>
    <xf numFmtId="0" fontId="25" fillId="68" borderId="20" xfId="0" applyFont="1" applyFill="1" applyBorder="1" applyAlignment="1">
      <alignment horizontal="center"/>
    </xf>
    <xf numFmtId="0" fontId="8" fillId="69" borderId="20" xfId="0" applyFont="1" applyFill="1" applyBorder="1" applyAlignment="1">
      <alignment horizontal="center"/>
    </xf>
    <xf numFmtId="0" fontId="0" fillId="69" borderId="20" xfId="0" applyFill="1" applyBorder="1" applyAlignment="1">
      <alignment horizontal="center"/>
    </xf>
    <xf numFmtId="0" fontId="0" fillId="69" borderId="20" xfId="0" applyFill="1" applyBorder="1" applyAlignment="1">
      <alignment horizontal="center" vertical="center"/>
    </xf>
    <xf numFmtId="14" fontId="0" fillId="69" borderId="20" xfId="0" applyNumberFormat="1" applyFill="1" applyBorder="1" applyAlignment="1">
      <alignment horizontal="center"/>
    </xf>
    <xf numFmtId="0" fontId="25" fillId="0" borderId="18" xfId="0" applyFont="1" applyBorder="1" applyAlignment="1" applyProtection="1">
      <alignment horizontal="center" vertical="center"/>
    </xf>
    <xf numFmtId="0" fontId="0" fillId="0" borderId="0" xfId="0" applyAlignment="1" applyProtection="1">
      <alignment vertical="center"/>
    </xf>
    <xf numFmtId="49" fontId="21" fillId="0" borderId="18" xfId="0" applyNumberFormat="1" applyFont="1" applyBorder="1" applyAlignment="1" applyProtection="1">
      <alignment horizontal="center" vertical="center"/>
    </xf>
    <xf numFmtId="0" fontId="21" fillId="0" borderId="18" xfId="0" applyFont="1" applyBorder="1" applyAlignment="1" applyProtection="1">
      <alignment horizontal="center" vertical="center"/>
    </xf>
    <xf numFmtId="9" fontId="21" fillId="0" borderId="18" xfId="425" applyFont="1" applyBorder="1" applyAlignment="1" applyProtection="1">
      <alignment horizontal="center" vertical="center"/>
    </xf>
    <xf numFmtId="1" fontId="21" fillId="0" borderId="18" xfId="0" applyNumberFormat="1" applyFont="1" applyFill="1" applyBorder="1" applyAlignment="1" applyProtection="1">
      <alignment horizontal="center" vertical="center"/>
    </xf>
    <xf numFmtId="0" fontId="16" fillId="0" borderId="18" xfId="0" applyFont="1" applyFill="1" applyBorder="1" applyAlignment="1" applyProtection="1">
      <alignment vertical="center"/>
    </xf>
    <xf numFmtId="0" fontId="21" fillId="0" borderId="18" xfId="0" applyNumberFormat="1" applyFont="1" applyFill="1" applyBorder="1" applyAlignment="1" applyProtection="1">
      <alignment horizontal="center" vertical="center"/>
    </xf>
    <xf numFmtId="0" fontId="21" fillId="0" borderId="18" xfId="425" applyNumberFormat="1" applyFont="1" applyFill="1" applyBorder="1" applyAlignment="1" applyProtection="1">
      <alignment horizontal="center" vertical="center"/>
    </xf>
    <xf numFmtId="0" fontId="21" fillId="0" borderId="18" xfId="0" applyNumberFormat="1" applyFont="1" applyBorder="1" applyAlignment="1" applyProtection="1">
      <alignment horizontal="center" vertical="center"/>
    </xf>
    <xf numFmtId="0" fontId="21" fillId="0" borderId="18" xfId="425" applyNumberFormat="1" applyFont="1" applyBorder="1" applyAlignment="1" applyProtection="1">
      <alignment horizontal="center" vertical="center"/>
    </xf>
    <xf numFmtId="0" fontId="21" fillId="70" borderId="18" xfId="0" applyNumberFormat="1" applyFont="1" applyFill="1" applyBorder="1" applyAlignment="1" applyProtection="1">
      <alignment horizontal="center" vertical="center"/>
    </xf>
    <xf numFmtId="9" fontId="21" fillId="70" borderId="18" xfId="425" applyFont="1" applyFill="1" applyBorder="1" applyAlignment="1" applyProtection="1">
      <alignment horizontal="center" vertical="center"/>
    </xf>
    <xf numFmtId="0" fontId="21" fillId="70" borderId="18" xfId="425" applyNumberFormat="1" applyFont="1" applyFill="1" applyBorder="1" applyAlignment="1" applyProtection="1">
      <alignment horizontal="center" vertical="center"/>
    </xf>
    <xf numFmtId="0" fontId="21" fillId="70" borderId="18" xfId="0" applyFont="1" applyFill="1" applyBorder="1" applyAlignment="1" applyProtection="1">
      <alignment horizontal="center" vertical="center"/>
    </xf>
    <xf numFmtId="49" fontId="21" fillId="70" borderId="18" xfId="0" applyNumberFormat="1" applyFont="1" applyFill="1" applyBorder="1" applyAlignment="1" applyProtection="1">
      <alignment horizontal="center" vertical="center"/>
    </xf>
    <xf numFmtId="9" fontId="21" fillId="0" borderId="18" xfId="425" applyFont="1" applyFill="1" applyBorder="1" applyAlignment="1" applyProtection="1">
      <alignment horizontal="center" vertical="center"/>
    </xf>
    <xf numFmtId="9" fontId="21" fillId="27" borderId="18" xfId="425" applyFont="1" applyFill="1" applyBorder="1" applyAlignment="1" applyProtection="1">
      <alignment horizontal="center" vertical="center"/>
    </xf>
    <xf numFmtId="0" fontId="28" fillId="0" borderId="0" xfId="0" applyFont="1" applyProtection="1"/>
    <xf numFmtId="0" fontId="96" fillId="0" borderId="0" xfId="0" applyFont="1" applyProtection="1"/>
    <xf numFmtId="0" fontId="97" fillId="0" borderId="0" xfId="0" applyFont="1" applyProtection="1"/>
    <xf numFmtId="0" fontId="98" fillId="0" borderId="0" xfId="0" applyFont="1" applyProtection="1"/>
    <xf numFmtId="0" fontId="7" fillId="0" borderId="20" xfId="0" applyFont="1" applyBorder="1" applyAlignment="1" applyProtection="1">
      <alignment vertical="center" wrapText="1"/>
    </xf>
    <xf numFmtId="1" fontId="8" fillId="30" borderId="20" xfId="0" applyNumberFormat="1" applyFont="1" applyFill="1" applyBorder="1" applyAlignment="1" applyProtection="1">
      <alignment horizontal="center" vertical="center" wrapText="1"/>
    </xf>
    <xf numFmtId="1" fontId="8" fillId="65" borderId="20" xfId="0" applyNumberFormat="1" applyFont="1" applyFill="1" applyBorder="1" applyAlignment="1" applyProtection="1">
      <alignment horizontal="center" vertical="center"/>
      <protection locked="0"/>
    </xf>
    <xf numFmtId="0" fontId="4" fillId="0" borderId="0" xfId="513" applyFont="1" applyAlignment="1" applyProtection="1">
      <alignment horizontal="center" vertical="center"/>
    </xf>
    <xf numFmtId="0" fontId="13" fillId="0" borderId="18" xfId="0" applyNumberFormat="1" applyFont="1" applyBorder="1" applyAlignment="1" applyProtection="1">
      <alignment horizontal="center" vertical="center" wrapText="1"/>
    </xf>
    <xf numFmtId="0" fontId="21" fillId="0" borderId="0" xfId="0" applyFont="1" applyFill="1" applyAlignment="1" applyProtection="1">
      <alignment vertical="center"/>
    </xf>
    <xf numFmtId="0" fontId="21" fillId="31" borderId="21" xfId="0" applyFont="1" applyFill="1" applyBorder="1" applyAlignment="1" applyProtection="1">
      <alignment horizontal="center" vertical="center" wrapText="1"/>
    </xf>
    <xf numFmtId="0" fontId="21" fillId="32" borderId="21" xfId="0" applyFont="1" applyFill="1" applyBorder="1" applyAlignment="1" applyProtection="1">
      <alignment horizontal="center" vertical="center"/>
    </xf>
    <xf numFmtId="0" fontId="21" fillId="32" borderId="29" xfId="0" applyFont="1" applyFill="1" applyBorder="1" applyAlignment="1" applyProtection="1">
      <alignment horizontal="center" vertical="center"/>
    </xf>
    <xf numFmtId="0" fontId="21" fillId="0" borderId="0" xfId="0" applyFont="1" applyFill="1" applyAlignment="1" applyProtection="1">
      <alignment vertical="center" wrapText="1"/>
    </xf>
    <xf numFmtId="0" fontId="32" fillId="0" borderId="0" xfId="0" applyFont="1" applyFill="1" applyProtection="1"/>
    <xf numFmtId="0" fontId="99" fillId="0" borderId="25" xfId="0" applyFont="1" applyBorder="1" applyAlignment="1" applyProtection="1">
      <alignment horizontal="center" vertical="center"/>
    </xf>
    <xf numFmtId="0" fontId="99" fillId="0" borderId="18" xfId="0" applyFont="1" applyBorder="1" applyAlignment="1" applyProtection="1">
      <alignment horizontal="center" vertical="center"/>
    </xf>
    <xf numFmtId="0" fontId="99" fillId="0" borderId="0" xfId="0" applyFont="1" applyAlignment="1" applyProtection="1">
      <alignment horizontal="center" vertical="center"/>
    </xf>
    <xf numFmtId="166" fontId="99" fillId="0" borderId="25" xfId="425" applyNumberFormat="1" applyFont="1" applyBorder="1" applyAlignment="1" applyProtection="1">
      <alignment horizontal="center" vertical="center"/>
    </xf>
    <xf numFmtId="166" fontId="99" fillId="0" borderId="18" xfId="425" applyNumberFormat="1" applyFont="1" applyBorder="1" applyAlignment="1" applyProtection="1">
      <alignment horizontal="center" vertical="center"/>
    </xf>
    <xf numFmtId="166" fontId="99" fillId="0" borderId="18" xfId="0" applyNumberFormat="1" applyFont="1" applyFill="1" applyBorder="1" applyAlignment="1" applyProtection="1">
      <alignment horizontal="center" vertical="center"/>
    </xf>
    <xf numFmtId="0" fontId="99" fillId="0" borderId="0" xfId="0" applyFont="1" applyBorder="1" applyAlignment="1" applyProtection="1">
      <alignment horizontal="center" vertical="center"/>
    </xf>
    <xf numFmtId="0" fontId="14" fillId="0" borderId="18" xfId="0" applyFont="1" applyBorder="1" applyProtection="1"/>
    <xf numFmtId="0" fontId="25" fillId="0" borderId="24" xfId="0" applyFont="1" applyBorder="1" applyAlignment="1" applyProtection="1"/>
    <xf numFmtId="49" fontId="25" fillId="0" borderId="23" xfId="0" applyNumberFormat="1" applyFont="1" applyBorder="1" applyAlignment="1" applyProtection="1"/>
    <xf numFmtId="0" fontId="25" fillId="0" borderId="23" xfId="0" applyNumberFormat="1" applyFont="1" applyBorder="1" applyAlignment="1" applyProtection="1"/>
    <xf numFmtId="166" fontId="25" fillId="0" borderId="24" xfId="0" applyNumberFormat="1" applyFont="1" applyBorder="1" applyAlignment="1" applyProtection="1"/>
    <xf numFmtId="9" fontId="25" fillId="0" borderId="24" xfId="0" applyNumberFormat="1" applyFont="1" applyBorder="1" applyAlignment="1" applyProtection="1"/>
    <xf numFmtId="2" fontId="25" fillId="0" borderId="24" xfId="0" applyNumberFormat="1" applyFont="1" applyBorder="1" applyAlignment="1" applyProtection="1"/>
    <xf numFmtId="1" fontId="25" fillId="71" borderId="20" xfId="0" applyNumberFormat="1" applyFont="1" applyFill="1" applyBorder="1" applyAlignment="1" applyProtection="1">
      <alignment horizontal="center" vertical="center"/>
    </xf>
    <xf numFmtId="0" fontId="13" fillId="0" borderId="18" xfId="0" applyFont="1" applyFill="1" applyBorder="1" applyAlignment="1">
      <alignment horizontal="center" vertical="center"/>
    </xf>
    <xf numFmtId="0" fontId="13" fillId="0" borderId="18" xfId="0" applyFont="1" applyBorder="1" applyAlignment="1">
      <alignment horizontal="center" vertical="center"/>
    </xf>
    <xf numFmtId="0" fontId="17" fillId="0" borderId="0" xfId="0" applyFont="1" applyAlignment="1" applyProtection="1">
      <alignment vertical="center"/>
    </xf>
    <xf numFmtId="1" fontId="8" fillId="72" borderId="20" xfId="0" applyNumberFormat="1" applyFont="1" applyFill="1" applyBorder="1" applyAlignment="1" applyProtection="1">
      <alignment horizontal="center" vertical="center"/>
      <protection locked="0"/>
    </xf>
    <xf numFmtId="0" fontId="56" fillId="0" borderId="0" xfId="0" applyFont="1" applyAlignment="1">
      <alignment vertical="center"/>
    </xf>
    <xf numFmtId="0" fontId="14" fillId="0" borderId="18" xfId="0" applyFont="1" applyBorder="1" applyAlignment="1" applyProtection="1">
      <alignment horizontal="center" vertical="center"/>
    </xf>
    <xf numFmtId="0" fontId="0" fillId="0" borderId="0" xfId="0" applyAlignment="1" applyProtection="1">
      <alignment horizontal="center" vertical="center"/>
    </xf>
    <xf numFmtId="0" fontId="0" fillId="0" borderId="0" xfId="0" applyBorder="1"/>
    <xf numFmtId="0" fontId="16" fillId="0" borderId="18" xfId="0" applyNumberFormat="1" applyFont="1" applyBorder="1" applyAlignment="1" applyProtection="1">
      <alignment horizontal="center" vertical="center"/>
    </xf>
    <xf numFmtId="0" fontId="0" fillId="0" borderId="0" xfId="0"/>
    <xf numFmtId="0" fontId="0" fillId="0" borderId="0" xfId="0" applyFill="1"/>
    <xf numFmtId="0" fontId="100" fillId="0" borderId="0" xfId="0" applyFont="1"/>
    <xf numFmtId="0" fontId="21" fillId="0" borderId="0" xfId="0" applyFont="1" applyAlignment="1" applyProtection="1">
      <alignment horizontal="center"/>
    </xf>
    <xf numFmtId="0" fontId="101" fillId="0" borderId="0" xfId="0" applyFont="1"/>
    <xf numFmtId="0" fontId="99" fillId="0" borderId="18" xfId="0" applyFont="1" applyBorder="1" applyAlignment="1" applyProtection="1">
      <alignment horizontal="left" vertical="center"/>
    </xf>
    <xf numFmtId="14" fontId="99" fillId="0" borderId="18" xfId="0" applyNumberFormat="1" applyFont="1" applyBorder="1" applyAlignment="1" applyProtection="1">
      <alignment horizontal="left" vertical="center"/>
    </xf>
    <xf numFmtId="0" fontId="14" fillId="0" borderId="0" xfId="0" applyFont="1" applyFill="1" applyAlignment="1" applyProtection="1">
      <alignment horizontal="left" vertical="center"/>
    </xf>
    <xf numFmtId="0" fontId="15" fillId="0" borderId="0" xfId="0" applyFont="1" applyFill="1" applyAlignment="1" applyProtection="1">
      <alignment vertical="top"/>
    </xf>
    <xf numFmtId="0" fontId="101" fillId="31" borderId="19" xfId="0" applyFont="1" applyFill="1" applyBorder="1" applyAlignment="1" applyProtection="1">
      <alignment horizontal="center"/>
    </xf>
    <xf numFmtId="0" fontId="16" fillId="0" borderId="0" xfId="0" applyFont="1" applyFill="1" applyBorder="1"/>
    <xf numFmtId="0" fontId="0" fillId="0" borderId="0" xfId="0"/>
    <xf numFmtId="0" fontId="0" fillId="0" borderId="0" xfId="0" applyAlignment="1">
      <alignment horizontal="center" vertical="center"/>
    </xf>
    <xf numFmtId="0" fontId="21" fillId="0" borderId="0" xfId="0" applyFont="1" applyAlignment="1" applyProtection="1">
      <alignment horizontal="right"/>
    </xf>
    <xf numFmtId="0" fontId="21" fillId="0" borderId="41" xfId="0" applyFont="1" applyBorder="1" applyAlignment="1" applyProtection="1">
      <alignment horizontal="right"/>
    </xf>
    <xf numFmtId="0" fontId="15" fillId="0" borderId="0" xfId="0" applyFont="1" applyFill="1" applyAlignment="1" applyProtection="1">
      <alignment horizontal="center" vertical="center"/>
    </xf>
    <xf numFmtId="0" fontId="15" fillId="0" borderId="0" xfId="0" applyFont="1" applyFill="1" applyProtection="1"/>
    <xf numFmtId="0" fontId="15" fillId="0" borderId="0" xfId="0" applyFont="1" applyFill="1" applyAlignment="1" applyProtection="1"/>
    <xf numFmtId="0" fontId="32" fillId="0" borderId="0" xfId="0" applyFont="1" applyAlignment="1" applyProtection="1">
      <alignment vertical="top"/>
    </xf>
    <xf numFmtId="0" fontId="16" fillId="0" borderId="0" xfId="513" applyFont="1" applyAlignment="1" applyProtection="1">
      <alignment horizontal="left" vertical="center"/>
    </xf>
    <xf numFmtId="0" fontId="16" fillId="0" borderId="0" xfId="513" applyFont="1" applyAlignment="1" applyProtection="1">
      <alignment horizontal="left"/>
    </xf>
    <xf numFmtId="0" fontId="13" fillId="0" borderId="0" xfId="0" applyFont="1" applyAlignment="1" applyProtection="1">
      <alignment wrapText="1"/>
    </xf>
    <xf numFmtId="0" fontId="20" fillId="0" borderId="0" xfId="0" applyFont="1" applyFill="1" applyAlignment="1" applyProtection="1">
      <alignment vertical="top"/>
    </xf>
    <xf numFmtId="0" fontId="0" fillId="0" borderId="0" xfId="0"/>
    <xf numFmtId="0" fontId="0" fillId="0" borderId="0" xfId="0" applyProtection="1"/>
    <xf numFmtId="0" fontId="28" fillId="0" borderId="18" xfId="523" applyFont="1" applyBorder="1" applyAlignment="1">
      <alignment vertical="center"/>
    </xf>
    <xf numFmtId="0" fontId="28" fillId="0" borderId="18" xfId="523" applyFont="1" applyFill="1" applyBorder="1" applyAlignment="1">
      <alignment vertical="center"/>
    </xf>
    <xf numFmtId="0" fontId="101" fillId="0" borderId="18" xfId="0" applyFont="1" applyBorder="1" applyAlignment="1">
      <alignment horizontal="left" vertical="center" wrapText="1"/>
    </xf>
    <xf numFmtId="0" fontId="101" fillId="0" borderId="18" xfId="0" applyFont="1" applyFill="1" applyBorder="1" applyAlignment="1">
      <alignment horizontal="left" vertical="center" wrapText="1"/>
    </xf>
    <xf numFmtId="0" fontId="21" fillId="0" borderId="29" xfId="0" applyFont="1" applyFill="1" applyBorder="1" applyAlignment="1" applyProtection="1">
      <alignment horizontal="center" vertical="center"/>
    </xf>
    <xf numFmtId="0" fontId="25" fillId="0" borderId="0" xfId="0" applyFont="1" applyAlignment="1">
      <alignment vertical="center"/>
    </xf>
    <xf numFmtId="0" fontId="25" fillId="0" borderId="18" xfId="0" applyFont="1" applyBorder="1" applyAlignment="1">
      <alignment horizontal="center" vertical="center"/>
    </xf>
    <xf numFmtId="0" fontId="99" fillId="0" borderId="18" xfId="0" applyFont="1" applyBorder="1" applyAlignment="1">
      <alignment horizontal="left" vertical="center"/>
    </xf>
    <xf numFmtId="9" fontId="21" fillId="70" borderId="18" xfId="425" applyNumberFormat="1" applyFont="1" applyFill="1" applyBorder="1" applyAlignment="1" applyProtection="1">
      <alignment horizontal="center" vertical="center"/>
    </xf>
    <xf numFmtId="0" fontId="25" fillId="0" borderId="18" xfId="0" applyFont="1" applyFill="1" applyBorder="1" applyAlignment="1">
      <alignment horizontal="center"/>
    </xf>
    <xf numFmtId="0" fontId="25" fillId="0" borderId="18" xfId="0" applyFont="1" applyFill="1" applyBorder="1" applyAlignment="1">
      <alignment horizontal="center" vertical="center"/>
    </xf>
    <xf numFmtId="14" fontId="94" fillId="0" borderId="18" xfId="0" applyNumberFormat="1" applyFont="1" applyFill="1" applyBorder="1" applyAlignment="1">
      <alignment horizontal="center"/>
    </xf>
    <xf numFmtId="0" fontId="94" fillId="0" borderId="18" xfId="0" applyFont="1" applyFill="1" applyBorder="1" applyAlignment="1"/>
    <xf numFmtId="0" fontId="94" fillId="0" borderId="18" xfId="0" applyFont="1" applyFill="1" applyBorder="1"/>
    <xf numFmtId="0" fontId="94" fillId="0" borderId="18" xfId="0" applyFont="1" applyFill="1" applyBorder="1" applyAlignment="1">
      <alignment horizontal="center" vertical="center"/>
    </xf>
    <xf numFmtId="14" fontId="94" fillId="0" borderId="18" xfId="0" quotePrefix="1" applyNumberFormat="1" applyFont="1" applyFill="1" applyBorder="1" applyAlignment="1">
      <alignment horizontal="center"/>
    </xf>
    <xf numFmtId="0" fontId="13" fillId="0" borderId="18" xfId="0" applyFont="1" applyFill="1" applyBorder="1"/>
    <xf numFmtId="0" fontId="13" fillId="0" borderId="18" xfId="0" quotePrefix="1" applyFont="1" applyFill="1" applyBorder="1"/>
    <xf numFmtId="0" fontId="13" fillId="0" borderId="18" xfId="0" quotePrefix="1" applyFont="1" applyFill="1" applyBorder="1" applyAlignment="1">
      <alignment horizontal="center" vertical="center"/>
    </xf>
    <xf numFmtId="1" fontId="16" fillId="0" borderId="18" xfId="0" applyNumberFormat="1" applyFont="1" applyFill="1" applyBorder="1" applyAlignment="1" applyProtection="1">
      <alignment horizontal="center" vertical="center"/>
    </xf>
    <xf numFmtId="9" fontId="21" fillId="0" borderId="18" xfId="425" applyNumberFormat="1" applyFont="1" applyBorder="1" applyAlignment="1" applyProtection="1">
      <alignment horizontal="center" vertical="center"/>
    </xf>
    <xf numFmtId="166" fontId="99" fillId="74" borderId="18" xfId="0" applyNumberFormat="1" applyFont="1" applyFill="1" applyBorder="1" applyAlignment="1" applyProtection="1">
      <alignment horizontal="center" vertical="center"/>
    </xf>
    <xf numFmtId="0" fontId="13" fillId="0" borderId="18" xfId="0" applyNumberFormat="1" applyFont="1" applyFill="1" applyBorder="1" applyAlignment="1" applyProtection="1">
      <alignment horizontal="center" vertical="center" wrapText="1"/>
    </xf>
    <xf numFmtId="0" fontId="25" fillId="0" borderId="24" xfId="0" applyNumberFormat="1" applyFont="1" applyBorder="1" applyAlignment="1" applyProtection="1"/>
    <xf numFmtId="0" fontId="100" fillId="0" borderId="24" xfId="0" applyFont="1" applyBorder="1" applyAlignment="1" applyProtection="1">
      <alignment horizontal="left"/>
    </xf>
    <xf numFmtId="0" fontId="17" fillId="0" borderId="0" xfId="0" quotePrefix="1" applyFont="1" applyProtection="1"/>
    <xf numFmtId="14" fontId="99" fillId="0" borderId="18" xfId="0" applyNumberFormat="1" applyFont="1" applyBorder="1" applyAlignment="1">
      <alignment horizontal="left" vertical="center"/>
    </xf>
    <xf numFmtId="0" fontId="17" fillId="0" borderId="0" xfId="0" applyFont="1" applyFill="1" applyBorder="1" applyAlignment="1" applyProtection="1">
      <alignment horizontal="left"/>
    </xf>
    <xf numFmtId="10" fontId="13" fillId="0" borderId="0" xfId="0" applyNumberFormat="1" applyFont="1" applyFill="1" applyBorder="1" applyAlignment="1" applyProtection="1">
      <alignment horizontal="left" vertical="center"/>
    </xf>
    <xf numFmtId="0" fontId="101" fillId="32" borderId="29" xfId="0" applyFont="1" applyFill="1" applyBorder="1" applyAlignment="1" applyProtection="1">
      <alignment horizontal="center" vertical="center"/>
    </xf>
    <xf numFmtId="0" fontId="10" fillId="0" borderId="18" xfId="0" applyFont="1" applyBorder="1" applyAlignment="1" applyProtection="1">
      <alignment horizontal="center" vertical="center" wrapText="1"/>
    </xf>
    <xf numFmtId="0" fontId="7" fillId="0" borderId="23" xfId="0" applyFont="1" applyBorder="1" applyAlignment="1" applyProtection="1">
      <alignment horizontal="center" vertical="center" wrapText="1"/>
    </xf>
    <xf numFmtId="0" fontId="28" fillId="0" borderId="0" xfId="0" applyFont="1" applyFill="1" applyAlignment="1" applyProtection="1">
      <alignment horizontal="left"/>
    </xf>
    <xf numFmtId="0" fontId="99" fillId="0" borderId="18" xfId="0" applyNumberFormat="1" applyFont="1" applyBorder="1" applyAlignment="1" applyProtection="1">
      <alignment horizontal="left" vertical="center" wrapText="1"/>
    </xf>
    <xf numFmtId="165" fontId="99" fillId="75" borderId="18" xfId="0" applyNumberFormat="1" applyFont="1" applyFill="1" applyBorder="1" applyAlignment="1" applyProtection="1">
      <alignment horizontal="center" vertical="center"/>
    </xf>
    <xf numFmtId="1" fontId="99" fillId="75" borderId="18" xfId="0" applyNumberFormat="1" applyFont="1" applyFill="1" applyBorder="1" applyAlignment="1" applyProtection="1">
      <alignment horizontal="center" vertical="center"/>
    </xf>
    <xf numFmtId="0" fontId="99" fillId="0" borderId="18" xfId="0" applyFont="1" applyBorder="1" applyAlignment="1" applyProtection="1">
      <alignment horizontal="left" vertical="center" wrapText="1"/>
    </xf>
    <xf numFmtId="0" fontId="104" fillId="0" borderId="0" xfId="0" applyFont="1" applyAlignment="1" applyProtection="1">
      <alignment vertical="center"/>
    </xf>
    <xf numFmtId="0" fontId="99" fillId="0" borderId="18" xfId="0" applyFont="1" applyFill="1" applyBorder="1" applyAlignment="1" applyProtection="1">
      <alignment horizontal="left" vertical="center" wrapText="1"/>
    </xf>
    <xf numFmtId="0" fontId="104" fillId="0" borderId="0" xfId="0" applyFont="1" applyProtection="1"/>
    <xf numFmtId="0" fontId="15" fillId="0" borderId="18" xfId="0" applyFont="1" applyBorder="1" applyAlignment="1" applyProtection="1">
      <alignment horizontal="left" vertical="center"/>
    </xf>
    <xf numFmtId="0" fontId="0" fillId="0" borderId="0" xfId="0"/>
    <xf numFmtId="0" fontId="0" fillId="0" borderId="0" xfId="0" applyAlignment="1">
      <alignment vertical="center"/>
    </xf>
    <xf numFmtId="165" fontId="99" fillId="73" borderId="18" xfId="0" applyNumberFormat="1" applyFont="1" applyFill="1" applyBorder="1" applyAlignment="1" applyProtection="1">
      <alignment horizontal="center" vertical="center"/>
    </xf>
    <xf numFmtId="1" fontId="99" fillId="73" borderId="18" xfId="0" applyNumberFormat="1" applyFont="1" applyFill="1" applyBorder="1" applyAlignment="1" applyProtection="1">
      <alignment horizontal="center" vertical="center"/>
    </xf>
    <xf numFmtId="1" fontId="99" fillId="0" borderId="18" xfId="0" applyNumberFormat="1" applyFont="1" applyBorder="1" applyAlignment="1" applyProtection="1">
      <alignment horizontal="center" vertical="center"/>
    </xf>
    <xf numFmtId="1" fontId="99" fillId="0" borderId="18" xfId="0" applyNumberFormat="1" applyFont="1" applyFill="1" applyBorder="1" applyAlignment="1" applyProtection="1">
      <alignment horizontal="center" vertical="center"/>
    </xf>
    <xf numFmtId="0" fontId="99" fillId="0" borderId="18" xfId="0" applyFont="1" applyBorder="1" applyAlignment="1" applyProtection="1">
      <alignment horizontal="left" vertical="center"/>
    </xf>
    <xf numFmtId="0" fontId="21" fillId="0" borderId="18" xfId="0" applyFont="1" applyBorder="1" applyAlignment="1" applyProtection="1">
      <alignment horizontal="left" vertical="center"/>
    </xf>
    <xf numFmtId="0" fontId="14" fillId="0" borderId="18" xfId="0" applyFont="1" applyFill="1" applyBorder="1" applyAlignment="1" applyProtection="1">
      <alignment horizontal="center" vertical="center"/>
    </xf>
    <xf numFmtId="0" fontId="14" fillId="0" borderId="23" xfId="0" applyFont="1" applyBorder="1" applyAlignment="1" applyProtection="1">
      <alignment horizontal="center" vertical="center"/>
    </xf>
    <xf numFmtId="0" fontId="15" fillId="0" borderId="23" xfId="0" applyFont="1" applyBorder="1" applyAlignment="1">
      <alignment horizontal="center" vertical="center" wrapText="1"/>
    </xf>
    <xf numFmtId="0" fontId="102" fillId="0" borderId="18" xfId="0" applyFont="1" applyBorder="1" applyAlignment="1" applyProtection="1">
      <alignment horizontal="center" vertical="center"/>
    </xf>
    <xf numFmtId="0" fontId="102" fillId="0" borderId="18" xfId="0" applyFont="1" applyBorder="1" applyAlignment="1">
      <alignment horizontal="center" vertical="center"/>
    </xf>
    <xf numFmtId="0" fontId="15" fillId="0" borderId="18" xfId="0" applyFont="1" applyBorder="1" applyAlignment="1">
      <alignment horizontal="center" vertical="center" wrapText="1"/>
    </xf>
    <xf numFmtId="0" fontId="20" fillId="0" borderId="18" xfId="0" applyFont="1" applyBorder="1" applyProtection="1"/>
    <xf numFmtId="0" fontId="21" fillId="0" borderId="0" xfId="0" applyNumberFormat="1" applyFont="1" applyBorder="1" applyAlignment="1" applyProtection="1">
      <alignment horizontal="center" vertical="center"/>
    </xf>
    <xf numFmtId="49" fontId="21" fillId="76" borderId="38" xfId="0" applyNumberFormat="1" applyFont="1" applyFill="1" applyBorder="1" applyAlignment="1" applyProtection="1">
      <alignment horizontal="center" vertical="center" wrapText="1"/>
    </xf>
    <xf numFmtId="0" fontId="21" fillId="0" borderId="25" xfId="0" applyFont="1" applyFill="1" applyBorder="1" applyAlignment="1" applyProtection="1">
      <alignment horizontal="center" vertical="center"/>
    </xf>
    <xf numFmtId="0" fontId="16" fillId="0" borderId="23" xfId="0" applyFont="1" applyBorder="1" applyAlignment="1" applyProtection="1">
      <alignment vertical="center"/>
    </xf>
    <xf numFmtId="0" fontId="16" fillId="0" borderId="23" xfId="0" applyFont="1" applyFill="1" applyBorder="1" applyAlignment="1" applyProtection="1">
      <alignment vertical="center"/>
    </xf>
    <xf numFmtId="49" fontId="21" fillId="76" borderId="44" xfId="0" applyNumberFormat="1" applyFont="1" applyFill="1" applyBorder="1" applyAlignment="1" applyProtection="1">
      <alignment horizontal="center" vertical="center" wrapText="1"/>
    </xf>
    <xf numFmtId="0" fontId="21" fillId="67" borderId="45" xfId="0" applyFont="1" applyFill="1" applyBorder="1" applyAlignment="1" applyProtection="1">
      <alignment horizontal="center" vertical="center" wrapText="1"/>
    </xf>
    <xf numFmtId="0" fontId="21" fillId="77" borderId="46" xfId="0" applyFont="1" applyFill="1" applyBorder="1" applyAlignment="1" applyProtection="1">
      <alignment horizontal="center" vertical="center" wrapText="1"/>
    </xf>
    <xf numFmtId="0" fontId="21" fillId="77" borderId="45" xfId="0" applyFont="1" applyFill="1" applyBorder="1" applyAlignment="1" applyProtection="1">
      <alignment horizontal="center" vertical="center" wrapText="1"/>
    </xf>
    <xf numFmtId="0" fontId="21" fillId="77" borderId="47" xfId="0" applyFont="1" applyFill="1" applyBorder="1" applyAlignment="1" applyProtection="1">
      <alignment horizontal="center" vertical="center" wrapText="1"/>
    </xf>
    <xf numFmtId="0" fontId="58" fillId="0" borderId="0" xfId="0" applyFont="1" applyAlignment="1" applyProtection="1">
      <alignment vertical="center"/>
    </xf>
    <xf numFmtId="0" fontId="101" fillId="0" borderId="0" xfId="0" applyFont="1" applyFill="1" applyAlignment="1">
      <alignment vertical="center"/>
    </xf>
    <xf numFmtId="0" fontId="21" fillId="0" borderId="48" xfId="0" applyFont="1" applyFill="1" applyBorder="1" applyAlignment="1" applyProtection="1">
      <alignment horizontal="center" vertical="center"/>
    </xf>
    <xf numFmtId="0" fontId="16" fillId="0" borderId="49" xfId="0" applyFont="1" applyBorder="1" applyAlignment="1" applyProtection="1">
      <alignment vertical="center"/>
    </xf>
    <xf numFmtId="0" fontId="21" fillId="0" borderId="32" xfId="0" applyFont="1" applyFill="1" applyBorder="1" applyAlignment="1" applyProtection="1">
      <alignment horizontal="center" vertical="center"/>
    </xf>
    <xf numFmtId="0" fontId="16" fillId="0" borderId="49" xfId="0" applyFont="1" applyFill="1" applyBorder="1" applyAlignment="1" applyProtection="1">
      <alignment vertical="center"/>
    </xf>
    <xf numFmtId="0" fontId="16" fillId="0" borderId="50" xfId="0" applyFont="1" applyFill="1" applyBorder="1" applyAlignment="1" applyProtection="1">
      <alignment vertical="center"/>
    </xf>
    <xf numFmtId="0" fontId="16" fillId="0" borderId="50" xfId="0" applyFont="1" applyBorder="1" applyAlignment="1" applyProtection="1">
      <alignment vertical="center"/>
    </xf>
    <xf numFmtId="0" fontId="16" fillId="0" borderId="51" xfId="0" applyFont="1" applyBorder="1" applyAlignment="1" applyProtection="1">
      <alignment vertical="center"/>
    </xf>
    <xf numFmtId="0" fontId="21" fillId="0" borderId="52" xfId="0" applyFont="1" applyBorder="1" applyAlignment="1" applyProtection="1">
      <alignment vertical="center"/>
    </xf>
    <xf numFmtId="0" fontId="21" fillId="0" borderId="53" xfId="0" applyFont="1" applyBorder="1" applyAlignment="1" applyProtection="1">
      <alignment vertical="center"/>
    </xf>
    <xf numFmtId="0" fontId="21" fillId="0" borderId="54" xfId="0" applyFont="1" applyBorder="1" applyAlignment="1" applyProtection="1">
      <alignment vertical="center"/>
    </xf>
    <xf numFmtId="0" fontId="21" fillId="0" borderId="20" xfId="0" applyFont="1" applyBorder="1" applyAlignment="1" applyProtection="1">
      <alignment vertical="center"/>
    </xf>
    <xf numFmtId="0" fontId="101" fillId="0" borderId="0" xfId="0" applyFont="1" applyAlignment="1">
      <alignment horizontal="left"/>
    </xf>
    <xf numFmtId="0" fontId="101" fillId="0" borderId="0" xfId="0" applyFont="1" applyAlignment="1">
      <alignment horizontal="center"/>
    </xf>
    <xf numFmtId="0" fontId="101" fillId="0" borderId="0" xfId="0" applyFont="1" applyFill="1" applyBorder="1" applyAlignment="1">
      <alignment vertical="center"/>
    </xf>
    <xf numFmtId="0" fontId="101" fillId="0" borderId="0" xfId="0" applyFont="1" applyAlignment="1">
      <alignment vertical="center"/>
    </xf>
    <xf numFmtId="0" fontId="21" fillId="0" borderId="18" xfId="0" applyFont="1" applyBorder="1" applyAlignment="1" applyProtection="1">
      <alignment vertical="center"/>
    </xf>
    <xf numFmtId="0" fontId="21" fillId="0" borderId="55" xfId="0" applyFont="1" applyFill="1" applyBorder="1" applyAlignment="1" applyProtection="1">
      <alignment horizontal="center" vertical="center"/>
    </xf>
    <xf numFmtId="0" fontId="21" fillId="0" borderId="56" xfId="0" applyFont="1" applyFill="1" applyBorder="1" applyAlignment="1" applyProtection="1">
      <alignment horizontal="center" vertical="center"/>
    </xf>
    <xf numFmtId="0" fontId="21" fillId="0" borderId="36" xfId="0" applyFont="1" applyFill="1" applyBorder="1" applyAlignment="1" applyProtection="1">
      <alignment horizontal="center" vertical="center"/>
    </xf>
    <xf numFmtId="0" fontId="21" fillId="78" borderId="18" xfId="0" applyFont="1" applyFill="1" applyBorder="1" applyAlignment="1" applyProtection="1">
      <alignment horizontal="right" vertical="center"/>
    </xf>
    <xf numFmtId="0" fontId="21" fillId="79" borderId="18" xfId="0" applyFont="1" applyFill="1" applyBorder="1" applyAlignment="1" applyProtection="1">
      <alignment horizontal="right" vertical="center"/>
    </xf>
    <xf numFmtId="0" fontId="21" fillId="80" borderId="18" xfId="0" applyFont="1" applyFill="1" applyBorder="1" applyAlignment="1" applyProtection="1">
      <alignment horizontal="right" vertical="center"/>
    </xf>
    <xf numFmtId="0" fontId="101" fillId="80" borderId="18" xfId="0" applyFont="1" applyFill="1" applyBorder="1" applyAlignment="1">
      <alignment horizontal="right" vertical="center"/>
    </xf>
    <xf numFmtId="0" fontId="21" fillId="78" borderId="18" xfId="0" applyFont="1" applyFill="1" applyBorder="1" applyAlignment="1" applyProtection="1">
      <alignment horizontal="center" vertical="center"/>
    </xf>
    <xf numFmtId="0" fontId="21" fillId="79" borderId="18" xfId="0" applyFont="1" applyFill="1" applyBorder="1" applyAlignment="1" applyProtection="1">
      <alignment horizontal="center" vertical="center"/>
    </xf>
    <xf numFmtId="0" fontId="101" fillId="80" borderId="18" xfId="0" applyFont="1" applyFill="1" applyBorder="1" applyAlignment="1">
      <alignment horizontal="center" vertical="center"/>
    </xf>
    <xf numFmtId="0" fontId="77" fillId="0" borderId="18" xfId="0" applyFont="1" applyBorder="1" applyAlignment="1">
      <alignment horizontal="center" vertical="center" wrapText="1"/>
    </xf>
    <xf numFmtId="0" fontId="98" fillId="0" borderId="18" xfId="0" applyFont="1" applyBorder="1" applyAlignment="1">
      <alignment horizontal="center" vertical="center" wrapText="1"/>
    </xf>
    <xf numFmtId="0" fontId="98" fillId="0" borderId="18" xfId="0" applyFont="1" applyBorder="1" applyAlignment="1">
      <alignment horizontal="center" vertical="center"/>
    </xf>
    <xf numFmtId="0" fontId="21" fillId="0" borderId="57" xfId="0" applyFont="1" applyBorder="1" applyAlignment="1" applyProtection="1">
      <alignment horizontal="center" vertical="center"/>
    </xf>
    <xf numFmtId="0" fontId="21" fillId="0" borderId="34" xfId="0" applyFont="1" applyBorder="1" applyAlignment="1" applyProtection="1">
      <alignment horizontal="center" vertical="center"/>
    </xf>
    <xf numFmtId="0" fontId="21" fillId="0" borderId="58" xfId="0" applyFont="1" applyBorder="1" applyAlignment="1" applyProtection="1">
      <alignment horizontal="center" vertical="center"/>
    </xf>
    <xf numFmtId="0" fontId="21" fillId="0" borderId="26" xfId="0" applyFont="1" applyBorder="1" applyAlignment="1" applyProtection="1">
      <alignment horizontal="center" vertical="center"/>
    </xf>
    <xf numFmtId="0" fontId="101" fillId="0" borderId="59" xfId="0" applyFont="1" applyBorder="1" applyAlignment="1">
      <alignment vertical="center"/>
    </xf>
    <xf numFmtId="0" fontId="101" fillId="0" borderId="0" xfId="0" applyFont="1" applyBorder="1" applyAlignment="1">
      <alignment vertical="center"/>
    </xf>
    <xf numFmtId="0" fontId="13" fillId="0" borderId="18" xfId="0" applyFont="1" applyBorder="1" applyAlignment="1" applyProtection="1">
      <alignment horizontal="center" vertical="center"/>
    </xf>
    <xf numFmtId="0" fontId="13" fillId="0" borderId="18" xfId="0" applyFont="1" applyBorder="1" applyAlignment="1" applyProtection="1">
      <alignment horizontal="left" vertical="center"/>
    </xf>
    <xf numFmtId="0" fontId="14" fillId="0" borderId="23" xfId="0" applyFont="1" applyBorder="1" applyAlignment="1" applyProtection="1">
      <alignment vertical="center"/>
    </xf>
    <xf numFmtId="0" fontId="14" fillId="0" borderId="24" xfId="0" applyFont="1" applyBorder="1" applyAlignment="1" applyProtection="1">
      <alignment vertical="center"/>
    </xf>
    <xf numFmtId="0" fontId="14" fillId="0" borderId="25" xfId="0" applyFont="1" applyBorder="1" applyAlignment="1" applyProtection="1">
      <alignment vertical="center"/>
    </xf>
    <xf numFmtId="9" fontId="14" fillId="0" borderId="18" xfId="425" applyFont="1" applyBorder="1" applyAlignment="1" applyProtection="1">
      <alignment horizontal="left" vertical="center"/>
    </xf>
    <xf numFmtId="0" fontId="14" fillId="0" borderId="18" xfId="0" applyFont="1" applyBorder="1" applyAlignment="1" applyProtection="1">
      <alignment vertical="center"/>
    </xf>
    <xf numFmtId="166" fontId="14" fillId="0" borderId="18" xfId="0" applyNumberFormat="1" applyFont="1" applyBorder="1" applyAlignment="1" applyProtection="1">
      <alignment horizontal="left" vertical="center"/>
    </xf>
    <xf numFmtId="0" fontId="99" fillId="0" borderId="0" xfId="0" applyFont="1" applyAlignment="1" applyProtection="1">
      <alignment vertical="center"/>
    </xf>
    <xf numFmtId="0" fontId="14" fillId="0" borderId="23" xfId="0" applyFont="1" applyBorder="1" applyAlignment="1" applyProtection="1">
      <alignment vertical="center" wrapText="1"/>
    </xf>
    <xf numFmtId="0" fontId="14" fillId="0" borderId="18" xfId="0" applyFont="1" applyBorder="1" applyAlignment="1" applyProtection="1">
      <alignment horizontal="left" vertical="center"/>
    </xf>
    <xf numFmtId="0" fontId="15" fillId="0" borderId="18" xfId="0" applyFont="1" applyBorder="1" applyAlignment="1" applyProtection="1">
      <alignment vertical="center"/>
    </xf>
    <xf numFmtId="0" fontId="99" fillId="0" borderId="23" xfId="0" applyFont="1" applyFill="1" applyBorder="1" applyAlignment="1" applyProtection="1">
      <alignment vertical="center" wrapText="1"/>
    </xf>
    <xf numFmtId="0" fontId="99" fillId="0" borderId="24" xfId="0" applyFont="1" applyBorder="1" applyAlignment="1" applyProtection="1">
      <alignment vertical="center"/>
    </xf>
    <xf numFmtId="0" fontId="99" fillId="0" borderId="18" xfId="0" applyFont="1" applyBorder="1" applyAlignment="1" applyProtection="1">
      <alignment vertical="center" wrapText="1"/>
    </xf>
    <xf numFmtId="9" fontId="99" fillId="0" borderId="18" xfId="425" applyFont="1" applyBorder="1" applyAlignment="1" applyProtection="1">
      <alignment horizontal="center" vertical="center"/>
    </xf>
    <xf numFmtId="166" fontId="99" fillId="0" borderId="18" xfId="0" applyNumberFormat="1" applyFont="1" applyBorder="1" applyAlignment="1" applyProtection="1">
      <alignment horizontal="center" vertical="center"/>
    </xf>
    <xf numFmtId="0" fontId="99" fillId="0" borderId="18" xfId="0" applyFont="1" applyBorder="1" applyAlignment="1" applyProtection="1">
      <alignment vertical="center"/>
    </xf>
    <xf numFmtId="0" fontId="99" fillId="0" borderId="18" xfId="0" applyFont="1" applyFill="1" applyBorder="1" applyAlignment="1" applyProtection="1">
      <alignment vertical="center"/>
    </xf>
    <xf numFmtId="0" fontId="99" fillId="0" borderId="25" xfId="0" applyFont="1" applyFill="1" applyBorder="1" applyAlignment="1" applyProtection="1">
      <alignment horizontal="center" vertical="center"/>
    </xf>
    <xf numFmtId="0" fontId="99" fillId="0" borderId="18" xfId="0" applyFont="1" applyFill="1" applyBorder="1" applyAlignment="1" applyProtection="1">
      <alignment horizontal="center" vertical="center"/>
    </xf>
    <xf numFmtId="9" fontId="99" fillId="0" borderId="18" xfId="0" applyNumberFormat="1" applyFont="1" applyFill="1" applyBorder="1" applyAlignment="1" applyProtection="1">
      <alignment horizontal="center" vertical="center"/>
    </xf>
    <xf numFmtId="0" fontId="99" fillId="0" borderId="24" xfId="0" applyFont="1" applyFill="1" applyBorder="1" applyAlignment="1" applyProtection="1">
      <alignment vertical="center"/>
    </xf>
    <xf numFmtId="0" fontId="99" fillId="0" borderId="0" xfId="0" applyFont="1" applyFill="1" applyAlignment="1" applyProtection="1">
      <alignment vertical="center"/>
    </xf>
    <xf numFmtId="166" fontId="99" fillId="0" borderId="25" xfId="425" applyNumberFormat="1" applyFont="1" applyFill="1" applyBorder="1" applyAlignment="1" applyProtection="1">
      <alignment horizontal="center" vertical="center"/>
    </xf>
    <xf numFmtId="0" fontId="99" fillId="0" borderId="23" xfId="0" applyFont="1" applyBorder="1" applyAlignment="1" applyProtection="1">
      <alignment vertical="center"/>
    </xf>
    <xf numFmtId="0" fontId="99" fillId="0" borderId="24" xfId="0" applyFont="1" applyBorder="1" applyAlignment="1" applyProtection="1">
      <alignment horizontal="left" vertical="center"/>
    </xf>
    <xf numFmtId="0" fontId="99" fillId="74" borderId="24" xfId="0" applyFont="1" applyFill="1" applyBorder="1" applyAlignment="1" applyProtection="1">
      <alignment horizontal="left" vertical="center"/>
    </xf>
    <xf numFmtId="0" fontId="99" fillId="0" borderId="0" xfId="0" applyFont="1" applyAlignment="1" applyProtection="1">
      <alignment horizontal="left" vertical="center"/>
    </xf>
    <xf numFmtId="0" fontId="59" fillId="0" borderId="0" xfId="0" applyFont="1" applyAlignment="1" applyProtection="1">
      <alignment vertical="center"/>
    </xf>
    <xf numFmtId="0" fontId="95" fillId="0" borderId="0" xfId="0" applyFont="1" applyAlignment="1" applyProtection="1">
      <alignment vertical="center"/>
    </xf>
    <xf numFmtId="0" fontId="95" fillId="0" borderId="0" xfId="0" applyFont="1" applyFill="1" applyAlignment="1" applyProtection="1">
      <alignment vertical="center"/>
    </xf>
    <xf numFmtId="0" fontId="59" fillId="0" borderId="0" xfId="0" applyFont="1" applyAlignment="1" applyProtection="1"/>
    <xf numFmtId="4" fontId="16" fillId="0" borderId="18" xfId="0" applyNumberFormat="1" applyFont="1" applyFill="1" applyBorder="1" applyAlignment="1" applyProtection="1">
      <alignment horizontal="center" vertical="center"/>
    </xf>
    <xf numFmtId="10" fontId="21" fillId="0" borderId="20" xfId="0" applyNumberFormat="1" applyFont="1" applyFill="1" applyBorder="1" applyAlignment="1" applyProtection="1">
      <alignment horizontal="center" vertical="center"/>
    </xf>
    <xf numFmtId="10" fontId="25" fillId="27" borderId="20" xfId="425" applyNumberFormat="1" applyFont="1" applyFill="1" applyBorder="1" applyAlignment="1" applyProtection="1">
      <alignment horizontal="center" vertical="center" wrapText="1"/>
    </xf>
    <xf numFmtId="10" fontId="8" fillId="27" borderId="20" xfId="425" applyNumberFormat="1" applyFont="1" applyFill="1" applyBorder="1" applyAlignment="1" applyProtection="1">
      <alignment horizontal="center" vertical="center" wrapText="1"/>
    </xf>
    <xf numFmtId="0" fontId="7" fillId="0" borderId="0" xfId="0" applyFont="1" applyBorder="1"/>
    <xf numFmtId="0" fontId="10" fillId="0" borderId="0" xfId="548" applyFont="1" applyBorder="1"/>
    <xf numFmtId="0" fontId="16" fillId="0" borderId="0" xfId="0" applyFont="1" applyBorder="1" applyAlignment="1">
      <alignment horizontal="center" vertical="center"/>
    </xf>
    <xf numFmtId="0" fontId="13" fillId="0" borderId="0" xfId="0" applyFont="1" applyBorder="1"/>
    <xf numFmtId="0" fontId="95" fillId="0" borderId="0" xfId="0" applyFont="1" applyBorder="1"/>
    <xf numFmtId="0" fontId="7" fillId="0" borderId="0" xfId="548" applyFont="1" applyBorder="1" applyAlignment="1">
      <alignment horizontal="left"/>
    </xf>
    <xf numFmtId="0" fontId="7" fillId="0" borderId="0" xfId="0" applyFont="1" applyFill="1" applyBorder="1" applyAlignment="1">
      <alignment horizontal="left"/>
    </xf>
    <xf numFmtId="0" fontId="7" fillId="0" borderId="0" xfId="0" applyFont="1" applyBorder="1" applyAlignment="1">
      <alignment horizontal="left" vertical="center"/>
    </xf>
    <xf numFmtId="0" fontId="7" fillId="0" borderId="0" xfId="0" applyFont="1" applyBorder="1" applyAlignment="1">
      <alignment horizontal="left"/>
    </xf>
    <xf numFmtId="0" fontId="13" fillId="0" borderId="0" xfId="0" applyFont="1" applyBorder="1" applyAlignment="1">
      <alignment horizontal="left"/>
    </xf>
    <xf numFmtId="0" fontId="13" fillId="0" borderId="0" xfId="0" applyFont="1" applyBorder="1" applyAlignment="1">
      <alignment horizontal="left" vertical="center"/>
    </xf>
    <xf numFmtId="0" fontId="94" fillId="0" borderId="0" xfId="0" applyFont="1" applyBorder="1" applyAlignment="1">
      <alignment horizontal="left"/>
    </xf>
    <xf numFmtId="0" fontId="7" fillId="0" borderId="0" xfId="548" applyFont="1" applyAlignment="1">
      <alignment horizontal="left"/>
    </xf>
    <xf numFmtId="0" fontId="7" fillId="0" borderId="0" xfId="0" applyFont="1" applyAlignment="1">
      <alignment horizontal="left"/>
    </xf>
    <xf numFmtId="0" fontId="7" fillId="0" borderId="0" xfId="0" applyFont="1" applyAlignment="1">
      <alignment horizontal="left" vertical="center"/>
    </xf>
    <xf numFmtId="0" fontId="94" fillId="0" borderId="0" xfId="0" applyFont="1" applyAlignment="1">
      <alignment horizontal="left"/>
    </xf>
    <xf numFmtId="0" fontId="13" fillId="0" borderId="0" xfId="0" applyFont="1" applyAlignment="1">
      <alignment horizontal="left"/>
    </xf>
    <xf numFmtId="0" fontId="60" fillId="0" borderId="44" xfId="0" applyFont="1" applyBorder="1" applyAlignment="1" applyProtection="1">
      <alignment horizontal="center" vertical="center" wrapText="1" readingOrder="1"/>
    </xf>
    <xf numFmtId="0" fontId="60" fillId="0" borderId="28" xfId="0" applyFont="1" applyBorder="1" applyAlignment="1" applyProtection="1">
      <alignment horizontal="center" vertical="center" wrapText="1" readingOrder="1"/>
    </xf>
    <xf numFmtId="0" fontId="60" fillId="0" borderId="38" xfId="0" applyFont="1" applyBorder="1" applyAlignment="1" applyProtection="1">
      <alignment horizontal="center" vertical="center" wrapText="1" readingOrder="1"/>
    </xf>
    <xf numFmtId="0" fontId="0" fillId="0" borderId="0" xfId="0"/>
    <xf numFmtId="0" fontId="0" fillId="0" borderId="0" xfId="0" applyAlignment="1">
      <alignment horizontal="center" vertical="center"/>
    </xf>
    <xf numFmtId="0" fontId="0" fillId="0" borderId="0" xfId="0" applyBorder="1" applyAlignment="1"/>
    <xf numFmtId="0" fontId="94" fillId="0" borderId="22" xfId="0" applyFont="1" applyBorder="1" applyAlignment="1">
      <alignment horizontal="center" vertical="center" wrapText="1"/>
    </xf>
    <xf numFmtId="0" fontId="25" fillId="0" borderId="38" xfId="0" applyFont="1" applyBorder="1" applyAlignment="1" applyProtection="1">
      <alignment horizontal="center" vertical="center" wrapText="1"/>
    </xf>
    <xf numFmtId="0" fontId="13" fillId="0" borderId="0" xfId="0" applyFont="1" applyAlignment="1" applyProtection="1">
      <alignment vertical="top"/>
    </xf>
    <xf numFmtId="0" fontId="13" fillId="0" borderId="0" xfId="0" applyFont="1" applyBorder="1" applyAlignment="1">
      <alignment horizontal="center" vertical="center" wrapText="1"/>
    </xf>
    <xf numFmtId="0" fontId="13" fillId="0" borderId="0" xfId="0" applyFont="1" applyBorder="1" applyAlignment="1">
      <alignment horizontal="left" vertical="center" wrapText="1"/>
    </xf>
    <xf numFmtId="0" fontId="32" fillId="0" borderId="0" xfId="0" applyFont="1" applyAlignment="1" applyProtection="1">
      <alignment horizontal="left" vertical="center"/>
    </xf>
    <xf numFmtId="0" fontId="21" fillId="81" borderId="0" xfId="0" applyFont="1" applyFill="1" applyAlignment="1" applyProtection="1">
      <alignment horizontal="center" vertical="center"/>
    </xf>
    <xf numFmtId="166" fontId="99" fillId="0" borderId="18" xfId="425" applyNumberFormat="1" applyFont="1" applyFill="1" applyBorder="1" applyAlignment="1" applyProtection="1">
      <alignment horizontal="center" vertical="center"/>
    </xf>
    <xf numFmtId="166" fontId="15" fillId="0" borderId="18" xfId="433" applyNumberFormat="1" applyFont="1" applyFill="1" applyBorder="1" applyAlignment="1" applyProtection="1">
      <alignment horizontal="center" vertical="center"/>
    </xf>
    <xf numFmtId="166" fontId="99" fillId="0" borderId="0" xfId="0" applyNumberFormat="1" applyFont="1" applyBorder="1" applyAlignment="1" applyProtection="1">
      <alignment horizontal="center" vertical="center"/>
    </xf>
    <xf numFmtId="166" fontId="15" fillId="74" borderId="18" xfId="433" applyNumberFormat="1" applyFont="1" applyFill="1" applyBorder="1" applyAlignment="1" applyProtection="1">
      <alignment horizontal="center" vertical="center"/>
    </xf>
    <xf numFmtId="166" fontId="99" fillId="0" borderId="0" xfId="425" applyNumberFormat="1" applyFont="1" applyFill="1" applyBorder="1" applyAlignment="1" applyProtection="1">
      <alignment horizontal="center" vertical="center"/>
    </xf>
    <xf numFmtId="10" fontId="13" fillId="0" borderId="0" xfId="0" applyNumberFormat="1" applyFont="1" applyBorder="1" applyAlignment="1">
      <alignment horizontal="center" vertical="center" wrapText="1"/>
    </xf>
    <xf numFmtId="9" fontId="13" fillId="0" borderId="0" xfId="0" applyNumberFormat="1" applyFont="1" applyBorder="1" applyAlignment="1">
      <alignment horizontal="center" vertical="center" wrapText="1"/>
    </xf>
    <xf numFmtId="0" fontId="21" fillId="0" borderId="62" xfId="0" applyFont="1" applyFill="1" applyBorder="1" applyAlignment="1" applyProtection="1">
      <alignment horizontal="center" vertical="center"/>
    </xf>
    <xf numFmtId="0" fontId="21" fillId="0" borderId="30" xfId="0" applyFont="1" applyFill="1" applyBorder="1" applyAlignment="1" applyProtection="1">
      <alignment horizontal="center" vertical="center"/>
    </xf>
    <xf numFmtId="0" fontId="21" fillId="0" borderId="31" xfId="0" applyFont="1" applyFill="1" applyBorder="1" applyAlignment="1" applyProtection="1">
      <alignment horizontal="center" vertical="center"/>
    </xf>
    <xf numFmtId="0" fontId="21" fillId="0" borderId="35" xfId="0" applyFont="1" applyFill="1" applyBorder="1" applyAlignment="1" applyProtection="1">
      <alignment horizontal="center" vertical="center"/>
    </xf>
    <xf numFmtId="166" fontId="99" fillId="0" borderId="18" xfId="427" applyNumberFormat="1" applyFont="1" applyBorder="1" applyAlignment="1" applyProtection="1">
      <alignment horizontal="right" vertical="center"/>
    </xf>
    <xf numFmtId="166" fontId="99" fillId="0" borderId="18" xfId="0" applyNumberFormat="1" applyFont="1" applyFill="1" applyBorder="1" applyAlignment="1" applyProtection="1">
      <alignment horizontal="center" vertical="center"/>
    </xf>
    <xf numFmtId="166" fontId="99" fillId="0" borderId="18" xfId="0" applyNumberFormat="1" applyFont="1" applyBorder="1" applyAlignment="1" applyProtection="1">
      <alignment horizontal="center" vertical="center"/>
    </xf>
    <xf numFmtId="0" fontId="104" fillId="0" borderId="0" xfId="0" applyFont="1" applyFill="1" applyBorder="1" applyAlignment="1">
      <alignment horizontal="center" vertical="center"/>
    </xf>
    <xf numFmtId="0" fontId="21" fillId="81" borderId="18" xfId="0" applyFont="1" applyFill="1" applyBorder="1" applyAlignment="1" applyProtection="1">
      <alignment horizontal="center" vertical="center"/>
    </xf>
    <xf numFmtId="0" fontId="101" fillId="81" borderId="18" xfId="0" applyFont="1" applyFill="1" applyBorder="1" applyAlignment="1">
      <alignment horizontal="center" vertical="center"/>
    </xf>
    <xf numFmtId="2" fontId="99" fillId="0" borderId="18" xfId="0" applyNumberFormat="1" applyFont="1" applyFill="1" applyBorder="1" applyAlignment="1" applyProtection="1">
      <alignment horizontal="center" vertical="center"/>
    </xf>
    <xf numFmtId="2" fontId="99" fillId="0" borderId="18" xfId="0" applyNumberFormat="1" applyFont="1" applyBorder="1" applyAlignment="1" applyProtection="1">
      <alignment horizontal="center" vertical="center"/>
    </xf>
    <xf numFmtId="0" fontId="16" fillId="65" borderId="20" xfId="0" applyNumberFormat="1" applyFont="1" applyFill="1" applyBorder="1" applyAlignment="1" applyProtection="1">
      <alignment horizontal="center" vertical="center"/>
      <protection locked="0"/>
    </xf>
    <xf numFmtId="0" fontId="16" fillId="65" borderId="44" xfId="0" applyNumberFormat="1" applyFont="1" applyFill="1" applyBorder="1" applyAlignment="1" applyProtection="1">
      <alignment horizontal="center" vertical="center"/>
      <protection locked="0"/>
    </xf>
    <xf numFmtId="0" fontId="16" fillId="65" borderId="33" xfId="0" applyNumberFormat="1" applyFont="1" applyFill="1" applyBorder="1" applyAlignment="1" applyProtection="1">
      <alignment horizontal="center" vertical="center"/>
      <protection locked="0"/>
    </xf>
    <xf numFmtId="10" fontId="16" fillId="0" borderId="20" xfId="0" applyNumberFormat="1" applyFont="1" applyBorder="1" applyAlignment="1" applyProtection="1">
      <alignment horizontal="center" vertical="center"/>
    </xf>
    <xf numFmtId="10" fontId="16" fillId="0" borderId="44" xfId="0" applyNumberFormat="1" applyFont="1" applyBorder="1" applyAlignment="1" applyProtection="1">
      <alignment horizontal="center" vertical="center"/>
    </xf>
    <xf numFmtId="0" fontId="13" fillId="0" borderId="0" xfId="0" applyFont="1" applyBorder="1" applyAlignment="1">
      <alignment vertical="center" wrapText="1"/>
    </xf>
    <xf numFmtId="0" fontId="64" fillId="0" borderId="0" xfId="0" applyFont="1" applyAlignment="1" applyProtection="1">
      <alignment vertical="center"/>
    </xf>
    <xf numFmtId="49" fontId="21" fillId="76" borderId="28" xfId="0" applyNumberFormat="1" applyFont="1" applyFill="1" applyBorder="1" applyAlignment="1" applyProtection="1">
      <alignment horizontal="center" vertical="center" wrapText="1"/>
    </xf>
    <xf numFmtId="0" fontId="21" fillId="0" borderId="63" xfId="0" applyFont="1" applyFill="1" applyBorder="1" applyAlignment="1" applyProtection="1">
      <alignment horizontal="center" vertical="center"/>
    </xf>
    <xf numFmtId="0" fontId="21" fillId="0" borderId="39" xfId="0" applyFont="1" applyFill="1" applyBorder="1" applyAlignment="1" applyProtection="1">
      <alignment horizontal="center" vertical="center"/>
    </xf>
    <xf numFmtId="0" fontId="16" fillId="0" borderId="52" xfId="0" applyFont="1" applyBorder="1" applyAlignment="1" applyProtection="1">
      <alignment vertical="center"/>
    </xf>
    <xf numFmtId="0" fontId="16" fillId="0" borderId="53" xfId="0" applyFont="1" applyBorder="1" applyAlignment="1" applyProtection="1">
      <alignment vertical="center" wrapText="1"/>
    </xf>
    <xf numFmtId="0" fontId="21" fillId="0" borderId="52" xfId="0" applyFont="1" applyBorder="1" applyAlignment="1" applyProtection="1">
      <alignment horizontal="center" vertical="center"/>
    </xf>
    <xf numFmtId="0" fontId="21" fillId="0" borderId="53" xfId="0" applyFont="1" applyBorder="1" applyAlignment="1" applyProtection="1">
      <alignment horizontal="center" vertical="center"/>
    </xf>
    <xf numFmtId="0" fontId="21" fillId="0" borderId="44" xfId="0" applyFont="1" applyBorder="1" applyAlignment="1" applyProtection="1">
      <alignment vertical="center"/>
    </xf>
    <xf numFmtId="0" fontId="21" fillId="0" borderId="64" xfId="0" applyFont="1" applyBorder="1" applyAlignment="1" applyProtection="1">
      <alignment horizontal="center" vertical="center"/>
    </xf>
    <xf numFmtId="0" fontId="21" fillId="0" borderId="65" xfId="0" applyFont="1" applyFill="1" applyBorder="1" applyAlignment="1" applyProtection="1">
      <alignment horizontal="center" vertical="center"/>
    </xf>
    <xf numFmtId="0" fontId="21" fillId="0" borderId="66" xfId="0" applyFont="1" applyFill="1" applyBorder="1" applyAlignment="1" applyProtection="1">
      <alignment horizontal="center" vertical="center"/>
    </xf>
    <xf numFmtId="0" fontId="16" fillId="0" borderId="67" xfId="0" applyFont="1" applyBorder="1" applyAlignment="1" applyProtection="1">
      <alignment horizontal="left" vertical="center"/>
    </xf>
    <xf numFmtId="0" fontId="21" fillId="0" borderId="38" xfId="0" applyFont="1" applyBorder="1" applyAlignment="1" applyProtection="1">
      <alignment vertical="center"/>
    </xf>
    <xf numFmtId="0" fontId="21" fillId="0" borderId="68" xfId="0" applyFont="1" applyBorder="1" applyAlignment="1" applyProtection="1">
      <alignment horizontal="center" vertical="center"/>
    </xf>
    <xf numFmtId="0" fontId="16" fillId="0" borderId="33" xfId="0" applyNumberFormat="1" applyFont="1" applyBorder="1" applyAlignment="1" applyProtection="1">
      <alignment horizontal="center" vertical="center"/>
    </xf>
    <xf numFmtId="0" fontId="21" fillId="0" borderId="60" xfId="0" applyFont="1" applyFill="1" applyBorder="1" applyAlignment="1" applyProtection="1">
      <alignment horizontal="center" vertical="center"/>
    </xf>
    <xf numFmtId="0" fontId="21" fillId="0" borderId="22" xfId="0" applyFont="1" applyFill="1" applyBorder="1" applyAlignment="1" applyProtection="1">
      <alignment horizontal="center" vertical="center"/>
    </xf>
    <xf numFmtId="0" fontId="21" fillId="0" borderId="42" xfId="0" applyFont="1" applyFill="1" applyBorder="1" applyAlignment="1" applyProtection="1">
      <alignment horizontal="center" vertical="center"/>
    </xf>
    <xf numFmtId="0" fontId="16" fillId="0" borderId="69" xfId="0" applyFont="1" applyBorder="1" applyAlignment="1" applyProtection="1">
      <alignment vertical="center" wrapText="1"/>
    </xf>
    <xf numFmtId="0" fontId="21" fillId="0" borderId="69" xfId="0" applyFont="1" applyBorder="1" applyAlignment="1" applyProtection="1">
      <alignment vertical="center"/>
    </xf>
    <xf numFmtId="0" fontId="21" fillId="0" borderId="69" xfId="0" applyFont="1" applyBorder="1" applyAlignment="1" applyProtection="1">
      <alignment horizontal="center" vertical="center"/>
    </xf>
    <xf numFmtId="0" fontId="21" fillId="0" borderId="70" xfId="0" applyFont="1" applyFill="1" applyBorder="1" applyAlignment="1" applyProtection="1">
      <alignment horizontal="center" vertical="center"/>
    </xf>
    <xf numFmtId="0" fontId="21" fillId="0" borderId="71" xfId="0" applyFont="1" applyFill="1" applyBorder="1" applyAlignment="1" applyProtection="1">
      <alignment horizontal="center" vertical="center"/>
    </xf>
    <xf numFmtId="0" fontId="21" fillId="0" borderId="72" xfId="0" applyFont="1" applyFill="1" applyBorder="1" applyAlignment="1" applyProtection="1">
      <alignment horizontal="center" vertical="center"/>
    </xf>
    <xf numFmtId="0" fontId="16" fillId="0" borderId="44" xfId="0" applyFont="1" applyBorder="1" applyAlignment="1" applyProtection="1">
      <alignment horizontal="left" vertical="center"/>
    </xf>
    <xf numFmtId="0" fontId="16" fillId="0" borderId="0" xfId="0" applyNumberFormat="1" applyFont="1" applyBorder="1" applyAlignment="1" applyProtection="1">
      <alignment horizontal="center" vertical="center"/>
    </xf>
    <xf numFmtId="0" fontId="16" fillId="65" borderId="0" xfId="0" applyNumberFormat="1" applyFont="1" applyFill="1" applyBorder="1" applyAlignment="1" applyProtection="1">
      <alignment horizontal="center" vertical="center"/>
      <protection locked="0"/>
    </xf>
    <xf numFmtId="10" fontId="16" fillId="0" borderId="28" xfId="0" applyNumberFormat="1" applyFont="1" applyBorder="1" applyAlignment="1" applyProtection="1">
      <alignment horizontal="center" vertical="center"/>
    </xf>
    <xf numFmtId="0" fontId="16" fillId="0" borderId="73" xfId="0" applyFont="1" applyBorder="1" applyAlignment="1" applyProtection="1">
      <alignment horizontal="center" textRotation="90" wrapText="1"/>
    </xf>
    <xf numFmtId="0" fontId="16" fillId="0" borderId="74" xfId="0" applyFont="1" applyBorder="1" applyAlignment="1" applyProtection="1">
      <alignment textRotation="90" wrapText="1"/>
    </xf>
    <xf numFmtId="0" fontId="10" fillId="27" borderId="75" xfId="0" applyFont="1" applyFill="1" applyBorder="1" applyAlignment="1" applyProtection="1">
      <alignment horizontal="center" vertical="center" wrapText="1"/>
    </xf>
    <xf numFmtId="0" fontId="16" fillId="0" borderId="77" xfId="0" applyFont="1" applyBorder="1" applyAlignment="1" applyProtection="1">
      <alignment horizontal="center" textRotation="255" wrapText="1"/>
    </xf>
    <xf numFmtId="0" fontId="16" fillId="0" borderId="78" xfId="0" applyFont="1" applyBorder="1" applyAlignment="1" applyProtection="1">
      <alignment horizontal="center" vertical="center" wrapText="1"/>
    </xf>
    <xf numFmtId="0" fontId="16" fillId="0" borderId="79" xfId="0" applyNumberFormat="1" applyFont="1" applyBorder="1" applyAlignment="1" applyProtection="1">
      <alignment horizontal="center" vertical="center"/>
    </xf>
    <xf numFmtId="10" fontId="16" fillId="0" borderId="80" xfId="0" applyNumberFormat="1" applyFont="1" applyBorder="1" applyAlignment="1" applyProtection="1">
      <alignment horizontal="center" vertical="center"/>
    </xf>
    <xf numFmtId="0" fontId="16" fillId="0" borderId="81" xfId="0" applyNumberFormat="1" applyFont="1" applyBorder="1" applyAlignment="1" applyProtection="1">
      <alignment horizontal="center" vertical="center"/>
    </xf>
    <xf numFmtId="10" fontId="16" fillId="0" borderId="82" xfId="0" applyNumberFormat="1" applyFont="1" applyBorder="1" applyAlignment="1" applyProtection="1">
      <alignment horizontal="center" vertical="center"/>
    </xf>
    <xf numFmtId="0" fontId="16" fillId="0" borderId="83" xfId="0" applyNumberFormat="1" applyFont="1" applyBorder="1" applyAlignment="1" applyProtection="1">
      <alignment horizontal="center" vertical="center"/>
    </xf>
    <xf numFmtId="0" fontId="16" fillId="0" borderId="84" xfId="0" applyNumberFormat="1" applyFont="1" applyBorder="1" applyAlignment="1" applyProtection="1">
      <alignment horizontal="center" vertical="center"/>
    </xf>
    <xf numFmtId="0" fontId="16" fillId="65" borderId="85" xfId="0" applyNumberFormat="1" applyFont="1" applyFill="1" applyBorder="1" applyAlignment="1" applyProtection="1">
      <alignment horizontal="center" vertical="center"/>
      <protection locked="0"/>
    </xf>
    <xf numFmtId="0" fontId="16" fillId="65" borderId="84" xfId="0" applyNumberFormat="1" applyFont="1" applyFill="1" applyBorder="1" applyAlignment="1" applyProtection="1">
      <alignment horizontal="center" vertical="center"/>
      <protection locked="0"/>
    </xf>
    <xf numFmtId="10" fontId="16" fillId="0" borderId="85" xfId="0" applyNumberFormat="1" applyFont="1" applyBorder="1" applyAlignment="1" applyProtection="1">
      <alignment horizontal="center" vertical="center"/>
    </xf>
    <xf numFmtId="10" fontId="16" fillId="0" borderId="86" xfId="0" applyNumberFormat="1" applyFont="1" applyBorder="1" applyAlignment="1" applyProtection="1">
      <alignment horizontal="center" vertical="center"/>
    </xf>
    <xf numFmtId="9" fontId="16" fillId="82" borderId="18" xfId="425" applyNumberFormat="1" applyFont="1" applyFill="1" applyBorder="1" applyAlignment="1" applyProtection="1">
      <alignment horizontal="center" vertical="center"/>
    </xf>
    <xf numFmtId="9" fontId="16" fillId="82" borderId="18" xfId="425" applyFont="1" applyFill="1" applyBorder="1" applyAlignment="1" applyProtection="1">
      <alignment horizontal="center" vertical="center"/>
    </xf>
    <xf numFmtId="0" fontId="16" fillId="82" borderId="18" xfId="0" applyFont="1" applyFill="1" applyBorder="1" applyAlignment="1" applyProtection="1">
      <alignment horizontal="center" vertical="center"/>
    </xf>
    <xf numFmtId="49" fontId="16" fillId="82" borderId="18" xfId="0" applyNumberFormat="1" applyFont="1" applyFill="1" applyBorder="1" applyAlignment="1" applyProtection="1">
      <alignment horizontal="center" vertical="center"/>
    </xf>
    <xf numFmtId="14" fontId="94" fillId="81" borderId="18" xfId="0" applyNumberFormat="1" applyFont="1" applyFill="1" applyBorder="1" applyAlignment="1">
      <alignment horizontal="left" vertical="center"/>
    </xf>
    <xf numFmtId="0" fontId="52" fillId="0" borderId="0" xfId="0" applyFont="1" applyFill="1" applyProtection="1"/>
    <xf numFmtId="0" fontId="96" fillId="0" borderId="0" xfId="0" applyFont="1" applyFill="1" applyProtection="1"/>
    <xf numFmtId="0" fontId="101" fillId="0" borderId="0" xfId="0" applyFont="1" applyFill="1" applyProtection="1"/>
    <xf numFmtId="0" fontId="28" fillId="0" borderId="0" xfId="0" applyFont="1" applyFill="1" applyProtection="1"/>
    <xf numFmtId="0" fontId="96" fillId="70" borderId="0" xfId="0" applyFont="1" applyFill="1" applyProtection="1"/>
    <xf numFmtId="0" fontId="96" fillId="0" borderId="0" xfId="0" applyFont="1" applyFill="1" applyAlignment="1" applyProtection="1">
      <alignment horizontal="left"/>
    </xf>
    <xf numFmtId="0" fontId="96" fillId="0" borderId="0" xfId="0" applyFont="1" applyAlignment="1" applyProtection="1">
      <alignment horizontal="left"/>
    </xf>
    <xf numFmtId="0" fontId="13" fillId="0" borderId="20" xfId="0" applyFont="1" applyFill="1" applyBorder="1" applyAlignment="1" applyProtection="1">
      <alignment vertical="center" wrapText="1"/>
    </xf>
    <xf numFmtId="1" fontId="25" fillId="71" borderId="38" xfId="0" applyNumberFormat="1" applyFont="1" applyFill="1" applyBorder="1" applyAlignment="1" applyProtection="1">
      <alignment horizontal="center" vertical="center"/>
    </xf>
    <xf numFmtId="0" fontId="16" fillId="0" borderId="18" xfId="0" applyFont="1" applyFill="1" applyBorder="1" applyAlignment="1">
      <alignment vertical="center"/>
    </xf>
    <xf numFmtId="0" fontId="16" fillId="81" borderId="0" xfId="548" applyFont="1" applyFill="1"/>
    <xf numFmtId="0" fontId="94" fillId="0" borderId="0" xfId="0" applyFont="1" applyBorder="1" applyAlignment="1">
      <alignment horizontal="left"/>
    </xf>
    <xf numFmtId="0" fontId="96" fillId="0" borderId="0" xfId="0" applyFont="1" applyFill="1" applyAlignment="1" applyProtection="1">
      <alignment vertical="top" wrapText="1"/>
    </xf>
    <xf numFmtId="0" fontId="96" fillId="70" borderId="0" xfId="0" applyFont="1" applyFill="1" applyAlignment="1" applyProtection="1">
      <alignment vertical="top" wrapText="1"/>
    </xf>
    <xf numFmtId="0" fontId="96" fillId="0" borderId="0" xfId="0" applyFont="1" applyFill="1" applyAlignment="1" applyProtection="1">
      <alignment horizontal="left"/>
    </xf>
    <xf numFmtId="0" fontId="7" fillId="0" borderId="20" xfId="0" applyFont="1" applyFill="1" applyBorder="1" applyAlignment="1" applyProtection="1">
      <alignment vertical="center" wrapText="1"/>
    </xf>
    <xf numFmtId="0" fontId="15" fillId="0" borderId="18" xfId="0" applyFont="1" applyFill="1" applyBorder="1" applyAlignment="1">
      <alignment horizontal="center" vertical="center" wrapText="1"/>
    </xf>
    <xf numFmtId="0" fontId="15" fillId="0" borderId="23" xfId="0" applyFont="1" applyFill="1" applyBorder="1" applyAlignment="1">
      <alignment horizontal="center" vertical="center" wrapText="1"/>
    </xf>
    <xf numFmtId="0" fontId="94" fillId="0" borderId="0" xfId="0" applyFont="1" applyBorder="1" applyAlignment="1">
      <alignment horizontal="left"/>
    </xf>
    <xf numFmtId="0" fontId="0" fillId="0" borderId="0" xfId="0"/>
    <xf numFmtId="1" fontId="31" fillId="0" borderId="0" xfId="0" applyNumberFormat="1" applyFont="1" applyProtection="1"/>
    <xf numFmtId="0" fontId="16" fillId="65" borderId="38" xfId="0" applyNumberFormat="1" applyFont="1" applyFill="1" applyBorder="1" applyAlignment="1" applyProtection="1">
      <alignment horizontal="center" vertical="center"/>
      <protection locked="0"/>
    </xf>
    <xf numFmtId="0" fontId="16" fillId="70" borderId="18" xfId="0" applyFont="1" applyFill="1" applyBorder="1" applyAlignment="1" applyProtection="1">
      <alignment horizontal="center" vertical="center"/>
    </xf>
    <xf numFmtId="0" fontId="100" fillId="0" borderId="40" xfId="0" applyFont="1" applyBorder="1" applyAlignment="1">
      <alignment horizontal="center" vertical="center" wrapText="1"/>
    </xf>
    <xf numFmtId="0" fontId="100" fillId="0" borderId="41" xfId="0" applyFont="1" applyBorder="1" applyAlignment="1">
      <alignment horizontal="center" vertical="center" wrapText="1"/>
    </xf>
    <xf numFmtId="0" fontId="99" fillId="81" borderId="18" xfId="0" applyNumberFormat="1" applyFont="1" applyFill="1" applyBorder="1" applyAlignment="1" applyProtection="1">
      <alignment horizontal="center" vertical="center"/>
    </xf>
    <xf numFmtId="0" fontId="101" fillId="74" borderId="0" xfId="0" applyFont="1" applyFill="1" applyAlignment="1">
      <alignment vertical="center"/>
    </xf>
    <xf numFmtId="0" fontId="21" fillId="74" borderId="38" xfId="0" applyFont="1" applyFill="1" applyBorder="1" applyAlignment="1" applyProtection="1">
      <alignment horizontal="center" vertical="center" wrapText="1"/>
    </xf>
    <xf numFmtId="0" fontId="21" fillId="74" borderId="62" xfId="0" applyFont="1" applyFill="1" applyBorder="1" applyAlignment="1" applyProtection="1">
      <alignment horizontal="center" vertical="center"/>
    </xf>
    <xf numFmtId="0" fontId="21" fillId="74" borderId="55" xfId="0" applyFont="1" applyFill="1" applyBorder="1" applyAlignment="1" applyProtection="1">
      <alignment horizontal="center" vertical="center"/>
    </xf>
    <xf numFmtId="0" fontId="21" fillId="74" borderId="63" xfId="0" applyFont="1" applyFill="1" applyBorder="1" applyAlignment="1" applyProtection="1">
      <alignment horizontal="center" vertical="center"/>
    </xf>
    <xf numFmtId="0" fontId="16" fillId="74" borderId="52" xfId="0" applyFont="1" applyFill="1" applyBorder="1" applyAlignment="1" applyProtection="1">
      <alignment vertical="center"/>
    </xf>
    <xf numFmtId="0" fontId="21" fillId="74" borderId="52" xfId="0" applyFont="1" applyFill="1" applyBorder="1" applyAlignment="1" applyProtection="1">
      <alignment vertical="center"/>
    </xf>
    <xf numFmtId="0" fontId="21" fillId="74" borderId="52" xfId="0" applyFont="1" applyFill="1" applyBorder="1" applyAlignment="1" applyProtection="1">
      <alignment horizontal="center" vertical="center"/>
    </xf>
    <xf numFmtId="0" fontId="21" fillId="74" borderId="30" xfId="0" applyFont="1" applyFill="1" applyBorder="1" applyAlignment="1" applyProtection="1">
      <alignment horizontal="center" vertical="center"/>
    </xf>
    <xf numFmtId="0" fontId="21" fillId="74" borderId="18" xfId="0" applyFont="1" applyFill="1" applyBorder="1" applyAlignment="1" applyProtection="1">
      <alignment horizontal="center" vertical="center"/>
    </xf>
    <xf numFmtId="0" fontId="21" fillId="74" borderId="39" xfId="0" applyFont="1" applyFill="1" applyBorder="1" applyAlignment="1" applyProtection="1">
      <alignment horizontal="center" vertical="center"/>
    </xf>
    <xf numFmtId="0" fontId="16" fillId="74" borderId="53" xfId="0" applyFont="1" applyFill="1" applyBorder="1" applyAlignment="1" applyProtection="1">
      <alignment vertical="center"/>
    </xf>
    <xf numFmtId="0" fontId="21" fillId="74" borderId="53" xfId="0" applyFont="1" applyFill="1" applyBorder="1" applyAlignment="1" applyProtection="1">
      <alignment vertical="center"/>
    </xf>
    <xf numFmtId="0" fontId="21" fillId="74" borderId="53" xfId="0" applyFont="1" applyFill="1" applyBorder="1" applyAlignment="1" applyProtection="1">
      <alignment horizontal="center" vertical="center"/>
    </xf>
    <xf numFmtId="0" fontId="21" fillId="74" borderId="44" xfId="0" applyFont="1" applyFill="1" applyBorder="1" applyAlignment="1" applyProtection="1">
      <alignment horizontal="center" vertical="center" wrapText="1"/>
    </xf>
    <xf numFmtId="0" fontId="21" fillId="74" borderId="31" xfId="0" applyFont="1" applyFill="1" applyBorder="1" applyAlignment="1" applyProtection="1">
      <alignment horizontal="center" vertical="center"/>
    </xf>
    <xf numFmtId="0" fontId="21" fillId="74" borderId="56" xfId="0" applyFont="1" applyFill="1" applyBorder="1" applyAlignment="1" applyProtection="1">
      <alignment horizontal="center" vertical="center"/>
    </xf>
    <xf numFmtId="0" fontId="21" fillId="74" borderId="43" xfId="0" applyFont="1" applyFill="1" applyBorder="1" applyAlignment="1" applyProtection="1">
      <alignment horizontal="center" vertical="center"/>
    </xf>
    <xf numFmtId="0" fontId="16" fillId="74" borderId="54" xfId="0" applyFont="1" applyFill="1" applyBorder="1" applyAlignment="1" applyProtection="1">
      <alignment vertical="center"/>
    </xf>
    <xf numFmtId="0" fontId="21" fillId="74" borderId="54" xfId="0" applyFont="1" applyFill="1" applyBorder="1" applyAlignment="1" applyProtection="1">
      <alignment vertical="center"/>
    </xf>
    <xf numFmtId="0" fontId="21" fillId="74" borderId="54" xfId="0" applyFont="1" applyFill="1" applyBorder="1" applyAlignment="1" applyProtection="1">
      <alignment horizontal="center" vertical="center"/>
    </xf>
    <xf numFmtId="0" fontId="16" fillId="0" borderId="40" xfId="0" applyFont="1" applyFill="1" applyBorder="1" applyAlignment="1">
      <alignment vertical="center"/>
    </xf>
    <xf numFmtId="10" fontId="16" fillId="0" borderId="18" xfId="425" applyNumberFormat="1" applyFont="1" applyFill="1" applyBorder="1" applyAlignment="1" applyProtection="1">
      <alignment horizontal="center" vertical="center" wrapText="1"/>
    </xf>
    <xf numFmtId="10" fontId="21" fillId="0" borderId="18" xfId="0" applyNumberFormat="1" applyFont="1" applyFill="1" applyBorder="1" applyAlignment="1" applyProtection="1">
      <alignment vertical="center"/>
    </xf>
    <xf numFmtId="0" fontId="21" fillId="0" borderId="18" xfId="0" applyFont="1" applyBorder="1" applyAlignment="1" applyProtection="1">
      <alignment horizontal="center" vertical="center"/>
    </xf>
    <xf numFmtId="1" fontId="8" fillId="34" borderId="20" xfId="0" applyNumberFormat="1" applyFont="1" applyFill="1" applyBorder="1" applyAlignment="1" applyProtection="1">
      <alignment horizontal="center" vertical="center" wrapText="1"/>
      <protection locked="0"/>
    </xf>
    <xf numFmtId="0" fontId="101" fillId="0" borderId="0" xfId="0" applyFont="1" applyAlignment="1">
      <alignment wrapText="1"/>
    </xf>
    <xf numFmtId="0" fontId="101" fillId="0" borderId="0" xfId="0" applyFont="1" applyAlignment="1">
      <alignment horizontal="left" vertical="top" wrapText="1"/>
    </xf>
    <xf numFmtId="0" fontId="101" fillId="0" borderId="18" xfId="0" applyFont="1" applyBorder="1" applyAlignment="1">
      <alignment horizontal="left" vertical="top" wrapText="1"/>
    </xf>
    <xf numFmtId="0" fontId="101" fillId="0" borderId="18" xfId="0" applyFont="1" applyBorder="1" applyAlignment="1">
      <alignment wrapText="1"/>
    </xf>
    <xf numFmtId="0" fontId="101" fillId="0" borderId="18" xfId="0" applyFont="1" applyBorder="1"/>
    <xf numFmtId="0" fontId="101" fillId="73" borderId="18" xfId="0" applyFont="1" applyFill="1" applyBorder="1"/>
    <xf numFmtId="0" fontId="101" fillId="73" borderId="18" xfId="0" applyFont="1" applyFill="1" applyBorder="1" applyAlignment="1">
      <alignment wrapText="1"/>
    </xf>
    <xf numFmtId="2" fontId="99" fillId="69" borderId="18" xfId="0" applyNumberFormat="1" applyFont="1" applyFill="1" applyBorder="1" applyAlignment="1" applyProtection="1">
      <alignment horizontal="center" vertical="center"/>
    </xf>
    <xf numFmtId="0" fontId="13" fillId="0" borderId="20" xfId="0" applyFont="1" applyBorder="1" applyAlignment="1" applyProtection="1">
      <alignment vertical="center" wrapText="1"/>
    </xf>
    <xf numFmtId="0" fontId="21" fillId="0" borderId="18" xfId="0" applyFont="1" applyBorder="1" applyAlignment="1" applyProtection="1">
      <alignment horizontal="center" vertical="center"/>
    </xf>
    <xf numFmtId="0" fontId="94" fillId="0" borderId="20" xfId="0" applyFont="1" applyBorder="1" applyAlignment="1" applyProtection="1">
      <alignment vertical="center" wrapText="1"/>
    </xf>
    <xf numFmtId="1" fontId="100" fillId="72" borderId="20" xfId="0" applyNumberFormat="1" applyFont="1" applyFill="1" applyBorder="1" applyAlignment="1" applyProtection="1">
      <alignment horizontal="center" vertical="center"/>
      <protection locked="0"/>
    </xf>
    <xf numFmtId="1" fontId="100" fillId="34" borderId="20" xfId="0" applyNumberFormat="1" applyFont="1" applyFill="1" applyBorder="1" applyAlignment="1" applyProtection="1">
      <alignment horizontal="center" vertical="center" wrapText="1"/>
      <protection locked="0"/>
    </xf>
    <xf numFmtId="10" fontId="100" fillId="27" borderId="20" xfId="425" applyNumberFormat="1" applyFont="1" applyFill="1" applyBorder="1" applyAlignment="1" applyProtection="1">
      <alignment horizontal="center" vertical="center" wrapText="1"/>
    </xf>
    <xf numFmtId="0" fontId="14" fillId="0" borderId="0" xfId="0" applyFont="1" applyFill="1" applyProtection="1"/>
    <xf numFmtId="0" fontId="16" fillId="0" borderId="0" xfId="0" applyFont="1" applyFill="1" applyBorder="1" applyAlignment="1" applyProtection="1">
      <alignment horizontal="left" vertical="center"/>
    </xf>
    <xf numFmtId="0" fontId="21" fillId="67" borderId="0" xfId="0" applyFont="1" applyFill="1" applyProtection="1"/>
    <xf numFmtId="1" fontId="21" fillId="70" borderId="18" xfId="0" applyNumberFormat="1" applyFont="1" applyFill="1" applyBorder="1" applyAlignment="1" applyProtection="1">
      <alignment horizontal="center" vertical="center"/>
    </xf>
    <xf numFmtId="1" fontId="21" fillId="70" borderId="18" xfId="425" applyNumberFormat="1" applyFont="1" applyFill="1" applyBorder="1" applyAlignment="1" applyProtection="1">
      <alignment horizontal="center" vertical="center"/>
    </xf>
    <xf numFmtId="0" fontId="21" fillId="89" borderId="18" xfId="0" applyNumberFormat="1" applyFont="1" applyFill="1" applyBorder="1" applyAlignment="1" applyProtection="1">
      <alignment horizontal="center" vertical="center"/>
    </xf>
    <xf numFmtId="9" fontId="21" fillId="89" borderId="18" xfId="425" applyFont="1" applyFill="1" applyBorder="1" applyAlignment="1" applyProtection="1">
      <alignment horizontal="center" vertical="center"/>
    </xf>
    <xf numFmtId="0" fontId="21" fillId="89" borderId="18" xfId="425" applyNumberFormat="1" applyFont="1" applyFill="1" applyBorder="1" applyAlignment="1" applyProtection="1">
      <alignment horizontal="center" vertical="center"/>
    </xf>
    <xf numFmtId="9" fontId="21" fillId="89" borderId="18" xfId="425" applyNumberFormat="1" applyFont="1" applyFill="1" applyBorder="1" applyAlignment="1" applyProtection="1">
      <alignment horizontal="center" vertical="center"/>
    </xf>
    <xf numFmtId="0" fontId="21" fillId="89" borderId="18" xfId="0" applyFont="1" applyFill="1" applyBorder="1" applyAlignment="1" applyProtection="1">
      <alignment horizontal="center" vertical="center"/>
    </xf>
    <xf numFmtId="49" fontId="21" fillId="89" borderId="18" xfId="0" applyNumberFormat="1" applyFont="1" applyFill="1" applyBorder="1" applyAlignment="1" applyProtection="1">
      <alignment horizontal="center" vertical="center"/>
    </xf>
    <xf numFmtId="0" fontId="16" fillId="89" borderId="18" xfId="0" applyNumberFormat="1" applyFont="1" applyFill="1" applyBorder="1" applyAlignment="1" applyProtection="1">
      <alignment horizontal="center" vertical="center"/>
    </xf>
    <xf numFmtId="0" fontId="16" fillId="89" borderId="18" xfId="0" applyFont="1" applyFill="1" applyBorder="1" applyAlignment="1" applyProtection="1">
      <alignment horizontal="center" vertical="center"/>
    </xf>
    <xf numFmtId="9" fontId="16" fillId="89" borderId="18" xfId="425" applyFont="1" applyFill="1" applyBorder="1" applyAlignment="1" applyProtection="1">
      <alignment horizontal="center" vertical="center"/>
    </xf>
    <xf numFmtId="9" fontId="16" fillId="89" borderId="18" xfId="425" applyNumberFormat="1" applyFont="1" applyFill="1" applyBorder="1" applyAlignment="1" applyProtection="1">
      <alignment horizontal="center" vertical="center"/>
    </xf>
    <xf numFmtId="164" fontId="21" fillId="89" borderId="18" xfId="425" applyNumberFormat="1" applyFont="1" applyFill="1" applyBorder="1" applyAlignment="1" applyProtection="1">
      <alignment horizontal="center" vertical="center"/>
    </xf>
    <xf numFmtId="0" fontId="31" fillId="0" borderId="0" xfId="0" quotePrefix="1" applyFont="1" applyAlignment="1" applyProtection="1"/>
    <xf numFmtId="0" fontId="115" fillId="0" borderId="0" xfId="513" applyFont="1" applyProtection="1"/>
    <xf numFmtId="0" fontId="116" fillId="0" borderId="0" xfId="0" applyFont="1" applyProtection="1"/>
    <xf numFmtId="0" fontId="117" fillId="0" borderId="0" xfId="0" applyFont="1" applyAlignment="1" applyProtection="1"/>
    <xf numFmtId="0" fontId="116" fillId="0" borderId="0" xfId="0" applyFont="1" applyFill="1" applyProtection="1"/>
    <xf numFmtId="0" fontId="119" fillId="0" borderId="0" xfId="0" applyFont="1" applyAlignment="1" applyProtection="1">
      <alignment horizontal="left" vertical="center"/>
    </xf>
    <xf numFmtId="0" fontId="120" fillId="0" borderId="0" xfId="0" applyFont="1" applyAlignment="1" applyProtection="1">
      <alignment horizontal="left"/>
    </xf>
    <xf numFmtId="0" fontId="119" fillId="0" borderId="0" xfId="0" applyFont="1" applyProtection="1"/>
    <xf numFmtId="0" fontId="122" fillId="0" borderId="0" xfId="0" applyFont="1" applyProtection="1"/>
    <xf numFmtId="0" fontId="116" fillId="0" borderId="0" xfId="0" applyFont="1" applyFill="1" applyAlignment="1" applyProtection="1">
      <alignment horizontal="center"/>
    </xf>
    <xf numFmtId="0" fontId="117" fillId="0" borderId="0" xfId="0" applyFont="1" applyProtection="1"/>
    <xf numFmtId="0" fontId="123" fillId="0" borderId="0" xfId="513" applyFont="1" applyFill="1" applyAlignment="1" applyProtection="1">
      <alignment vertical="center"/>
    </xf>
    <xf numFmtId="0" fontId="124" fillId="0" borderId="0" xfId="513" applyFont="1" applyFill="1" applyBorder="1" applyAlignment="1" applyProtection="1">
      <alignment horizontal="left" vertical="center"/>
    </xf>
    <xf numFmtId="0" fontId="118" fillId="0" borderId="0" xfId="0" applyFont="1" applyProtection="1"/>
    <xf numFmtId="0" fontId="124" fillId="0" borderId="0" xfId="513" applyFont="1" applyBorder="1" applyProtection="1"/>
    <xf numFmtId="0" fontId="124" fillId="0" borderId="0" xfId="513" applyFont="1" applyProtection="1"/>
    <xf numFmtId="0" fontId="123" fillId="0" borderId="0" xfId="513" applyFont="1" applyAlignment="1" applyProtection="1">
      <alignment vertical="center"/>
    </xf>
    <xf numFmtId="0" fontId="123" fillId="0" borderId="0" xfId="513" applyFont="1" applyProtection="1"/>
    <xf numFmtId="0" fontId="118" fillId="0" borderId="0" xfId="0" applyFont="1" applyAlignment="1" applyProtection="1">
      <alignment vertical="center"/>
    </xf>
    <xf numFmtId="0" fontId="117" fillId="0" borderId="0" xfId="0" applyFont="1" applyFill="1" applyBorder="1" applyAlignment="1" applyProtection="1">
      <alignment horizontal="left" vertical="center"/>
    </xf>
    <xf numFmtId="0" fontId="118" fillId="0" borderId="0" xfId="0" applyFont="1" applyBorder="1" applyAlignment="1" applyProtection="1">
      <alignment vertical="center"/>
    </xf>
    <xf numFmtId="0" fontId="118" fillId="0" borderId="87" xfId="0" applyFont="1" applyBorder="1" applyAlignment="1" applyProtection="1">
      <alignment vertical="center"/>
    </xf>
    <xf numFmtId="0" fontId="124" fillId="0" borderId="0" xfId="513" applyFont="1" applyBorder="1" applyAlignment="1" applyProtection="1">
      <alignment vertical="center"/>
    </xf>
    <xf numFmtId="0" fontId="123" fillId="0" borderId="0" xfId="513" applyFont="1" applyBorder="1" applyAlignment="1" applyProtection="1">
      <alignment vertical="center"/>
    </xf>
    <xf numFmtId="0" fontId="117" fillId="0" borderId="0" xfId="0" applyFont="1" applyFill="1" applyBorder="1" applyAlignment="1" applyProtection="1">
      <alignment vertical="center"/>
    </xf>
    <xf numFmtId="0" fontId="123" fillId="0" borderId="87" xfId="513" applyFont="1" applyBorder="1" applyAlignment="1" applyProtection="1">
      <alignment vertical="center"/>
    </xf>
    <xf numFmtId="0" fontId="116" fillId="0" borderId="0" xfId="0" applyFont="1" applyFill="1" applyBorder="1" applyProtection="1"/>
    <xf numFmtId="0" fontId="116" fillId="0" borderId="0" xfId="0" applyFont="1" applyAlignment="1" applyProtection="1">
      <alignment vertical="center"/>
    </xf>
    <xf numFmtId="0" fontId="124" fillId="0" borderId="0" xfId="513" applyFont="1" applyFill="1" applyBorder="1" applyAlignment="1" applyProtection="1">
      <alignment vertical="center"/>
    </xf>
    <xf numFmtId="0" fontId="123" fillId="0" borderId="0" xfId="0" applyFont="1" applyAlignment="1" applyProtection="1">
      <alignment vertical="center"/>
    </xf>
    <xf numFmtId="0" fontId="123" fillId="0" borderId="87" xfId="0" applyFont="1" applyBorder="1" applyAlignment="1" applyProtection="1">
      <alignment vertical="center"/>
    </xf>
    <xf numFmtId="0" fontId="124" fillId="0" borderId="0" xfId="513" applyFont="1" applyAlignment="1" applyProtection="1">
      <alignment vertical="center"/>
    </xf>
    <xf numFmtId="0" fontId="124" fillId="0" borderId="0" xfId="0" applyFont="1" applyProtection="1"/>
    <xf numFmtId="0" fontId="117" fillId="27" borderId="0" xfId="0" applyFont="1" applyFill="1" applyBorder="1" applyAlignment="1" applyProtection="1">
      <alignment horizontal="center" vertical="center" wrapText="1"/>
    </xf>
    <xf numFmtId="0" fontId="123" fillId="0" borderId="0" xfId="513" applyFont="1" applyFill="1" applyBorder="1" applyAlignment="1" applyProtection="1">
      <alignment vertical="center"/>
    </xf>
    <xf numFmtId="0" fontId="123" fillId="0" borderId="0" xfId="0" applyFont="1" applyFill="1" applyBorder="1" applyProtection="1"/>
    <xf numFmtId="0" fontId="123" fillId="0" borderId="0" xfId="0" applyFont="1" applyProtection="1"/>
    <xf numFmtId="0" fontId="118" fillId="27" borderId="0" xfId="0" applyFont="1" applyFill="1" applyBorder="1" applyAlignment="1" applyProtection="1">
      <alignment horizontal="center" vertical="center" wrapText="1"/>
    </xf>
    <xf numFmtId="0" fontId="123" fillId="0" borderId="0" xfId="513" applyFont="1" applyFill="1" applyBorder="1" applyProtection="1"/>
    <xf numFmtId="0" fontId="117" fillId="0" borderId="18" xfId="0" applyFont="1" applyFill="1" applyBorder="1" applyAlignment="1" applyProtection="1">
      <alignment horizontal="center" textRotation="90" wrapText="1"/>
    </xf>
    <xf numFmtId="0" fontId="127" fillId="0" borderId="0" xfId="0" applyFont="1" applyFill="1" applyBorder="1" applyAlignment="1" applyProtection="1">
      <alignment horizontal="center" vertical="center" wrapText="1"/>
    </xf>
    <xf numFmtId="0" fontId="117" fillId="0" borderId="0" xfId="0" applyFont="1" applyFill="1" applyBorder="1" applyAlignment="1" applyProtection="1">
      <alignment horizontal="center" textRotation="90"/>
    </xf>
    <xf numFmtId="0" fontId="117" fillId="0" borderId="0" xfId="0" applyFont="1" applyFill="1" applyBorder="1" applyAlignment="1" applyProtection="1">
      <alignment horizontal="center" textRotation="90" wrapText="1"/>
    </xf>
    <xf numFmtId="0" fontId="127" fillId="0" borderId="0" xfId="0" applyFont="1" applyFill="1" applyBorder="1" applyAlignment="1" applyProtection="1">
      <alignment horizontal="center" textRotation="90"/>
    </xf>
    <xf numFmtId="0" fontId="127" fillId="0" borderId="0" xfId="0" applyFont="1" applyFill="1" applyBorder="1" applyAlignment="1" applyProtection="1">
      <alignment horizontal="center" vertical="center"/>
    </xf>
    <xf numFmtId="0" fontId="117" fillId="0" borderId="49" xfId="0" applyFont="1" applyFill="1" applyBorder="1" applyAlignment="1" applyProtection="1">
      <alignment vertical="center"/>
    </xf>
    <xf numFmtId="0" fontId="117" fillId="72" borderId="66" xfId="0" applyFont="1" applyFill="1" applyBorder="1" applyAlignment="1" applyProtection="1">
      <alignment horizontal="center" vertical="center"/>
      <protection locked="0"/>
    </xf>
    <xf numFmtId="0" fontId="117" fillId="0" borderId="57" xfId="0" quotePrefix="1" applyFont="1" applyFill="1" applyBorder="1" applyAlignment="1" applyProtection="1">
      <alignment horizontal="center" vertical="center"/>
    </xf>
    <xf numFmtId="0" fontId="117" fillId="0" borderId="23" xfId="0" applyFont="1" applyFill="1" applyBorder="1" applyAlignment="1" applyProtection="1">
      <alignment vertical="center"/>
    </xf>
    <xf numFmtId="0" fontId="117" fillId="72" borderId="18" xfId="0" applyFont="1" applyFill="1" applyBorder="1" applyAlignment="1" applyProtection="1">
      <alignment horizontal="center" vertical="center"/>
      <protection locked="0"/>
    </xf>
    <xf numFmtId="0" fontId="117" fillId="0" borderId="39" xfId="0" applyFont="1" applyFill="1" applyBorder="1" applyAlignment="1" applyProtection="1">
      <alignment horizontal="center" vertical="center"/>
    </xf>
    <xf numFmtId="0" fontId="117" fillId="0" borderId="0" xfId="0" quotePrefix="1" applyFont="1" applyProtection="1"/>
    <xf numFmtId="0" fontId="117" fillId="0" borderId="71" xfId="0" applyFont="1" applyFill="1" applyBorder="1" applyAlignment="1" applyProtection="1">
      <alignment horizontal="center" vertical="center"/>
    </xf>
    <xf numFmtId="0" fontId="117" fillId="0" borderId="43" xfId="0" applyFont="1" applyFill="1" applyBorder="1" applyAlignment="1" applyProtection="1">
      <alignment horizontal="center" vertical="center"/>
    </xf>
    <xf numFmtId="0" fontId="127" fillId="0" borderId="0" xfId="0" applyFont="1" applyFill="1" applyBorder="1" applyAlignment="1" applyProtection="1">
      <alignment horizontal="left" vertical="center"/>
    </xf>
    <xf numFmtId="0" fontId="117" fillId="0" borderId="0" xfId="0" applyFont="1" applyFill="1" applyBorder="1" applyAlignment="1" applyProtection="1">
      <alignment horizontal="center" vertical="center"/>
    </xf>
    <xf numFmtId="0" fontId="117" fillId="88" borderId="36" xfId="0" applyFont="1" applyFill="1" applyBorder="1" applyAlignment="1" applyProtection="1">
      <alignment vertical="center"/>
    </xf>
    <xf numFmtId="0" fontId="117" fillId="88" borderId="36" xfId="0" applyFont="1" applyFill="1" applyBorder="1" applyAlignment="1" applyProtection="1">
      <alignment horizontal="center" vertical="center"/>
    </xf>
    <xf numFmtId="0" fontId="117" fillId="72" borderId="36" xfId="0" applyFont="1" applyFill="1" applyBorder="1" applyAlignment="1" applyProtection="1">
      <alignment horizontal="center" vertical="center"/>
      <protection locked="0"/>
    </xf>
    <xf numFmtId="0" fontId="117" fillId="0" borderId="37" xfId="0" applyFont="1" applyFill="1" applyBorder="1" applyAlignment="1" applyProtection="1">
      <alignment horizontal="center" vertical="center"/>
    </xf>
    <xf numFmtId="0" fontId="127" fillId="0" borderId="0" xfId="0" applyFont="1" applyFill="1" applyAlignment="1" applyProtection="1">
      <alignment vertical="center"/>
    </xf>
    <xf numFmtId="0" fontId="117" fillId="0" borderId="0" xfId="0" applyFont="1" applyFill="1" applyAlignment="1" applyProtection="1">
      <alignment vertical="center"/>
    </xf>
    <xf numFmtId="0" fontId="117" fillId="72" borderId="55" xfId="0" applyFont="1" applyFill="1" applyBorder="1" applyAlignment="1" applyProtection="1">
      <alignment horizontal="center" vertical="center"/>
      <protection locked="0"/>
    </xf>
    <xf numFmtId="0" fontId="117" fillId="72" borderId="56" xfId="0" applyFont="1" applyFill="1" applyBorder="1" applyAlignment="1" applyProtection="1">
      <alignment horizontal="center" vertical="center"/>
      <protection locked="0"/>
    </xf>
    <xf numFmtId="0" fontId="117" fillId="0" borderId="0" xfId="0" applyFont="1" applyBorder="1" applyProtection="1"/>
    <xf numFmtId="0" fontId="117" fillId="0" borderId="36" xfId="0" applyFont="1" applyFill="1" applyBorder="1" applyAlignment="1" applyProtection="1">
      <alignment horizontal="center" vertical="center"/>
    </xf>
    <xf numFmtId="0" fontId="117" fillId="0" borderId="20" xfId="0" applyFont="1" applyFill="1" applyBorder="1" applyAlignment="1" applyProtection="1">
      <alignment horizontal="center" vertical="center"/>
    </xf>
    <xf numFmtId="0" fontId="117" fillId="0" borderId="0" xfId="0" applyFont="1" applyFill="1" applyProtection="1"/>
    <xf numFmtId="0" fontId="117" fillId="0" borderId="0" xfId="0" applyFont="1" applyFill="1" applyBorder="1" applyAlignment="1" applyProtection="1">
      <alignment horizontal="center"/>
    </xf>
    <xf numFmtId="0" fontId="132" fillId="0" borderId="0" xfId="0" applyFont="1" applyFill="1" applyAlignment="1" applyProtection="1">
      <alignment horizontal="left" vertical="center" wrapText="1"/>
    </xf>
    <xf numFmtId="0" fontId="133" fillId="0" borderId="0" xfId="0" applyFont="1" applyFill="1" applyBorder="1" applyAlignment="1" applyProtection="1">
      <alignment horizontal="left" vertical="center"/>
    </xf>
    <xf numFmtId="0" fontId="133" fillId="0" borderId="0" xfId="0" applyFont="1" applyFill="1" applyBorder="1" applyAlignment="1" applyProtection="1"/>
    <xf numFmtId="0" fontId="17" fillId="90" borderId="0" xfId="0" applyFont="1" applyFill="1" applyProtection="1"/>
    <xf numFmtId="0" fontId="21" fillId="89" borderId="0" xfId="0" applyFont="1" applyFill="1" applyProtection="1"/>
    <xf numFmtId="0" fontId="137" fillId="81" borderId="18" xfId="0" applyFont="1" applyFill="1" applyBorder="1" applyAlignment="1">
      <alignment vertical="center"/>
    </xf>
    <xf numFmtId="0" fontId="137" fillId="0" borderId="0" xfId="0" applyFont="1" applyAlignment="1">
      <alignment vertical="center"/>
    </xf>
    <xf numFmtId="0" fontId="138" fillId="0" borderId="18" xfId="0" applyNumberFormat="1" applyFont="1" applyBorder="1" applyAlignment="1">
      <alignment horizontal="center" vertical="center" wrapText="1"/>
    </xf>
    <xf numFmtId="9" fontId="138" fillId="0" borderId="18" xfId="0" applyNumberFormat="1" applyFont="1" applyBorder="1" applyAlignment="1">
      <alignment horizontal="center" vertical="center" wrapText="1"/>
    </xf>
    <xf numFmtId="0" fontId="138" fillId="0" borderId="0" xfId="0" applyFont="1" applyAlignment="1">
      <alignment vertical="center"/>
    </xf>
    <xf numFmtId="0" fontId="137" fillId="0" borderId="0" xfId="0" applyFont="1" applyAlignment="1">
      <alignment vertical="center" wrapText="1"/>
    </xf>
    <xf numFmtId="0" fontId="137" fillId="0" borderId="0" xfId="0" applyFont="1" applyAlignment="1">
      <alignment horizontal="center" vertical="center" wrapText="1"/>
    </xf>
    <xf numFmtId="0" fontId="137" fillId="0" borderId="18" xfId="0" applyFont="1" applyBorder="1" applyAlignment="1">
      <alignment vertical="center"/>
    </xf>
    <xf numFmtId="0" fontId="137" fillId="0" borderId="18" xfId="0" applyFont="1" applyBorder="1" applyAlignment="1">
      <alignment horizontal="center" vertical="center" wrapText="1"/>
    </xf>
    <xf numFmtId="0" fontId="137" fillId="0" borderId="18" xfId="0" applyFont="1" applyBorder="1" applyAlignment="1">
      <alignment horizontal="left" vertical="center" wrapText="1"/>
    </xf>
    <xf numFmtId="9" fontId="137" fillId="0" borderId="18" xfId="0" applyNumberFormat="1" applyFont="1" applyBorder="1" applyAlignment="1">
      <alignment horizontal="center" vertical="center" wrapText="1"/>
    </xf>
    <xf numFmtId="0" fontId="137" fillId="0" borderId="18" xfId="0" applyNumberFormat="1" applyFont="1" applyBorder="1" applyAlignment="1">
      <alignment horizontal="center" vertical="center" wrapText="1"/>
    </xf>
    <xf numFmtId="0" fontId="137" fillId="0" borderId="18" xfId="0" applyFont="1" applyBorder="1" applyAlignment="1">
      <alignment vertical="center" wrapText="1"/>
    </xf>
    <xf numFmtId="0" fontId="137" fillId="89" borderId="18" xfId="0" applyFont="1" applyFill="1" applyBorder="1" applyAlignment="1">
      <alignment horizontal="center" vertical="center" wrapText="1"/>
    </xf>
    <xf numFmtId="9" fontId="137" fillId="0" borderId="18" xfId="0" quotePrefix="1" applyNumberFormat="1" applyFont="1" applyBorder="1" applyAlignment="1">
      <alignment horizontal="center" vertical="center" wrapText="1"/>
    </xf>
    <xf numFmtId="0" fontId="137" fillId="0" borderId="0" xfId="0" applyFont="1" applyAlignment="1">
      <alignment horizontal="left" vertical="center" wrapText="1"/>
    </xf>
    <xf numFmtId="9" fontId="137" fillId="0" borderId="0" xfId="0" applyNumberFormat="1" applyFont="1" applyAlignment="1">
      <alignment vertical="center" wrapText="1"/>
    </xf>
    <xf numFmtId="0" fontId="21" fillId="0" borderId="18" xfId="0" applyFont="1" applyFill="1" applyBorder="1" applyAlignment="1" applyProtection="1">
      <alignment horizontal="center" textRotation="90" wrapText="1"/>
    </xf>
    <xf numFmtId="0" fontId="7" fillId="70" borderId="20" xfId="0" applyFont="1" applyFill="1" applyBorder="1" applyAlignment="1" applyProtection="1">
      <alignment vertical="center" wrapText="1"/>
    </xf>
    <xf numFmtId="10" fontId="8" fillId="70" borderId="20" xfId="425" applyNumberFormat="1" applyFont="1" applyFill="1" applyBorder="1" applyAlignment="1" applyProtection="1">
      <alignment horizontal="center" vertical="center" wrapText="1"/>
    </xf>
    <xf numFmtId="1" fontId="8" fillId="70" borderId="20" xfId="0" applyNumberFormat="1" applyFont="1" applyFill="1" applyBorder="1" applyAlignment="1" applyProtection="1">
      <alignment horizontal="center" vertical="center"/>
    </xf>
    <xf numFmtId="1" fontId="8" fillId="70" borderId="20" xfId="0" applyNumberFormat="1" applyFont="1" applyFill="1" applyBorder="1" applyAlignment="1" applyProtection="1">
      <alignment horizontal="center" vertical="center" wrapText="1"/>
    </xf>
    <xf numFmtId="10" fontId="8" fillId="0" borderId="20" xfId="425" applyNumberFormat="1" applyFont="1" applyFill="1" applyBorder="1" applyAlignment="1" applyProtection="1">
      <alignment horizontal="center" vertical="center" wrapText="1"/>
    </xf>
    <xf numFmtId="0" fontId="21" fillId="0" borderId="18" xfId="0" applyFont="1" applyFill="1" applyBorder="1" applyAlignment="1" applyProtection="1">
      <alignment wrapText="1"/>
    </xf>
    <xf numFmtId="0" fontId="12" fillId="0" borderId="18" xfId="0" applyFont="1" applyBorder="1" applyProtection="1"/>
    <xf numFmtId="0" fontId="0" fillId="0" borderId="18" xfId="0" applyBorder="1" applyProtection="1"/>
    <xf numFmtId="0" fontId="103" fillId="0" borderId="18" xfId="0" applyFont="1" applyBorder="1" applyProtection="1"/>
    <xf numFmtId="0" fontId="0" fillId="0" borderId="18" xfId="0" applyBorder="1" applyAlignment="1" applyProtection="1"/>
    <xf numFmtId="0" fontId="97" fillId="0" borderId="18" xfId="0" applyFont="1" applyBorder="1" applyProtection="1"/>
    <xf numFmtId="0" fontId="52" fillId="0" borderId="18" xfId="0" applyFont="1" applyBorder="1" applyProtection="1"/>
    <xf numFmtId="0" fontId="96" fillId="0" borderId="18" xfId="0" applyFont="1" applyBorder="1" applyProtection="1"/>
    <xf numFmtId="0" fontId="96" fillId="0" borderId="18" xfId="0" applyFont="1" applyBorder="1"/>
    <xf numFmtId="0" fontId="0" fillId="0" borderId="18" xfId="0" applyBorder="1"/>
    <xf numFmtId="0" fontId="94" fillId="0" borderId="23" xfId="0" applyFont="1" applyFill="1" applyBorder="1"/>
    <xf numFmtId="0" fontId="94" fillId="0" borderId="25" xfId="0" applyFont="1" applyFill="1" applyBorder="1" applyAlignment="1">
      <alignment horizontal="center" vertical="center"/>
    </xf>
    <xf numFmtId="0" fontId="3" fillId="0" borderId="0" xfId="0" applyFont="1" applyFill="1" applyAlignment="1" applyProtection="1">
      <alignment vertical="top"/>
    </xf>
    <xf numFmtId="0" fontId="3" fillId="0" borderId="0" xfId="0" applyFont="1" applyAlignment="1" applyProtection="1"/>
    <xf numFmtId="0" fontId="16" fillId="0" borderId="0" xfId="0" applyFont="1" applyFill="1" applyBorder="1" applyAlignment="1">
      <alignment vertical="center"/>
    </xf>
    <xf numFmtId="0" fontId="16" fillId="92" borderId="18" xfId="0" applyFont="1" applyFill="1" applyBorder="1" applyAlignment="1">
      <alignment vertical="center"/>
    </xf>
    <xf numFmtId="0" fontId="16" fillId="68" borderId="18" xfId="0" applyFont="1" applyFill="1" applyBorder="1" applyAlignment="1">
      <alignment vertical="center"/>
    </xf>
    <xf numFmtId="0" fontId="16" fillId="91" borderId="18" xfId="0" applyFont="1" applyFill="1" applyBorder="1" applyAlignment="1">
      <alignment vertical="center"/>
    </xf>
    <xf numFmtId="0" fontId="0" fillId="0" borderId="0" xfId="0"/>
    <xf numFmtId="0" fontId="16" fillId="89" borderId="0" xfId="0" applyFont="1" applyFill="1" applyProtection="1"/>
    <xf numFmtId="164" fontId="16" fillId="89" borderId="18" xfId="425" applyNumberFormat="1" applyFont="1" applyFill="1" applyBorder="1" applyAlignment="1" applyProtection="1">
      <alignment horizontal="center" vertical="center"/>
    </xf>
    <xf numFmtId="0" fontId="16" fillId="89" borderId="18" xfId="0" quotePrefix="1" applyFont="1" applyFill="1" applyBorder="1" applyAlignment="1" applyProtection="1">
      <alignment horizontal="center" vertical="center"/>
    </xf>
    <xf numFmtId="0" fontId="101" fillId="89" borderId="0" xfId="0" applyFont="1" applyFill="1" applyProtection="1"/>
    <xf numFmtId="0" fontId="140" fillId="0" borderId="0" xfId="0" applyFont="1" applyProtection="1"/>
    <xf numFmtId="0" fontId="16" fillId="0" borderId="18" xfId="0" applyFont="1" applyBorder="1" applyAlignment="1">
      <alignment vertical="center"/>
    </xf>
    <xf numFmtId="1" fontId="21" fillId="0" borderId="0" xfId="0" quotePrefix="1" applyNumberFormat="1" applyFont="1" applyAlignment="1">
      <alignment vertical="center"/>
    </xf>
    <xf numFmtId="1" fontId="21" fillId="0" borderId="0" xfId="0" applyNumberFormat="1" applyFont="1" applyAlignment="1">
      <alignment vertical="center"/>
    </xf>
    <xf numFmtId="0" fontId="96" fillId="0" borderId="0" xfId="0" applyFont="1" applyAlignment="1">
      <alignment horizontal="left" vertical="center"/>
    </xf>
    <xf numFmtId="0" fontId="21" fillId="68" borderId="18" xfId="0" applyFont="1" applyFill="1" applyBorder="1"/>
    <xf numFmtId="0" fontId="21" fillId="0" borderId="0" xfId="0" applyFont="1" applyAlignment="1">
      <alignment vertical="center"/>
    </xf>
    <xf numFmtId="0" fontId="21" fillId="68" borderId="0" xfId="0" applyFont="1" applyFill="1"/>
    <xf numFmtId="0" fontId="21" fillId="0" borderId="0" xfId="0" applyFont="1"/>
    <xf numFmtId="0" fontId="21" fillId="0" borderId="18" xfId="0" applyFont="1" applyBorder="1"/>
    <xf numFmtId="1" fontId="21" fillId="0" borderId="0" xfId="0" applyNumberFormat="1" applyFont="1"/>
    <xf numFmtId="0" fontId="21" fillId="91" borderId="18" xfId="0" applyFont="1" applyFill="1" applyBorder="1"/>
    <xf numFmtId="0" fontId="16" fillId="0" borderId="25" xfId="0" applyFont="1" applyBorder="1" applyAlignment="1">
      <alignment vertical="center"/>
    </xf>
    <xf numFmtId="0" fontId="1" fillId="81" borderId="0" xfId="0" applyFont="1" applyFill="1"/>
    <xf numFmtId="0" fontId="61" fillId="0" borderId="0" xfId="0" applyFont="1" applyFill="1" applyBorder="1" applyAlignment="1" applyProtection="1">
      <alignment horizontal="center" vertical="center" wrapText="1" readingOrder="1"/>
    </xf>
    <xf numFmtId="0" fontId="7" fillId="0" borderId="0" xfId="0" applyFont="1" applyFill="1" applyBorder="1" applyAlignment="1" applyProtection="1">
      <alignment vertical="center" wrapText="1"/>
    </xf>
    <xf numFmtId="10" fontId="8" fillId="0" borderId="0" xfId="425"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wrapText="1" readingOrder="1"/>
    </xf>
    <xf numFmtId="49" fontId="108" fillId="0" borderId="0" xfId="0" applyNumberFormat="1" applyFont="1" applyFill="1" applyBorder="1" applyAlignment="1" applyProtection="1">
      <alignment horizontal="left" vertical="center" wrapText="1" readingOrder="1"/>
    </xf>
    <xf numFmtId="0" fontId="7" fillId="0" borderId="0" xfId="0" applyFont="1" applyFill="1" applyBorder="1" applyAlignment="1" applyProtection="1">
      <alignment horizontal="left" vertical="center" wrapText="1" readingOrder="1"/>
    </xf>
    <xf numFmtId="0" fontId="61" fillId="0" borderId="0" xfId="0" applyFont="1" applyFill="1" applyBorder="1" applyAlignment="1">
      <alignment horizontal="left" vertical="center" wrapText="1" readingOrder="1"/>
    </xf>
    <xf numFmtId="0" fontId="46" fillId="0" borderId="0" xfId="0" applyFont="1" applyFill="1" applyBorder="1" applyAlignment="1" applyProtection="1">
      <alignment horizontal="center" vertical="center" wrapText="1"/>
    </xf>
    <xf numFmtId="0" fontId="0" fillId="81" borderId="0" xfId="0" applyFill="1"/>
    <xf numFmtId="1" fontId="99" fillId="69" borderId="18" xfId="0" applyNumberFormat="1" applyFont="1" applyFill="1" applyBorder="1" applyAlignment="1" applyProtection="1">
      <alignment horizontal="center" vertical="center"/>
    </xf>
    <xf numFmtId="1" fontId="21" fillId="89" borderId="18" xfId="0" applyNumberFormat="1" applyFont="1" applyFill="1" applyBorder="1" applyAlignment="1" applyProtection="1">
      <alignment horizontal="center" vertical="center"/>
    </xf>
    <xf numFmtId="0" fontId="99" fillId="0" borderId="18" xfId="0" applyFont="1" applyFill="1" applyBorder="1" applyAlignment="1" applyProtection="1">
      <alignment horizontal="left" vertical="center"/>
    </xf>
    <xf numFmtId="0" fontId="21" fillId="0" borderId="0" xfId="0" applyNumberFormat="1" applyFont="1" applyFill="1" applyBorder="1" applyAlignment="1" applyProtection="1">
      <alignment horizontal="left" vertical="center" wrapText="1"/>
    </xf>
    <xf numFmtId="0" fontId="21" fillId="0" borderId="0" xfId="0" applyFont="1" applyFill="1" applyBorder="1" applyAlignment="1" applyProtection="1">
      <alignment horizontal="left" vertical="center" wrapText="1"/>
    </xf>
    <xf numFmtId="0" fontId="13" fillId="0" borderId="0" xfId="0" applyFont="1" applyAlignment="1" applyProtection="1">
      <alignment horizontal="justify" vertical="center" wrapText="1"/>
    </xf>
    <xf numFmtId="0" fontId="117" fillId="72" borderId="22" xfId="0" applyFont="1" applyFill="1" applyBorder="1" applyAlignment="1" applyProtection="1">
      <alignment horizontal="center" vertical="center"/>
      <protection locked="0"/>
    </xf>
    <xf numFmtId="0" fontId="117" fillId="88" borderId="18" xfId="0" applyFont="1" applyFill="1" applyBorder="1" applyAlignment="1" applyProtection="1">
      <alignment vertical="center"/>
    </xf>
    <xf numFmtId="0" fontId="117" fillId="72" borderId="29" xfId="0" applyFont="1" applyFill="1" applyBorder="1" applyAlignment="1" applyProtection="1">
      <alignment horizontal="center" vertical="center"/>
      <protection locked="0"/>
    </xf>
    <xf numFmtId="0" fontId="117" fillId="88" borderId="66" xfId="0" applyFont="1" applyFill="1" applyBorder="1" applyAlignment="1" applyProtection="1">
      <alignment vertical="center"/>
    </xf>
    <xf numFmtId="0" fontId="141" fillId="0" borderId="20" xfId="0" applyFont="1" applyFill="1" applyBorder="1" applyAlignment="1" applyProtection="1">
      <alignment vertical="center" wrapText="1"/>
    </xf>
    <xf numFmtId="1" fontId="144" fillId="72" borderId="20" xfId="0" applyNumberFormat="1" applyFont="1" applyFill="1" applyBorder="1" applyAlignment="1" applyProtection="1">
      <alignment horizontal="center" vertical="center"/>
      <protection locked="0"/>
    </xf>
    <xf numFmtId="10" fontId="144" fillId="0" borderId="20" xfId="425" applyNumberFormat="1" applyFont="1" applyFill="1" applyBorder="1" applyAlignment="1" applyProtection="1">
      <alignment horizontal="center" vertical="center" wrapText="1"/>
    </xf>
    <xf numFmtId="0" fontId="7" fillId="0" borderId="0" xfId="0" applyFont="1" applyAlignment="1">
      <alignment horizontal="left" vertical="center" wrapText="1" readingOrder="1"/>
    </xf>
    <xf numFmtId="0" fontId="7" fillId="0" borderId="0" xfId="0" applyFont="1" applyAlignment="1">
      <alignment horizontal="center" vertical="center" wrapText="1" readingOrder="1"/>
    </xf>
    <xf numFmtId="164" fontId="7" fillId="93" borderId="26" xfId="889" applyNumberFormat="1" applyFont="1" applyFill="1" applyBorder="1" applyAlignment="1" applyProtection="1">
      <alignment horizontal="center" vertical="center"/>
    </xf>
    <xf numFmtId="9" fontId="7" fillId="93" borderId="20" xfId="889" applyFont="1" applyFill="1" applyBorder="1" applyAlignment="1" applyProtection="1">
      <alignment horizontal="center" vertical="center"/>
    </xf>
    <xf numFmtId="164" fontId="7" fillId="94" borderId="68" xfId="889" applyNumberFormat="1" applyFont="1" applyFill="1" applyBorder="1" applyAlignment="1" applyProtection="1">
      <alignment horizontal="center" vertical="center"/>
    </xf>
    <xf numFmtId="164" fontId="7" fillId="94" borderId="38" xfId="889" applyNumberFormat="1" applyFont="1" applyFill="1" applyBorder="1" applyAlignment="1" applyProtection="1">
      <alignment horizontal="center" vertical="center"/>
    </xf>
    <xf numFmtId="164" fontId="7" fillId="0" borderId="26" xfId="889" applyNumberFormat="1" applyFont="1" applyFill="1" applyBorder="1" applyAlignment="1" applyProtection="1">
      <alignment horizontal="center" vertical="center"/>
    </xf>
    <xf numFmtId="164" fontId="7" fillId="96" borderId="64" xfId="889" applyNumberFormat="1" applyFont="1" applyFill="1" applyBorder="1" applyAlignment="1" applyProtection="1">
      <alignment horizontal="center" vertical="center"/>
    </xf>
    <xf numFmtId="164" fontId="7" fillId="96" borderId="44" xfId="889" applyNumberFormat="1" applyFont="1" applyFill="1" applyBorder="1" applyAlignment="1" applyProtection="1">
      <alignment horizontal="center" vertical="center"/>
    </xf>
    <xf numFmtId="164" fontId="7" fillId="96" borderId="26" xfId="889" applyNumberFormat="1" applyFont="1" applyFill="1" applyBorder="1" applyAlignment="1" applyProtection="1">
      <alignment horizontal="center" vertical="center"/>
    </xf>
    <xf numFmtId="164" fontId="7" fillId="96" borderId="20" xfId="889" applyNumberFormat="1" applyFont="1" applyFill="1" applyBorder="1" applyAlignment="1" applyProtection="1">
      <alignment horizontal="center" vertical="center"/>
    </xf>
    <xf numFmtId="164" fontId="7" fillId="0" borderId="0" xfId="889" applyNumberFormat="1" applyFont="1" applyFill="1" applyBorder="1" applyAlignment="1" applyProtection="1">
      <alignment horizontal="center" vertical="center"/>
    </xf>
    <xf numFmtId="0" fontId="7" fillId="0" borderId="0" xfId="0" applyFont="1" applyFill="1" applyAlignment="1">
      <alignment horizontal="center" vertical="center" wrapText="1" readingOrder="1"/>
    </xf>
    <xf numFmtId="164" fontId="7" fillId="0" borderId="44" xfId="889" applyNumberFormat="1" applyFont="1" applyFill="1" applyBorder="1" applyAlignment="1" applyProtection="1">
      <alignment horizontal="center" vertical="top" wrapText="1"/>
    </xf>
    <xf numFmtId="1" fontId="144" fillId="34" borderId="20" xfId="0" applyNumberFormat="1" applyFont="1" applyFill="1" applyBorder="1" applyAlignment="1" applyProtection="1">
      <alignment horizontal="center" vertical="center" wrapText="1"/>
      <protection locked="0"/>
    </xf>
    <xf numFmtId="0" fontId="101" fillId="97" borderId="18" xfId="0" applyFont="1" applyFill="1" applyBorder="1"/>
    <xf numFmtId="0" fontId="117" fillId="88" borderId="56" xfId="0" applyFont="1" applyFill="1" applyBorder="1" applyAlignment="1" applyProtection="1">
      <alignment vertical="center"/>
    </xf>
    <xf numFmtId="0" fontId="126" fillId="0" borderId="59" xfId="0" applyFont="1" applyBorder="1" applyAlignment="1" applyProtection="1">
      <alignment horizontal="left" wrapText="1"/>
    </xf>
    <xf numFmtId="0" fontId="126" fillId="0" borderId="59" xfId="0" applyFont="1" applyBorder="1" applyAlignment="1" applyProtection="1">
      <alignment horizontal="left"/>
    </xf>
    <xf numFmtId="0" fontId="7" fillId="0" borderId="0" xfId="0" applyFont="1" applyFill="1" applyAlignment="1" applyProtection="1">
      <alignment horizontal="left" vertical="center" wrapText="1"/>
    </xf>
    <xf numFmtId="0" fontId="130" fillId="0" borderId="0" xfId="0" applyFont="1" applyFill="1" applyAlignment="1" applyProtection="1">
      <alignment horizontal="left" vertical="center" wrapText="1"/>
    </xf>
    <xf numFmtId="0" fontId="125" fillId="0" borderId="0" xfId="0" applyFont="1" applyAlignment="1" applyProtection="1">
      <alignment horizontal="left" vertical="center"/>
    </xf>
    <xf numFmtId="0" fontId="124" fillId="33" borderId="18" xfId="513" applyFont="1" applyFill="1" applyBorder="1" applyAlignment="1" applyProtection="1">
      <alignment vertical="center"/>
    </xf>
    <xf numFmtId="0" fontId="117" fillId="33" borderId="18" xfId="0" applyFont="1" applyFill="1" applyBorder="1" applyAlignment="1" applyProtection="1">
      <alignment vertical="center"/>
    </xf>
    <xf numFmtId="0" fontId="124" fillId="84" borderId="23" xfId="513" applyFont="1" applyFill="1" applyBorder="1" applyAlignment="1" applyProtection="1">
      <alignment horizontal="left" vertical="center"/>
      <protection locked="0"/>
    </xf>
    <xf numFmtId="0" fontId="124" fillId="84" borderId="24" xfId="513" applyFont="1" applyFill="1" applyBorder="1" applyAlignment="1" applyProtection="1">
      <alignment horizontal="left" vertical="center"/>
      <protection locked="0"/>
    </xf>
    <xf numFmtId="0" fontId="124" fillId="84" borderId="25" xfId="513" applyFont="1" applyFill="1" applyBorder="1" applyAlignment="1" applyProtection="1">
      <alignment horizontal="left" vertical="center"/>
      <protection locked="0"/>
    </xf>
    <xf numFmtId="14" fontId="124" fillId="72" borderId="23" xfId="513" applyNumberFormat="1" applyFont="1" applyFill="1" applyBorder="1" applyAlignment="1" applyProtection="1">
      <alignment horizontal="center" vertical="center"/>
      <protection locked="0"/>
    </xf>
    <xf numFmtId="14" fontId="124" fillId="72" borderId="24" xfId="513" applyNumberFormat="1" applyFont="1" applyFill="1" applyBorder="1" applyAlignment="1" applyProtection="1">
      <alignment horizontal="center" vertical="center"/>
      <protection locked="0"/>
    </xf>
    <xf numFmtId="0" fontId="124" fillId="72" borderId="25" xfId="513" applyFont="1" applyFill="1" applyBorder="1" applyAlignment="1" applyProtection="1">
      <alignment horizontal="center" vertical="center"/>
      <protection locked="0"/>
    </xf>
    <xf numFmtId="0" fontId="21" fillId="72" borderId="23" xfId="0" applyFont="1" applyFill="1" applyBorder="1" applyAlignment="1" applyProtection="1">
      <alignment horizontal="left" vertical="center"/>
      <protection locked="0"/>
    </xf>
    <xf numFmtId="0" fontId="117" fillId="72" borderId="24" xfId="0" applyFont="1" applyFill="1" applyBorder="1" applyAlignment="1" applyProtection="1">
      <alignment horizontal="left" vertical="center"/>
      <protection locked="0"/>
    </xf>
    <xf numFmtId="0" fontId="117" fillId="72" borderId="25" xfId="0" applyFont="1" applyFill="1" applyBorder="1" applyAlignment="1" applyProtection="1">
      <alignment horizontal="left" vertical="center"/>
      <protection locked="0"/>
    </xf>
    <xf numFmtId="0" fontId="130" fillId="0" borderId="0" xfId="0" applyFont="1" applyFill="1" applyAlignment="1" applyProtection="1">
      <alignment horizontal="left" vertical="top" wrapText="1"/>
    </xf>
    <xf numFmtId="0" fontId="136" fillId="0" borderId="0" xfId="0" applyFont="1" applyFill="1" applyAlignment="1">
      <alignment horizontal="left" vertical="top" wrapText="1"/>
    </xf>
    <xf numFmtId="0" fontId="131" fillId="0" borderId="0" xfId="0" applyFont="1" applyFill="1" applyAlignment="1" applyProtection="1">
      <alignment horizontal="left" vertical="center" wrapText="1"/>
    </xf>
    <xf numFmtId="0" fontId="132" fillId="0" borderId="0" xfId="0" applyFont="1" applyFill="1" applyAlignment="1" applyProtection="1">
      <alignment horizontal="left" vertical="center" wrapText="1"/>
    </xf>
    <xf numFmtId="0" fontId="94" fillId="0" borderId="0" xfId="0" applyFont="1" applyFill="1" applyAlignment="1" applyProtection="1">
      <alignment horizontal="justify" vertical="top" wrapText="1"/>
    </xf>
    <xf numFmtId="0" fontId="133" fillId="0" borderId="0" xfId="0" applyFont="1" applyAlignment="1">
      <alignment horizontal="justify" vertical="top" wrapText="1"/>
    </xf>
    <xf numFmtId="0" fontId="7" fillId="0" borderId="0" xfId="0" applyFont="1" applyFill="1" applyAlignment="1" applyProtection="1">
      <alignment horizontal="left" vertical="top" wrapText="1"/>
    </xf>
    <xf numFmtId="0" fontId="121" fillId="0" borderId="0" xfId="0" applyFont="1" applyFill="1" applyAlignment="1" applyProtection="1">
      <alignment horizontal="left" vertical="top" wrapText="1"/>
    </xf>
    <xf numFmtId="0" fontId="127" fillId="0" borderId="55" xfId="0" applyFont="1" applyFill="1" applyBorder="1" applyAlignment="1" applyProtection="1">
      <alignment horizontal="center" vertical="center" wrapText="1"/>
    </xf>
    <xf numFmtId="0" fontId="127" fillId="0" borderId="90" xfId="0" applyFont="1" applyFill="1" applyBorder="1" applyAlignment="1" applyProtection="1">
      <alignment horizontal="left" vertical="center"/>
    </xf>
    <xf numFmtId="0" fontId="127" fillId="0" borderId="32" xfId="0" applyFont="1" applyFill="1" applyBorder="1" applyAlignment="1" applyProtection="1">
      <alignment horizontal="left" vertical="center"/>
    </xf>
    <xf numFmtId="0" fontId="127" fillId="0" borderId="22" xfId="0" applyFont="1" applyFill="1" applyBorder="1" applyAlignment="1" applyProtection="1">
      <alignment horizontal="center" textRotation="90" wrapText="1"/>
    </xf>
    <xf numFmtId="0" fontId="127" fillId="0" borderId="29" xfId="0" applyFont="1" applyFill="1" applyBorder="1" applyAlignment="1" applyProtection="1">
      <alignment horizontal="center" textRotation="90"/>
    </xf>
    <xf numFmtId="0" fontId="127" fillId="0" borderId="18" xfId="0" applyFont="1" applyFill="1" applyBorder="1" applyAlignment="1" applyProtection="1">
      <alignment horizontal="center" textRotation="90"/>
    </xf>
    <xf numFmtId="0" fontId="117" fillId="0" borderId="45" xfId="0" applyFont="1" applyFill="1" applyBorder="1" applyAlignment="1" applyProtection="1">
      <alignment horizontal="left" vertical="center"/>
    </xf>
    <xf numFmtId="0" fontId="117" fillId="0" borderId="109" xfId="0" applyFont="1" applyFill="1" applyBorder="1" applyAlignment="1" applyProtection="1">
      <alignment horizontal="left" vertical="center"/>
    </xf>
    <xf numFmtId="0" fontId="117" fillId="0" borderId="89" xfId="0" applyFont="1" applyFill="1" applyBorder="1" applyAlignment="1" applyProtection="1">
      <alignment horizontal="left" vertical="center"/>
    </xf>
    <xf numFmtId="0" fontId="117" fillId="0" borderId="24" xfId="0" applyFont="1" applyFill="1" applyBorder="1" applyAlignment="1" applyProtection="1">
      <alignment horizontal="left" vertical="center"/>
    </xf>
    <xf numFmtId="0" fontId="117" fillId="0" borderId="62" xfId="0" applyFont="1" applyFill="1" applyBorder="1" applyAlignment="1" applyProtection="1">
      <alignment horizontal="left" vertical="center" wrapText="1"/>
    </xf>
    <xf numFmtId="0" fontId="117" fillId="0" borderId="30" xfId="0" applyFont="1" applyFill="1" applyBorder="1" applyAlignment="1" applyProtection="1">
      <alignment horizontal="left" vertical="center" wrapText="1"/>
    </xf>
    <xf numFmtId="0" fontId="14" fillId="0" borderId="45" xfId="0" applyFont="1" applyFill="1" applyBorder="1" applyAlignment="1" applyProtection="1">
      <alignment horizontal="left" vertical="center"/>
    </xf>
    <xf numFmtId="0" fontId="122" fillId="0" borderId="27" xfId="0" applyFont="1" applyFill="1" applyBorder="1" applyAlignment="1" applyProtection="1">
      <alignment horizontal="left" vertical="center"/>
    </xf>
    <xf numFmtId="0" fontId="122" fillId="0" borderId="26" xfId="0" applyFont="1" applyFill="1" applyBorder="1" applyAlignment="1" applyProtection="1">
      <alignment horizontal="left" vertical="center"/>
    </xf>
    <xf numFmtId="0" fontId="21" fillId="0" borderId="88" xfId="0" applyFont="1" applyFill="1" applyBorder="1" applyAlignment="1" applyProtection="1">
      <alignment horizontal="left" vertical="center"/>
    </xf>
    <xf numFmtId="0" fontId="117" fillId="0" borderId="48" xfId="0" applyFont="1" applyFill="1" applyBorder="1" applyAlignment="1" applyProtection="1">
      <alignment horizontal="left" vertical="center"/>
    </xf>
    <xf numFmtId="0" fontId="21" fillId="0" borderId="89" xfId="0" applyFont="1" applyFill="1" applyBorder="1" applyAlignment="1" applyProtection="1">
      <alignment horizontal="left" vertical="center"/>
    </xf>
    <xf numFmtId="0" fontId="117" fillId="0" borderId="25" xfId="0" applyFont="1" applyFill="1" applyBorder="1" applyAlignment="1" applyProtection="1">
      <alignment horizontal="left" vertical="center"/>
    </xf>
    <xf numFmtId="0" fontId="101" fillId="0" borderId="90" xfId="0" applyFont="1" applyFill="1" applyBorder="1" applyAlignment="1" applyProtection="1">
      <alignment horizontal="left" vertical="center"/>
    </xf>
    <xf numFmtId="0" fontId="117" fillId="0" borderId="32" xfId="0" applyFont="1" applyFill="1" applyBorder="1" applyAlignment="1" applyProtection="1">
      <alignment horizontal="left" vertical="center"/>
    </xf>
    <xf numFmtId="0" fontId="7" fillId="0" borderId="0" xfId="0" applyFont="1" applyFill="1" applyAlignment="1" applyProtection="1">
      <alignment horizontal="justify" vertical="top" wrapText="1"/>
    </xf>
    <xf numFmtId="0" fontId="136" fillId="0" borderId="0" xfId="0" applyFont="1" applyAlignment="1">
      <alignment horizontal="justify" vertical="top" wrapText="1"/>
    </xf>
    <xf numFmtId="14" fontId="124" fillId="33" borderId="18" xfId="513" applyNumberFormat="1" applyFont="1" applyFill="1" applyBorder="1" applyAlignment="1" applyProtection="1">
      <alignment horizontal="center" vertical="center"/>
    </xf>
    <xf numFmtId="0" fontId="129" fillId="0" borderId="26" xfId="0" applyFont="1" applyFill="1" applyBorder="1" applyAlignment="1" applyProtection="1">
      <alignment horizontal="left" vertical="center"/>
    </xf>
    <xf numFmtId="0" fontId="129" fillId="0" borderId="20" xfId="0" applyFont="1" applyFill="1" applyBorder="1" applyAlignment="1" applyProtection="1">
      <alignment horizontal="left" vertical="center"/>
    </xf>
    <xf numFmtId="0" fontId="117" fillId="0" borderId="20" xfId="0" applyFont="1" applyFill="1" applyBorder="1" applyAlignment="1" applyProtection="1">
      <alignment horizontal="center" vertical="center"/>
    </xf>
    <xf numFmtId="0" fontId="101" fillId="0" borderId="26" xfId="0" applyFont="1" applyFill="1" applyBorder="1" applyAlignment="1" applyProtection="1">
      <alignment horizontal="left" vertical="center"/>
    </xf>
    <xf numFmtId="0" fontId="122" fillId="0" borderId="20" xfId="0" applyFont="1" applyFill="1" applyBorder="1" applyAlignment="1" applyProtection="1">
      <alignment horizontal="left" vertical="center"/>
    </xf>
    <xf numFmtId="0" fontId="122" fillId="0" borderId="38" xfId="0" applyFont="1" applyFill="1" applyBorder="1" applyAlignment="1" applyProtection="1">
      <alignment horizontal="left" vertical="center"/>
    </xf>
    <xf numFmtId="0" fontId="28" fillId="0" borderId="62" xfId="0" applyFont="1" applyFill="1" applyBorder="1" applyAlignment="1" applyProtection="1">
      <alignment horizontal="center" vertical="center" wrapText="1"/>
    </xf>
    <xf numFmtId="0" fontId="127" fillId="0" borderId="30" xfId="0" applyFont="1" applyFill="1" applyBorder="1" applyAlignment="1" applyProtection="1">
      <alignment horizontal="center" vertical="center" wrapText="1"/>
    </xf>
    <xf numFmtId="0" fontId="127" fillId="0" borderId="18" xfId="0" applyFont="1" applyFill="1" applyBorder="1" applyAlignment="1" applyProtection="1">
      <alignment horizontal="center" vertical="center" wrapText="1"/>
    </xf>
    <xf numFmtId="0" fontId="124" fillId="0" borderId="18" xfId="513" applyNumberFormat="1" applyFont="1" applyFill="1" applyBorder="1" applyAlignment="1" applyProtection="1">
      <alignment horizontal="center" vertical="center"/>
    </xf>
    <xf numFmtId="0" fontId="122" fillId="0" borderId="46" xfId="0" applyFont="1" applyFill="1" applyBorder="1" applyAlignment="1" applyProtection="1">
      <alignment horizontal="left" vertical="center" wrapText="1"/>
    </xf>
    <xf numFmtId="0" fontId="122" fillId="0" borderId="68" xfId="0" applyFont="1" applyFill="1" applyBorder="1" applyAlignment="1" applyProtection="1">
      <alignment horizontal="left" vertical="center" wrapText="1"/>
    </xf>
    <xf numFmtId="0" fontId="122" fillId="0" borderId="61" xfId="0" applyFont="1" applyFill="1" applyBorder="1" applyAlignment="1" applyProtection="1">
      <alignment horizontal="left" vertical="center" wrapText="1"/>
    </xf>
    <xf numFmtId="0" fontId="122" fillId="0" borderId="94" xfId="0" applyFont="1" applyFill="1" applyBorder="1" applyAlignment="1" applyProtection="1">
      <alignment horizontal="left" vertical="center" wrapText="1"/>
    </xf>
    <xf numFmtId="0" fontId="122" fillId="0" borderId="47" xfId="0" applyFont="1" applyFill="1" applyBorder="1" applyAlignment="1" applyProtection="1">
      <alignment horizontal="left" vertical="center" wrapText="1"/>
    </xf>
    <xf numFmtId="0" fontId="122" fillId="0" borderId="64" xfId="0" applyFont="1" applyFill="1" applyBorder="1" applyAlignment="1" applyProtection="1">
      <alignment horizontal="left" vertical="center" wrapText="1"/>
    </xf>
    <xf numFmtId="0" fontId="128" fillId="0" borderId="110" xfId="367" applyFont="1" applyFill="1" applyBorder="1" applyAlignment="1" applyProtection="1">
      <alignment horizontal="center" vertical="center" wrapText="1"/>
    </xf>
    <xf numFmtId="0" fontId="128" fillId="0" borderId="111" xfId="367" applyFont="1" applyFill="1" applyBorder="1" applyAlignment="1" applyProtection="1">
      <alignment horizontal="center" vertical="center" wrapText="1"/>
    </xf>
    <xf numFmtId="0" fontId="128" fillId="0" borderId="112" xfId="367" applyFont="1" applyFill="1" applyBorder="1" applyAlignment="1" applyProtection="1">
      <alignment horizontal="center" vertical="center" wrapText="1"/>
    </xf>
    <xf numFmtId="0" fontId="117" fillId="0" borderId="35" xfId="0" applyFont="1" applyFill="1" applyBorder="1" applyAlignment="1" applyProtection="1">
      <alignment horizontal="left" vertical="center"/>
    </xf>
    <xf numFmtId="0" fontId="117" fillId="0" borderId="36" xfId="0" applyFont="1" applyFill="1" applyBorder="1" applyAlignment="1" applyProtection="1">
      <alignment horizontal="left" vertical="center"/>
    </xf>
    <xf numFmtId="0" fontId="121" fillId="0" borderId="0" xfId="0" applyFont="1" applyAlignment="1" applyProtection="1">
      <alignment horizontal="left" vertical="top" wrapText="1"/>
    </xf>
    <xf numFmtId="0" fontId="7" fillId="0" borderId="0" xfId="0" applyFont="1" applyFill="1" applyAlignment="1" applyProtection="1">
      <alignment horizontal="justify" wrapText="1"/>
    </xf>
    <xf numFmtId="0" fontId="136" fillId="0" borderId="0" xfId="0" applyFont="1" applyFill="1" applyAlignment="1">
      <alignment horizontal="justify" wrapText="1"/>
    </xf>
    <xf numFmtId="0" fontId="121" fillId="0" borderId="0" xfId="0" applyFont="1" applyAlignment="1" applyProtection="1">
      <alignment horizontal="left" vertical="center" wrapText="1"/>
    </xf>
    <xf numFmtId="0" fontId="122" fillId="0" borderId="35" xfId="0" applyFont="1" applyFill="1" applyBorder="1" applyAlignment="1" applyProtection="1">
      <alignment horizontal="left" vertical="center" wrapText="1"/>
    </xf>
    <xf numFmtId="0" fontId="122" fillId="0" borderId="36" xfId="0" applyFont="1" applyFill="1" applyBorder="1" applyAlignment="1" applyProtection="1">
      <alignment horizontal="left" vertical="center" wrapText="1"/>
    </xf>
    <xf numFmtId="0" fontId="123" fillId="0" borderId="23" xfId="513" applyFont="1" applyFill="1" applyBorder="1" applyAlignment="1" applyProtection="1">
      <alignment horizontal="center" vertical="center"/>
    </xf>
    <xf numFmtId="0" fontId="123" fillId="0" borderId="24" xfId="513" applyFont="1" applyFill="1" applyBorder="1" applyAlignment="1" applyProtection="1">
      <alignment horizontal="center" vertical="center"/>
    </xf>
    <xf numFmtId="0" fontId="123" fillId="0" borderId="25" xfId="513" applyFont="1" applyFill="1" applyBorder="1" applyAlignment="1" applyProtection="1">
      <alignment horizontal="center" vertical="center"/>
    </xf>
    <xf numFmtId="0" fontId="123" fillId="0" borderId="23" xfId="513" applyFont="1" applyFill="1" applyBorder="1" applyAlignment="1" applyProtection="1">
      <alignment horizontal="center" vertical="center" wrapText="1"/>
    </xf>
    <xf numFmtId="0" fontId="123" fillId="0" borderId="24" xfId="513" applyFont="1" applyFill="1" applyBorder="1" applyAlignment="1" applyProtection="1">
      <alignment horizontal="center" vertical="center" wrapText="1"/>
    </xf>
    <xf numFmtId="0" fontId="123" fillId="83" borderId="23" xfId="513" applyFont="1" applyFill="1" applyBorder="1" applyAlignment="1" applyProtection="1">
      <alignment horizontal="center" vertical="center"/>
      <protection locked="0"/>
    </xf>
    <xf numFmtId="0" fontId="123" fillId="83" borderId="24" xfId="513" applyFont="1" applyFill="1" applyBorder="1" applyAlignment="1" applyProtection="1">
      <alignment horizontal="center" vertical="center"/>
      <protection locked="0"/>
    </xf>
    <xf numFmtId="0" fontId="123" fillId="0" borderId="19" xfId="513" applyFont="1" applyFill="1" applyBorder="1" applyAlignment="1" applyProtection="1">
      <alignment horizontal="center" vertical="center" wrapText="1"/>
    </xf>
    <xf numFmtId="0" fontId="123" fillId="0" borderId="59" xfId="513" applyFont="1" applyFill="1" applyBorder="1" applyAlignment="1" applyProtection="1">
      <alignment horizontal="center" vertical="center" wrapText="1"/>
    </xf>
    <xf numFmtId="0" fontId="123" fillId="0" borderId="91" xfId="513" applyFont="1" applyFill="1" applyBorder="1" applyAlignment="1" applyProtection="1">
      <alignment horizontal="center" vertical="center" wrapText="1"/>
    </xf>
    <xf numFmtId="0" fontId="123" fillId="83" borderId="18" xfId="513" applyFont="1" applyFill="1" applyBorder="1" applyAlignment="1" applyProtection="1">
      <alignment horizontal="center" vertical="center"/>
      <protection locked="0"/>
    </xf>
    <xf numFmtId="0" fontId="118" fillId="0" borderId="23" xfId="0" applyFont="1" applyFill="1" applyBorder="1" applyAlignment="1" applyProtection="1">
      <alignment horizontal="center" vertical="center"/>
    </xf>
    <xf numFmtId="0" fontId="118" fillId="0" borderId="24" xfId="0" applyFont="1" applyFill="1" applyBorder="1" applyAlignment="1" applyProtection="1">
      <alignment horizontal="center" vertical="center"/>
    </xf>
    <xf numFmtId="0" fontId="118" fillId="0" borderId="25" xfId="0" applyFont="1" applyFill="1" applyBorder="1" applyAlignment="1" applyProtection="1">
      <alignment horizontal="center" vertical="center"/>
    </xf>
    <xf numFmtId="0" fontId="118" fillId="82" borderId="23" xfId="0" applyFont="1" applyFill="1" applyBorder="1" applyAlignment="1" applyProtection="1">
      <alignment horizontal="center" vertical="center"/>
    </xf>
    <xf numFmtId="0" fontId="118" fillId="82" borderId="24" xfId="0" applyFont="1" applyFill="1" applyBorder="1" applyAlignment="1" applyProtection="1">
      <alignment horizontal="center" vertical="center"/>
    </xf>
    <xf numFmtId="0" fontId="118" fillId="82" borderId="25" xfId="0" applyFont="1" applyFill="1" applyBorder="1" applyAlignment="1" applyProtection="1">
      <alignment horizontal="center" vertical="center"/>
    </xf>
    <xf numFmtId="0" fontId="123" fillId="0" borderId="23" xfId="513" applyFont="1" applyBorder="1" applyAlignment="1" applyProtection="1">
      <alignment horizontal="center" vertical="center"/>
    </xf>
    <xf numFmtId="0" fontId="123" fillId="0" borderId="24" xfId="513" applyFont="1" applyBorder="1" applyAlignment="1" applyProtection="1">
      <alignment horizontal="center" vertical="center"/>
    </xf>
    <xf numFmtId="0" fontId="123" fillId="0" borderId="25" xfId="513" applyFont="1" applyBorder="1" applyAlignment="1" applyProtection="1">
      <alignment horizontal="center" vertical="center"/>
    </xf>
    <xf numFmtId="9" fontId="117" fillId="0" borderId="0" xfId="0" applyNumberFormat="1" applyFont="1" applyFill="1" applyBorder="1" applyAlignment="1" applyProtection="1">
      <alignment horizontal="left" vertical="center"/>
    </xf>
    <xf numFmtId="0" fontId="133" fillId="0" borderId="0" xfId="0" applyFont="1" applyFill="1" applyBorder="1" applyAlignment="1" applyProtection="1">
      <alignment horizontal="left" vertical="center"/>
    </xf>
    <xf numFmtId="0" fontId="118" fillId="0" borderId="0" xfId="0" applyFont="1" applyFill="1" applyBorder="1" applyAlignment="1" applyProtection="1">
      <alignment horizontal="center" vertical="center"/>
    </xf>
    <xf numFmtId="0" fontId="123" fillId="0" borderId="0" xfId="0" applyFont="1" applyBorder="1" applyAlignment="1" applyProtection="1">
      <alignment horizontal="center" vertical="center"/>
    </xf>
    <xf numFmtId="14" fontId="124" fillId="0" borderId="0" xfId="513" applyNumberFormat="1" applyFont="1" applyFill="1" applyBorder="1" applyAlignment="1" applyProtection="1">
      <alignment horizontal="center" vertical="center"/>
    </xf>
    <xf numFmtId="0" fontId="133" fillId="0" borderId="0" xfId="0" applyFont="1" applyFill="1" applyBorder="1" applyAlignment="1" applyProtection="1"/>
    <xf numFmtId="0" fontId="13" fillId="0" borderId="0" xfId="0" applyFont="1" applyAlignment="1" applyProtection="1">
      <alignment horizontal="left" vertical="center" wrapText="1"/>
    </xf>
    <xf numFmtId="0" fontId="13" fillId="0" borderId="0" xfId="0" applyFont="1" applyAlignment="1" applyProtection="1">
      <alignment horizontal="left" vertical="center"/>
    </xf>
    <xf numFmtId="0" fontId="146" fillId="0" borderId="0" xfId="0" applyFont="1" applyAlignment="1" applyProtection="1">
      <alignment horizontal="left" vertical="center" wrapText="1"/>
    </xf>
    <xf numFmtId="0" fontId="13" fillId="0" borderId="0" xfId="0" applyFont="1" applyAlignment="1" applyProtection="1">
      <alignment horizontal="left" vertical="top" wrapText="1"/>
    </xf>
    <xf numFmtId="0" fontId="64" fillId="0" borderId="0" xfId="0" applyFont="1" applyAlignment="1">
      <alignment horizontal="left" vertical="center" wrapText="1" readingOrder="1"/>
    </xf>
    <xf numFmtId="164" fontId="7" fillId="93" borderId="46" xfId="889" applyNumberFormat="1" applyFont="1" applyFill="1" applyBorder="1" applyAlignment="1" applyProtection="1">
      <alignment horizontal="center" vertical="center"/>
    </xf>
    <xf numFmtId="164" fontId="7" fillId="93" borderId="68" xfId="889" applyNumberFormat="1" applyFont="1" applyFill="1" applyBorder="1" applyAlignment="1" applyProtection="1">
      <alignment horizontal="center" vertical="center"/>
    </xf>
    <xf numFmtId="164" fontId="7" fillId="93" borderId="61" xfId="889" applyNumberFormat="1" applyFont="1" applyFill="1" applyBorder="1" applyAlignment="1" applyProtection="1">
      <alignment horizontal="center" vertical="center"/>
    </xf>
    <xf numFmtId="164" fontId="7" fillId="93" borderId="94" xfId="889" applyNumberFormat="1" applyFont="1" applyFill="1" applyBorder="1" applyAlignment="1" applyProtection="1">
      <alignment horizontal="center" vertical="center"/>
    </xf>
    <xf numFmtId="164" fontId="7" fillId="0" borderId="20" xfId="889" applyNumberFormat="1" applyFont="1" applyFill="1" applyBorder="1" applyAlignment="1" applyProtection="1">
      <alignment horizontal="center" vertical="center"/>
    </xf>
    <xf numFmtId="164" fontId="7" fillId="95" borderId="45" xfId="889" applyNumberFormat="1" applyFont="1" applyFill="1" applyBorder="1" applyAlignment="1" applyProtection="1">
      <alignment horizontal="left" vertical="center" wrapText="1"/>
    </xf>
    <xf numFmtId="164" fontId="7" fillId="95" borderId="27" xfId="889" applyNumberFormat="1" applyFont="1" applyFill="1" applyBorder="1" applyAlignment="1" applyProtection="1">
      <alignment horizontal="left" vertical="center" wrapText="1"/>
    </xf>
    <xf numFmtId="164" fontId="7" fillId="95" borderId="26" xfId="889" applyNumberFormat="1" applyFont="1" applyFill="1" applyBorder="1" applyAlignment="1" applyProtection="1">
      <alignment horizontal="left" vertical="center" wrapText="1"/>
    </xf>
    <xf numFmtId="164" fontId="7" fillId="96" borderId="46" xfId="889" applyNumberFormat="1" applyFont="1" applyFill="1" applyBorder="1" applyAlignment="1" applyProtection="1">
      <alignment horizontal="center" vertical="center"/>
    </xf>
    <xf numFmtId="164" fontId="7" fillId="96" borderId="68" xfId="889" applyNumberFormat="1" applyFont="1" applyFill="1" applyBorder="1" applyAlignment="1" applyProtection="1">
      <alignment horizontal="center" vertical="center"/>
    </xf>
    <xf numFmtId="164" fontId="7" fillId="96" borderId="47" xfId="889" applyNumberFormat="1" applyFont="1" applyFill="1" applyBorder="1" applyAlignment="1" applyProtection="1">
      <alignment horizontal="center" vertical="center"/>
    </xf>
    <xf numFmtId="164" fontId="7" fillId="96" borderId="64" xfId="889" applyNumberFormat="1" applyFont="1" applyFill="1" applyBorder="1" applyAlignment="1" applyProtection="1">
      <alignment horizontal="center" vertical="center"/>
    </xf>
    <xf numFmtId="164" fontId="7" fillId="0" borderId="38" xfId="889" applyNumberFormat="1" applyFont="1" applyFill="1" applyBorder="1" applyAlignment="1" applyProtection="1">
      <alignment horizontal="center" wrapText="1"/>
    </xf>
    <xf numFmtId="164" fontId="7" fillId="0" borderId="28" xfId="889" applyNumberFormat="1" applyFont="1" applyFill="1" applyBorder="1" applyAlignment="1" applyProtection="1">
      <alignment horizontal="center" wrapText="1"/>
    </xf>
    <xf numFmtId="0" fontId="46" fillId="85" borderId="38" xfId="0" applyFont="1" applyFill="1" applyBorder="1" applyAlignment="1" applyProtection="1">
      <alignment horizontal="center" vertical="center" wrapText="1"/>
    </xf>
    <xf numFmtId="0" fontId="46" fillId="85" borderId="28" xfId="0" applyFont="1" applyFill="1" applyBorder="1" applyAlignment="1" applyProtection="1">
      <alignment horizontal="center" vertical="center" wrapText="1"/>
    </xf>
    <xf numFmtId="0" fontId="46" fillId="85" borderId="44" xfId="0" applyFont="1" applyFill="1" applyBorder="1" applyAlignment="1" applyProtection="1">
      <alignment horizontal="center" vertical="center" wrapText="1"/>
    </xf>
    <xf numFmtId="0" fontId="21" fillId="72" borderId="38" xfId="0" quotePrefix="1" applyNumberFormat="1" applyFont="1" applyFill="1" applyBorder="1" applyAlignment="1" applyProtection="1">
      <alignment horizontal="left" vertical="center" wrapText="1"/>
      <protection locked="0"/>
    </xf>
    <xf numFmtId="0" fontId="21" fillId="72" borderId="28" xfId="0" applyNumberFormat="1" applyFont="1" applyFill="1" applyBorder="1" applyAlignment="1" applyProtection="1">
      <alignment horizontal="left" vertical="center" wrapText="1"/>
      <protection locked="0"/>
    </xf>
    <xf numFmtId="0" fontId="21" fillId="72" borderId="44" xfId="0" applyNumberFormat="1" applyFont="1" applyFill="1" applyBorder="1" applyAlignment="1" applyProtection="1">
      <alignment horizontal="left" vertical="center" wrapText="1"/>
      <protection locked="0"/>
    </xf>
    <xf numFmtId="0" fontId="21" fillId="72" borderId="38" xfId="0" quotePrefix="1" applyFont="1" applyFill="1" applyBorder="1" applyAlignment="1" applyProtection="1">
      <alignment horizontal="left" vertical="center" wrapText="1"/>
      <protection locked="0"/>
    </xf>
    <xf numFmtId="0" fontId="21" fillId="72" borderId="28" xfId="0" applyFont="1" applyFill="1" applyBorder="1" applyAlignment="1" applyProtection="1">
      <alignment horizontal="left" vertical="center" wrapText="1"/>
      <protection locked="0"/>
    </xf>
    <xf numFmtId="0" fontId="21" fillId="72" borderId="44" xfId="0" applyFont="1" applyFill="1" applyBorder="1" applyAlignment="1" applyProtection="1">
      <alignment horizontal="left" vertical="center" wrapText="1"/>
      <protection locked="0"/>
    </xf>
    <xf numFmtId="0" fontId="141" fillId="0" borderId="46" xfId="0" applyNumberFormat="1" applyFont="1" applyBorder="1" applyAlignment="1" applyProtection="1">
      <alignment horizontal="center" vertical="center" wrapText="1" readingOrder="1"/>
    </xf>
    <xf numFmtId="0" fontId="141" fillId="0" borderId="68" xfId="0" applyNumberFormat="1" applyFont="1" applyBorder="1" applyAlignment="1" applyProtection="1">
      <alignment horizontal="center" vertical="center" wrapText="1" readingOrder="1"/>
    </xf>
    <xf numFmtId="0" fontId="141" fillId="0" borderId="61" xfId="0" applyNumberFormat="1" applyFont="1" applyBorder="1" applyAlignment="1" applyProtection="1">
      <alignment horizontal="center" vertical="center" wrapText="1" readingOrder="1"/>
    </xf>
    <xf numFmtId="0" fontId="141" fillId="0" borderId="94" xfId="0" applyNumberFormat="1" applyFont="1" applyBorder="1" applyAlignment="1" applyProtection="1">
      <alignment horizontal="center" vertical="center" wrapText="1" readingOrder="1"/>
    </xf>
    <xf numFmtId="0" fontId="141" fillId="0" borderId="47" xfId="0" applyNumberFormat="1" applyFont="1" applyBorder="1" applyAlignment="1" applyProtection="1">
      <alignment horizontal="center" vertical="center" wrapText="1" readingOrder="1"/>
    </xf>
    <xf numFmtId="0" fontId="141" fillId="0" borderId="64" xfId="0" applyNumberFormat="1" applyFont="1" applyBorder="1" applyAlignment="1" applyProtection="1">
      <alignment horizontal="center" vertical="center" wrapText="1" readingOrder="1"/>
    </xf>
    <xf numFmtId="49" fontId="142" fillId="0" borderId="38" xfId="0" applyNumberFormat="1" applyFont="1" applyBorder="1" applyAlignment="1" applyProtection="1">
      <alignment horizontal="center" vertical="center" wrapText="1" readingOrder="1"/>
    </xf>
    <xf numFmtId="49" fontId="142" fillId="0" borderId="28" xfId="0" applyNumberFormat="1" applyFont="1" applyBorder="1" applyAlignment="1" applyProtection="1">
      <alignment horizontal="center" vertical="center" wrapText="1" readingOrder="1"/>
    </xf>
    <xf numFmtId="49" fontId="142" fillId="0" borderId="44" xfId="0" applyNumberFormat="1" applyFont="1" applyBorder="1" applyAlignment="1" applyProtection="1">
      <alignment horizontal="center" vertical="center" wrapText="1" readingOrder="1"/>
    </xf>
    <xf numFmtId="0" fontId="141" fillId="0" borderId="38" xfId="0" applyFont="1" applyBorder="1" applyAlignment="1" applyProtection="1">
      <alignment horizontal="left" vertical="center" wrapText="1" readingOrder="1"/>
    </xf>
    <xf numFmtId="0" fontId="141" fillId="0" borderId="28" xfId="0" applyFont="1" applyBorder="1" applyAlignment="1" applyProtection="1">
      <alignment horizontal="left" vertical="center" wrapText="1" readingOrder="1"/>
    </xf>
    <xf numFmtId="0" fontId="141" fillId="0" borderId="44" xfId="0" applyFont="1" applyBorder="1" applyAlignment="1" applyProtection="1">
      <alignment horizontal="left" vertical="center" wrapText="1" readingOrder="1"/>
    </xf>
    <xf numFmtId="0" fontId="141" fillId="0" borderId="46" xfId="0" applyFont="1" applyBorder="1" applyAlignment="1" applyProtection="1">
      <alignment horizontal="left" vertical="center" wrapText="1" readingOrder="1"/>
    </xf>
    <xf numFmtId="0" fontId="141" fillId="0" borderId="68" xfId="0" applyFont="1" applyBorder="1" applyAlignment="1" applyProtection="1">
      <alignment horizontal="left" vertical="center" wrapText="1" readingOrder="1"/>
    </xf>
    <xf numFmtId="0" fontId="141" fillId="0" borderId="61" xfId="0" applyFont="1" applyBorder="1" applyAlignment="1" applyProtection="1">
      <alignment horizontal="left" vertical="center" wrapText="1" readingOrder="1"/>
    </xf>
    <xf numFmtId="0" fontId="141" fillId="0" borderId="94" xfId="0" applyFont="1" applyBorder="1" applyAlignment="1" applyProtection="1">
      <alignment horizontal="left" vertical="center" wrapText="1" readingOrder="1"/>
    </xf>
    <xf numFmtId="0" fontId="141" fillId="0" borderId="47" xfId="0" applyFont="1" applyBorder="1" applyAlignment="1" applyProtection="1">
      <alignment horizontal="left" vertical="center" wrapText="1" readingOrder="1"/>
    </xf>
    <xf numFmtId="0" fontId="141" fillId="0" borderId="64" xfId="0" applyFont="1" applyBorder="1" applyAlignment="1" applyProtection="1">
      <alignment horizontal="left" vertical="center" wrapText="1" readingOrder="1"/>
    </xf>
    <xf numFmtId="0" fontId="143" fillId="0" borderId="38" xfId="0" applyFont="1" applyBorder="1" applyAlignment="1">
      <alignment horizontal="left" vertical="center" wrapText="1" readingOrder="1"/>
    </xf>
    <xf numFmtId="0" fontId="143" fillId="0" borderId="28" xfId="0" applyFont="1" applyBorder="1" applyAlignment="1">
      <alignment horizontal="left" vertical="center" wrapText="1" readingOrder="1"/>
    </xf>
    <xf numFmtId="0" fontId="143" fillId="0" borderId="44" xfId="0" applyFont="1" applyBorder="1" applyAlignment="1">
      <alignment horizontal="left" vertical="center" wrapText="1" readingOrder="1"/>
    </xf>
    <xf numFmtId="0" fontId="143" fillId="0" borderId="46" xfId="0" applyFont="1" applyFill="1" applyBorder="1" applyAlignment="1" applyProtection="1">
      <alignment horizontal="center" vertical="center" wrapText="1" readingOrder="1"/>
    </xf>
    <xf numFmtId="0" fontId="143" fillId="0" borderId="68" xfId="0" applyFont="1" applyFill="1" applyBorder="1" applyAlignment="1" applyProtection="1">
      <alignment horizontal="center" vertical="center" wrapText="1" readingOrder="1"/>
    </xf>
    <xf numFmtId="0" fontId="143" fillId="0" borderId="61" xfId="0" applyFont="1" applyFill="1" applyBorder="1" applyAlignment="1" applyProtection="1">
      <alignment horizontal="center" vertical="center" wrapText="1" readingOrder="1"/>
    </xf>
    <xf numFmtId="0" fontId="143" fillId="0" borderId="94" xfId="0" applyFont="1" applyFill="1" applyBorder="1" applyAlignment="1" applyProtection="1">
      <alignment horizontal="center" vertical="center" wrapText="1" readingOrder="1"/>
    </xf>
    <xf numFmtId="0" fontId="143" fillId="0" borderId="47" xfId="0" applyFont="1" applyFill="1" applyBorder="1" applyAlignment="1" applyProtection="1">
      <alignment horizontal="center" vertical="center" wrapText="1" readingOrder="1"/>
    </xf>
    <xf numFmtId="0" fontId="143" fillId="0" borderId="64" xfId="0" applyFont="1" applyFill="1" applyBorder="1" applyAlignment="1" applyProtection="1">
      <alignment horizontal="center" vertical="center" wrapText="1" readingOrder="1"/>
    </xf>
    <xf numFmtId="0" fontId="145" fillId="0" borderId="38" xfId="0" applyFont="1" applyFill="1" applyBorder="1" applyAlignment="1" applyProtection="1">
      <alignment horizontal="center" vertical="center" wrapText="1"/>
    </xf>
    <xf numFmtId="0" fontId="145" fillId="0" borderId="28" xfId="0" applyFont="1" applyFill="1" applyBorder="1" applyAlignment="1" applyProtection="1">
      <alignment horizontal="center" vertical="center" wrapText="1"/>
    </xf>
    <xf numFmtId="0" fontId="145" fillId="0" borderId="44" xfId="0" applyFont="1" applyFill="1" applyBorder="1" applyAlignment="1" applyProtection="1">
      <alignment horizontal="center" vertical="center" wrapText="1"/>
    </xf>
    <xf numFmtId="0" fontId="7" fillId="0" borderId="46" xfId="0" applyNumberFormat="1" applyFont="1" applyBorder="1" applyAlignment="1" applyProtection="1">
      <alignment horizontal="center" vertical="center" wrapText="1" readingOrder="1"/>
    </xf>
    <xf numFmtId="0" fontId="7" fillId="0" borderId="68" xfId="0" applyNumberFormat="1" applyFont="1" applyBorder="1" applyAlignment="1" applyProtection="1">
      <alignment horizontal="center" vertical="center" wrapText="1" readingOrder="1"/>
    </xf>
    <xf numFmtId="0" fontId="7" fillId="0" borderId="61" xfId="0" applyNumberFormat="1" applyFont="1" applyBorder="1" applyAlignment="1" applyProtection="1">
      <alignment horizontal="center" vertical="center" wrapText="1" readingOrder="1"/>
    </xf>
    <xf numFmtId="0" fontId="7" fillId="0" borderId="94" xfId="0" applyNumberFormat="1" applyFont="1" applyBorder="1" applyAlignment="1" applyProtection="1">
      <alignment horizontal="center" vertical="center" wrapText="1" readingOrder="1"/>
    </xf>
    <xf numFmtId="0" fontId="7" fillId="0" borderId="47" xfId="0" applyNumberFormat="1" applyFont="1" applyBorder="1" applyAlignment="1" applyProtection="1">
      <alignment horizontal="center" vertical="center" wrapText="1" readingOrder="1"/>
    </xf>
    <xf numFmtId="0" fontId="7" fillId="0" borderId="64" xfId="0" applyNumberFormat="1" applyFont="1" applyBorder="1" applyAlignment="1" applyProtection="1">
      <alignment horizontal="center" vertical="center" wrapText="1" readingOrder="1"/>
    </xf>
    <xf numFmtId="49" fontId="108" fillId="0" borderId="38" xfId="0" applyNumberFormat="1" applyFont="1" applyBorder="1" applyAlignment="1" applyProtection="1">
      <alignment horizontal="center" vertical="center" wrapText="1" readingOrder="1"/>
    </xf>
    <xf numFmtId="49" fontId="108" fillId="0" borderId="28" xfId="0" applyNumberFormat="1" applyFont="1" applyBorder="1" applyAlignment="1" applyProtection="1">
      <alignment horizontal="center" vertical="center" wrapText="1" readingOrder="1"/>
    </xf>
    <xf numFmtId="49" fontId="108" fillId="0" borderId="44" xfId="0" applyNumberFormat="1" applyFont="1" applyBorder="1" applyAlignment="1" applyProtection="1">
      <alignment horizontal="center" vertical="center" wrapText="1" readingOrder="1"/>
    </xf>
    <xf numFmtId="0" fontId="7" fillId="0" borderId="38" xfId="0" applyFont="1" applyBorder="1" applyAlignment="1" applyProtection="1">
      <alignment horizontal="left" vertical="center" wrapText="1" readingOrder="1"/>
    </xf>
    <xf numFmtId="0" fontId="7" fillId="0" borderId="28" xfId="0" applyFont="1" applyBorder="1" applyAlignment="1" applyProtection="1">
      <alignment horizontal="left" vertical="center" wrapText="1" readingOrder="1"/>
    </xf>
    <xf numFmtId="0" fontId="7" fillId="0" borderId="44" xfId="0" applyFont="1" applyBorder="1" applyAlignment="1" applyProtection="1">
      <alignment horizontal="left" vertical="center" wrapText="1" readingOrder="1"/>
    </xf>
    <xf numFmtId="0" fontId="7" fillId="0" borderId="46" xfId="0" applyFont="1" applyBorder="1" applyAlignment="1" applyProtection="1">
      <alignment horizontal="left" vertical="center" wrapText="1" readingOrder="1"/>
    </xf>
    <xf numFmtId="0" fontId="7" fillId="0" borderId="68" xfId="0" applyFont="1" applyBorder="1" applyAlignment="1" applyProtection="1">
      <alignment horizontal="left" vertical="center" wrapText="1" readingOrder="1"/>
    </xf>
    <xf numFmtId="0" fontId="7" fillId="0" borderId="61" xfId="0" applyFont="1" applyBorder="1" applyAlignment="1" applyProtection="1">
      <alignment horizontal="left" vertical="center" wrapText="1" readingOrder="1"/>
    </xf>
    <xf numFmtId="0" fontId="7" fillId="0" borderId="94" xfId="0" applyFont="1" applyBorder="1" applyAlignment="1" applyProtection="1">
      <alignment horizontal="left" vertical="center" wrapText="1" readingOrder="1"/>
    </xf>
    <xf numFmtId="0" fontId="7" fillId="0" borderId="47" xfId="0" applyFont="1" applyBorder="1" applyAlignment="1" applyProtection="1">
      <alignment horizontal="left" vertical="center" wrapText="1" readingOrder="1"/>
    </xf>
    <xf numFmtId="0" fontId="7" fillId="0" borderId="64" xfId="0" applyFont="1" applyBorder="1" applyAlignment="1" applyProtection="1">
      <alignment horizontal="left" vertical="center" wrapText="1" readingOrder="1"/>
    </xf>
    <xf numFmtId="0" fontId="61" fillId="0" borderId="38" xfId="0" applyFont="1" applyBorder="1" applyAlignment="1">
      <alignment horizontal="center" vertical="center" wrapText="1" readingOrder="1"/>
    </xf>
    <xf numFmtId="0" fontId="61" fillId="0" borderId="28" xfId="0" applyFont="1" applyBorder="1" applyAlignment="1">
      <alignment horizontal="center" vertical="center" wrapText="1" readingOrder="1"/>
    </xf>
    <xf numFmtId="0" fontId="61" fillId="0" borderId="44" xfId="0" applyFont="1" applyBorder="1" applyAlignment="1">
      <alignment horizontal="center" vertical="center" wrapText="1" readingOrder="1"/>
    </xf>
    <xf numFmtId="0" fontId="61" fillId="0" borderId="46" xfId="0" applyFont="1" applyFill="1" applyBorder="1" applyAlignment="1" applyProtection="1">
      <alignment horizontal="center" vertical="center" wrapText="1" readingOrder="1"/>
    </xf>
    <xf numFmtId="0" fontId="61" fillId="0" borderId="68" xfId="0" applyFont="1" applyFill="1" applyBorder="1" applyAlignment="1" applyProtection="1">
      <alignment horizontal="center" vertical="center" wrapText="1" readingOrder="1"/>
    </xf>
    <xf numFmtId="0" fontId="61" fillId="0" borderId="61" xfId="0" applyFont="1" applyFill="1" applyBorder="1" applyAlignment="1" applyProtection="1">
      <alignment horizontal="center" vertical="center" wrapText="1" readingOrder="1"/>
    </xf>
    <xf numFmtId="0" fontId="61" fillId="0" borderId="94" xfId="0" applyFont="1" applyFill="1" applyBorder="1" applyAlignment="1" applyProtection="1">
      <alignment horizontal="center" vertical="center" wrapText="1" readingOrder="1"/>
    </xf>
    <xf numFmtId="0" fontId="61" fillId="0" borderId="47" xfId="0" applyFont="1" applyFill="1" applyBorder="1" applyAlignment="1" applyProtection="1">
      <alignment horizontal="center" vertical="center" wrapText="1" readingOrder="1"/>
    </xf>
    <xf numFmtId="0" fontId="61" fillId="0" borderId="64" xfId="0" applyFont="1" applyFill="1" applyBorder="1" applyAlignment="1" applyProtection="1">
      <alignment horizontal="center" vertical="center" wrapText="1" readingOrder="1"/>
    </xf>
    <xf numFmtId="0" fontId="13" fillId="0" borderId="0" xfId="0" applyFont="1" applyFill="1" applyAlignment="1">
      <alignment horizontal="justify" vertical="center" wrapText="1"/>
    </xf>
    <xf numFmtId="0" fontId="105" fillId="0" borderId="38" xfId="0" applyFont="1" applyBorder="1" applyAlignment="1">
      <alignment horizontal="center" vertical="center" wrapText="1" readingOrder="1"/>
    </xf>
    <xf numFmtId="0" fontId="105" fillId="0" borderId="28" xfId="0" applyFont="1" applyBorder="1" applyAlignment="1">
      <alignment horizontal="center" vertical="center" wrapText="1" readingOrder="1"/>
    </xf>
    <xf numFmtId="0" fontId="105" fillId="0" borderId="44" xfId="0" applyFont="1" applyBorder="1" applyAlignment="1">
      <alignment horizontal="center" vertical="center" wrapText="1" readingOrder="1"/>
    </xf>
    <xf numFmtId="0" fontId="105" fillId="0" borderId="46" xfId="0" applyFont="1" applyFill="1" applyBorder="1" applyAlignment="1" applyProtection="1">
      <alignment horizontal="center" vertical="center" wrapText="1" readingOrder="1"/>
    </xf>
    <xf numFmtId="0" fontId="105" fillId="0" borderId="68" xfId="0" applyFont="1" applyFill="1" applyBorder="1" applyAlignment="1" applyProtection="1">
      <alignment horizontal="center" vertical="center" wrapText="1" readingOrder="1"/>
    </xf>
    <xf numFmtId="0" fontId="105" fillId="0" borderId="61" xfId="0" applyFont="1" applyFill="1" applyBorder="1" applyAlignment="1" applyProtection="1">
      <alignment horizontal="center" vertical="center" wrapText="1" readingOrder="1"/>
    </xf>
    <xf numFmtId="0" fontId="105" fillId="0" borderId="94" xfId="0" applyFont="1" applyFill="1" applyBorder="1" applyAlignment="1" applyProtection="1">
      <alignment horizontal="center" vertical="center" wrapText="1" readingOrder="1"/>
    </xf>
    <xf numFmtId="0" fontId="105" fillId="0" borderId="47" xfId="0" applyFont="1" applyFill="1" applyBorder="1" applyAlignment="1" applyProtection="1">
      <alignment horizontal="center" vertical="center" wrapText="1" readingOrder="1"/>
    </xf>
    <xf numFmtId="0" fontId="105" fillId="0" borderId="64" xfId="0" applyFont="1" applyFill="1" applyBorder="1" applyAlignment="1" applyProtection="1">
      <alignment horizontal="center" vertical="center" wrapText="1" readingOrder="1"/>
    </xf>
    <xf numFmtId="0" fontId="105" fillId="0" borderId="38" xfId="0" applyFont="1" applyFill="1" applyBorder="1" applyAlignment="1">
      <alignment horizontal="center" vertical="center" wrapText="1" readingOrder="1"/>
    </xf>
    <xf numFmtId="0" fontId="105" fillId="0" borderId="28" xfId="0" applyFont="1" applyFill="1" applyBorder="1" applyAlignment="1">
      <alignment horizontal="center" vertical="center" wrapText="1" readingOrder="1"/>
    </xf>
    <xf numFmtId="0" fontId="105" fillId="0" borderId="44" xfId="0" applyFont="1" applyFill="1" applyBorder="1" applyAlignment="1">
      <alignment horizontal="center" vertical="center" wrapText="1" readingOrder="1"/>
    </xf>
    <xf numFmtId="0" fontId="94" fillId="0" borderId="46" xfId="0" applyFont="1" applyBorder="1" applyAlignment="1" applyProtection="1">
      <alignment horizontal="left" vertical="center" wrapText="1" readingOrder="1"/>
    </xf>
    <xf numFmtId="0" fontId="94" fillId="0" borderId="68" xfId="0" applyFont="1" applyBorder="1" applyAlignment="1" applyProtection="1">
      <alignment horizontal="left" vertical="center" wrapText="1" readingOrder="1"/>
    </xf>
    <xf numFmtId="0" fontId="94" fillId="0" borderId="61" xfId="0" applyFont="1" applyBorder="1" applyAlignment="1" applyProtection="1">
      <alignment horizontal="left" vertical="center" wrapText="1" readingOrder="1"/>
    </xf>
    <xf numFmtId="0" fontId="94" fillId="0" borderId="94" xfId="0" applyFont="1" applyBorder="1" applyAlignment="1" applyProtection="1">
      <alignment horizontal="left" vertical="center" wrapText="1" readingOrder="1"/>
    </xf>
    <xf numFmtId="0" fontId="94" fillId="0" borderId="47" xfId="0" applyFont="1" applyBorder="1" applyAlignment="1" applyProtection="1">
      <alignment horizontal="left" vertical="center" wrapText="1" readingOrder="1"/>
    </xf>
    <xf numFmtId="0" fontId="94" fillId="0" borderId="64" xfId="0" applyFont="1" applyBorder="1" applyAlignment="1" applyProtection="1">
      <alignment horizontal="left" vertical="center" wrapText="1" readingOrder="1"/>
    </xf>
    <xf numFmtId="49" fontId="7" fillId="0" borderId="68" xfId="0" applyNumberFormat="1" applyFont="1" applyBorder="1" applyAlignment="1" applyProtection="1">
      <alignment horizontal="center" vertical="center" wrapText="1" readingOrder="1"/>
    </xf>
    <xf numFmtId="49" fontId="7" fillId="0" borderId="61" xfId="0" applyNumberFormat="1" applyFont="1" applyBorder="1" applyAlignment="1" applyProtection="1">
      <alignment horizontal="center" vertical="center" wrapText="1" readingOrder="1"/>
    </xf>
    <xf numFmtId="49" fontId="7" fillId="0" borderId="94" xfId="0" applyNumberFormat="1" applyFont="1" applyBorder="1" applyAlignment="1" applyProtection="1">
      <alignment horizontal="center" vertical="center" wrapText="1" readingOrder="1"/>
    </xf>
    <xf numFmtId="49" fontId="7" fillId="0" borderId="47" xfId="0" applyNumberFormat="1" applyFont="1" applyBorder="1" applyAlignment="1" applyProtection="1">
      <alignment horizontal="center" vertical="center" wrapText="1" readingOrder="1"/>
    </xf>
    <xf numFmtId="49" fontId="7" fillId="0" borderId="64" xfId="0" applyNumberFormat="1" applyFont="1" applyBorder="1" applyAlignment="1" applyProtection="1">
      <alignment horizontal="center" vertical="center" wrapText="1" readingOrder="1"/>
    </xf>
    <xf numFmtId="49" fontId="7" fillId="0" borderId="28" xfId="0" applyNumberFormat="1" applyFont="1" applyBorder="1" applyAlignment="1" applyProtection="1">
      <alignment horizontal="center" vertical="center" wrapText="1" readingOrder="1"/>
    </xf>
    <xf numFmtId="49" fontId="7" fillId="0" borderId="44" xfId="0" applyNumberFormat="1" applyFont="1" applyBorder="1" applyAlignment="1" applyProtection="1">
      <alignment horizontal="center" vertical="center" wrapText="1" readingOrder="1"/>
    </xf>
    <xf numFmtId="0" fontId="21" fillId="72" borderId="38" xfId="0" applyFont="1" applyFill="1" applyBorder="1" applyAlignment="1" applyProtection="1">
      <alignment horizontal="left" vertical="center" wrapText="1"/>
      <protection locked="0"/>
    </xf>
    <xf numFmtId="0" fontId="16" fillId="70" borderId="38" xfId="0" quotePrefix="1" applyNumberFormat="1" applyFont="1" applyFill="1" applyBorder="1" applyAlignment="1" applyProtection="1">
      <alignment horizontal="left" vertical="center" wrapText="1"/>
    </xf>
    <xf numFmtId="0" fontId="16" fillId="70" borderId="28" xfId="0" applyNumberFormat="1" applyFont="1" applyFill="1" applyBorder="1" applyAlignment="1" applyProtection="1">
      <alignment horizontal="left" vertical="center" wrapText="1"/>
    </xf>
    <xf numFmtId="0" fontId="16" fillId="70" borderId="44" xfId="0" applyNumberFormat="1" applyFont="1" applyFill="1" applyBorder="1" applyAlignment="1" applyProtection="1">
      <alignment horizontal="left" vertical="center" wrapText="1"/>
    </xf>
    <xf numFmtId="0" fontId="16" fillId="70" borderId="38" xfId="0" applyFont="1" applyFill="1" applyBorder="1" applyAlignment="1" applyProtection="1">
      <alignment horizontal="left" vertical="center" wrapText="1"/>
    </xf>
    <xf numFmtId="0" fontId="16" fillId="70" borderId="28" xfId="0" applyFont="1" applyFill="1" applyBorder="1" applyAlignment="1" applyProtection="1">
      <alignment horizontal="left" vertical="center" wrapText="1"/>
    </xf>
    <xf numFmtId="0" fontId="16" fillId="70" borderId="44" xfId="0" applyFont="1" applyFill="1" applyBorder="1" applyAlignment="1" applyProtection="1">
      <alignment horizontal="left" vertical="center" wrapText="1"/>
    </xf>
    <xf numFmtId="0" fontId="7" fillId="70" borderId="46" xfId="0" applyNumberFormat="1" applyFont="1" applyFill="1" applyBorder="1" applyAlignment="1" applyProtection="1">
      <alignment horizontal="center" vertical="center" wrapText="1" readingOrder="1"/>
    </xf>
    <xf numFmtId="49" fontId="7" fillId="70" borderId="68" xfId="0" applyNumberFormat="1" applyFont="1" applyFill="1" applyBorder="1" applyAlignment="1" applyProtection="1">
      <alignment horizontal="center" vertical="center" wrapText="1" readingOrder="1"/>
    </xf>
    <xf numFmtId="49" fontId="7" fillId="70" borderId="61" xfId="0" applyNumberFormat="1" applyFont="1" applyFill="1" applyBorder="1" applyAlignment="1" applyProtection="1">
      <alignment horizontal="center" vertical="center" wrapText="1" readingOrder="1"/>
    </xf>
    <xf numFmtId="49" fontId="7" fillId="70" borderId="94" xfId="0" applyNumberFormat="1" applyFont="1" applyFill="1" applyBorder="1" applyAlignment="1" applyProtection="1">
      <alignment horizontal="center" vertical="center" wrapText="1" readingOrder="1"/>
    </xf>
    <xf numFmtId="49" fontId="7" fillId="70" borderId="47" xfId="0" applyNumberFormat="1" applyFont="1" applyFill="1" applyBorder="1" applyAlignment="1" applyProtection="1">
      <alignment horizontal="center" vertical="center" wrapText="1" readingOrder="1"/>
    </xf>
    <xf numFmtId="49" fontId="7" fillId="70" borderId="64" xfId="0" applyNumberFormat="1" applyFont="1" applyFill="1" applyBorder="1" applyAlignment="1" applyProtection="1">
      <alignment horizontal="center" vertical="center" wrapText="1" readingOrder="1"/>
    </xf>
    <xf numFmtId="49" fontId="108" fillId="70" borderId="38" xfId="0" applyNumberFormat="1" applyFont="1" applyFill="1" applyBorder="1" applyAlignment="1" applyProtection="1">
      <alignment horizontal="center" vertical="center" wrapText="1" readingOrder="1"/>
    </xf>
    <xf numFmtId="49" fontId="7" fillId="70" borderId="28" xfId="0" applyNumberFormat="1" applyFont="1" applyFill="1" applyBorder="1" applyAlignment="1" applyProtection="1">
      <alignment horizontal="center" vertical="center" wrapText="1" readingOrder="1"/>
    </xf>
    <xf numFmtId="49" fontId="7" fillId="70" borderId="44" xfId="0" applyNumberFormat="1" applyFont="1" applyFill="1" applyBorder="1" applyAlignment="1" applyProtection="1">
      <alignment horizontal="center" vertical="center" wrapText="1" readingOrder="1"/>
    </xf>
    <xf numFmtId="0" fontId="7" fillId="70" borderId="38" xfId="0" applyFont="1" applyFill="1" applyBorder="1" applyAlignment="1" applyProtection="1">
      <alignment horizontal="left" vertical="center" wrapText="1" readingOrder="1"/>
    </xf>
    <xf numFmtId="0" fontId="7" fillId="70" borderId="28" xfId="0" applyFont="1" applyFill="1" applyBorder="1" applyAlignment="1" applyProtection="1">
      <alignment horizontal="left" vertical="center" wrapText="1" readingOrder="1"/>
    </xf>
    <xf numFmtId="0" fontId="7" fillId="70" borderId="44" xfId="0" applyFont="1" applyFill="1" applyBorder="1" applyAlignment="1" applyProtection="1">
      <alignment horizontal="left" vertical="center" wrapText="1" readingOrder="1"/>
    </xf>
    <xf numFmtId="0" fontId="7" fillId="70" borderId="46" xfId="0" applyFont="1" applyFill="1" applyBorder="1" applyAlignment="1" applyProtection="1">
      <alignment horizontal="left" vertical="center" wrapText="1" readingOrder="1"/>
    </xf>
    <xf numFmtId="0" fontId="7" fillId="70" borderId="68" xfId="0" applyFont="1" applyFill="1" applyBorder="1" applyAlignment="1" applyProtection="1">
      <alignment horizontal="left" vertical="center" wrapText="1" readingOrder="1"/>
    </xf>
    <xf numFmtId="0" fontId="7" fillId="70" borderId="61" xfId="0" applyFont="1" applyFill="1" applyBorder="1" applyAlignment="1" applyProtection="1">
      <alignment horizontal="left" vertical="center" wrapText="1" readingOrder="1"/>
    </xf>
    <xf numFmtId="0" fontId="7" fillId="70" borderId="94" xfId="0" applyFont="1" applyFill="1" applyBorder="1" applyAlignment="1" applyProtection="1">
      <alignment horizontal="left" vertical="center" wrapText="1" readingOrder="1"/>
    </xf>
    <xf numFmtId="0" fontId="7" fillId="70" borderId="47" xfId="0" applyFont="1" applyFill="1" applyBorder="1" applyAlignment="1" applyProtection="1">
      <alignment horizontal="left" vertical="center" wrapText="1" readingOrder="1"/>
    </xf>
    <xf numFmtId="0" fontId="7" fillId="70" borderId="64" xfId="0" applyFont="1" applyFill="1" applyBorder="1" applyAlignment="1" applyProtection="1">
      <alignment horizontal="left" vertical="center" wrapText="1" readingOrder="1"/>
    </xf>
    <xf numFmtId="0" fontId="57" fillId="70" borderId="38" xfId="0" applyFont="1" applyFill="1" applyBorder="1" applyAlignment="1" applyProtection="1">
      <alignment horizontal="center" vertical="center" wrapText="1"/>
    </xf>
    <xf numFmtId="0" fontId="57" fillId="70" borderId="28" xfId="0" applyFont="1" applyFill="1" applyBorder="1" applyAlignment="1" applyProtection="1">
      <alignment horizontal="center" vertical="center" wrapText="1"/>
    </xf>
    <xf numFmtId="0" fontId="57" fillId="70" borderId="44" xfId="0" applyFont="1" applyFill="1" applyBorder="1" applyAlignment="1" applyProtection="1">
      <alignment horizontal="center" vertical="center" wrapText="1"/>
    </xf>
    <xf numFmtId="49" fontId="110" fillId="0" borderId="38" xfId="0" applyNumberFormat="1" applyFont="1" applyBorder="1" applyAlignment="1" applyProtection="1">
      <alignment horizontal="center" vertical="center" wrapText="1" readingOrder="1"/>
    </xf>
    <xf numFmtId="49" fontId="94" fillId="0" borderId="28" xfId="0" applyNumberFormat="1" applyFont="1" applyBorder="1" applyAlignment="1" applyProtection="1">
      <alignment horizontal="center" vertical="center" wrapText="1" readingOrder="1"/>
    </xf>
    <xf numFmtId="49" fontId="94" fillId="0" borderId="44" xfId="0" applyNumberFormat="1" applyFont="1" applyBorder="1" applyAlignment="1" applyProtection="1">
      <alignment horizontal="center" vertical="center" wrapText="1" readingOrder="1"/>
    </xf>
    <xf numFmtId="0" fontId="94" fillId="0" borderId="38" xfId="0" applyFont="1" applyBorder="1" applyAlignment="1" applyProtection="1">
      <alignment horizontal="left" vertical="center" wrapText="1" readingOrder="1"/>
    </xf>
    <xf numFmtId="0" fontId="94" fillId="0" borderId="28" xfId="0" applyFont="1" applyBorder="1" applyAlignment="1" applyProtection="1">
      <alignment horizontal="left" vertical="center" wrapText="1" readingOrder="1"/>
    </xf>
    <xf numFmtId="0" fontId="94" fillId="0" borderId="44" xfId="0" applyFont="1" applyBorder="1" applyAlignment="1" applyProtection="1">
      <alignment horizontal="left" vertical="center" wrapText="1" readingOrder="1"/>
    </xf>
    <xf numFmtId="0" fontId="7" fillId="70" borderId="95" xfId="0" applyFont="1" applyFill="1" applyBorder="1" applyAlignment="1" applyProtection="1">
      <alignment horizontal="left" vertical="center" wrapText="1" readingOrder="1"/>
    </xf>
    <xf numFmtId="0" fontId="7" fillId="70" borderId="0" xfId="0" applyFont="1" applyFill="1" applyBorder="1" applyAlignment="1" applyProtection="1">
      <alignment horizontal="left" vertical="center" wrapText="1" readingOrder="1"/>
    </xf>
    <xf numFmtId="0" fontId="7" fillId="70" borderId="33" xfId="0" applyFont="1" applyFill="1" applyBorder="1" applyAlignment="1" applyProtection="1">
      <alignment horizontal="left" vertical="center" wrapText="1" readingOrder="1"/>
    </xf>
    <xf numFmtId="0" fontId="113" fillId="0" borderId="38" xfId="0" applyFont="1" applyBorder="1" applyAlignment="1">
      <alignment horizontal="center" vertical="center" wrapText="1" readingOrder="1"/>
    </xf>
    <xf numFmtId="9" fontId="61" fillId="0" borderId="20" xfId="0" applyNumberFormat="1" applyFont="1" applyFill="1" applyBorder="1" applyAlignment="1" applyProtection="1">
      <alignment horizontal="center" vertical="center" wrapText="1" readingOrder="1"/>
    </xf>
    <xf numFmtId="9" fontId="61" fillId="0" borderId="20" xfId="0" applyNumberFormat="1" applyFont="1" applyFill="1" applyBorder="1" applyAlignment="1">
      <alignment horizontal="center" vertical="center" wrapText="1" readingOrder="1"/>
    </xf>
    <xf numFmtId="9" fontId="113" fillId="0" borderId="38" xfId="0" applyNumberFormat="1" applyFont="1" applyBorder="1" applyAlignment="1">
      <alignment horizontal="center" vertical="center" wrapText="1" readingOrder="1"/>
    </xf>
    <xf numFmtId="0" fontId="113" fillId="0" borderId="28" xfId="0" applyFont="1" applyBorder="1" applyAlignment="1">
      <alignment horizontal="center" vertical="center" wrapText="1" readingOrder="1"/>
    </xf>
    <xf numFmtId="0" fontId="113" fillId="0" borderId="44" xfId="0" applyFont="1" applyBorder="1" applyAlignment="1">
      <alignment horizontal="center" vertical="center" wrapText="1" readingOrder="1"/>
    </xf>
    <xf numFmtId="0" fontId="7" fillId="0" borderId="46" xfId="0" applyNumberFormat="1" applyFont="1" applyFill="1" applyBorder="1" applyAlignment="1" applyProtection="1">
      <alignment horizontal="center" vertical="center" wrapText="1" readingOrder="1"/>
    </xf>
    <xf numFmtId="49" fontId="7" fillId="0" borderId="68" xfId="0" applyNumberFormat="1" applyFont="1" applyFill="1" applyBorder="1" applyAlignment="1" applyProtection="1">
      <alignment horizontal="center" vertical="center" wrapText="1" readingOrder="1"/>
    </xf>
    <xf numFmtId="49" fontId="7" fillId="0" borderId="61" xfId="0" applyNumberFormat="1" applyFont="1" applyFill="1" applyBorder="1" applyAlignment="1" applyProtection="1">
      <alignment horizontal="center" vertical="center" wrapText="1" readingOrder="1"/>
    </xf>
    <xf numFmtId="49" fontId="7" fillId="0" borderId="94" xfId="0" applyNumberFormat="1" applyFont="1" applyFill="1" applyBorder="1" applyAlignment="1" applyProtection="1">
      <alignment horizontal="center" vertical="center" wrapText="1" readingOrder="1"/>
    </xf>
    <xf numFmtId="49" fontId="7" fillId="0" borderId="47" xfId="0" applyNumberFormat="1" applyFont="1" applyFill="1" applyBorder="1" applyAlignment="1" applyProtection="1">
      <alignment horizontal="center" vertical="center" wrapText="1" readingOrder="1"/>
    </xf>
    <xf numFmtId="49" fontId="7" fillId="0" borderId="64" xfId="0" applyNumberFormat="1" applyFont="1" applyFill="1" applyBorder="1" applyAlignment="1" applyProtection="1">
      <alignment horizontal="center" vertical="center" wrapText="1" readingOrder="1"/>
    </xf>
    <xf numFmtId="0" fontId="61" fillId="0" borderId="38" xfId="0" applyFont="1" applyFill="1" applyBorder="1" applyAlignment="1">
      <alignment horizontal="center" vertical="center" wrapText="1" readingOrder="1"/>
    </xf>
    <xf numFmtId="0" fontId="61" fillId="0" borderId="28" xfId="0" applyFont="1" applyFill="1" applyBorder="1" applyAlignment="1">
      <alignment horizontal="center" vertical="center" wrapText="1" readingOrder="1"/>
    </xf>
    <xf numFmtId="0" fontId="61" fillId="0" borderId="44" xfId="0" applyFont="1" applyFill="1" applyBorder="1" applyAlignment="1">
      <alignment horizontal="center" vertical="center" wrapText="1" readingOrder="1"/>
    </xf>
    <xf numFmtId="0" fontId="7" fillId="0" borderId="20" xfId="0" applyFont="1" applyBorder="1" applyAlignment="1" applyProtection="1">
      <alignment horizontal="left" vertical="center" wrapText="1" readingOrder="1"/>
    </xf>
    <xf numFmtId="0" fontId="53" fillId="0" borderId="20" xfId="0" applyFont="1" applyBorder="1" applyAlignment="1">
      <alignment horizontal="left" vertical="center" wrapText="1" readingOrder="1"/>
    </xf>
    <xf numFmtId="0" fontId="106" fillId="0" borderId="20" xfId="0" applyFont="1" applyBorder="1" applyAlignment="1">
      <alignment horizontal="left" vertical="center" wrapText="1" readingOrder="1"/>
    </xf>
    <xf numFmtId="9" fontId="114" fillId="0" borderId="38" xfId="0" applyNumberFormat="1" applyFont="1" applyBorder="1" applyAlignment="1">
      <alignment horizontal="center" vertical="center" wrapText="1" readingOrder="1"/>
    </xf>
    <xf numFmtId="0" fontId="114" fillId="0" borderId="28" xfId="0" applyFont="1" applyBorder="1" applyAlignment="1">
      <alignment horizontal="center" vertical="center" wrapText="1" readingOrder="1"/>
    </xf>
    <xf numFmtId="0" fontId="114" fillId="0" borderId="44" xfId="0" applyFont="1" applyBorder="1" applyAlignment="1">
      <alignment horizontal="center" vertical="center" wrapText="1" readingOrder="1"/>
    </xf>
    <xf numFmtId="49" fontId="7" fillId="0" borderId="38" xfId="0" applyNumberFormat="1" applyFont="1" applyFill="1" applyBorder="1" applyAlignment="1" applyProtection="1">
      <alignment horizontal="center" vertical="center" wrapText="1" readingOrder="1"/>
    </xf>
    <xf numFmtId="49" fontId="7" fillId="0" borderId="28" xfId="0" applyNumberFormat="1" applyFont="1" applyFill="1" applyBorder="1" applyAlignment="1" applyProtection="1">
      <alignment horizontal="center" vertical="center" wrapText="1" readingOrder="1"/>
    </xf>
    <xf numFmtId="49" fontId="7" fillId="0" borderId="44" xfId="0" applyNumberFormat="1" applyFont="1" applyFill="1" applyBorder="1" applyAlignment="1" applyProtection="1">
      <alignment horizontal="center" vertical="center" wrapText="1" readingOrder="1"/>
    </xf>
    <xf numFmtId="0" fontId="61" fillId="0" borderId="20" xfId="0" applyFont="1" applyBorder="1" applyAlignment="1" applyProtection="1">
      <alignment horizontal="center" vertical="center" wrapText="1" readingOrder="1"/>
    </xf>
    <xf numFmtId="0" fontId="61" fillId="0" borderId="20" xfId="0" applyFont="1" applyBorder="1" applyAlignment="1">
      <alignment horizontal="center" vertical="center" wrapText="1" readingOrder="1"/>
    </xf>
    <xf numFmtId="0" fontId="16" fillId="72" borderId="20" xfId="0" applyFont="1" applyFill="1" applyBorder="1" applyAlignment="1" applyProtection="1">
      <alignment horizontal="left" vertical="center" wrapText="1"/>
      <protection locked="0"/>
    </xf>
    <xf numFmtId="49" fontId="7" fillId="0" borderId="38" xfId="0" applyNumberFormat="1" applyFont="1" applyBorder="1" applyAlignment="1" applyProtection="1">
      <alignment horizontal="center" vertical="center" wrapText="1" readingOrder="1"/>
    </xf>
    <xf numFmtId="0" fontId="10" fillId="30" borderId="23" xfId="513" applyFont="1" applyFill="1" applyBorder="1" applyAlignment="1" applyProtection="1">
      <alignment vertical="center"/>
    </xf>
    <xf numFmtId="0" fontId="10" fillId="30" borderId="24" xfId="513" applyFont="1" applyFill="1" applyBorder="1" applyAlignment="1" applyProtection="1">
      <alignment vertical="center"/>
    </xf>
    <xf numFmtId="0" fontId="28" fillId="30" borderId="24" xfId="0" applyFont="1" applyFill="1" applyBorder="1" applyAlignment="1" applyProtection="1"/>
    <xf numFmtId="0" fontId="0" fillId="0" borderId="25" xfId="0" applyBorder="1" applyAlignment="1"/>
    <xf numFmtId="0" fontId="0" fillId="0" borderId="25" xfId="0" applyBorder="1" applyAlignment="1">
      <alignment vertical="center"/>
    </xf>
    <xf numFmtId="14" fontId="28" fillId="30" borderId="18" xfId="0" applyNumberFormat="1" applyFont="1" applyFill="1" applyBorder="1" applyAlignment="1" applyProtection="1">
      <alignment horizontal="center" vertical="center"/>
    </xf>
    <xf numFmtId="0" fontId="28" fillId="0" borderId="20" xfId="0" applyFont="1" applyBorder="1" applyAlignment="1" applyProtection="1">
      <alignment horizontal="center" vertical="center" wrapText="1"/>
    </xf>
    <xf numFmtId="0" fontId="0" fillId="0" borderId="20" xfId="0" applyBorder="1" applyAlignment="1">
      <alignment horizontal="center" vertical="center" wrapText="1"/>
    </xf>
    <xf numFmtId="0" fontId="21" fillId="0" borderId="20" xfId="0" applyFont="1" applyBorder="1" applyAlignment="1" applyProtection="1">
      <alignment horizontal="center" vertical="center" wrapText="1"/>
    </xf>
    <xf numFmtId="0" fontId="60" fillId="0" borderId="20" xfId="0" applyFont="1" applyBorder="1" applyAlignment="1" applyProtection="1">
      <alignment horizontal="center" vertical="center" wrapText="1" readingOrder="1"/>
    </xf>
    <xf numFmtId="0" fontId="105" fillId="0" borderId="20" xfId="0" applyFont="1" applyBorder="1" applyAlignment="1">
      <alignment horizontal="center" vertical="center" wrapText="1" readingOrder="1"/>
    </xf>
    <xf numFmtId="0" fontId="13" fillId="0" borderId="46" xfId="0" quotePrefix="1" applyFont="1" applyBorder="1" applyAlignment="1" applyProtection="1">
      <alignment horizontal="left" vertical="center" wrapText="1" readingOrder="1"/>
    </xf>
    <xf numFmtId="0" fontId="0" fillId="0" borderId="68" xfId="0" applyBorder="1" applyAlignment="1">
      <alignment horizontal="left" vertical="center" wrapText="1" readingOrder="1"/>
    </xf>
    <xf numFmtId="0" fontId="13" fillId="0" borderId="61" xfId="0" applyFont="1" applyBorder="1" applyAlignment="1" applyProtection="1">
      <alignment horizontal="left" vertical="center" wrapText="1" readingOrder="1"/>
    </xf>
    <xf numFmtId="0" fontId="0" fillId="0" borderId="94" xfId="0" applyBorder="1" applyAlignment="1">
      <alignment horizontal="left" vertical="center" wrapText="1" readingOrder="1"/>
    </xf>
    <xf numFmtId="0" fontId="13" fillId="0" borderId="47" xfId="0" applyFont="1" applyBorder="1" applyAlignment="1" applyProtection="1">
      <alignment horizontal="left" vertical="center" wrapText="1" readingOrder="1"/>
    </xf>
    <xf numFmtId="0" fontId="0" fillId="0" borderId="64" xfId="0" applyBorder="1" applyAlignment="1">
      <alignment horizontal="left" vertical="center" wrapText="1" readingOrder="1"/>
    </xf>
    <xf numFmtId="0" fontId="13" fillId="0" borderId="95" xfId="0" quotePrefix="1" applyFont="1" applyBorder="1" applyAlignment="1" applyProtection="1">
      <alignment horizontal="left" vertical="center" wrapText="1" readingOrder="1"/>
    </xf>
    <xf numFmtId="0" fontId="13" fillId="0" borderId="0" xfId="0" applyFont="1" applyBorder="1" applyAlignment="1" applyProtection="1">
      <alignment horizontal="left" vertical="center" wrapText="1" readingOrder="1"/>
    </xf>
    <xf numFmtId="0" fontId="13" fillId="0" borderId="33" xfId="0" applyFont="1" applyBorder="1" applyAlignment="1" applyProtection="1">
      <alignment horizontal="left" vertical="center" wrapText="1" readingOrder="1"/>
    </xf>
    <xf numFmtId="0" fontId="21" fillId="0" borderId="0" xfId="0" applyFont="1" applyAlignment="1" applyProtection="1">
      <alignment horizontal="right"/>
    </xf>
    <xf numFmtId="0" fontId="21" fillId="0" borderId="87" xfId="0" applyFont="1" applyBorder="1" applyAlignment="1" applyProtection="1">
      <alignment horizontal="right"/>
    </xf>
    <xf numFmtId="0" fontId="28" fillId="0" borderId="46" xfId="0" applyFont="1" applyBorder="1" applyAlignment="1" applyProtection="1">
      <alignment horizontal="center" vertical="center" wrapText="1"/>
    </xf>
    <xf numFmtId="0" fontId="28" fillId="0" borderId="68" xfId="0" applyFont="1" applyBorder="1" applyAlignment="1" applyProtection="1">
      <alignment horizontal="center" vertical="center" wrapText="1"/>
    </xf>
    <xf numFmtId="0" fontId="28" fillId="0" borderId="47" xfId="0" applyFont="1" applyBorder="1" applyAlignment="1" applyProtection="1">
      <alignment horizontal="center" vertical="center" wrapText="1"/>
    </xf>
    <xf numFmtId="0" fontId="28" fillId="0" borderId="64" xfId="0" applyFont="1" applyBorder="1" applyAlignment="1" applyProtection="1">
      <alignment horizontal="center" vertical="center" wrapText="1"/>
    </xf>
    <xf numFmtId="0" fontId="107" fillId="0" borderId="38" xfId="0" applyFont="1" applyBorder="1" applyAlignment="1">
      <alignment horizontal="center" vertical="center" wrapText="1"/>
    </xf>
    <xf numFmtId="0" fontId="107" fillId="0" borderId="44" xfId="0" applyFont="1" applyBorder="1" applyAlignment="1">
      <alignment horizontal="center" vertical="center" wrapText="1"/>
    </xf>
    <xf numFmtId="0" fontId="28" fillId="0" borderId="38" xfId="0" applyFont="1" applyBorder="1" applyAlignment="1" applyProtection="1">
      <alignment horizontal="center" vertical="center" wrapText="1"/>
    </xf>
    <xf numFmtId="0" fontId="28" fillId="0" borderId="44" xfId="0" applyFont="1" applyBorder="1" applyAlignment="1" applyProtection="1">
      <alignment horizontal="center" vertical="center" wrapText="1"/>
    </xf>
    <xf numFmtId="0" fontId="62" fillId="0" borderId="20" xfId="0" applyFont="1" applyBorder="1" applyAlignment="1" applyProtection="1">
      <alignment horizontal="center" vertical="center" wrapText="1"/>
    </xf>
    <xf numFmtId="0" fontId="107" fillId="0" borderId="20" xfId="0" applyFont="1" applyBorder="1" applyAlignment="1">
      <alignment horizontal="center" vertical="center" wrapText="1"/>
    </xf>
    <xf numFmtId="0" fontId="13" fillId="0" borderId="20" xfId="0" applyFont="1" applyBorder="1" applyAlignment="1" applyProtection="1">
      <alignment horizontal="left" vertical="center" wrapText="1" readingOrder="1"/>
    </xf>
    <xf numFmtId="0" fontId="0" fillId="0" borderId="20" xfId="0" applyBorder="1" applyAlignment="1">
      <alignment horizontal="left" vertical="center" wrapText="1" readingOrder="1"/>
    </xf>
    <xf numFmtId="0" fontId="13" fillId="0" borderId="62" xfId="0" applyNumberFormat="1" applyFont="1" applyBorder="1" applyAlignment="1" applyProtection="1">
      <alignment horizontal="center" vertical="center" wrapText="1" readingOrder="1"/>
    </xf>
    <xf numFmtId="49" fontId="13" fillId="0" borderId="30" xfId="0" applyNumberFormat="1" applyFont="1" applyBorder="1" applyAlignment="1" applyProtection="1">
      <alignment horizontal="center" vertical="center" wrapText="1" readingOrder="1"/>
    </xf>
    <xf numFmtId="49" fontId="13" fillId="0" borderId="31" xfId="0" applyNumberFormat="1" applyFont="1" applyBorder="1" applyAlignment="1" applyProtection="1">
      <alignment horizontal="center" vertical="center" wrapText="1" readingOrder="1"/>
    </xf>
    <xf numFmtId="49" fontId="13" fillId="0" borderId="38" xfId="0" applyNumberFormat="1" applyFont="1" applyBorder="1" applyAlignment="1" applyProtection="1">
      <alignment horizontal="center" vertical="center" wrapText="1" readingOrder="1"/>
    </xf>
    <xf numFmtId="49" fontId="13" fillId="0" borderId="28" xfId="0" applyNumberFormat="1" applyFont="1" applyBorder="1" applyAlignment="1" applyProtection="1">
      <alignment horizontal="center" vertical="center" wrapText="1" readingOrder="1"/>
    </xf>
    <xf numFmtId="49" fontId="13" fillId="0" borderId="44" xfId="0" applyNumberFormat="1" applyFont="1" applyBorder="1" applyAlignment="1" applyProtection="1">
      <alignment horizontal="center" vertical="center" wrapText="1" readingOrder="1"/>
    </xf>
    <xf numFmtId="49" fontId="13" fillId="0" borderId="62" xfId="0" applyNumberFormat="1" applyFont="1" applyBorder="1" applyAlignment="1" applyProtection="1">
      <alignment horizontal="center" vertical="center" wrapText="1" readingOrder="1"/>
    </xf>
    <xf numFmtId="49" fontId="7" fillId="0" borderId="63" xfId="0" applyNumberFormat="1" applyFont="1" applyBorder="1" applyAlignment="1" applyProtection="1">
      <alignment horizontal="center" vertical="center" wrapText="1" readingOrder="1"/>
    </xf>
    <xf numFmtId="49" fontId="7" fillId="0" borderId="39" xfId="0" applyNumberFormat="1" applyFont="1" applyBorder="1" applyAlignment="1" applyProtection="1">
      <alignment horizontal="center" vertical="center" wrapText="1" readingOrder="1"/>
    </xf>
    <xf numFmtId="49" fontId="7" fillId="0" borderId="43" xfId="0" applyNumberFormat="1" applyFont="1" applyBorder="1" applyAlignment="1" applyProtection="1">
      <alignment horizontal="center" vertical="center" wrapText="1" readingOrder="1"/>
    </xf>
    <xf numFmtId="49" fontId="13" fillId="0" borderId="46" xfId="0" applyNumberFormat="1" applyFont="1" applyBorder="1" applyAlignment="1" applyProtection="1">
      <alignment horizontal="center" vertical="center" wrapText="1" readingOrder="1"/>
    </xf>
    <xf numFmtId="49" fontId="13" fillId="0" borderId="68" xfId="0" applyNumberFormat="1" applyFont="1" applyBorder="1" applyAlignment="1" applyProtection="1">
      <alignment horizontal="center" vertical="center" wrapText="1" readingOrder="1"/>
    </xf>
    <xf numFmtId="49" fontId="13" fillId="0" borderId="61" xfId="0" applyNumberFormat="1" applyFont="1" applyBorder="1" applyAlignment="1" applyProtection="1">
      <alignment horizontal="center" vertical="center" wrapText="1" readingOrder="1"/>
    </xf>
    <xf numFmtId="49" fontId="13" fillId="0" borderId="94" xfId="0" applyNumberFormat="1" applyFont="1" applyBorder="1" applyAlignment="1" applyProtection="1">
      <alignment horizontal="center" vertical="center" wrapText="1" readingOrder="1"/>
    </xf>
    <xf numFmtId="49" fontId="13" fillId="0" borderId="47" xfId="0" applyNumberFormat="1" applyFont="1" applyBorder="1" applyAlignment="1" applyProtection="1">
      <alignment horizontal="center" vertical="center" wrapText="1" readingOrder="1"/>
    </xf>
    <xf numFmtId="49" fontId="13" fillId="0" borderId="64" xfId="0" applyNumberFormat="1" applyFont="1" applyBorder="1" applyAlignment="1" applyProtection="1">
      <alignment horizontal="center" vertical="center" wrapText="1" readingOrder="1"/>
    </xf>
    <xf numFmtId="0" fontId="13" fillId="0" borderId="63" xfId="0" applyNumberFormat="1" applyFont="1" applyBorder="1" applyAlignment="1" applyProtection="1">
      <alignment horizontal="center" vertical="center" wrapText="1" readingOrder="1"/>
    </xf>
    <xf numFmtId="49" fontId="13" fillId="0" borderId="39" xfId="0" applyNumberFormat="1" applyFont="1" applyBorder="1" applyAlignment="1" applyProtection="1">
      <alignment horizontal="center" vertical="center" wrapText="1" readingOrder="1"/>
    </xf>
    <xf numFmtId="0" fontId="13" fillId="0" borderId="38" xfId="0" applyFont="1" applyBorder="1" applyAlignment="1" applyProtection="1">
      <alignment horizontal="left" vertical="center" wrapText="1" readingOrder="1"/>
    </xf>
    <xf numFmtId="0" fontId="13" fillId="0" borderId="28" xfId="0" applyFont="1" applyBorder="1" applyAlignment="1" applyProtection="1">
      <alignment horizontal="left" vertical="center" wrapText="1" readingOrder="1"/>
    </xf>
    <xf numFmtId="0" fontId="13" fillId="0" borderId="44" xfId="0" applyFont="1" applyBorder="1" applyAlignment="1" applyProtection="1">
      <alignment horizontal="left" vertical="center" wrapText="1" readingOrder="1"/>
    </xf>
    <xf numFmtId="49" fontId="13" fillId="0" borderId="43" xfId="0" applyNumberFormat="1" applyFont="1" applyBorder="1" applyAlignment="1" applyProtection="1">
      <alignment horizontal="center" vertical="center" wrapText="1" readingOrder="1"/>
    </xf>
    <xf numFmtId="49" fontId="13" fillId="0" borderId="63" xfId="0" applyNumberFormat="1" applyFont="1" applyBorder="1" applyAlignment="1" applyProtection="1">
      <alignment horizontal="center" vertical="center" wrapText="1" readingOrder="1"/>
    </xf>
    <xf numFmtId="0" fontId="94" fillId="0" borderId="38" xfId="0" applyFont="1" applyBorder="1" applyAlignment="1">
      <alignment horizontal="center" vertical="center"/>
    </xf>
    <xf numFmtId="0" fontId="94" fillId="0" borderId="28" xfId="0" applyFont="1" applyBorder="1" applyAlignment="1">
      <alignment horizontal="center" vertical="center"/>
    </xf>
    <xf numFmtId="0" fontId="94" fillId="0" borderId="44" xfId="0" applyFont="1" applyBorder="1" applyAlignment="1">
      <alignment horizontal="center" vertical="center"/>
    </xf>
    <xf numFmtId="0" fontId="13" fillId="0" borderId="39" xfId="0" applyNumberFormat="1" applyFont="1" applyBorder="1" applyAlignment="1" applyProtection="1">
      <alignment horizontal="center" vertical="center" wrapText="1" readingOrder="1"/>
    </xf>
    <xf numFmtId="0" fontId="13" fillId="0" borderId="20" xfId="0" applyFont="1" applyBorder="1" applyAlignment="1" applyProtection="1">
      <alignment vertical="center" wrapText="1"/>
    </xf>
    <xf numFmtId="1" fontId="25" fillId="71" borderId="38" xfId="0" applyNumberFormat="1" applyFont="1" applyFill="1" applyBorder="1" applyAlignment="1" applyProtection="1">
      <alignment horizontal="center" vertical="center"/>
    </xf>
    <xf numFmtId="1" fontId="0" fillId="71" borderId="28" xfId="0" applyNumberFormat="1" applyFill="1" applyBorder="1" applyAlignment="1" applyProtection="1">
      <alignment horizontal="center" vertical="center"/>
    </xf>
    <xf numFmtId="1" fontId="0" fillId="71" borderId="44" xfId="0" applyNumberFormat="1" applyFill="1" applyBorder="1" applyAlignment="1" applyProtection="1">
      <alignment horizontal="center" vertical="center"/>
    </xf>
    <xf numFmtId="0" fontId="28" fillId="0" borderId="45" xfId="0" applyFont="1" applyBorder="1" applyAlignment="1" applyProtection="1">
      <alignment horizontal="center" vertical="center"/>
    </xf>
    <xf numFmtId="0" fontId="28" fillId="0" borderId="26" xfId="0" applyFont="1" applyBorder="1" applyAlignment="1" applyProtection="1">
      <alignment horizontal="center" vertical="center"/>
    </xf>
    <xf numFmtId="0" fontId="21" fillId="72" borderId="38" xfId="0" applyNumberFormat="1" applyFont="1" applyFill="1" applyBorder="1" applyAlignment="1" applyProtection="1">
      <alignment horizontal="left" vertical="center" wrapText="1"/>
      <protection locked="0"/>
    </xf>
    <xf numFmtId="0" fontId="16" fillId="86" borderId="20" xfId="0" applyFont="1" applyFill="1" applyBorder="1" applyAlignment="1" applyProtection="1">
      <alignment horizontal="left" vertical="center" wrapText="1"/>
      <protection locked="0"/>
    </xf>
    <xf numFmtId="9" fontId="60" fillId="0" borderId="20" xfId="0" applyNumberFormat="1" applyFont="1" applyBorder="1" applyAlignment="1" applyProtection="1">
      <alignment horizontal="center" vertical="center" wrapText="1" readingOrder="1"/>
    </xf>
    <xf numFmtId="0" fontId="28" fillId="0" borderId="38" xfId="0" applyFont="1" applyFill="1" applyBorder="1" applyAlignment="1" applyProtection="1">
      <alignment horizontal="center" vertical="center" wrapText="1"/>
    </xf>
    <xf numFmtId="0" fontId="21" fillId="0" borderId="44" xfId="0" applyFont="1" applyFill="1" applyBorder="1" applyAlignment="1" applyProtection="1">
      <alignment horizontal="center" vertical="center" wrapText="1"/>
    </xf>
    <xf numFmtId="0" fontId="7" fillId="82" borderId="46" xfId="372" applyFont="1" applyFill="1" applyBorder="1" applyAlignment="1" applyProtection="1">
      <alignment horizontal="left" vertical="center" wrapText="1" readingOrder="1"/>
    </xf>
    <xf numFmtId="0" fontId="7" fillId="82" borderId="68" xfId="372" applyFont="1" applyFill="1" applyBorder="1" applyAlignment="1" applyProtection="1">
      <alignment horizontal="left" vertical="center" wrapText="1" readingOrder="1"/>
    </xf>
    <xf numFmtId="0" fontId="7" fillId="82" borderId="61" xfId="372" applyFont="1" applyFill="1" applyBorder="1" applyAlignment="1" applyProtection="1">
      <alignment horizontal="left" vertical="center" wrapText="1" readingOrder="1"/>
    </xf>
    <xf numFmtId="0" fontId="7" fillId="82" borderId="94" xfId="372" applyFont="1" applyFill="1" applyBorder="1" applyAlignment="1" applyProtection="1">
      <alignment horizontal="left" vertical="center" wrapText="1" readingOrder="1"/>
    </xf>
    <xf numFmtId="0" fontId="7" fillId="82" borderId="47" xfId="372" applyFont="1" applyFill="1" applyBorder="1" applyAlignment="1" applyProtection="1">
      <alignment horizontal="left" vertical="center" wrapText="1" readingOrder="1"/>
    </xf>
    <xf numFmtId="0" fontId="7" fillId="82" borderId="64" xfId="372" applyFont="1" applyFill="1" applyBorder="1" applyAlignment="1" applyProtection="1">
      <alignment horizontal="left" vertical="center" wrapText="1" readingOrder="1"/>
    </xf>
    <xf numFmtId="0" fontId="7" fillId="0" borderId="46" xfId="372" applyFont="1" applyBorder="1" applyAlignment="1" applyProtection="1">
      <alignment horizontal="left" vertical="center" wrapText="1" readingOrder="1"/>
    </xf>
    <xf numFmtId="0" fontId="7" fillId="0" borderId="68" xfId="372" applyFont="1" applyBorder="1" applyAlignment="1" applyProtection="1">
      <alignment horizontal="left" vertical="center" wrapText="1" readingOrder="1"/>
    </xf>
    <xf numFmtId="0" fontId="7" fillId="0" borderId="61" xfId="372" applyFont="1" applyBorder="1" applyAlignment="1" applyProtection="1">
      <alignment horizontal="left" vertical="center" wrapText="1" readingOrder="1"/>
    </xf>
    <xf numFmtId="0" fontId="7" fillId="0" borderId="94" xfId="372" applyFont="1" applyBorder="1" applyAlignment="1" applyProtection="1">
      <alignment horizontal="left" vertical="center" wrapText="1" readingOrder="1"/>
    </xf>
    <xf numFmtId="0" fontId="7" fillId="0" borderId="47" xfId="372" applyFont="1" applyBorder="1" applyAlignment="1" applyProtection="1">
      <alignment horizontal="left" vertical="center" wrapText="1" readingOrder="1"/>
    </xf>
    <xf numFmtId="0" fontId="7" fillId="0" borderId="64" xfId="372" applyFont="1" applyBorder="1" applyAlignment="1" applyProtection="1">
      <alignment horizontal="left" vertical="center" wrapText="1" readingOrder="1"/>
    </xf>
    <xf numFmtId="0" fontId="21" fillId="0" borderId="68" xfId="0" applyFont="1" applyBorder="1" applyAlignment="1" applyProtection="1">
      <alignment horizontal="center" vertical="center" wrapText="1"/>
    </xf>
    <xf numFmtId="0" fontId="21" fillId="0" borderId="47" xfId="0" applyFont="1" applyBorder="1" applyAlignment="1" applyProtection="1">
      <alignment horizontal="center" vertical="center" wrapText="1"/>
    </xf>
    <xf numFmtId="0" fontId="21" fillId="0" borderId="64" xfId="0" applyFont="1" applyBorder="1" applyAlignment="1" applyProtection="1">
      <alignment horizontal="center" vertical="center" wrapText="1"/>
    </xf>
    <xf numFmtId="0" fontId="21" fillId="72" borderId="52" xfId="0" quotePrefix="1" applyFont="1" applyFill="1" applyBorder="1" applyAlignment="1" applyProtection="1">
      <alignment horizontal="left" vertical="center" wrapText="1"/>
      <protection locked="0"/>
    </xf>
    <xf numFmtId="0" fontId="21" fillId="72" borderId="53" xfId="0" applyFont="1" applyFill="1" applyBorder="1" applyAlignment="1" applyProtection="1">
      <alignment horizontal="left" vertical="center" wrapText="1"/>
      <protection locked="0"/>
    </xf>
    <xf numFmtId="0" fontId="21" fillId="72" borderId="54" xfId="0" applyFont="1" applyFill="1" applyBorder="1" applyAlignment="1" applyProtection="1">
      <alignment horizontal="left" vertical="center" wrapText="1"/>
      <protection locked="0"/>
    </xf>
    <xf numFmtId="0" fontId="21" fillId="72" borderId="52" xfId="0" applyFont="1" applyFill="1" applyBorder="1" applyAlignment="1" applyProtection="1">
      <alignment horizontal="left" vertical="center" wrapText="1"/>
      <protection locked="0"/>
    </xf>
    <xf numFmtId="0" fontId="57" fillId="85" borderId="38" xfId="0" applyFont="1" applyFill="1" applyBorder="1" applyAlignment="1" applyProtection="1">
      <alignment horizontal="center" vertical="center" wrapText="1"/>
    </xf>
    <xf numFmtId="0" fontId="57" fillId="85" borderId="28" xfId="0" applyFont="1" applyFill="1" applyBorder="1" applyAlignment="1" applyProtection="1">
      <alignment horizontal="center" vertical="center" wrapText="1"/>
    </xf>
    <xf numFmtId="0" fontId="57" fillId="85" borderId="44" xfId="0" applyFont="1" applyFill="1" applyBorder="1" applyAlignment="1" applyProtection="1">
      <alignment horizontal="center" vertical="center" wrapText="1"/>
    </xf>
    <xf numFmtId="0" fontId="0" fillId="0" borderId="20" xfId="0" applyFont="1" applyBorder="1" applyAlignment="1">
      <alignment horizontal="left" vertical="center" wrapText="1" readingOrder="1"/>
    </xf>
    <xf numFmtId="9" fontId="105" fillId="0" borderId="38" xfId="0" applyNumberFormat="1" applyFont="1" applyBorder="1" applyAlignment="1">
      <alignment horizontal="center" vertical="center" wrapText="1" readingOrder="1"/>
    </xf>
    <xf numFmtId="0" fontId="16" fillId="72" borderId="38" xfId="0" quotePrefix="1" applyFont="1" applyFill="1" applyBorder="1" applyAlignment="1" applyProtection="1">
      <alignment horizontal="left" vertical="center" wrapText="1"/>
      <protection locked="0"/>
    </xf>
    <xf numFmtId="0" fontId="16" fillId="72" borderId="28" xfId="0" applyFont="1" applyFill="1" applyBorder="1" applyAlignment="1" applyProtection="1">
      <alignment horizontal="left" vertical="center" wrapText="1"/>
      <protection locked="0"/>
    </xf>
    <xf numFmtId="0" fontId="16" fillId="72" borderId="44" xfId="0" applyFont="1" applyFill="1" applyBorder="1" applyAlignment="1" applyProtection="1">
      <alignment horizontal="left" vertical="center" wrapText="1"/>
      <protection locked="0"/>
    </xf>
    <xf numFmtId="0" fontId="13" fillId="0" borderId="46" xfId="0" applyFont="1" applyBorder="1" applyAlignment="1" applyProtection="1">
      <alignment horizontal="left" vertical="center" wrapText="1" readingOrder="1"/>
    </xf>
    <xf numFmtId="0" fontId="13" fillId="0" borderId="68" xfId="0" applyFont="1" applyBorder="1" applyAlignment="1" applyProtection="1">
      <alignment horizontal="left" vertical="center" wrapText="1" readingOrder="1"/>
    </xf>
    <xf numFmtId="0" fontId="13" fillId="0" borderId="94" xfId="0" applyFont="1" applyBorder="1" applyAlignment="1" applyProtection="1">
      <alignment horizontal="left" vertical="center" wrapText="1" readingOrder="1"/>
    </xf>
    <xf numFmtId="0" fontId="13" fillId="0" borderId="64" xfId="0" applyFont="1" applyBorder="1" applyAlignment="1" applyProtection="1">
      <alignment horizontal="left" vertical="center" wrapText="1" readingOrder="1"/>
    </xf>
    <xf numFmtId="0" fontId="60" fillId="0" borderId="46" xfId="0" applyFont="1" applyBorder="1" applyAlignment="1" applyProtection="1">
      <alignment horizontal="center" vertical="center" wrapText="1" readingOrder="1"/>
    </xf>
    <xf numFmtId="0" fontId="60" fillId="0" borderId="68" xfId="0" applyFont="1" applyBorder="1" applyAlignment="1" applyProtection="1">
      <alignment horizontal="center" vertical="center" wrapText="1" readingOrder="1"/>
    </xf>
    <xf numFmtId="0" fontId="60" fillId="0" borderId="61" xfId="0" applyFont="1" applyBorder="1" applyAlignment="1" applyProtection="1">
      <alignment horizontal="center" vertical="center" wrapText="1" readingOrder="1"/>
    </xf>
    <xf numFmtId="0" fontId="60" fillId="0" borderId="94" xfId="0" applyFont="1" applyBorder="1" applyAlignment="1" applyProtection="1">
      <alignment horizontal="center" vertical="center" wrapText="1" readingOrder="1"/>
    </xf>
    <xf numFmtId="0" fontId="60" fillId="0" borderId="47" xfId="0" applyFont="1" applyBorder="1" applyAlignment="1" applyProtection="1">
      <alignment horizontal="center" vertical="center" wrapText="1" readingOrder="1"/>
    </xf>
    <xf numFmtId="0" fontId="60" fillId="0" borderId="64" xfId="0" applyFont="1" applyBorder="1" applyAlignment="1" applyProtection="1">
      <alignment horizontal="center" vertical="center" wrapText="1" readingOrder="1"/>
    </xf>
    <xf numFmtId="0" fontId="13" fillId="0" borderId="46" xfId="0" applyNumberFormat="1" applyFont="1" applyBorder="1" applyAlignment="1" applyProtection="1">
      <alignment horizontal="center" vertical="center" wrapText="1" readingOrder="1"/>
    </xf>
    <xf numFmtId="49" fontId="24" fillId="0" borderId="38" xfId="0" applyNumberFormat="1" applyFont="1" applyBorder="1" applyAlignment="1" applyProtection="1">
      <alignment horizontal="center" vertical="center" wrapText="1" readingOrder="1"/>
    </xf>
    <xf numFmtId="0" fontId="61" fillId="0" borderId="38" xfId="0" applyFont="1" applyBorder="1" applyAlignment="1" applyProtection="1">
      <alignment horizontal="center" vertical="center" wrapText="1" readingOrder="1"/>
    </xf>
    <xf numFmtId="0" fontId="61" fillId="0" borderId="28" xfId="0" applyFont="1" applyBorder="1" applyAlignment="1" applyProtection="1">
      <alignment horizontal="center" vertical="center" wrapText="1" readingOrder="1"/>
    </xf>
    <xf numFmtId="0" fontId="61" fillId="0" borderId="44" xfId="0" applyFont="1" applyBorder="1" applyAlignment="1" applyProtection="1">
      <alignment horizontal="center" vertical="center" wrapText="1" readingOrder="1"/>
    </xf>
    <xf numFmtId="0" fontId="13" fillId="0" borderId="20" xfId="0" applyFont="1" applyFill="1" applyBorder="1" applyAlignment="1" applyProtection="1">
      <alignment horizontal="left" vertical="center" wrapText="1" readingOrder="1"/>
    </xf>
    <xf numFmtId="0" fontId="0" fillId="0" borderId="20" xfId="0" applyFont="1" applyFill="1" applyBorder="1" applyAlignment="1">
      <alignment horizontal="left" vertical="center" wrapText="1" readingOrder="1"/>
    </xf>
    <xf numFmtId="0" fontId="60" fillId="0" borderId="20" xfId="0" applyFont="1" applyFill="1" applyBorder="1" applyAlignment="1" applyProtection="1">
      <alignment horizontal="center" vertical="center" wrapText="1" readingOrder="1"/>
    </xf>
    <xf numFmtId="0" fontId="105" fillId="0" borderId="20" xfId="0" applyFont="1" applyFill="1" applyBorder="1" applyAlignment="1">
      <alignment horizontal="center" vertical="center" wrapText="1" readingOrder="1"/>
    </xf>
    <xf numFmtId="9" fontId="61" fillId="0" borderId="20" xfId="0" applyNumberFormat="1" applyFont="1" applyBorder="1" applyAlignment="1" applyProtection="1">
      <alignment horizontal="center" vertical="center" wrapText="1" readingOrder="1"/>
    </xf>
    <xf numFmtId="0" fontId="46" fillId="85" borderId="38" xfId="0" quotePrefix="1" applyFont="1" applyFill="1" applyBorder="1" applyAlignment="1" applyProtection="1">
      <alignment horizontal="center" vertical="center" wrapText="1"/>
    </xf>
    <xf numFmtId="0" fontId="13" fillId="0" borderId="38" xfId="0" applyFont="1" applyBorder="1" applyAlignment="1" applyProtection="1">
      <alignment horizontal="center" vertical="center" wrapText="1"/>
    </xf>
    <xf numFmtId="0" fontId="13" fillId="0" borderId="28" xfId="0" applyFont="1" applyBorder="1" applyAlignment="1" applyProtection="1">
      <alignment horizontal="center" vertical="center" wrapText="1"/>
    </xf>
    <xf numFmtId="0" fontId="13" fillId="0" borderId="44" xfId="0" applyFont="1" applyBorder="1" applyAlignment="1" applyProtection="1">
      <alignment horizontal="center" vertical="center" wrapText="1"/>
    </xf>
    <xf numFmtId="0" fontId="96" fillId="0" borderId="0" xfId="0" applyFont="1" applyFill="1" applyAlignment="1" applyProtection="1">
      <alignment horizontal="left"/>
    </xf>
    <xf numFmtId="0" fontId="10" fillId="30" borderId="23" xfId="513" applyFont="1" applyFill="1" applyBorder="1" applyAlignment="1" applyProtection="1">
      <alignment horizontal="left" vertical="center"/>
    </xf>
    <xf numFmtId="0" fontId="10" fillId="30" borderId="24" xfId="513" applyFont="1" applyFill="1" applyBorder="1" applyAlignment="1" applyProtection="1">
      <alignment horizontal="left" vertical="center"/>
    </xf>
    <xf numFmtId="0" fontId="10" fillId="30" borderId="25" xfId="513" applyFont="1" applyFill="1" applyBorder="1" applyAlignment="1" applyProtection="1">
      <alignment horizontal="left" vertical="center"/>
    </xf>
    <xf numFmtId="0" fontId="100" fillId="0" borderId="22" xfId="0" applyFont="1" applyBorder="1" applyAlignment="1">
      <alignment horizontal="center" vertical="center" wrapText="1"/>
    </xf>
    <xf numFmtId="0" fontId="100" fillId="0" borderId="40" xfId="0" applyFont="1" applyBorder="1" applyAlignment="1">
      <alignment horizontal="center" vertical="center" wrapText="1"/>
    </xf>
    <xf numFmtId="0" fontId="100" fillId="0" borderId="23" xfId="0" applyFont="1" applyBorder="1" applyAlignment="1">
      <alignment horizontal="center" vertical="center" wrapText="1"/>
    </xf>
    <xf numFmtId="0" fontId="94" fillId="0" borderId="22" xfId="0" applyFont="1" applyBorder="1" applyAlignment="1">
      <alignment horizontal="center" vertical="center" wrapText="1"/>
    </xf>
    <xf numFmtId="0" fontId="100" fillId="0" borderId="18" xfId="0" applyFont="1" applyBorder="1" applyAlignment="1">
      <alignment horizontal="center" vertical="center" wrapText="1"/>
    </xf>
    <xf numFmtId="0" fontId="0" fillId="0" borderId="24" xfId="0" applyBorder="1" applyAlignment="1">
      <alignment vertical="center"/>
    </xf>
    <xf numFmtId="0" fontId="100" fillId="0" borderId="0" xfId="0" applyFont="1" applyBorder="1" applyAlignment="1">
      <alignment horizontal="center" vertical="center" wrapText="1"/>
    </xf>
    <xf numFmtId="0" fontId="13" fillId="0" borderId="23" xfId="0" applyFont="1" applyFill="1" applyBorder="1" applyAlignment="1">
      <alignment horizontal="center" vertical="center"/>
    </xf>
    <xf numFmtId="0" fontId="13" fillId="0" borderId="24" xfId="0" applyFont="1" applyFill="1" applyBorder="1" applyAlignment="1">
      <alignment horizontal="center" vertical="center"/>
    </xf>
    <xf numFmtId="0" fontId="13" fillId="0" borderId="25" xfId="0" applyFont="1" applyFill="1" applyBorder="1" applyAlignment="1">
      <alignment horizontal="center" vertical="center"/>
    </xf>
    <xf numFmtId="0" fontId="13" fillId="29" borderId="23" xfId="0" applyFont="1" applyFill="1" applyBorder="1" applyAlignment="1" applyProtection="1">
      <alignment horizontal="center" vertical="center" wrapText="1"/>
    </xf>
    <xf numFmtId="0" fontId="13" fillId="29" borderId="24" xfId="0" applyFont="1" applyFill="1" applyBorder="1" applyAlignment="1" applyProtection="1">
      <alignment horizontal="center" vertical="center" wrapText="1"/>
    </xf>
    <xf numFmtId="0" fontId="13" fillId="29" borderId="25" xfId="0" applyFont="1" applyFill="1" applyBorder="1" applyAlignment="1" applyProtection="1">
      <alignment horizontal="center" vertical="center" wrapText="1"/>
    </xf>
    <xf numFmtId="0" fontId="16" fillId="0" borderId="99" xfId="0" applyFont="1" applyBorder="1" applyAlignment="1" applyProtection="1">
      <alignment horizontal="center" textRotation="90" wrapText="1"/>
    </xf>
    <xf numFmtId="0" fontId="16" fillId="0" borderId="79" xfId="0" applyFont="1" applyBorder="1" applyAlignment="1" applyProtection="1">
      <alignment horizontal="center" textRotation="90" wrapText="1"/>
    </xf>
    <xf numFmtId="14" fontId="28" fillId="30" borderId="23" xfId="0" applyNumberFormat="1" applyFont="1" applyFill="1" applyBorder="1" applyAlignment="1" applyProtection="1">
      <alignment horizontal="center" vertical="center"/>
    </xf>
    <xf numFmtId="14" fontId="28" fillId="30" borderId="24" xfId="0" applyNumberFormat="1" applyFont="1" applyFill="1" applyBorder="1" applyAlignment="1" applyProtection="1">
      <alignment horizontal="center" vertical="center"/>
    </xf>
    <xf numFmtId="14" fontId="28" fillId="30" borderId="25" xfId="0" applyNumberFormat="1" applyFont="1" applyFill="1" applyBorder="1" applyAlignment="1" applyProtection="1">
      <alignment horizontal="center" vertical="center"/>
    </xf>
    <xf numFmtId="0" fontId="13" fillId="32" borderId="23" xfId="0" applyFont="1" applyFill="1" applyBorder="1" applyAlignment="1" applyProtection="1">
      <alignment horizontal="center" vertical="center" wrapText="1"/>
    </xf>
    <xf numFmtId="0" fontId="13" fillId="32" borderId="24" xfId="0" applyFont="1" applyFill="1" applyBorder="1" applyAlignment="1" applyProtection="1">
      <alignment horizontal="center" vertical="center" wrapText="1"/>
    </xf>
    <xf numFmtId="0" fontId="13" fillId="32" borderId="25" xfId="0" applyFont="1" applyFill="1" applyBorder="1" applyAlignment="1" applyProtection="1">
      <alignment horizontal="center" vertical="center" wrapText="1"/>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5" xfId="0" applyFont="1" applyBorder="1" applyAlignment="1">
      <alignment horizontal="center" vertical="center"/>
    </xf>
    <xf numFmtId="0" fontId="21" fillId="28" borderId="21" xfId="0" applyFont="1" applyFill="1" applyBorder="1" applyAlignment="1" applyProtection="1">
      <alignment horizontal="center" vertical="center" wrapText="1"/>
    </xf>
    <xf numFmtId="0" fontId="21" fillId="28" borderId="93" xfId="0" applyFont="1" applyFill="1" applyBorder="1" applyAlignment="1" applyProtection="1">
      <alignment horizontal="center" vertical="center" wrapText="1"/>
    </xf>
    <xf numFmtId="0" fontId="21" fillId="28" borderId="92" xfId="0" applyFont="1" applyFill="1" applyBorder="1" applyAlignment="1" applyProtection="1">
      <alignment horizontal="center" vertical="center" wrapText="1"/>
    </xf>
    <xf numFmtId="0" fontId="25" fillId="0" borderId="23" xfId="0" applyFont="1" applyBorder="1" applyAlignment="1">
      <alignment horizontal="center" vertical="center"/>
    </xf>
    <xf numFmtId="0" fontId="25" fillId="0" borderId="24" xfId="0" applyFont="1" applyBorder="1" applyAlignment="1">
      <alignment horizontal="center" vertical="center"/>
    </xf>
    <xf numFmtId="0" fontId="25" fillId="0" borderId="25" xfId="0" applyFont="1" applyBorder="1" applyAlignment="1">
      <alignment horizontal="center" vertical="center"/>
    </xf>
    <xf numFmtId="0" fontId="25" fillId="0" borderId="23" xfId="0" applyFont="1" applyBorder="1" applyAlignment="1" applyProtection="1">
      <alignment horizontal="center" vertical="center"/>
    </xf>
    <xf numFmtId="0" fontId="25" fillId="0" borderId="24" xfId="0" applyFont="1" applyBorder="1" applyAlignment="1" applyProtection="1">
      <alignment horizontal="center" vertical="center"/>
    </xf>
    <xf numFmtId="0" fontId="25" fillId="0" borderId="25" xfId="0" applyFont="1" applyBorder="1" applyAlignment="1" applyProtection="1">
      <alignment horizontal="center" vertical="center"/>
    </xf>
    <xf numFmtId="14" fontId="21" fillId="0" borderId="0" xfId="0" applyNumberFormat="1" applyFont="1" applyFill="1" applyBorder="1" applyAlignment="1" applyProtection="1">
      <alignment horizontal="center" vertical="center"/>
    </xf>
    <xf numFmtId="0" fontId="16" fillId="0" borderId="68" xfId="0" applyFont="1" applyBorder="1" applyAlignment="1" applyProtection="1">
      <alignment horizontal="center" textRotation="90" wrapText="1"/>
    </xf>
    <xf numFmtId="0" fontId="16" fillId="0" borderId="64" xfId="0" applyFont="1" applyBorder="1" applyAlignment="1" applyProtection="1">
      <alignment horizontal="center" textRotation="90" wrapText="1"/>
    </xf>
    <xf numFmtId="0" fontId="10" fillId="0" borderId="46" xfId="0" applyFont="1" applyBorder="1" applyAlignment="1" applyProtection="1">
      <alignment horizontal="center" textRotation="90" wrapText="1"/>
    </xf>
    <xf numFmtId="0" fontId="10" fillId="0" borderId="47" xfId="0" applyFont="1" applyBorder="1" applyAlignment="1" applyProtection="1">
      <alignment horizontal="center" textRotation="90" wrapText="1"/>
    </xf>
    <xf numFmtId="0" fontId="21" fillId="29" borderId="59" xfId="0" applyFont="1" applyFill="1" applyBorder="1" applyAlignment="1" applyProtection="1">
      <alignment horizontal="center" vertical="center"/>
    </xf>
    <xf numFmtId="0" fontId="21" fillId="29" borderId="91" xfId="0" applyFont="1" applyFill="1" applyBorder="1" applyAlignment="1" applyProtection="1">
      <alignment horizontal="center" vertical="center"/>
    </xf>
    <xf numFmtId="0" fontId="21" fillId="29" borderId="93" xfId="0" applyFont="1" applyFill="1" applyBorder="1" applyAlignment="1" applyProtection="1">
      <alignment horizontal="center" vertical="center" wrapText="1"/>
    </xf>
    <xf numFmtId="0" fontId="21" fillId="29" borderId="92" xfId="0" applyFont="1" applyFill="1" applyBorder="1" applyAlignment="1" applyProtection="1">
      <alignment horizontal="center" vertical="center" wrapText="1"/>
    </xf>
    <xf numFmtId="0" fontId="10" fillId="27" borderId="75" xfId="0" applyFont="1" applyFill="1" applyBorder="1" applyAlignment="1" applyProtection="1">
      <alignment horizontal="center" vertical="center" wrapText="1"/>
    </xf>
    <xf numFmtId="0" fontId="10" fillId="27" borderId="97" xfId="0" applyFont="1" applyFill="1" applyBorder="1" applyAlignment="1" applyProtection="1">
      <alignment horizontal="center" vertical="center" wrapText="1"/>
    </xf>
    <xf numFmtId="0" fontId="13" fillId="28" borderId="23" xfId="0" applyFont="1" applyFill="1" applyBorder="1" applyAlignment="1" applyProtection="1">
      <alignment horizontal="center" vertical="center" wrapText="1"/>
    </xf>
    <xf numFmtId="0" fontId="13" fillId="28" borderId="24" xfId="0" applyFont="1" applyFill="1" applyBorder="1" applyAlignment="1" applyProtection="1">
      <alignment horizontal="center" vertical="center" wrapText="1"/>
    </xf>
    <xf numFmtId="0" fontId="13" fillId="28" borderId="25" xfId="0" applyFont="1" applyFill="1" applyBorder="1" applyAlignment="1" applyProtection="1">
      <alignment horizontal="center" vertical="center" wrapText="1"/>
    </xf>
    <xf numFmtId="0" fontId="13" fillId="0" borderId="0" xfId="0" applyFont="1" applyFill="1" applyAlignment="1" applyProtection="1">
      <alignment horizontal="left" vertical="center" wrapText="1"/>
    </xf>
    <xf numFmtId="0" fontId="13" fillId="0" borderId="0" xfId="0" applyFont="1" applyFill="1" applyAlignment="1" applyProtection="1">
      <alignment horizontal="left" vertical="center"/>
    </xf>
    <xf numFmtId="0" fontId="21" fillId="32" borderId="19" xfId="0" applyFont="1" applyFill="1" applyBorder="1" applyAlignment="1" applyProtection="1">
      <alignment horizontal="center" vertical="center"/>
    </xf>
    <xf numFmtId="0" fontId="21" fillId="32" borderId="91" xfId="0" applyFont="1" applyFill="1" applyBorder="1" applyAlignment="1" applyProtection="1">
      <alignment horizontal="center" vertical="center"/>
    </xf>
    <xf numFmtId="0" fontId="21" fillId="32" borderId="21" xfId="0" applyFont="1" applyFill="1" applyBorder="1" applyAlignment="1" applyProtection="1">
      <alignment horizontal="center" vertical="center" wrapText="1"/>
    </xf>
    <xf numFmtId="0" fontId="21" fillId="32" borderId="92" xfId="0" applyFont="1" applyFill="1" applyBorder="1" applyAlignment="1" applyProtection="1">
      <alignment horizontal="center" vertical="center" wrapText="1"/>
    </xf>
    <xf numFmtId="0" fontId="10" fillId="27" borderId="98" xfId="0" applyFont="1" applyFill="1" applyBorder="1" applyAlignment="1" applyProtection="1">
      <alignment horizontal="center" vertical="center" wrapText="1"/>
    </xf>
    <xf numFmtId="0" fontId="10" fillId="27" borderId="74" xfId="0" applyFont="1" applyFill="1" applyBorder="1" applyAlignment="1" applyProtection="1">
      <alignment horizontal="center" vertical="center" wrapText="1"/>
    </xf>
    <xf numFmtId="0" fontId="10" fillId="0" borderId="38" xfId="0" applyFont="1" applyBorder="1" applyAlignment="1" applyProtection="1">
      <alignment horizontal="center" textRotation="90" wrapText="1"/>
    </xf>
    <xf numFmtId="0" fontId="0" fillId="0" borderId="44" xfId="0" applyBorder="1"/>
    <xf numFmtId="0" fontId="16" fillId="0" borderId="38" xfId="0" applyFont="1" applyBorder="1" applyAlignment="1" applyProtection="1">
      <alignment horizontal="center" textRotation="90" wrapText="1"/>
    </xf>
    <xf numFmtId="0" fontId="16" fillId="0" borderId="44" xfId="0" applyFont="1" applyBorder="1" applyAlignment="1" applyProtection="1">
      <alignment horizontal="center" textRotation="90" wrapText="1"/>
    </xf>
    <xf numFmtId="0" fontId="21" fillId="31" borderId="22" xfId="0" applyFont="1" applyFill="1" applyBorder="1" applyAlignment="1" applyProtection="1">
      <alignment horizontal="center" vertical="center"/>
    </xf>
    <xf numFmtId="0" fontId="10" fillId="0" borderId="82" xfId="0" applyFont="1" applyBorder="1" applyAlignment="1" applyProtection="1">
      <alignment horizontal="center" textRotation="90" wrapText="1"/>
    </xf>
    <xf numFmtId="0" fontId="10" fillId="0" borderId="96" xfId="0" applyFont="1" applyBorder="1" applyAlignment="1" applyProtection="1">
      <alignment horizontal="center" textRotation="90" wrapText="1"/>
    </xf>
    <xf numFmtId="0" fontId="21" fillId="28" borderId="19" xfId="0" applyFont="1" applyFill="1" applyBorder="1" applyAlignment="1" applyProtection="1">
      <alignment horizontal="center" vertical="center"/>
    </xf>
    <xf numFmtId="0" fontId="21" fillId="28" borderId="59" xfId="0" applyFont="1" applyFill="1" applyBorder="1" applyAlignment="1" applyProtection="1">
      <alignment horizontal="center" vertical="center"/>
    </xf>
    <xf numFmtId="0" fontId="21" fillId="28" borderId="91" xfId="0" applyFont="1" applyFill="1" applyBorder="1" applyAlignment="1" applyProtection="1">
      <alignment horizontal="center" vertical="center"/>
    </xf>
    <xf numFmtId="0" fontId="24" fillId="31" borderId="21" xfId="0" applyFont="1" applyFill="1" applyBorder="1" applyAlignment="1" applyProtection="1">
      <alignment horizontal="center" vertical="center" wrapText="1"/>
    </xf>
    <xf numFmtId="0" fontId="24" fillId="31" borderId="92" xfId="0" applyFont="1" applyFill="1" applyBorder="1" applyAlignment="1" applyProtection="1">
      <alignment horizontal="center" vertical="center" wrapText="1"/>
    </xf>
    <xf numFmtId="0" fontId="16" fillId="66" borderId="76" xfId="0" applyFont="1" applyFill="1" applyBorder="1" applyAlignment="1" applyProtection="1">
      <alignment horizontal="center" vertical="top" wrapText="1"/>
    </xf>
    <xf numFmtId="0" fontId="16" fillId="66" borderId="28" xfId="0" applyFont="1" applyFill="1" applyBorder="1" applyAlignment="1" applyProtection="1">
      <alignment horizontal="center" vertical="top" wrapText="1"/>
    </xf>
    <xf numFmtId="0" fontId="16" fillId="66" borderId="113" xfId="0" applyFont="1" applyFill="1" applyBorder="1" applyAlignment="1" applyProtection="1">
      <alignment horizontal="center" vertical="top" wrapText="1"/>
    </xf>
    <xf numFmtId="0" fontId="16" fillId="66" borderId="76" xfId="0" applyFont="1" applyFill="1" applyBorder="1" applyAlignment="1" applyProtection="1">
      <alignment horizontal="center" vertical="center" wrapText="1"/>
    </xf>
    <xf numFmtId="0" fontId="16" fillId="66" borderId="28" xfId="0" applyFont="1" applyFill="1" applyBorder="1" applyAlignment="1" applyProtection="1">
      <alignment horizontal="center" vertical="center" wrapText="1"/>
    </xf>
    <xf numFmtId="0" fontId="16" fillId="66" borderId="113" xfId="0" applyFont="1" applyFill="1" applyBorder="1" applyAlignment="1" applyProtection="1">
      <alignment horizontal="center" vertical="center" wrapText="1"/>
    </xf>
    <xf numFmtId="3" fontId="7" fillId="73" borderId="23" xfId="0" applyNumberFormat="1" applyFont="1" applyFill="1" applyBorder="1" applyAlignment="1" applyProtection="1">
      <alignment horizontal="center" vertical="center" wrapText="1"/>
    </xf>
    <xf numFmtId="3" fontId="7" fillId="73" borderId="24" xfId="0" applyNumberFormat="1" applyFont="1" applyFill="1" applyBorder="1" applyAlignment="1" applyProtection="1">
      <alignment horizontal="center" vertical="center" wrapText="1"/>
    </xf>
    <xf numFmtId="3" fontId="7" fillId="73" borderId="25" xfId="0" applyNumberFormat="1" applyFont="1" applyFill="1" applyBorder="1" applyAlignment="1" applyProtection="1">
      <alignment horizontal="center" vertical="center" wrapText="1"/>
    </xf>
    <xf numFmtId="0" fontId="25" fillId="87" borderId="23" xfId="0" applyFont="1" applyFill="1" applyBorder="1" applyAlignment="1" applyProtection="1">
      <alignment horizontal="center" vertical="center" wrapText="1"/>
    </xf>
    <xf numFmtId="0" fontId="25" fillId="87" borderId="24" xfId="0" applyFont="1" applyFill="1" applyBorder="1" applyAlignment="1" applyProtection="1">
      <alignment horizontal="center" vertical="center" wrapText="1"/>
    </xf>
    <xf numFmtId="0" fontId="25" fillId="87" borderId="25" xfId="0" applyFont="1" applyFill="1" applyBorder="1" applyAlignment="1" applyProtection="1">
      <alignment horizontal="center" vertical="center" wrapText="1"/>
    </xf>
    <xf numFmtId="0" fontId="13" fillId="0" borderId="18" xfId="0" applyFont="1" applyBorder="1" applyAlignment="1">
      <alignment horizontal="justify" vertical="center"/>
    </xf>
    <xf numFmtId="0" fontId="89" fillId="0" borderId="18" xfId="0" applyFont="1" applyBorder="1" applyAlignment="1">
      <alignment horizontal="justify" vertical="center"/>
    </xf>
    <xf numFmtId="0" fontId="13" fillId="0" borderId="18" xfId="0" applyFont="1" applyFill="1" applyBorder="1" applyAlignment="1">
      <alignment horizontal="justify" vertical="center"/>
    </xf>
    <xf numFmtId="0" fontId="94" fillId="0" borderId="18" xfId="0" applyFont="1" applyBorder="1" applyAlignment="1" applyProtection="1">
      <alignment horizontal="justify" vertical="center"/>
    </xf>
    <xf numFmtId="0" fontId="13" fillId="0" borderId="18" xfId="0" applyFont="1" applyFill="1" applyBorder="1" applyAlignment="1">
      <alignment horizontal="justify" vertical="center" wrapText="1"/>
    </xf>
    <xf numFmtId="0" fontId="89" fillId="0" borderId="18" xfId="0" applyFont="1" applyBorder="1" applyAlignment="1">
      <alignment horizontal="justify" vertical="center" wrapText="1"/>
    </xf>
    <xf numFmtId="0" fontId="89" fillId="0" borderId="22" xfId="0" applyFont="1" applyBorder="1" applyAlignment="1">
      <alignment horizontal="justify" vertical="center" wrapText="1"/>
    </xf>
    <xf numFmtId="0" fontId="112" fillId="0" borderId="0" xfId="0" applyFont="1" applyAlignment="1" applyProtection="1">
      <alignment horizontal="left" vertical="center"/>
    </xf>
    <xf numFmtId="0" fontId="13" fillId="0" borderId="23" xfId="0" applyFont="1" applyFill="1" applyBorder="1" applyAlignment="1">
      <alignment horizontal="left" vertical="center"/>
    </xf>
    <xf numFmtId="0" fontId="13" fillId="0" borderId="24" xfId="0" applyFont="1" applyFill="1" applyBorder="1" applyAlignment="1">
      <alignment horizontal="left" vertical="center"/>
    </xf>
    <xf numFmtId="0" fontId="13" fillId="0" borderId="25" xfId="0" applyFont="1" applyFill="1" applyBorder="1" applyAlignment="1">
      <alignment horizontal="left" vertical="center"/>
    </xf>
    <xf numFmtId="0" fontId="25" fillId="0" borderId="23" xfId="0" applyFont="1" applyBorder="1" applyAlignment="1">
      <alignment horizontal="left" vertical="center"/>
    </xf>
    <xf numFmtId="0" fontId="25" fillId="0" borderId="24" xfId="0" applyFont="1" applyBorder="1" applyAlignment="1">
      <alignment horizontal="left" vertical="center"/>
    </xf>
    <xf numFmtId="0" fontId="25" fillId="0" borderId="25" xfId="0" applyFont="1" applyBorder="1" applyAlignment="1">
      <alignment horizontal="left" vertical="center"/>
    </xf>
    <xf numFmtId="0" fontId="7" fillId="0" borderId="0" xfId="0" applyFont="1" applyFill="1" applyAlignment="1" applyProtection="1">
      <alignment horizontal="justify" vertical="center" wrapText="1"/>
    </xf>
    <xf numFmtId="0" fontId="13" fillId="0" borderId="93" xfId="0" applyFont="1" applyFill="1" applyBorder="1" applyAlignment="1">
      <alignment horizontal="left" vertical="center"/>
    </xf>
    <xf numFmtId="0" fontId="13" fillId="0" borderId="92" xfId="0" applyFont="1" applyFill="1" applyBorder="1" applyAlignment="1">
      <alignment horizontal="left" vertical="center"/>
    </xf>
    <xf numFmtId="0" fontId="20" fillId="0" borderId="22" xfId="0" applyFont="1" applyFill="1" applyBorder="1" applyAlignment="1" applyProtection="1">
      <alignment horizontal="center" vertical="center"/>
    </xf>
    <xf numFmtId="0" fontId="20" fillId="0" borderId="29" xfId="0" applyFont="1" applyFill="1" applyBorder="1" applyAlignment="1" applyProtection="1">
      <alignment horizontal="center" vertical="center"/>
    </xf>
    <xf numFmtId="0" fontId="99" fillId="0" borderId="23" xfId="0" applyFont="1" applyBorder="1" applyAlignment="1" applyProtection="1">
      <alignment horizontal="left" vertical="center" wrapText="1"/>
    </xf>
    <xf numFmtId="0" fontId="99" fillId="0" borderId="25" xfId="0" applyFont="1" applyBorder="1" applyAlignment="1" applyProtection="1">
      <alignment horizontal="left" vertical="center" wrapText="1"/>
    </xf>
    <xf numFmtId="0" fontId="1" fillId="0" borderId="23" xfId="0" applyFont="1" applyFill="1" applyBorder="1" applyAlignment="1" applyProtection="1">
      <alignment horizontal="left" vertical="center" wrapText="1"/>
    </xf>
    <xf numFmtId="0" fontId="99" fillId="0" borderId="25" xfId="0" applyFont="1" applyFill="1" applyBorder="1" applyAlignment="1" applyProtection="1">
      <alignment horizontal="left" vertical="center" wrapText="1"/>
    </xf>
    <xf numFmtId="0" fontId="1" fillId="0" borderId="23" xfId="0" applyFont="1" applyBorder="1" applyAlignment="1" applyProtection="1">
      <alignment horizontal="left" vertical="center" wrapText="1"/>
    </xf>
    <xf numFmtId="0" fontId="99" fillId="0" borderId="23" xfId="0" applyFont="1" applyFill="1" applyBorder="1" applyAlignment="1" applyProtection="1">
      <alignment horizontal="left" vertical="center" wrapText="1"/>
    </xf>
    <xf numFmtId="0" fontId="28" fillId="0" borderId="18" xfId="0" applyFont="1" applyBorder="1" applyAlignment="1" applyProtection="1">
      <alignment horizontal="center" vertical="center"/>
    </xf>
    <xf numFmtId="0" fontId="20" fillId="0" borderId="18" xfId="0" applyFont="1" applyBorder="1" applyAlignment="1">
      <alignment horizontal="center" vertical="center"/>
    </xf>
    <xf numFmtId="0" fontId="28" fillId="0" borderId="19" xfId="0" applyFont="1" applyBorder="1" applyAlignment="1" applyProtection="1">
      <alignment horizontal="center" vertical="center" wrapText="1"/>
    </xf>
    <xf numFmtId="0" fontId="20" fillId="0" borderId="21" xfId="0" applyFont="1" applyBorder="1" applyAlignment="1">
      <alignment horizontal="center" vertical="center"/>
    </xf>
    <xf numFmtId="0" fontId="28" fillId="0" borderId="22" xfId="0" applyFont="1" applyBorder="1" applyAlignment="1" applyProtection="1">
      <alignment horizontal="center" vertical="center" wrapText="1"/>
    </xf>
    <xf numFmtId="0" fontId="28" fillId="0" borderId="29" xfId="0" applyFont="1" applyBorder="1" applyAlignment="1" applyProtection="1">
      <alignment horizontal="center" vertical="center" wrapText="1"/>
    </xf>
    <xf numFmtId="49" fontId="21" fillId="76" borderId="28" xfId="0" applyNumberFormat="1" applyFont="1" applyFill="1" applyBorder="1" applyAlignment="1" applyProtection="1">
      <alignment horizontal="center" vertical="center" wrapText="1"/>
    </xf>
    <xf numFmtId="0" fontId="21" fillId="74" borderId="28" xfId="0" applyFont="1" applyFill="1" applyBorder="1" applyAlignment="1" applyProtection="1">
      <alignment horizontal="center" vertical="center" wrapText="1"/>
    </xf>
    <xf numFmtId="0" fontId="21" fillId="77" borderId="61" xfId="0" applyFont="1" applyFill="1" applyBorder="1" applyAlignment="1" applyProtection="1">
      <alignment horizontal="center" vertical="center" wrapText="1"/>
    </xf>
    <xf numFmtId="0" fontId="101" fillId="74" borderId="0" xfId="0" applyFont="1" applyFill="1" applyAlignment="1">
      <alignment horizontal="center" vertical="center"/>
    </xf>
    <xf numFmtId="0" fontId="21" fillId="82" borderId="23" xfId="0" applyFont="1" applyFill="1" applyBorder="1" applyAlignment="1" applyProtection="1">
      <alignment horizontal="left" vertical="center" wrapText="1"/>
      <protection locked="0"/>
    </xf>
    <xf numFmtId="0" fontId="21" fillId="82" borderId="24" xfId="0" applyFont="1" applyFill="1" applyBorder="1" applyAlignment="1" applyProtection="1">
      <alignment horizontal="left" vertical="center" wrapText="1"/>
      <protection locked="0"/>
    </xf>
    <xf numFmtId="0" fontId="21" fillId="82" borderId="25" xfId="0" applyFont="1" applyFill="1" applyBorder="1" applyAlignment="1" applyProtection="1">
      <alignment horizontal="left" vertical="center" wrapText="1"/>
      <protection locked="0"/>
    </xf>
    <xf numFmtId="0" fontId="21" fillId="82" borderId="18" xfId="0" applyFont="1" applyFill="1" applyBorder="1" applyAlignment="1" applyProtection="1">
      <alignment horizontal="left" vertical="center" wrapText="1"/>
      <protection locked="0"/>
    </xf>
    <xf numFmtId="0" fontId="0" fillId="82" borderId="18" xfId="0" applyFill="1" applyBorder="1" applyAlignment="1" applyProtection="1">
      <alignment horizontal="left" vertical="center"/>
      <protection locked="0"/>
    </xf>
    <xf numFmtId="0" fontId="0" fillId="0" borderId="18" xfId="0" applyBorder="1" applyAlignment="1" applyProtection="1">
      <protection locked="0"/>
    </xf>
    <xf numFmtId="0" fontId="28" fillId="0" borderId="18" xfId="0" applyFont="1" applyBorder="1" applyAlignment="1" applyProtection="1">
      <alignment horizontal="center" vertical="center" wrapText="1"/>
    </xf>
    <xf numFmtId="0" fontId="12" fillId="0" borderId="18" xfId="0" applyFont="1" applyBorder="1" applyAlignment="1" applyProtection="1">
      <alignment horizontal="center" vertical="center"/>
    </xf>
    <xf numFmtId="0" fontId="28" fillId="0" borderId="18" xfId="0" applyFont="1" applyBorder="1" applyAlignment="1" applyProtection="1">
      <alignment horizontal="left" vertical="center" wrapText="1"/>
    </xf>
    <xf numFmtId="0" fontId="12" fillId="0" borderId="18" xfId="0" applyFont="1" applyBorder="1" applyAlignment="1" applyProtection="1">
      <alignment horizontal="left" vertical="center"/>
    </xf>
    <xf numFmtId="0" fontId="0" fillId="0" borderId="18" xfId="0" applyBorder="1" applyAlignment="1"/>
  </cellXfs>
  <cellStyles count="1132">
    <cellStyle name="20 % - Akzent1 2" xfId="1"/>
    <cellStyle name="20 % - Akzent1 2 2" xfId="2"/>
    <cellStyle name="20 % - Akzent1 2 3" xfId="3"/>
    <cellStyle name="20 % - Akzent1 2 3 2" xfId="4"/>
    <cellStyle name="20 % - Akzent1 2 3 2 2" xfId="5"/>
    <cellStyle name="20 % - Akzent1 2 3 2 3" xfId="6"/>
    <cellStyle name="20 % - Akzent1 2 3 3" xfId="7"/>
    <cellStyle name="20 % - Akzent1 2 4" xfId="8"/>
    <cellStyle name="20 % - Akzent1 3" xfId="9"/>
    <cellStyle name="20 % - Akzent1 3 2" xfId="10"/>
    <cellStyle name="20 % - Akzent1 3 2 2" xfId="584"/>
    <cellStyle name="20 % - Akzent1 3 2 3" xfId="585"/>
    <cellStyle name="20 % - Akzent1 3 2 4" xfId="586"/>
    <cellStyle name="20 % - Akzent1 3 3" xfId="11"/>
    <cellStyle name="20 % - Akzent1 3 4" xfId="587"/>
    <cellStyle name="20 % - Akzent1 3 5" xfId="588"/>
    <cellStyle name="20 % - Akzent1 4" xfId="12"/>
    <cellStyle name="20 % - Akzent1 4 2" xfId="13"/>
    <cellStyle name="20 % - Akzent1 4 2 2" xfId="589"/>
    <cellStyle name="20 % - Akzent1 4 2 3" xfId="590"/>
    <cellStyle name="20 % - Akzent1 4 2 4" xfId="591"/>
    <cellStyle name="20 % - Akzent1 4 3" xfId="14"/>
    <cellStyle name="20 % - Akzent1 4 4" xfId="592"/>
    <cellStyle name="20 % - Akzent1 4 5" xfId="593"/>
    <cellStyle name="20 % - Akzent1 5" xfId="15"/>
    <cellStyle name="20 % - Akzent1 5 2" xfId="594"/>
    <cellStyle name="20 % - Akzent1 5 3" xfId="595"/>
    <cellStyle name="20 % - Akzent1 5 4" xfId="596"/>
    <cellStyle name="20 % - Akzent1 6" xfId="16"/>
    <cellStyle name="20 % - Akzent1 7" xfId="17"/>
    <cellStyle name="20 % - Akzent2 2" xfId="18"/>
    <cellStyle name="20 % - Akzent2 2 2" xfId="19"/>
    <cellStyle name="20 % - Akzent2 2 3" xfId="20"/>
    <cellStyle name="20 % - Akzent2 2 3 2" xfId="21"/>
    <cellStyle name="20 % - Akzent2 2 3 2 2" xfId="22"/>
    <cellStyle name="20 % - Akzent2 2 3 2 3" xfId="23"/>
    <cellStyle name="20 % - Akzent2 2 3 3" xfId="24"/>
    <cellStyle name="20 % - Akzent2 2 4" xfId="25"/>
    <cellStyle name="20 % - Akzent2 3" xfId="26"/>
    <cellStyle name="20 % - Akzent2 3 2" xfId="27"/>
    <cellStyle name="20 % - Akzent2 3 2 2" xfId="597"/>
    <cellStyle name="20 % - Akzent2 3 2 3" xfId="598"/>
    <cellStyle name="20 % - Akzent2 3 2 4" xfId="599"/>
    <cellStyle name="20 % - Akzent2 3 3" xfId="28"/>
    <cellStyle name="20 % - Akzent2 3 4" xfId="600"/>
    <cellStyle name="20 % - Akzent2 3 5" xfId="601"/>
    <cellStyle name="20 % - Akzent2 4" xfId="29"/>
    <cellStyle name="20 % - Akzent2 4 2" xfId="30"/>
    <cellStyle name="20 % - Akzent2 4 2 2" xfId="602"/>
    <cellStyle name="20 % - Akzent2 4 2 3" xfId="603"/>
    <cellStyle name="20 % - Akzent2 4 2 4" xfId="604"/>
    <cellStyle name="20 % - Akzent2 4 3" xfId="31"/>
    <cellStyle name="20 % - Akzent2 4 4" xfId="605"/>
    <cellStyle name="20 % - Akzent2 4 5" xfId="606"/>
    <cellStyle name="20 % - Akzent2 5" xfId="32"/>
    <cellStyle name="20 % - Akzent2 5 2" xfId="607"/>
    <cellStyle name="20 % - Akzent2 5 3" xfId="608"/>
    <cellStyle name="20 % - Akzent2 5 4" xfId="609"/>
    <cellStyle name="20 % - Akzent2 6" xfId="33"/>
    <cellStyle name="20 % - Akzent2 7" xfId="34"/>
    <cellStyle name="20 % - Akzent3 2" xfId="35"/>
    <cellStyle name="20 % - Akzent3 2 2" xfId="36"/>
    <cellStyle name="20 % - Akzent3 2 3" xfId="37"/>
    <cellStyle name="20 % - Akzent3 2 3 2" xfId="38"/>
    <cellStyle name="20 % - Akzent3 2 3 2 2" xfId="39"/>
    <cellStyle name="20 % - Akzent3 2 3 2 3" xfId="40"/>
    <cellStyle name="20 % - Akzent3 2 3 3" xfId="41"/>
    <cellStyle name="20 % - Akzent3 2 4" xfId="42"/>
    <cellStyle name="20 % - Akzent3 3" xfId="43"/>
    <cellStyle name="20 % - Akzent3 3 2" xfId="44"/>
    <cellStyle name="20 % - Akzent3 3 2 2" xfId="610"/>
    <cellStyle name="20 % - Akzent3 3 2 3" xfId="611"/>
    <cellStyle name="20 % - Akzent3 3 2 4" xfId="612"/>
    <cellStyle name="20 % - Akzent3 3 3" xfId="45"/>
    <cellStyle name="20 % - Akzent3 3 4" xfId="613"/>
    <cellStyle name="20 % - Akzent3 3 5" xfId="614"/>
    <cellStyle name="20 % - Akzent3 4" xfId="46"/>
    <cellStyle name="20 % - Akzent3 4 2" xfId="47"/>
    <cellStyle name="20 % - Akzent3 4 2 2" xfId="615"/>
    <cellStyle name="20 % - Akzent3 4 2 3" xfId="616"/>
    <cellStyle name="20 % - Akzent3 4 2 4" xfId="617"/>
    <cellStyle name="20 % - Akzent3 4 3" xfId="48"/>
    <cellStyle name="20 % - Akzent3 4 4" xfId="618"/>
    <cellStyle name="20 % - Akzent3 4 5" xfId="619"/>
    <cellStyle name="20 % - Akzent3 5" xfId="49"/>
    <cellStyle name="20 % - Akzent3 5 2" xfId="620"/>
    <cellStyle name="20 % - Akzent3 5 3" xfId="621"/>
    <cellStyle name="20 % - Akzent3 5 4" xfId="622"/>
    <cellStyle name="20 % - Akzent3 6" xfId="50"/>
    <cellStyle name="20 % - Akzent3 7" xfId="51"/>
    <cellStyle name="20 % - Akzent4 2" xfId="52"/>
    <cellStyle name="20 % - Akzent4 2 2" xfId="53"/>
    <cellStyle name="20 % - Akzent4 2 3" xfId="54"/>
    <cellStyle name="20 % - Akzent4 2 3 2" xfId="55"/>
    <cellStyle name="20 % - Akzent4 2 3 2 2" xfId="56"/>
    <cellStyle name="20 % - Akzent4 2 3 2 3" xfId="57"/>
    <cellStyle name="20 % - Akzent4 2 3 3" xfId="58"/>
    <cellStyle name="20 % - Akzent4 2 4" xfId="59"/>
    <cellStyle name="20 % - Akzent4 3" xfId="60"/>
    <cellStyle name="20 % - Akzent4 3 2" xfId="61"/>
    <cellStyle name="20 % - Akzent4 3 2 2" xfId="623"/>
    <cellStyle name="20 % - Akzent4 3 2 3" xfId="624"/>
    <cellStyle name="20 % - Akzent4 3 2 4" xfId="625"/>
    <cellStyle name="20 % - Akzent4 3 3" xfId="62"/>
    <cellStyle name="20 % - Akzent4 3 4" xfId="626"/>
    <cellStyle name="20 % - Akzent4 3 5" xfId="627"/>
    <cellStyle name="20 % - Akzent4 4" xfId="63"/>
    <cellStyle name="20 % - Akzent4 4 2" xfId="64"/>
    <cellStyle name="20 % - Akzent4 4 2 2" xfId="628"/>
    <cellStyle name="20 % - Akzent4 4 2 3" xfId="629"/>
    <cellStyle name="20 % - Akzent4 4 2 4" xfId="630"/>
    <cellStyle name="20 % - Akzent4 4 3" xfId="65"/>
    <cellStyle name="20 % - Akzent4 4 4" xfId="631"/>
    <cellStyle name="20 % - Akzent4 4 5" xfId="632"/>
    <cellStyle name="20 % - Akzent4 5" xfId="66"/>
    <cellStyle name="20 % - Akzent4 5 2" xfId="633"/>
    <cellStyle name="20 % - Akzent4 5 3" xfId="634"/>
    <cellStyle name="20 % - Akzent4 5 4" xfId="635"/>
    <cellStyle name="20 % - Akzent4 6" xfId="67"/>
    <cellStyle name="20 % - Akzent4 7" xfId="68"/>
    <cellStyle name="20 % - Akzent5 2" xfId="69"/>
    <cellStyle name="20 % - Akzent5 2 2" xfId="70"/>
    <cellStyle name="20 % - Akzent5 2 2 2" xfId="71"/>
    <cellStyle name="20 % - Akzent5 2 2 3" xfId="72"/>
    <cellStyle name="20 % - Akzent5 2 3" xfId="73"/>
    <cellStyle name="20 % - Akzent5 3" xfId="74"/>
    <cellStyle name="20 % - Akzent5 3 2" xfId="75"/>
    <cellStyle name="20 % - Akzent5 3 2 2" xfId="636"/>
    <cellStyle name="20 % - Akzent5 3 2 3" xfId="637"/>
    <cellStyle name="20 % - Akzent5 3 2 4" xfId="638"/>
    <cellStyle name="20 % - Akzent5 3 3" xfId="76"/>
    <cellStyle name="20 % - Akzent5 3 4" xfId="639"/>
    <cellStyle name="20 % - Akzent5 3 5" xfId="640"/>
    <cellStyle name="20 % - Akzent5 4" xfId="77"/>
    <cellStyle name="20 % - Akzent5 4 2" xfId="78"/>
    <cellStyle name="20 % - Akzent5 4 2 2" xfId="641"/>
    <cellStyle name="20 % - Akzent5 4 2 3" xfId="642"/>
    <cellStyle name="20 % - Akzent5 4 2 4" xfId="643"/>
    <cellStyle name="20 % - Akzent5 4 3" xfId="79"/>
    <cellStyle name="20 % - Akzent5 4 4" xfId="644"/>
    <cellStyle name="20 % - Akzent5 4 5" xfId="645"/>
    <cellStyle name="20 % - Akzent5 5" xfId="80"/>
    <cellStyle name="20 % - Akzent5 5 2" xfId="646"/>
    <cellStyle name="20 % - Akzent5 5 3" xfId="647"/>
    <cellStyle name="20 % - Akzent5 5 4" xfId="648"/>
    <cellStyle name="20 % - Akzent5 6" xfId="81"/>
    <cellStyle name="20 % - Akzent5 7" xfId="82"/>
    <cellStyle name="20 % - Akzent6 2" xfId="83"/>
    <cellStyle name="20 % - Akzent6 3" xfId="84"/>
    <cellStyle name="20 % - Akzent6 3 2" xfId="85"/>
    <cellStyle name="20 % - Akzent6 3 2 2" xfId="649"/>
    <cellStyle name="20 % - Akzent6 3 2 3" xfId="650"/>
    <cellStyle name="20 % - Akzent6 3 2 4" xfId="651"/>
    <cellStyle name="20 % - Akzent6 3 3" xfId="86"/>
    <cellStyle name="20 % - Akzent6 3 4" xfId="652"/>
    <cellStyle name="20 % - Akzent6 3 5" xfId="653"/>
    <cellStyle name="20 % - Akzent6 4" xfId="87"/>
    <cellStyle name="20 % - Akzent6 4 2" xfId="88"/>
    <cellStyle name="20 % - Akzent6 4 2 2" xfId="654"/>
    <cellStyle name="20 % - Akzent6 4 2 3" xfId="655"/>
    <cellStyle name="20 % - Akzent6 4 2 4" xfId="656"/>
    <cellStyle name="20 % - Akzent6 4 3" xfId="89"/>
    <cellStyle name="20 % - Akzent6 4 4" xfId="657"/>
    <cellStyle name="20 % - Akzent6 4 5" xfId="658"/>
    <cellStyle name="20 % - Akzent6 5" xfId="90"/>
    <cellStyle name="20 % - Akzent6 5 2" xfId="659"/>
    <cellStyle name="20 % - Akzent6 5 3" xfId="660"/>
    <cellStyle name="20 % - Akzent6 5 4" xfId="661"/>
    <cellStyle name="20 % - Akzent6 6" xfId="91"/>
    <cellStyle name="20 % - Akzent6 7" xfId="92"/>
    <cellStyle name="40 % - Akzent1 2" xfId="93"/>
    <cellStyle name="40 % - Akzent1 2 2" xfId="94"/>
    <cellStyle name="40 % - Akzent1 2 3" xfId="95"/>
    <cellStyle name="40 % - Akzent1 3" xfId="96"/>
    <cellStyle name="40 % - Akzent1 3 2" xfId="97"/>
    <cellStyle name="40 % - Akzent1 3 2 2" xfId="662"/>
    <cellStyle name="40 % - Akzent1 3 2 3" xfId="663"/>
    <cellStyle name="40 % - Akzent1 3 2 4" xfId="664"/>
    <cellStyle name="40 % - Akzent1 3 3" xfId="98"/>
    <cellStyle name="40 % - Akzent1 3 4" xfId="665"/>
    <cellStyle name="40 % - Akzent1 3 5" xfId="666"/>
    <cellStyle name="40 % - Akzent1 4" xfId="99"/>
    <cellStyle name="40 % - Akzent1 4 2" xfId="100"/>
    <cellStyle name="40 % - Akzent1 4 2 2" xfId="667"/>
    <cellStyle name="40 % - Akzent1 4 2 3" xfId="668"/>
    <cellStyle name="40 % - Akzent1 4 2 4" xfId="669"/>
    <cellStyle name="40 % - Akzent1 4 3" xfId="101"/>
    <cellStyle name="40 % - Akzent1 4 4" xfId="670"/>
    <cellStyle name="40 % - Akzent1 4 5" xfId="671"/>
    <cellStyle name="40 % - Akzent1 5" xfId="102"/>
    <cellStyle name="40 % - Akzent1 5 2" xfId="672"/>
    <cellStyle name="40 % - Akzent1 5 3" xfId="673"/>
    <cellStyle name="40 % - Akzent1 5 4" xfId="674"/>
    <cellStyle name="40 % - Akzent1 6" xfId="103"/>
    <cellStyle name="40 % - Akzent1 7" xfId="104"/>
    <cellStyle name="40 % - Akzent2 2" xfId="105"/>
    <cellStyle name="40 % - Akzent2 3" xfId="106"/>
    <cellStyle name="40 % - Akzent2 3 2" xfId="107"/>
    <cellStyle name="40 % - Akzent2 3 2 2" xfId="675"/>
    <cellStyle name="40 % - Akzent2 3 2 3" xfId="676"/>
    <cellStyle name="40 % - Akzent2 3 2 4" xfId="677"/>
    <cellStyle name="40 % - Akzent2 3 3" xfId="108"/>
    <cellStyle name="40 % - Akzent2 3 4" xfId="678"/>
    <cellStyle name="40 % - Akzent2 3 5" xfId="679"/>
    <cellStyle name="40 % - Akzent2 4" xfId="109"/>
    <cellStyle name="40 % - Akzent2 4 2" xfId="110"/>
    <cellStyle name="40 % - Akzent2 4 2 2" xfId="680"/>
    <cellStyle name="40 % - Akzent2 4 2 3" xfId="681"/>
    <cellStyle name="40 % - Akzent2 4 2 4" xfId="682"/>
    <cellStyle name="40 % - Akzent2 4 3" xfId="111"/>
    <cellStyle name="40 % - Akzent2 4 4" xfId="683"/>
    <cellStyle name="40 % - Akzent2 4 5" xfId="684"/>
    <cellStyle name="40 % - Akzent2 5" xfId="112"/>
    <cellStyle name="40 % - Akzent2 5 2" xfId="685"/>
    <cellStyle name="40 % - Akzent2 5 3" xfId="686"/>
    <cellStyle name="40 % - Akzent2 5 4" xfId="687"/>
    <cellStyle name="40 % - Akzent2 6" xfId="113"/>
    <cellStyle name="40 % - Akzent2 7" xfId="114"/>
    <cellStyle name="40 % - Akzent3 2" xfId="115"/>
    <cellStyle name="40 % - Akzent3 2 2" xfId="116"/>
    <cellStyle name="40 % - Akzent3 2 3" xfId="117"/>
    <cellStyle name="40 % - Akzent3 2 3 2" xfId="118"/>
    <cellStyle name="40 % - Akzent3 2 3 2 2" xfId="119"/>
    <cellStyle name="40 % - Akzent3 2 3 2 3" xfId="120"/>
    <cellStyle name="40 % - Akzent3 2 3 3" xfId="121"/>
    <cellStyle name="40 % - Akzent3 2 4" xfId="122"/>
    <cellStyle name="40 % - Akzent3 3" xfId="123"/>
    <cellStyle name="40 % - Akzent3 3 2" xfId="124"/>
    <cellStyle name="40 % - Akzent3 3 2 2" xfId="688"/>
    <cellStyle name="40 % - Akzent3 3 2 3" xfId="689"/>
    <cellStyle name="40 % - Akzent3 3 2 4" xfId="690"/>
    <cellStyle name="40 % - Akzent3 3 3" xfId="125"/>
    <cellStyle name="40 % - Akzent3 3 4" xfId="691"/>
    <cellStyle name="40 % - Akzent3 3 5" xfId="692"/>
    <cellStyle name="40 % - Akzent3 4" xfId="126"/>
    <cellStyle name="40 % - Akzent3 4 2" xfId="127"/>
    <cellStyle name="40 % - Akzent3 4 2 2" xfId="693"/>
    <cellStyle name="40 % - Akzent3 4 2 3" xfId="694"/>
    <cellStyle name="40 % - Akzent3 4 2 4" xfId="695"/>
    <cellStyle name="40 % - Akzent3 4 3" xfId="128"/>
    <cellStyle name="40 % - Akzent3 4 4" xfId="696"/>
    <cellStyle name="40 % - Akzent3 4 5" xfId="697"/>
    <cellStyle name="40 % - Akzent3 5" xfId="129"/>
    <cellStyle name="40 % - Akzent3 5 2" xfId="698"/>
    <cellStyle name="40 % - Akzent3 5 3" xfId="699"/>
    <cellStyle name="40 % - Akzent3 5 4" xfId="700"/>
    <cellStyle name="40 % - Akzent3 6" xfId="130"/>
    <cellStyle name="40 % - Akzent3 7" xfId="131"/>
    <cellStyle name="40 % - Akzent4 2" xfId="132"/>
    <cellStyle name="40 % - Akzent4 2 2" xfId="133"/>
    <cellStyle name="40 % - Akzent4 2 2 2" xfId="134"/>
    <cellStyle name="40 % - Akzent4 2 2 3" xfId="135"/>
    <cellStyle name="40 % - Akzent4 2 3" xfId="136"/>
    <cellStyle name="40 % - Akzent4 3" xfId="137"/>
    <cellStyle name="40 % - Akzent4 3 2" xfId="138"/>
    <cellStyle name="40 % - Akzent4 3 2 2" xfId="701"/>
    <cellStyle name="40 % - Akzent4 3 2 3" xfId="702"/>
    <cellStyle name="40 % - Akzent4 3 2 4" xfId="703"/>
    <cellStyle name="40 % - Akzent4 3 3" xfId="139"/>
    <cellStyle name="40 % - Akzent4 3 4" xfId="704"/>
    <cellStyle name="40 % - Akzent4 3 5" xfId="705"/>
    <cellStyle name="40 % - Akzent4 4" xfId="140"/>
    <cellStyle name="40 % - Akzent4 4 2" xfId="141"/>
    <cellStyle name="40 % - Akzent4 4 2 2" xfId="706"/>
    <cellStyle name="40 % - Akzent4 4 2 3" xfId="707"/>
    <cellStyle name="40 % - Akzent4 4 2 4" xfId="708"/>
    <cellStyle name="40 % - Akzent4 4 3" xfId="142"/>
    <cellStyle name="40 % - Akzent4 4 4" xfId="709"/>
    <cellStyle name="40 % - Akzent4 4 5" xfId="710"/>
    <cellStyle name="40 % - Akzent4 5" xfId="143"/>
    <cellStyle name="40 % - Akzent4 5 2" xfId="711"/>
    <cellStyle name="40 % - Akzent4 5 3" xfId="712"/>
    <cellStyle name="40 % - Akzent4 5 4" xfId="713"/>
    <cellStyle name="40 % - Akzent4 6" xfId="144"/>
    <cellStyle name="40 % - Akzent4 7" xfId="145"/>
    <cellStyle name="40 % - Akzent5 2" xfId="146"/>
    <cellStyle name="40 % - Akzent5 2 2" xfId="147"/>
    <cellStyle name="40 % - Akzent5 2 3" xfId="148"/>
    <cellStyle name="40 % - Akzent5 3" xfId="149"/>
    <cellStyle name="40 % - Akzent5 3 2" xfId="150"/>
    <cellStyle name="40 % - Akzent5 3 2 2" xfId="714"/>
    <cellStyle name="40 % - Akzent5 3 2 3" xfId="715"/>
    <cellStyle name="40 % - Akzent5 3 2 4" xfId="716"/>
    <cellStyle name="40 % - Akzent5 3 3" xfId="151"/>
    <cellStyle name="40 % - Akzent5 3 4" xfId="717"/>
    <cellStyle name="40 % - Akzent5 3 5" xfId="718"/>
    <cellStyle name="40 % - Akzent5 4" xfId="152"/>
    <cellStyle name="40 % - Akzent5 4 2" xfId="153"/>
    <cellStyle name="40 % - Akzent5 4 2 2" xfId="719"/>
    <cellStyle name="40 % - Akzent5 4 2 3" xfId="720"/>
    <cellStyle name="40 % - Akzent5 4 2 4" xfId="721"/>
    <cellStyle name="40 % - Akzent5 4 3" xfId="154"/>
    <cellStyle name="40 % - Akzent5 4 4" xfId="722"/>
    <cellStyle name="40 % - Akzent5 4 5" xfId="723"/>
    <cellStyle name="40 % - Akzent5 5" xfId="155"/>
    <cellStyle name="40 % - Akzent5 5 2" xfId="724"/>
    <cellStyle name="40 % - Akzent5 5 3" xfId="725"/>
    <cellStyle name="40 % - Akzent5 5 4" xfId="726"/>
    <cellStyle name="40 % - Akzent5 6" xfId="156"/>
    <cellStyle name="40 % - Akzent5 7" xfId="157"/>
    <cellStyle name="40 % - Akzent6 2" xfId="158"/>
    <cellStyle name="40 % - Akzent6 2 2" xfId="159"/>
    <cellStyle name="40 % - Akzent6 2 2 2" xfId="160"/>
    <cellStyle name="40 % - Akzent6 2 2 3" xfId="161"/>
    <cellStyle name="40 % - Akzent6 2 3" xfId="162"/>
    <cellStyle name="40 % - Akzent6 3" xfId="163"/>
    <cellStyle name="40 % - Akzent6 3 2" xfId="164"/>
    <cellStyle name="40 % - Akzent6 3 2 2" xfId="727"/>
    <cellStyle name="40 % - Akzent6 3 2 3" xfId="728"/>
    <cellStyle name="40 % - Akzent6 3 2 4" xfId="729"/>
    <cellStyle name="40 % - Akzent6 3 3" xfId="165"/>
    <cellStyle name="40 % - Akzent6 3 4" xfId="730"/>
    <cellStyle name="40 % - Akzent6 3 5" xfId="731"/>
    <cellStyle name="40 % - Akzent6 4" xfId="166"/>
    <cellStyle name="40 % - Akzent6 4 2" xfId="167"/>
    <cellStyle name="40 % - Akzent6 4 2 2" xfId="732"/>
    <cellStyle name="40 % - Akzent6 4 2 3" xfId="733"/>
    <cellStyle name="40 % - Akzent6 4 2 4" xfId="734"/>
    <cellStyle name="40 % - Akzent6 4 3" xfId="168"/>
    <cellStyle name="40 % - Akzent6 4 4" xfId="735"/>
    <cellStyle name="40 % - Akzent6 4 5" xfId="736"/>
    <cellStyle name="40 % - Akzent6 5" xfId="169"/>
    <cellStyle name="40 % - Akzent6 5 2" xfId="737"/>
    <cellStyle name="40 % - Akzent6 5 3" xfId="738"/>
    <cellStyle name="40 % - Akzent6 5 4" xfId="739"/>
    <cellStyle name="40 % - Akzent6 6" xfId="170"/>
    <cellStyle name="40 % - Akzent6 7" xfId="171"/>
    <cellStyle name="60 % - Akzent1 2" xfId="172"/>
    <cellStyle name="60 % - Akzent1 2 2" xfId="173"/>
    <cellStyle name="60 % - Akzent1 2 2 2" xfId="174"/>
    <cellStyle name="60 % - Akzent1 2 2 3" xfId="175"/>
    <cellStyle name="60 % - Akzent1 2 3" xfId="176"/>
    <cellStyle name="60 % - Akzent1 3" xfId="177"/>
    <cellStyle name="60 % - Akzent1 4" xfId="178"/>
    <cellStyle name="60 % - Akzent1 5" xfId="179"/>
    <cellStyle name="60 % - Akzent1 6" xfId="180"/>
    <cellStyle name="60 % - Akzent2 2" xfId="181"/>
    <cellStyle name="60 % - Akzent2 3" xfId="182"/>
    <cellStyle name="60 % - Akzent2 4" xfId="183"/>
    <cellStyle name="60 % - Akzent2 5" xfId="184"/>
    <cellStyle name="60 % - Akzent2 6" xfId="185"/>
    <cellStyle name="60 % - Akzent3 2" xfId="186"/>
    <cellStyle name="60 % - Akzent3 3" xfId="187"/>
    <cellStyle name="60 % - Akzent3 4" xfId="188"/>
    <cellStyle name="60 % - Akzent3 5" xfId="189"/>
    <cellStyle name="60 % - Akzent3 6" xfId="190"/>
    <cellStyle name="60 % - Akzent4 2" xfId="191"/>
    <cellStyle name="60 % - Akzent4 2 2" xfId="192"/>
    <cellStyle name="60 % - Akzent4 2 3" xfId="193"/>
    <cellStyle name="60 % - Akzent4 2 3 2" xfId="194"/>
    <cellStyle name="60 % - Akzent4 2 3 2 2" xfId="195"/>
    <cellStyle name="60 % - Akzent4 2 3 2 3" xfId="196"/>
    <cellStyle name="60 % - Akzent4 2 3 3" xfId="197"/>
    <cellStyle name="60 % - Akzent4 2 4" xfId="198"/>
    <cellStyle name="60 % - Akzent4 3" xfId="199"/>
    <cellStyle name="60 % - Akzent4 4" xfId="200"/>
    <cellStyle name="60 % - Akzent4 5" xfId="201"/>
    <cellStyle name="60 % - Akzent4 6" xfId="202"/>
    <cellStyle name="60 % - Akzent5 2" xfId="203"/>
    <cellStyle name="60 % - Akzent5 2 2" xfId="204"/>
    <cellStyle name="60 % - Akzent5 2 2 2" xfId="205"/>
    <cellStyle name="60 % - Akzent5 2 2 3" xfId="206"/>
    <cellStyle name="60 % - Akzent5 2 3" xfId="207"/>
    <cellStyle name="60 % - Akzent5 3" xfId="208"/>
    <cellStyle name="60 % - Akzent5 4" xfId="209"/>
    <cellStyle name="60 % - Akzent5 5" xfId="210"/>
    <cellStyle name="60 % - Akzent5 6" xfId="211"/>
    <cellStyle name="60 % - Akzent6 2" xfId="212"/>
    <cellStyle name="60 % - Akzent6 2 2" xfId="213"/>
    <cellStyle name="60 % - Akzent6 2 3" xfId="214"/>
    <cellStyle name="60 % - Akzent6 2 3 2" xfId="215"/>
    <cellStyle name="60 % - Akzent6 2 3 2 2" xfId="216"/>
    <cellStyle name="60 % - Akzent6 2 3 2 3" xfId="217"/>
    <cellStyle name="60 % - Akzent6 2 3 3" xfId="218"/>
    <cellStyle name="60 % - Akzent6 2 4" xfId="219"/>
    <cellStyle name="60 % - Akzent6 3" xfId="220"/>
    <cellStyle name="60 % - Akzent6 4" xfId="221"/>
    <cellStyle name="60 % - Akzent6 5" xfId="222"/>
    <cellStyle name="60 % - Akzent6 6" xfId="223"/>
    <cellStyle name="Accent1" xfId="224"/>
    <cellStyle name="Accent1 2" xfId="225"/>
    <cellStyle name="Accent1 3" xfId="226"/>
    <cellStyle name="Accent1 3 2" xfId="227"/>
    <cellStyle name="Accent1 3 3" xfId="228"/>
    <cellStyle name="Accent1 4" xfId="229"/>
    <cellStyle name="Accent1 4 2" xfId="1109"/>
    <cellStyle name="Accent1 4 3" xfId="740"/>
    <cellStyle name="Accent1 5" xfId="230"/>
    <cellStyle name="Accent1 6" xfId="742"/>
    <cellStyle name="Accent2" xfId="231"/>
    <cellStyle name="Accent2 2" xfId="232"/>
    <cellStyle name="Accent2 3" xfId="233"/>
    <cellStyle name="Accent2 4" xfId="234"/>
    <cellStyle name="Accent2 4 2" xfId="744"/>
    <cellStyle name="Accent2 5" xfId="1111"/>
    <cellStyle name="Accent3" xfId="249"/>
    <cellStyle name="Accent3 2" xfId="235"/>
    <cellStyle name="Accent3 3" xfId="746"/>
    <cellStyle name="Accent4" xfId="236"/>
    <cellStyle name="Accent4 2" xfId="237"/>
    <cellStyle name="Accent4 3" xfId="238"/>
    <cellStyle name="Accent4 3 2" xfId="239"/>
    <cellStyle name="Accent4 3 3" xfId="240"/>
    <cellStyle name="Accent4 4" xfId="241"/>
    <cellStyle name="Accent4 4 2" xfId="1110"/>
    <cellStyle name="Accent4 4 3" xfId="741"/>
    <cellStyle name="Accent4 5" xfId="242"/>
    <cellStyle name="Accent4 6" xfId="747"/>
    <cellStyle name="Accent5" xfId="254"/>
    <cellStyle name="Accent5 2" xfId="243"/>
    <cellStyle name="Accent5 3" xfId="749"/>
    <cellStyle name="Accent6" xfId="257"/>
    <cellStyle name="Accent6 2" xfId="244"/>
    <cellStyle name="Accent6 3" xfId="750"/>
    <cellStyle name="Akzent1 2" xfId="245"/>
    <cellStyle name="Akzent1 3" xfId="246"/>
    <cellStyle name="Akzent1 4" xfId="743"/>
    <cellStyle name="Akzent2 2" xfId="247"/>
    <cellStyle name="Akzent2 3" xfId="248"/>
    <cellStyle name="Akzent2 4" xfId="745"/>
    <cellStyle name="Akzent3 2" xfId="250"/>
    <cellStyle name="Akzent3 3" xfId="251"/>
    <cellStyle name="Akzent4 2" xfId="252"/>
    <cellStyle name="Akzent4 3" xfId="253"/>
    <cellStyle name="Akzent4 4" xfId="748"/>
    <cellStyle name="Akzent5 2" xfId="255"/>
    <cellStyle name="Akzent5 3" xfId="256"/>
    <cellStyle name="Akzent6 2" xfId="258"/>
    <cellStyle name="Akzent6 3" xfId="259"/>
    <cellStyle name="Ausgabe 2" xfId="260"/>
    <cellStyle name="Ausgabe 2 2" xfId="261"/>
    <cellStyle name="Ausgabe 2 2 2" xfId="262"/>
    <cellStyle name="Ausgabe 2 2 3" xfId="263"/>
    <cellStyle name="Ausgabe 2 2 3 2" xfId="1112"/>
    <cellStyle name="Ausgabe 2 2 3 3" xfId="753"/>
    <cellStyle name="Ausgabe 2 2 4" xfId="752"/>
    <cellStyle name="Ausgabe 2 3" xfId="264"/>
    <cellStyle name="Ausgabe 2 3 2" xfId="265"/>
    <cellStyle name="Ausgabe 2 3 2 2" xfId="266"/>
    <cellStyle name="Ausgabe 2 3 2 3" xfId="267"/>
    <cellStyle name="Ausgabe 2 3 3" xfId="268"/>
    <cellStyle name="Ausgabe 2 3 3 2" xfId="1113"/>
    <cellStyle name="Ausgabe 2 3 3 3" xfId="754"/>
    <cellStyle name="Ausgabe 2 4" xfId="269"/>
    <cellStyle name="Ausgabe 2 5" xfId="270"/>
    <cellStyle name="Ausgabe 2 5 2" xfId="1114"/>
    <cellStyle name="Ausgabe 2 5 3" xfId="755"/>
    <cellStyle name="Ausgabe 2 6" xfId="751"/>
    <cellStyle name="Ausgabe 3" xfId="271"/>
    <cellStyle name="Ausgabe 3 2" xfId="272"/>
    <cellStyle name="Ausgabe 3 3" xfId="273"/>
    <cellStyle name="Ausgabe 3 3 2" xfId="1115"/>
    <cellStyle name="Ausgabe 3 3 3" xfId="757"/>
    <cellStyle name="Ausgabe 3 4" xfId="756"/>
    <cellStyle name="Ausgabe 4" xfId="274"/>
    <cellStyle name="Ausgabe 5" xfId="275"/>
    <cellStyle name="Ausgabe 6" xfId="276"/>
    <cellStyle name="Ausgabe 7" xfId="277"/>
    <cellStyle name="Ausgabe 7 2" xfId="278"/>
    <cellStyle name="Ausgabe 7 3" xfId="279"/>
    <cellStyle name="Ausgabe 7 3 2" xfId="280"/>
    <cellStyle name="Ausgabe 7 3 3" xfId="281"/>
    <cellStyle name="Ausgabe 7 3 4" xfId="758"/>
    <cellStyle name="Ausgabe 7 4" xfId="282"/>
    <cellStyle name="Ausgabe 8" xfId="283"/>
    <cellStyle name="Ausgabe 8 2" xfId="284"/>
    <cellStyle name="Ausgabe 8 3" xfId="285"/>
    <cellStyle name="Bad" xfId="510"/>
    <cellStyle name="Bad 2" xfId="286"/>
    <cellStyle name="Bad 2 2" xfId="759"/>
    <cellStyle name="Bad 3" xfId="1047"/>
    <cellStyle name="Berechnung 2" xfId="287"/>
    <cellStyle name="Berechnung 2 2" xfId="288"/>
    <cellStyle name="Berechnung 2 3" xfId="289"/>
    <cellStyle name="Berechnung 2 3 2" xfId="290"/>
    <cellStyle name="Berechnung 2 3 2 2" xfId="291"/>
    <cellStyle name="Berechnung 2 3 2 3" xfId="292"/>
    <cellStyle name="Berechnung 2 3 3" xfId="293"/>
    <cellStyle name="Berechnung 2 4" xfId="294"/>
    <cellStyle name="Berechnung 3" xfId="295"/>
    <cellStyle name="Berechnung 4" xfId="296"/>
    <cellStyle name="Berechnung 5" xfId="297"/>
    <cellStyle name="Berechnung 6" xfId="298"/>
    <cellStyle name="Berechnung 7" xfId="299"/>
    <cellStyle name="Berechnung 7 2" xfId="300"/>
    <cellStyle name="Berechnung 7 3" xfId="301"/>
    <cellStyle name="Berechnung 8" xfId="302"/>
    <cellStyle name="Calculation 2" xfId="303"/>
    <cellStyle name="Check Cell" xfId="578"/>
    <cellStyle name="Check Cell 2" xfId="304"/>
    <cellStyle name="Check Cell 2 2" xfId="760"/>
    <cellStyle name="Check Cell 3" xfId="305"/>
    <cellStyle name="Check Cell 3 2" xfId="762"/>
    <cellStyle name="Check Cell 3 3" xfId="761"/>
    <cellStyle name="Check Cell 4" xfId="306"/>
    <cellStyle name="Check Cell 4 2" xfId="1116"/>
    <cellStyle name="Check Cell 4 3" xfId="763"/>
    <cellStyle name="Check Cell 5" xfId="764"/>
    <cellStyle name="Check Cell 6" xfId="1106"/>
    <cellStyle name="Eingabe 2" xfId="307"/>
    <cellStyle name="Eingabe 3" xfId="308"/>
    <cellStyle name="Eingabe 4" xfId="309"/>
    <cellStyle name="Eingabe 5" xfId="310"/>
    <cellStyle name="Eingabe 6" xfId="311"/>
    <cellStyle name="Eingabe 7" xfId="312"/>
    <cellStyle name="Ergebnis 2" xfId="313"/>
    <cellStyle name="Ergebnis 2 2" xfId="314"/>
    <cellStyle name="Ergebnis 2 2 2" xfId="315"/>
    <cellStyle name="Ergebnis 2 3" xfId="316"/>
    <cellStyle name="Ergebnis 2 4" xfId="317"/>
    <cellStyle name="Ergebnis 2 4 2" xfId="318"/>
    <cellStyle name="Ergebnis 2 4 2 2" xfId="319"/>
    <cellStyle name="Ergebnis 2 4 2 3" xfId="320"/>
    <cellStyle name="Ergebnis 2 4 3" xfId="321"/>
    <cellStyle name="Ergebnis 2 5" xfId="322"/>
    <cellStyle name="Ergebnis 3" xfId="323"/>
    <cellStyle name="Ergebnis 3 2" xfId="324"/>
    <cellStyle name="Ergebnis 4" xfId="325"/>
    <cellStyle name="Ergebnis 4 2" xfId="326"/>
    <cellStyle name="Ergebnis 5" xfId="327"/>
    <cellStyle name="Ergebnis 6" xfId="328"/>
    <cellStyle name="Ergebnis 7" xfId="329"/>
    <cellStyle name="Ergebnis 8" xfId="330"/>
    <cellStyle name="Ergebnis 8 2" xfId="331"/>
    <cellStyle name="Ergebnis 8 3" xfId="332"/>
    <cellStyle name="Ergebnis 9" xfId="333"/>
    <cellStyle name="Erklärender Text 2" xfId="334"/>
    <cellStyle name="Erklärender Text 3" xfId="335"/>
    <cellStyle name="Erklärender Text 4" xfId="336"/>
    <cellStyle name="Erklärender Text 5" xfId="337"/>
    <cellStyle name="Erklärender Text 6" xfId="338"/>
    <cellStyle name="Good" xfId="340"/>
    <cellStyle name="Good 2" xfId="339"/>
    <cellStyle name="Good 2 2" xfId="765"/>
    <cellStyle name="Good 3" xfId="766"/>
    <cellStyle name="Gut 2" xfId="341"/>
    <cellStyle name="Gut 3" xfId="342"/>
    <cellStyle name="Heading 1" xfId="343"/>
    <cellStyle name="Heading 1 2" xfId="344"/>
    <cellStyle name="Heading 1 2 2" xfId="345"/>
    <cellStyle name="Heading 1 2 2 2" xfId="1117"/>
    <cellStyle name="Heading 1 2 2 3" xfId="767"/>
    <cellStyle name="Heading 1 2 3" xfId="346"/>
    <cellStyle name="Heading 1 3" xfId="347"/>
    <cellStyle name="Heading 1 3 2" xfId="1118"/>
    <cellStyle name="Heading 1 3 3" xfId="768"/>
    <cellStyle name="Heading 1 4" xfId="348"/>
    <cellStyle name="Heading 1 5" xfId="1096"/>
    <cellStyle name="Heading 2" xfId="349"/>
    <cellStyle name="Heading 2 2" xfId="350"/>
    <cellStyle name="Heading 2 2 2" xfId="351"/>
    <cellStyle name="Heading 2 2 2 2" xfId="1119"/>
    <cellStyle name="Heading 2 2 2 3" xfId="770"/>
    <cellStyle name="Heading 2 2 3" xfId="352"/>
    <cellStyle name="Heading 2 2 4" xfId="769"/>
    <cellStyle name="Heading 2 3" xfId="353"/>
    <cellStyle name="Heading 2 3 2" xfId="1120"/>
    <cellStyle name="Heading 2 3 3" xfId="771"/>
    <cellStyle name="Heading 2 4" xfId="354"/>
    <cellStyle name="Heading 2 5" xfId="1098"/>
    <cellStyle name="Heading 3" xfId="355"/>
    <cellStyle name="Heading 3 2" xfId="356"/>
    <cellStyle name="Heading 3 2 2" xfId="357"/>
    <cellStyle name="Heading 3 2 2 2" xfId="1121"/>
    <cellStyle name="Heading 3 2 2 3" xfId="773"/>
    <cellStyle name="Heading 3 2 3" xfId="358"/>
    <cellStyle name="Heading 3 2 4" xfId="772"/>
    <cellStyle name="Heading 3 3" xfId="359"/>
    <cellStyle name="Heading 3 3 2" xfId="1122"/>
    <cellStyle name="Heading 3 3 3" xfId="774"/>
    <cellStyle name="Heading 3 4" xfId="360"/>
    <cellStyle name="Heading 3 5" xfId="1100"/>
    <cellStyle name="Heading 4" xfId="361"/>
    <cellStyle name="Heading 4 2" xfId="362"/>
    <cellStyle name="Heading 4 2 2" xfId="363"/>
    <cellStyle name="Heading 4 2 2 2" xfId="1123"/>
    <cellStyle name="Heading 4 2 2 3" xfId="775"/>
    <cellStyle name="Heading 4 2 3" xfId="364"/>
    <cellStyle name="Heading 4 3" xfId="365"/>
    <cellStyle name="Heading 4 3 2" xfId="1124"/>
    <cellStyle name="Heading 4 3 3" xfId="776"/>
    <cellStyle name="Heading 4 4" xfId="366"/>
    <cellStyle name="Heading 4 5" xfId="1102"/>
    <cellStyle name="Hyperlink" xfId="367" builtinId="8"/>
    <cellStyle name="Input 2" xfId="368"/>
    <cellStyle name="Komma 2" xfId="369"/>
    <cellStyle name="Linked Cell" xfId="566"/>
    <cellStyle name="Linked Cell 2" xfId="370"/>
    <cellStyle name="Linked Cell 2 2" xfId="777"/>
    <cellStyle name="Linked Cell 3" xfId="1105"/>
    <cellStyle name="Neutral" xfId="371" builtinId="28" customBuiltin="1"/>
    <cellStyle name="Neutral 2" xfId="778"/>
    <cellStyle name="Normal 2" xfId="372"/>
    <cellStyle name="Note" xfId="373"/>
    <cellStyle name="Note 2" xfId="374"/>
    <cellStyle name="Note 2 2" xfId="375"/>
    <cellStyle name="Note 3" xfId="376"/>
    <cellStyle name="Note 3 2" xfId="779"/>
    <cellStyle name="Note 4" xfId="377"/>
    <cellStyle name="Note 4 2" xfId="781"/>
    <cellStyle name="Note 4 3" xfId="780"/>
    <cellStyle name="Note 5" xfId="378"/>
    <cellStyle name="Note 5 2" xfId="782"/>
    <cellStyle name="Note 6" xfId="783"/>
    <cellStyle name="Notiz 2" xfId="379"/>
    <cellStyle name="Notiz 2 2" xfId="380"/>
    <cellStyle name="Notiz 2 2 2" xfId="381"/>
    <cellStyle name="Notiz 2 2 2 2" xfId="382"/>
    <cellStyle name="Notiz 2 2 2 2 2" xfId="383"/>
    <cellStyle name="Notiz 2 2 2 2 2 2" xfId="784"/>
    <cellStyle name="Notiz 2 2 2 2 2 3" xfId="785"/>
    <cellStyle name="Notiz 2 2 2 2 2 4" xfId="786"/>
    <cellStyle name="Notiz 2 2 2 2 3" xfId="787"/>
    <cellStyle name="Notiz 2 2 2 2 4" xfId="788"/>
    <cellStyle name="Notiz 2 2 2 2 5" xfId="789"/>
    <cellStyle name="Notiz 2 2 2 3" xfId="384"/>
    <cellStyle name="Notiz 2 2 2 3 2" xfId="790"/>
    <cellStyle name="Notiz 2 2 2 3 3" xfId="791"/>
    <cellStyle name="Notiz 2 2 2 3 4" xfId="792"/>
    <cellStyle name="Notiz 2 2 2 4" xfId="793"/>
    <cellStyle name="Notiz 2 2 2 5" xfId="794"/>
    <cellStyle name="Notiz 2 2 2 6" xfId="795"/>
    <cellStyle name="Notiz 2 2 3" xfId="385"/>
    <cellStyle name="Notiz 2 2 3 2" xfId="386"/>
    <cellStyle name="Notiz 2 2 3 2 2" xfId="796"/>
    <cellStyle name="Notiz 2 2 3 2 3" xfId="797"/>
    <cellStyle name="Notiz 2 2 3 2 4" xfId="798"/>
    <cellStyle name="Notiz 2 2 3 3" xfId="799"/>
    <cellStyle name="Notiz 2 2 3 4" xfId="800"/>
    <cellStyle name="Notiz 2 2 3 5" xfId="801"/>
    <cellStyle name="Notiz 2 2 4" xfId="387"/>
    <cellStyle name="Notiz 2 2 4 2" xfId="388"/>
    <cellStyle name="Notiz 2 2 4 3" xfId="389"/>
    <cellStyle name="Notiz 2 2 4 3 2" xfId="390"/>
    <cellStyle name="Notiz 2 2 4 3 3" xfId="391"/>
    <cellStyle name="Notiz 2 2 4 3 4" xfId="802"/>
    <cellStyle name="Notiz 2 2 4 4" xfId="392"/>
    <cellStyle name="Notiz 2 2 4 4 2" xfId="803"/>
    <cellStyle name="Notiz 2 2 4 5" xfId="804"/>
    <cellStyle name="Notiz 2 2 5" xfId="393"/>
    <cellStyle name="Notiz 2 2 5 2" xfId="394"/>
    <cellStyle name="Notiz 2 2 5 3" xfId="395"/>
    <cellStyle name="Notiz 2 2 5 4" xfId="396"/>
    <cellStyle name="Notiz 2 2 5 4 2" xfId="1125"/>
    <cellStyle name="Notiz 2 2 5 4 3" xfId="805"/>
    <cellStyle name="Notiz 2 2 6" xfId="806"/>
    <cellStyle name="Notiz 2 3" xfId="397"/>
    <cellStyle name="Notiz 2 3 2" xfId="398"/>
    <cellStyle name="Notiz 2 3 2 2" xfId="399"/>
    <cellStyle name="Notiz 2 3 2 2 2" xfId="807"/>
    <cellStyle name="Notiz 2 3 2 2 3" xfId="808"/>
    <cellStyle name="Notiz 2 3 2 2 4" xfId="809"/>
    <cellStyle name="Notiz 2 3 2 3" xfId="810"/>
    <cellStyle name="Notiz 2 3 2 4" xfId="811"/>
    <cellStyle name="Notiz 2 3 2 5" xfId="812"/>
    <cellStyle name="Notiz 2 3 3" xfId="400"/>
    <cellStyle name="Notiz 2 3 3 2" xfId="813"/>
    <cellStyle name="Notiz 2 3 3 3" xfId="814"/>
    <cellStyle name="Notiz 2 3 3 4" xfId="815"/>
    <cellStyle name="Notiz 2 3 4" xfId="816"/>
    <cellStyle name="Notiz 2 3 5" xfId="817"/>
    <cellStyle name="Notiz 2 3 6" xfId="818"/>
    <cellStyle name="Notiz 2 4" xfId="401"/>
    <cellStyle name="Notiz 2 4 2" xfId="402"/>
    <cellStyle name="Notiz 2 4 2 2" xfId="819"/>
    <cellStyle name="Notiz 2 4 2 3" xfId="820"/>
    <cellStyle name="Notiz 2 4 2 4" xfId="821"/>
    <cellStyle name="Notiz 2 4 3" xfId="822"/>
    <cellStyle name="Notiz 2 4 4" xfId="823"/>
    <cellStyle name="Notiz 2 4 5" xfId="824"/>
    <cellStyle name="Notiz 2 5" xfId="403"/>
    <cellStyle name="Notiz 2 5 2" xfId="825"/>
    <cellStyle name="Notiz 2 5 3" xfId="826"/>
    <cellStyle name="Notiz 2 5 4" xfId="827"/>
    <cellStyle name="Notiz 2 6" xfId="828"/>
    <cellStyle name="Notiz 2 7" xfId="829"/>
    <cellStyle name="Notiz 2 8" xfId="830"/>
    <cellStyle name="Notiz 3" xfId="404"/>
    <cellStyle name="Notiz 3 2" xfId="405"/>
    <cellStyle name="Notiz 3 2 2" xfId="406"/>
    <cellStyle name="Notiz 3 2 2 2" xfId="407"/>
    <cellStyle name="Notiz 3 2 2 2 2" xfId="831"/>
    <cellStyle name="Notiz 3 2 2 2 3" xfId="832"/>
    <cellStyle name="Notiz 3 2 2 2 4" xfId="833"/>
    <cellStyle name="Notiz 3 2 2 3" xfId="834"/>
    <cellStyle name="Notiz 3 2 2 4" xfId="835"/>
    <cellStyle name="Notiz 3 2 2 5" xfId="836"/>
    <cellStyle name="Notiz 3 2 3" xfId="408"/>
    <cellStyle name="Notiz 3 2 3 2" xfId="837"/>
    <cellStyle name="Notiz 3 2 3 3" xfId="838"/>
    <cellStyle name="Notiz 3 2 3 4" xfId="839"/>
    <cellStyle name="Notiz 3 2 4" xfId="840"/>
    <cellStyle name="Notiz 3 2 5" xfId="841"/>
    <cellStyle name="Notiz 3 2 6" xfId="842"/>
    <cellStyle name="Notiz 3 3" xfId="409"/>
    <cellStyle name="Notiz 3 3 2" xfId="410"/>
    <cellStyle name="Notiz 3 3 2 2" xfId="843"/>
    <cellStyle name="Notiz 3 3 2 3" xfId="844"/>
    <cellStyle name="Notiz 3 3 2 4" xfId="845"/>
    <cellStyle name="Notiz 3 3 3" xfId="846"/>
    <cellStyle name="Notiz 3 3 4" xfId="847"/>
    <cellStyle name="Notiz 3 3 5" xfId="848"/>
    <cellStyle name="Notiz 3 4" xfId="411"/>
    <cellStyle name="Notiz 3 4 2" xfId="849"/>
    <cellStyle name="Notiz 3 4 3" xfId="850"/>
    <cellStyle name="Notiz 3 4 4" xfId="851"/>
    <cellStyle name="Notiz 3 5" xfId="852"/>
    <cellStyle name="Notiz 3 6" xfId="853"/>
    <cellStyle name="Notiz 3 7" xfId="854"/>
    <cellStyle name="Notiz 4" xfId="412"/>
    <cellStyle name="Notiz 4 2" xfId="413"/>
    <cellStyle name="Notiz 4 2 2" xfId="414"/>
    <cellStyle name="Notiz 4 2 2 2" xfId="855"/>
    <cellStyle name="Notiz 4 2 2 3" xfId="856"/>
    <cellStyle name="Notiz 4 2 2 4" xfId="857"/>
    <cellStyle name="Notiz 4 2 3" xfId="858"/>
    <cellStyle name="Notiz 4 2 4" xfId="859"/>
    <cellStyle name="Notiz 4 2 5" xfId="860"/>
    <cellStyle name="Notiz 4 3" xfId="415"/>
    <cellStyle name="Notiz 4 3 2" xfId="861"/>
    <cellStyle name="Notiz 4 3 3" xfId="862"/>
    <cellStyle name="Notiz 4 3 4" xfId="863"/>
    <cellStyle name="Notiz 4 4" xfId="864"/>
    <cellStyle name="Notiz 4 5" xfId="865"/>
    <cellStyle name="Notiz 4 6" xfId="866"/>
    <cellStyle name="Notiz 5" xfId="416"/>
    <cellStyle name="Notiz 5 2" xfId="417"/>
    <cellStyle name="Notiz 5 2 2" xfId="418"/>
    <cellStyle name="Notiz 5 2 2 2" xfId="867"/>
    <cellStyle name="Notiz 5 2 2 3" xfId="868"/>
    <cellStyle name="Notiz 5 2 2 4" xfId="869"/>
    <cellStyle name="Notiz 5 2 3" xfId="870"/>
    <cellStyle name="Notiz 5 2 4" xfId="871"/>
    <cellStyle name="Notiz 5 2 5" xfId="872"/>
    <cellStyle name="Notiz 5 3" xfId="419"/>
    <cellStyle name="Notiz 5 3 2" xfId="873"/>
    <cellStyle name="Notiz 5 3 3" xfId="874"/>
    <cellStyle name="Notiz 5 3 4" xfId="875"/>
    <cellStyle name="Notiz 5 4" xfId="876"/>
    <cellStyle name="Notiz 5 5" xfId="877"/>
    <cellStyle name="Notiz 5 6" xfId="878"/>
    <cellStyle name="Notiz 6" xfId="420"/>
    <cellStyle name="Notiz 6 2" xfId="421"/>
    <cellStyle name="Notiz 6 2 2" xfId="879"/>
    <cellStyle name="Notiz 6 2 3" xfId="880"/>
    <cellStyle name="Notiz 6 2 4" xfId="881"/>
    <cellStyle name="Notiz 6 3" xfId="882"/>
    <cellStyle name="Notiz 6 4" xfId="883"/>
    <cellStyle name="Notiz 6 5" xfId="884"/>
    <cellStyle name="Notiz 7" xfId="422"/>
    <cellStyle name="Notiz 7 2" xfId="885"/>
    <cellStyle name="Notiz 7 3" xfId="886"/>
    <cellStyle name="Notiz 7 4" xfId="887"/>
    <cellStyle name="Notiz 8" xfId="423"/>
    <cellStyle name="Notiz 9" xfId="888"/>
    <cellStyle name="Output 2" xfId="424"/>
    <cellStyle name="Percent 2" xfId="889"/>
    <cellStyle name="Prozent" xfId="425" builtinId="5"/>
    <cellStyle name="Prozent 10" xfId="426"/>
    <cellStyle name="Prozent 10 2" xfId="427"/>
    <cellStyle name="Prozent 10 3" xfId="428"/>
    <cellStyle name="Prozent 10 3 2" xfId="891"/>
    <cellStyle name="Prozent 10 3 3" xfId="890"/>
    <cellStyle name="Prozent 10 4" xfId="429"/>
    <cellStyle name="Prozent 10 4 2" xfId="1126"/>
    <cellStyle name="Prozent 10 4 3" xfId="892"/>
    <cellStyle name="Prozent 11" xfId="430"/>
    <cellStyle name="Prozent 12" xfId="431"/>
    <cellStyle name="Prozent 13" xfId="893"/>
    <cellStyle name="Prozent 2" xfId="432"/>
    <cellStyle name="Prozent 3" xfId="433"/>
    <cellStyle name="Prozent 3 2" xfId="434"/>
    <cellStyle name="Prozent 3 2 2" xfId="435"/>
    <cellStyle name="Prozent 3 2 2 2" xfId="436"/>
    <cellStyle name="Prozent 3 2 2 2 2" xfId="437"/>
    <cellStyle name="Prozent 3 2 2 2 2 2" xfId="894"/>
    <cellStyle name="Prozent 3 2 2 2 2 3" xfId="895"/>
    <cellStyle name="Prozent 3 2 2 2 2 4" xfId="896"/>
    <cellStyle name="Prozent 3 2 2 2 3" xfId="897"/>
    <cellStyle name="Prozent 3 2 2 2 4" xfId="898"/>
    <cellStyle name="Prozent 3 2 2 2 5" xfId="899"/>
    <cellStyle name="Prozent 3 2 2 3" xfId="438"/>
    <cellStyle name="Prozent 3 2 2 3 2" xfId="900"/>
    <cellStyle name="Prozent 3 2 2 3 3" xfId="901"/>
    <cellStyle name="Prozent 3 2 2 3 4" xfId="902"/>
    <cellStyle name="Prozent 3 2 2 4" xfId="903"/>
    <cellStyle name="Prozent 3 2 2 5" xfId="904"/>
    <cellStyle name="Prozent 3 2 2 6" xfId="905"/>
    <cellStyle name="Prozent 3 2 3" xfId="439"/>
    <cellStyle name="Prozent 3 2 3 2" xfId="440"/>
    <cellStyle name="Prozent 3 2 3 2 2" xfId="906"/>
    <cellStyle name="Prozent 3 2 3 2 3" xfId="907"/>
    <cellStyle name="Prozent 3 2 3 2 4" xfId="908"/>
    <cellStyle name="Prozent 3 2 3 3" xfId="909"/>
    <cellStyle name="Prozent 3 2 3 4" xfId="910"/>
    <cellStyle name="Prozent 3 2 3 5" xfId="911"/>
    <cellStyle name="Prozent 3 2 4" xfId="441"/>
    <cellStyle name="Prozent 3 2 4 2" xfId="442"/>
    <cellStyle name="Prozent 3 2 4 3" xfId="443"/>
    <cellStyle name="Prozent 3 2 4 4" xfId="912"/>
    <cellStyle name="Prozent 3 2 4 5" xfId="913"/>
    <cellStyle name="Prozent 3 2 5" xfId="444"/>
    <cellStyle name="Prozent 3 3" xfId="445"/>
    <cellStyle name="Prozent 3 3 2" xfId="446"/>
    <cellStyle name="Prozent 3 3 2 2" xfId="447"/>
    <cellStyle name="Prozent 3 3 2 2 2" xfId="914"/>
    <cellStyle name="Prozent 3 3 2 2 3" xfId="915"/>
    <cellStyle name="Prozent 3 3 2 2 4" xfId="916"/>
    <cellStyle name="Prozent 3 3 2 3" xfId="917"/>
    <cellStyle name="Prozent 3 3 2 4" xfId="918"/>
    <cellStyle name="Prozent 3 3 2 5" xfId="919"/>
    <cellStyle name="Prozent 3 3 3" xfId="448"/>
    <cellStyle name="Prozent 3 3 3 2" xfId="920"/>
    <cellStyle name="Prozent 3 3 3 3" xfId="921"/>
    <cellStyle name="Prozent 3 3 3 4" xfId="922"/>
    <cellStyle name="Prozent 3 3 4" xfId="923"/>
    <cellStyle name="Prozent 3 3 5" xfId="924"/>
    <cellStyle name="Prozent 3 3 6" xfId="925"/>
    <cellStyle name="Prozent 3 4" xfId="449"/>
    <cellStyle name="Prozent 3 4 2" xfId="450"/>
    <cellStyle name="Prozent 3 4 2 2" xfId="926"/>
    <cellStyle name="Prozent 3 4 2 3" xfId="927"/>
    <cellStyle name="Prozent 3 4 2 4" xfId="928"/>
    <cellStyle name="Prozent 3 4 3" xfId="929"/>
    <cellStyle name="Prozent 3 4 4" xfId="930"/>
    <cellStyle name="Prozent 3 4 5" xfId="931"/>
    <cellStyle name="Prozent 3 5" xfId="451"/>
    <cellStyle name="Prozent 3 5 2" xfId="932"/>
    <cellStyle name="Prozent 3 5 3" xfId="933"/>
    <cellStyle name="Prozent 3 5 4" xfId="934"/>
    <cellStyle name="Prozent 3 6" xfId="935"/>
    <cellStyle name="Prozent 3 7" xfId="936"/>
    <cellStyle name="Prozent 3 8" xfId="937"/>
    <cellStyle name="Prozent 4" xfId="452"/>
    <cellStyle name="Prozent 4 2" xfId="453"/>
    <cellStyle name="Prozent 4 2 2" xfId="454"/>
    <cellStyle name="Prozent 4 2 2 2" xfId="455"/>
    <cellStyle name="Prozent 4 2 2 2 2" xfId="456"/>
    <cellStyle name="Prozent 4 2 2 2 2 2" xfId="938"/>
    <cellStyle name="Prozent 4 2 2 2 2 3" xfId="939"/>
    <cellStyle name="Prozent 4 2 2 2 2 4" xfId="940"/>
    <cellStyle name="Prozent 4 2 2 2 3" xfId="941"/>
    <cellStyle name="Prozent 4 2 2 2 4" xfId="942"/>
    <cellStyle name="Prozent 4 2 2 2 5" xfId="943"/>
    <cellStyle name="Prozent 4 2 2 3" xfId="457"/>
    <cellStyle name="Prozent 4 2 2 3 2" xfId="944"/>
    <cellStyle name="Prozent 4 2 2 3 3" xfId="945"/>
    <cellStyle name="Prozent 4 2 2 3 4" xfId="946"/>
    <cellStyle name="Prozent 4 2 2 4" xfId="947"/>
    <cellStyle name="Prozent 4 2 2 5" xfId="948"/>
    <cellStyle name="Prozent 4 2 2 6" xfId="949"/>
    <cellStyle name="Prozent 4 2 3" xfId="458"/>
    <cellStyle name="Prozent 4 2 3 2" xfId="459"/>
    <cellStyle name="Prozent 4 2 3 2 2" xfId="950"/>
    <cellStyle name="Prozent 4 2 3 2 3" xfId="951"/>
    <cellStyle name="Prozent 4 2 3 2 4" xfId="952"/>
    <cellStyle name="Prozent 4 2 3 3" xfId="953"/>
    <cellStyle name="Prozent 4 2 3 4" xfId="954"/>
    <cellStyle name="Prozent 4 2 3 5" xfId="955"/>
    <cellStyle name="Prozent 4 2 4" xfId="460"/>
    <cellStyle name="Prozent 4 2 4 2" xfId="956"/>
    <cellStyle name="Prozent 4 2 4 3" xfId="957"/>
    <cellStyle name="Prozent 4 2 4 4" xfId="958"/>
    <cellStyle name="Prozent 4 2 5" xfId="959"/>
    <cellStyle name="Prozent 4 2 6" xfId="960"/>
    <cellStyle name="Prozent 4 2 7" xfId="961"/>
    <cellStyle name="Prozent 4 3" xfId="461"/>
    <cellStyle name="Prozent 4 3 2" xfId="462"/>
    <cellStyle name="Prozent 4 3 2 2" xfId="463"/>
    <cellStyle name="Prozent 4 3 2 2 2" xfId="962"/>
    <cellStyle name="Prozent 4 3 2 2 3" xfId="963"/>
    <cellStyle name="Prozent 4 3 2 2 4" xfId="964"/>
    <cellStyle name="Prozent 4 3 2 3" xfId="965"/>
    <cellStyle name="Prozent 4 3 2 4" xfId="966"/>
    <cellStyle name="Prozent 4 3 2 5" xfId="967"/>
    <cellStyle name="Prozent 4 3 3" xfId="464"/>
    <cellStyle name="Prozent 4 3 3 2" xfId="465"/>
    <cellStyle name="Prozent 4 3 3 2 2" xfId="968"/>
    <cellStyle name="Prozent 4 3 3 2 3" xfId="969"/>
    <cellStyle name="Prozent 4 3 3 2 4" xfId="970"/>
    <cellStyle name="Prozent 4 3 3 3" xfId="971"/>
    <cellStyle name="Prozent 4 3 3 4" xfId="972"/>
    <cellStyle name="Prozent 4 3 3 5" xfId="973"/>
    <cellStyle name="Prozent 4 3 4" xfId="466"/>
    <cellStyle name="Prozent 4 3 4 2" xfId="467"/>
    <cellStyle name="Prozent 4 3 4 3" xfId="468"/>
    <cellStyle name="Prozent 4 3 4 4" xfId="469"/>
    <cellStyle name="Prozent 4 3 4 4 2" xfId="1127"/>
    <cellStyle name="Prozent 4 3 4 4 3" xfId="974"/>
    <cellStyle name="Prozent 4 3 5" xfId="975"/>
    <cellStyle name="Prozent 4 4" xfId="470"/>
    <cellStyle name="Prozent 4 4 2" xfId="471"/>
    <cellStyle name="Prozent 4 4 2 2" xfId="976"/>
    <cellStyle name="Prozent 4 4 2 3" xfId="977"/>
    <cellStyle name="Prozent 4 4 2 4" xfId="978"/>
    <cellStyle name="Prozent 4 4 3" xfId="979"/>
    <cellStyle name="Prozent 4 4 4" xfId="980"/>
    <cellStyle name="Prozent 4 4 5" xfId="981"/>
    <cellStyle name="Prozent 4 5" xfId="472"/>
    <cellStyle name="Prozent 4 5 2" xfId="982"/>
    <cellStyle name="Prozent 4 5 3" xfId="983"/>
    <cellStyle name="Prozent 4 5 4" xfId="984"/>
    <cellStyle name="Prozent 4 6" xfId="985"/>
    <cellStyle name="Prozent 4 7" xfId="986"/>
    <cellStyle name="Prozent 4 8" xfId="987"/>
    <cellStyle name="Prozent 5" xfId="473"/>
    <cellStyle name="Prozent 5 2" xfId="474"/>
    <cellStyle name="Prozent 5 2 2" xfId="475"/>
    <cellStyle name="Prozent 5 2 2 2" xfId="476"/>
    <cellStyle name="Prozent 5 2 2 2 2" xfId="988"/>
    <cellStyle name="Prozent 5 2 2 2 3" xfId="989"/>
    <cellStyle name="Prozent 5 2 2 2 4" xfId="990"/>
    <cellStyle name="Prozent 5 2 2 3" xfId="991"/>
    <cellStyle name="Prozent 5 2 2 4" xfId="992"/>
    <cellStyle name="Prozent 5 2 2 5" xfId="993"/>
    <cellStyle name="Prozent 5 2 3" xfId="477"/>
    <cellStyle name="Prozent 5 2 3 2" xfId="994"/>
    <cellStyle name="Prozent 5 2 3 3" xfId="995"/>
    <cellStyle name="Prozent 5 2 3 4" xfId="996"/>
    <cellStyle name="Prozent 5 2 4" xfId="997"/>
    <cellStyle name="Prozent 5 2 5" xfId="998"/>
    <cellStyle name="Prozent 5 2 6" xfId="999"/>
    <cellStyle name="Prozent 5 3" xfId="478"/>
    <cellStyle name="Prozent 5 3 2" xfId="479"/>
    <cellStyle name="Prozent 5 3 2 2" xfId="1000"/>
    <cellStyle name="Prozent 5 3 2 3" xfId="1001"/>
    <cellStyle name="Prozent 5 3 2 4" xfId="1002"/>
    <cellStyle name="Prozent 5 3 3" xfId="1003"/>
    <cellStyle name="Prozent 5 3 4" xfId="1004"/>
    <cellStyle name="Prozent 5 3 5" xfId="1005"/>
    <cellStyle name="Prozent 5 4" xfId="480"/>
    <cellStyle name="Prozent 5 4 2" xfId="481"/>
    <cellStyle name="Prozent 5 4 3" xfId="482"/>
    <cellStyle name="Prozent 5 4 3 2" xfId="483"/>
    <cellStyle name="Prozent 5 4 3 3" xfId="484"/>
    <cellStyle name="Prozent 5 4 3 4" xfId="1006"/>
    <cellStyle name="Prozent 5 4 4" xfId="485"/>
    <cellStyle name="Prozent 5 4 4 2" xfId="1007"/>
    <cellStyle name="Prozent 5 4 5" xfId="1008"/>
    <cellStyle name="Prozent 5 5" xfId="486"/>
    <cellStyle name="Prozent 5 5 2" xfId="487"/>
    <cellStyle name="Prozent 5 5 3" xfId="488"/>
    <cellStyle name="Prozent 5 5 4" xfId="489"/>
    <cellStyle name="Prozent 5 5 4 2" xfId="1128"/>
    <cellStyle name="Prozent 5 5 4 3" xfId="1009"/>
    <cellStyle name="Prozent 5 6" xfId="1010"/>
    <cellStyle name="Prozent 6" xfId="490"/>
    <cellStyle name="Prozent 6 2" xfId="491"/>
    <cellStyle name="Prozent 6 2 2" xfId="492"/>
    <cellStyle name="Prozent 6 2 2 2" xfId="1011"/>
    <cellStyle name="Prozent 6 2 2 3" xfId="1012"/>
    <cellStyle name="Prozent 6 2 2 4" xfId="1013"/>
    <cellStyle name="Prozent 6 2 3" xfId="1014"/>
    <cellStyle name="Prozent 6 2 4" xfId="1015"/>
    <cellStyle name="Prozent 6 2 5" xfId="1016"/>
    <cellStyle name="Prozent 6 3" xfId="493"/>
    <cellStyle name="Prozent 6 3 2" xfId="1017"/>
    <cellStyle name="Prozent 6 3 3" xfId="1018"/>
    <cellStyle name="Prozent 6 3 4" xfId="1019"/>
    <cellStyle name="Prozent 6 4" xfId="1020"/>
    <cellStyle name="Prozent 6 5" xfId="1021"/>
    <cellStyle name="Prozent 6 6" xfId="1022"/>
    <cellStyle name="Prozent 7" xfId="494"/>
    <cellStyle name="Prozent 7 2" xfId="495"/>
    <cellStyle name="Prozent 7 2 2" xfId="496"/>
    <cellStyle name="Prozent 7 2 2 2" xfId="1023"/>
    <cellStyle name="Prozent 7 2 2 3" xfId="1024"/>
    <cellStyle name="Prozent 7 2 2 4" xfId="1025"/>
    <cellStyle name="Prozent 7 2 3" xfId="1026"/>
    <cellStyle name="Prozent 7 2 4" xfId="1027"/>
    <cellStyle name="Prozent 7 2 5" xfId="1028"/>
    <cellStyle name="Prozent 7 3" xfId="497"/>
    <cellStyle name="Prozent 7 3 2" xfId="1029"/>
    <cellStyle name="Prozent 7 3 3" xfId="1030"/>
    <cellStyle name="Prozent 7 3 4" xfId="1031"/>
    <cellStyle name="Prozent 7 4" xfId="1032"/>
    <cellStyle name="Prozent 7 5" xfId="1033"/>
    <cellStyle name="Prozent 7 6" xfId="1034"/>
    <cellStyle name="Prozent 8" xfId="498"/>
    <cellStyle name="Prozent 8 2" xfId="499"/>
    <cellStyle name="Prozent 8 2 2" xfId="500"/>
    <cellStyle name="Prozent 8 2 3" xfId="501"/>
    <cellStyle name="Prozent 8 2 4" xfId="1035"/>
    <cellStyle name="Prozent 8 3" xfId="502"/>
    <cellStyle name="Prozent 8 3 2" xfId="503"/>
    <cellStyle name="Prozent 8 3 2 2" xfId="504"/>
    <cellStyle name="Prozent 8 3 2 2 2" xfId="1037"/>
    <cellStyle name="Prozent 8 3 2 2 3" xfId="1036"/>
    <cellStyle name="Prozent 8 3 2 3" xfId="505"/>
    <cellStyle name="Prozent 8 3 2 3 2" xfId="1129"/>
    <cellStyle name="Prozent 8 3 2 3 3" xfId="1038"/>
    <cellStyle name="Prozent 8 3 2 4" xfId="1039"/>
    <cellStyle name="Prozent 8 3 2 5" xfId="1040"/>
    <cellStyle name="Prozent 8 3 3" xfId="506"/>
    <cellStyle name="Prozent 8 3 3 2" xfId="507"/>
    <cellStyle name="Prozent 8 3 3 3" xfId="508"/>
    <cellStyle name="Prozent 8 3 4" xfId="1041"/>
    <cellStyle name="Prozent 8 3 5" xfId="1042"/>
    <cellStyle name="Prozent 8 3 6" xfId="1043"/>
    <cellStyle name="Prozent 9" xfId="509"/>
    <cellStyle name="Prozent 9 2" xfId="1044"/>
    <cellStyle name="Prozent 9 3" xfId="1045"/>
    <cellStyle name="Prozent 9 4" xfId="1046"/>
    <cellStyle name="Schlecht 2" xfId="511"/>
    <cellStyle name="Schlecht 3" xfId="512"/>
    <cellStyle name="Standard" xfId="0" builtinId="0"/>
    <cellStyle name="Standard 2" xfId="513"/>
    <cellStyle name="Standard 2 2" xfId="514"/>
    <cellStyle name="Standard 2 2 2" xfId="515"/>
    <cellStyle name="Standard 2 2 3" xfId="516"/>
    <cellStyle name="Standard 2 3" xfId="517"/>
    <cellStyle name="Standard 2 4" xfId="518"/>
    <cellStyle name="Standard 2 5" xfId="519"/>
    <cellStyle name="Standard 2 6" xfId="520"/>
    <cellStyle name="Standard 3" xfId="521"/>
    <cellStyle name="Standard 3 2" xfId="522"/>
    <cellStyle name="Standard 3 2 2" xfId="523"/>
    <cellStyle name="Standard 3 2 2 2" xfId="524"/>
    <cellStyle name="Standard 3 2 2 2 2" xfId="525"/>
    <cellStyle name="Standard 3 2 2 2 2 2" xfId="1048"/>
    <cellStyle name="Standard 3 2 2 2 2 3" xfId="1049"/>
    <cellStyle name="Standard 3 2 2 2 2 4" xfId="1050"/>
    <cellStyle name="Standard 3 2 2 2 3" xfId="1051"/>
    <cellStyle name="Standard 3 2 2 2 4" xfId="1052"/>
    <cellStyle name="Standard 3 2 2 2 5" xfId="1053"/>
    <cellStyle name="Standard 3 2 2 3" xfId="526"/>
    <cellStyle name="Standard 3 2 2 3 2" xfId="1054"/>
    <cellStyle name="Standard 3 2 2 3 3" xfId="1055"/>
    <cellStyle name="Standard 3 2 2 3 4" xfId="1056"/>
    <cellStyle name="Standard 3 2 2 4" xfId="1057"/>
    <cellStyle name="Standard 3 2 2 5" xfId="1058"/>
    <cellStyle name="Standard 3 2 2 6" xfId="1059"/>
    <cellStyle name="Standard 3 2 3" xfId="527"/>
    <cellStyle name="Standard 3 2 3 2" xfId="528"/>
    <cellStyle name="Standard 3 2 3 2 2" xfId="1060"/>
    <cellStyle name="Standard 3 2 3 2 3" xfId="1061"/>
    <cellStyle name="Standard 3 2 3 2 4" xfId="1062"/>
    <cellStyle name="Standard 3 2 3 3" xfId="1063"/>
    <cellStyle name="Standard 3 2 3 4" xfId="1064"/>
    <cellStyle name="Standard 3 2 3 5" xfId="1065"/>
    <cellStyle name="Standard 3 2 4" xfId="529"/>
    <cellStyle name="Standard 3 2 4 2" xfId="530"/>
    <cellStyle name="Standard 3 2 4 3" xfId="531"/>
    <cellStyle name="Standard 3 2 4 4" xfId="1066"/>
    <cellStyle name="Standard 3 2 4 5" xfId="1067"/>
    <cellStyle name="Standard 3 2 5" xfId="532"/>
    <cellStyle name="Standard 3 2 6" xfId="533"/>
    <cellStyle name="Standard 3 3" xfId="534"/>
    <cellStyle name="Standard 3 3 2" xfId="535"/>
    <cellStyle name="Standard 3 3 2 2" xfId="536"/>
    <cellStyle name="Standard 3 3 2 2 2" xfId="1068"/>
    <cellStyle name="Standard 3 3 2 2 3" xfId="1069"/>
    <cellStyle name="Standard 3 3 2 2 4" xfId="1070"/>
    <cellStyle name="Standard 3 3 2 3" xfId="1071"/>
    <cellStyle name="Standard 3 3 2 4" xfId="1072"/>
    <cellStyle name="Standard 3 3 2 5" xfId="1073"/>
    <cellStyle name="Standard 3 3 3" xfId="537"/>
    <cellStyle name="Standard 3 3 3 2" xfId="1074"/>
    <cellStyle name="Standard 3 3 3 3" xfId="1075"/>
    <cellStyle name="Standard 3 3 3 4" xfId="1076"/>
    <cellStyle name="Standard 3 3 4" xfId="1077"/>
    <cellStyle name="Standard 3 3 5" xfId="1078"/>
    <cellStyle name="Standard 3 3 6" xfId="1079"/>
    <cellStyle name="Standard 3 4" xfId="538"/>
    <cellStyle name="Standard 3 4 2" xfId="539"/>
    <cellStyle name="Standard 3 4 2 2" xfId="1080"/>
    <cellStyle name="Standard 3 4 2 3" xfId="1081"/>
    <cellStyle name="Standard 3 4 2 4" xfId="1082"/>
    <cellStyle name="Standard 3 4 3" xfId="1083"/>
    <cellStyle name="Standard 3 4 4" xfId="1084"/>
    <cellStyle name="Standard 3 4 5" xfId="1085"/>
    <cellStyle name="Standard 3 5" xfId="540"/>
    <cellStyle name="Standard 3 5 2" xfId="1086"/>
    <cellStyle name="Standard 3 5 3" xfId="1087"/>
    <cellStyle name="Standard 3 5 4" xfId="1088"/>
    <cellStyle name="Standard 3 6" xfId="541"/>
    <cellStyle name="Standard 3 6 2" xfId="1090"/>
    <cellStyle name="Standard 3 6 3" xfId="1089"/>
    <cellStyle name="Standard 3 7" xfId="1091"/>
    <cellStyle name="Standard 3 8" xfId="1092"/>
    <cellStyle name="Standard 4" xfId="542"/>
    <cellStyle name="Standard 5" xfId="543"/>
    <cellStyle name="Standard 5 2" xfId="544"/>
    <cellStyle name="Standard 6" xfId="545"/>
    <cellStyle name="Standard 7" xfId="546"/>
    <cellStyle name="Standard_Bearbeitungsqualität 2011" xfId="547"/>
    <cellStyle name="Standard_Werte" xfId="548"/>
    <cellStyle name="Title" xfId="549"/>
    <cellStyle name="Title 2" xfId="550"/>
    <cellStyle name="Title 2 2" xfId="551"/>
    <cellStyle name="Title 2 2 2" xfId="1130"/>
    <cellStyle name="Title 2 2 3" xfId="1093"/>
    <cellStyle name="Title 2 3" xfId="552"/>
    <cellStyle name="Title 3" xfId="553"/>
    <cellStyle name="Title 3 2" xfId="1131"/>
    <cellStyle name="Title 3 3" xfId="1094"/>
    <cellStyle name="Title 4" xfId="554"/>
    <cellStyle name="Title 5" xfId="1095"/>
    <cellStyle name="Total 2" xfId="555"/>
    <cellStyle name="Überschrift 1 2" xfId="556"/>
    <cellStyle name="Überschrift 1 3" xfId="557"/>
    <cellStyle name="Überschrift 1 4" xfId="1097"/>
    <cellStyle name="Überschrift 2 2" xfId="558"/>
    <cellStyle name="Überschrift 2 3" xfId="559"/>
    <cellStyle name="Überschrift 2 4" xfId="1099"/>
    <cellStyle name="Überschrift 3 2" xfId="560"/>
    <cellStyle name="Überschrift 3 3" xfId="561"/>
    <cellStyle name="Überschrift 3 4" xfId="1101"/>
    <cellStyle name="Überschrift 4 2" xfId="562"/>
    <cellStyle name="Überschrift 4 3" xfId="563"/>
    <cellStyle name="Überschrift 4 4" xfId="1103"/>
    <cellStyle name="Überschrift 5" xfId="564"/>
    <cellStyle name="Überschrift 6" xfId="565"/>
    <cellStyle name="Überschrift 7" xfId="1104"/>
    <cellStyle name="Verknüpfte Zelle 2" xfId="567"/>
    <cellStyle name="Verknüpfte Zelle 3" xfId="568"/>
    <cellStyle name="Warnender Text 2" xfId="569"/>
    <cellStyle name="Warnender Text 2 2" xfId="570"/>
    <cellStyle name="Warnender Text 2 3" xfId="571"/>
    <cellStyle name="Warnender Text 2 3 2" xfId="572"/>
    <cellStyle name="Warnender Text 2 3 2 2" xfId="573"/>
    <cellStyle name="Warnender Text 3" xfId="574"/>
    <cellStyle name="Warnender Text 4" xfId="575"/>
    <cellStyle name="Warnender Text 5" xfId="576"/>
    <cellStyle name="Warnender Text 6" xfId="577"/>
    <cellStyle name="Zelle überprüfen 2" xfId="579"/>
    <cellStyle name="Zelle überprüfen 2 2" xfId="580"/>
    <cellStyle name="Zelle überprüfen 2 3" xfId="581"/>
    <cellStyle name="Zelle überprüfen 3" xfId="582"/>
    <cellStyle name="Zelle überprüfen 3 2" xfId="1108"/>
    <cellStyle name="Zelle überprüfen 3 3" xfId="1107"/>
    <cellStyle name="Zelle überprüfen 4" xfId="583"/>
  </cellStyles>
  <dxfs count="343">
    <dxf>
      <fill>
        <patternFill>
          <bgColor rgb="FFFF7C80"/>
        </patternFill>
      </fill>
    </dxf>
    <dxf>
      <fill>
        <patternFill>
          <bgColor rgb="FFFF7C80"/>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rgb="FFBFBFBF"/>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34998626667073579"/>
        </patternFill>
      </fill>
    </dxf>
    <dxf>
      <fill>
        <patternFill>
          <bgColor theme="0" tint="-0.24994659260841701"/>
        </patternFill>
      </fill>
    </dxf>
    <dxf>
      <fill>
        <patternFill>
          <bgColor theme="0" tint="-0.24994659260841701"/>
        </patternFill>
      </fill>
    </dxf>
    <dxf>
      <fill>
        <patternFill>
          <bgColor rgb="FFCCFFCC"/>
        </patternFill>
      </fill>
    </dxf>
    <dxf>
      <fill>
        <patternFill>
          <bgColor theme="0"/>
        </patternFill>
      </fill>
    </dxf>
    <dxf>
      <fill>
        <patternFill>
          <bgColor rgb="FF777777"/>
        </patternFill>
      </fill>
    </dxf>
    <dxf>
      <fill>
        <patternFill>
          <bgColor theme="0"/>
        </patternFill>
      </fill>
    </dxf>
    <dxf>
      <fill>
        <patternFill>
          <bgColor rgb="FFCCFFCC"/>
        </patternFill>
      </fill>
    </dxf>
    <dxf>
      <fill>
        <patternFill>
          <bgColor rgb="FF777777"/>
        </patternFill>
      </fill>
    </dxf>
    <dxf>
      <fill>
        <patternFill>
          <bgColor rgb="FFCCFFCC"/>
        </patternFill>
      </fill>
    </dxf>
    <dxf>
      <fill>
        <patternFill>
          <bgColor theme="0"/>
        </patternFill>
      </fill>
    </dxf>
    <dxf>
      <fill>
        <patternFill>
          <bgColor rgb="FF777777"/>
        </patternFill>
      </fill>
    </dxf>
    <dxf>
      <fill>
        <patternFill>
          <bgColor theme="0" tint="-0.24994659260841701"/>
        </patternFill>
      </fill>
    </dxf>
    <dxf>
      <fill>
        <patternFill>
          <bgColor rgb="FF777777"/>
        </patternFill>
      </fill>
    </dxf>
    <dxf>
      <fill>
        <patternFill>
          <bgColor theme="0"/>
        </patternFill>
      </fill>
    </dxf>
    <dxf>
      <fill>
        <patternFill>
          <bgColor rgb="FFCCFFCC"/>
        </patternFill>
      </fill>
    </dxf>
    <dxf>
      <fill>
        <patternFill>
          <bgColor rgb="FF777777"/>
        </patternFill>
      </fill>
    </dxf>
    <dxf>
      <fill>
        <patternFill>
          <bgColor theme="0" tint="-0.24994659260841701"/>
        </patternFill>
      </fill>
    </dxf>
    <dxf>
      <fill>
        <patternFill>
          <bgColor rgb="FF777777"/>
        </patternFill>
      </fill>
    </dxf>
    <dxf>
      <fill>
        <patternFill>
          <bgColor rgb="FFC0C0C0"/>
        </patternFill>
      </fill>
    </dxf>
    <dxf>
      <fill>
        <patternFill>
          <bgColor rgb="FF777777"/>
        </patternFill>
      </fill>
    </dxf>
    <dxf>
      <fill>
        <patternFill>
          <bgColor rgb="FFCCFFCC"/>
        </patternFill>
      </fill>
    </dxf>
    <dxf>
      <fill>
        <patternFill>
          <bgColor rgb="FFFF7C80"/>
        </patternFill>
      </fill>
    </dxf>
    <dxf>
      <fill>
        <patternFill>
          <bgColor rgb="FFFF7C80"/>
        </patternFill>
      </fill>
    </dxf>
    <dxf>
      <fill>
        <patternFill>
          <bgColor theme="0"/>
        </patternFill>
      </fill>
    </dxf>
    <dxf>
      <fill>
        <patternFill>
          <bgColor rgb="FFCCFFCC"/>
        </patternFill>
      </fill>
    </dxf>
    <dxf>
      <fill>
        <patternFill>
          <bgColor rgb="FF777777"/>
        </patternFill>
      </fill>
    </dxf>
    <dxf>
      <fill>
        <patternFill>
          <bgColor theme="0"/>
        </patternFill>
      </fill>
    </dxf>
    <dxf>
      <fill>
        <patternFill>
          <bgColor rgb="FFCCFFCC"/>
        </patternFill>
      </fill>
    </dxf>
    <dxf>
      <fill>
        <patternFill>
          <bgColor rgb="FF777777"/>
        </patternFill>
      </fill>
    </dxf>
    <dxf>
      <fill>
        <patternFill>
          <bgColor theme="0"/>
        </patternFill>
      </fill>
    </dxf>
    <dxf>
      <fill>
        <patternFill>
          <bgColor rgb="FFCCFFCC"/>
        </patternFill>
      </fill>
    </dxf>
    <dxf>
      <fill>
        <patternFill>
          <bgColor rgb="FF777777"/>
        </patternFill>
      </fill>
    </dxf>
    <dxf>
      <fill>
        <patternFill>
          <bgColor rgb="FFFFFF99"/>
        </patternFill>
      </fill>
    </dxf>
    <dxf>
      <fill>
        <patternFill>
          <bgColor rgb="FFCCFFCC"/>
        </patternFill>
      </fill>
    </dxf>
    <dxf>
      <fill>
        <patternFill>
          <bgColor indexed="9"/>
        </patternFill>
      </fill>
    </dxf>
    <dxf>
      <fill>
        <patternFill>
          <bgColor rgb="FF777777"/>
        </patternFill>
      </fill>
    </dxf>
    <dxf>
      <fill>
        <patternFill>
          <bgColor rgb="FF777777"/>
        </patternFill>
      </fill>
    </dxf>
    <dxf>
      <fill>
        <patternFill>
          <bgColor rgb="FF777777"/>
        </patternFill>
      </fill>
    </dxf>
    <dxf>
      <fill>
        <patternFill>
          <bgColor rgb="FF777777"/>
        </patternFill>
      </fill>
    </dxf>
    <dxf>
      <fill>
        <patternFill>
          <bgColor theme="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C0C0C0"/>
        </patternFill>
      </fill>
    </dxf>
    <dxf>
      <fill>
        <patternFill>
          <bgColor rgb="FF777777"/>
        </patternFill>
      </fill>
    </dxf>
    <dxf>
      <fill>
        <patternFill>
          <bgColor rgb="FFFF7C80"/>
        </patternFill>
      </fill>
    </dxf>
    <dxf>
      <fill>
        <patternFill>
          <bgColor rgb="FF777777"/>
        </patternFill>
      </fill>
    </dxf>
    <dxf>
      <fill>
        <patternFill>
          <bgColor rgb="FFCCFFCC"/>
        </patternFill>
      </fill>
      <border>
        <left style="thin">
          <color auto="1"/>
        </left>
        <right style="thin">
          <color auto="1"/>
        </right>
        <top style="thin">
          <color auto="1"/>
        </top>
        <bottom style="thin">
          <color auto="1"/>
        </bottom>
      </border>
    </dxf>
    <dxf>
      <fill>
        <patternFill>
          <bgColor rgb="FFCCFFCC"/>
        </patternFill>
      </fill>
      <border>
        <left style="thin">
          <color auto="1"/>
        </left>
        <right style="thin">
          <color auto="1"/>
        </right>
        <top style="thin">
          <color auto="1"/>
        </top>
        <bottom style="thin">
          <color auto="1"/>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fill>
        <patternFill>
          <bgColor theme="0"/>
        </patternFill>
      </fill>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auto="1"/>
        </left>
        <right style="thin">
          <color auto="1"/>
        </right>
        <top style="thin">
          <color auto="1"/>
        </top>
        <bottom style="thin">
          <color auto="1"/>
        </bottom>
        <vertical/>
        <horizontal/>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CFFCC"/>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C0C0C0"/>
        </patternFill>
      </fill>
    </dxf>
    <dxf>
      <fill>
        <patternFill>
          <bgColor indexed="4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0C0C0"/>
        </patternFill>
      </fill>
    </dxf>
    <dxf>
      <fill>
        <patternFill>
          <bgColor rgb="FFC0C0C0"/>
        </patternFill>
      </fill>
    </dxf>
    <dxf>
      <fill>
        <patternFill>
          <bgColor rgb="FFFF7C80"/>
        </patternFill>
      </fill>
    </dxf>
    <dxf>
      <fill>
        <patternFill>
          <bgColor rgb="FFCCFFCC"/>
        </patternFill>
      </fill>
    </dxf>
    <dxf>
      <fill>
        <patternFill>
          <bgColor rgb="FF99FF66"/>
        </patternFill>
      </fill>
    </dxf>
    <dxf>
      <fill>
        <patternFill>
          <bgColor rgb="FFFFFF99"/>
        </patternFill>
      </fill>
    </dxf>
    <dxf>
      <fill>
        <patternFill>
          <bgColor rgb="FFC0C0C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FF7C80"/>
        </patternFill>
      </fill>
    </dxf>
    <dxf>
      <fill>
        <patternFill>
          <bgColor rgb="FFC0C0C0"/>
        </patternFill>
      </fill>
    </dxf>
    <dxf>
      <fill>
        <patternFill>
          <bgColor rgb="FF99FF66"/>
        </patternFill>
      </fill>
    </dxf>
    <dxf>
      <fill>
        <patternFill>
          <bgColor rgb="FFCCFFCC"/>
        </patternFill>
      </fill>
    </dxf>
    <dxf>
      <fill>
        <patternFill>
          <bgColor rgb="FFCCFFCC"/>
        </patternFill>
      </fill>
    </dxf>
    <dxf>
      <fill>
        <patternFill>
          <bgColor rgb="FFFFFF99"/>
        </patternFill>
      </fill>
    </dxf>
    <dxf>
      <fill>
        <patternFill>
          <bgColor rgb="FFFF7C8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99FF66"/>
        </patternFill>
      </fill>
    </dxf>
    <dxf>
      <fill>
        <patternFill>
          <bgColor indexed="42"/>
        </patternFill>
      </fill>
    </dxf>
    <dxf>
      <fill>
        <patternFill>
          <bgColor indexed="43"/>
        </patternFill>
      </fill>
    </dxf>
    <dxf>
      <fill>
        <patternFill>
          <bgColor indexed="14"/>
        </patternFill>
      </fill>
    </dxf>
    <dxf>
      <fill>
        <patternFill>
          <bgColor rgb="FFC0C0C0"/>
        </patternFill>
      </fill>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auto="1"/>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vertical="center" textRotation="0" wrapText="0"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textRotation="0" wrapText="0"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textRotation="0" wrapText="0" indent="0" justifyLastLine="0" shrinkToFit="0" readingOrder="0"/>
    </dxf>
    <dxf>
      <font>
        <b val="0"/>
        <i val="0"/>
        <strike val="0"/>
        <condense val="0"/>
        <extend val="0"/>
        <outline val="0"/>
        <shadow val="0"/>
        <u val="none"/>
        <vertAlign val="baseline"/>
        <sz val="8"/>
        <color auto="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auto="1"/>
        <name val="Arial"/>
        <scheme val="none"/>
      </font>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C1C1C1"/>
      <color rgb="FFCCFFCC"/>
      <color rgb="FFFFFF99"/>
      <color rgb="FFDCE6F1"/>
      <color rgb="FFE6E6F1"/>
      <color rgb="FFEAF0F6"/>
      <color rgb="FF99FF66"/>
      <color rgb="FFFF7C80"/>
      <color rgb="FFFF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14</xdr:col>
      <xdr:colOff>409575</xdr:colOff>
      <xdr:row>5</xdr:row>
      <xdr:rowOff>0</xdr:rowOff>
    </xdr:from>
    <xdr:to>
      <xdr:col>15</xdr:col>
      <xdr:colOff>0</xdr:colOff>
      <xdr:row>5</xdr:row>
      <xdr:rowOff>104775</xdr:rowOff>
    </xdr:to>
    <xdr:pic>
      <xdr:nvPicPr>
        <xdr:cNvPr id="206264" name="Grafik 15">
          <a:extLst>
            <a:ext uri="{FF2B5EF4-FFF2-40B4-BE49-F238E27FC236}">
              <a16:creationId xmlns:a16="http://schemas.microsoft.com/office/drawing/2014/main" xmlns="" id="{00000000-0008-0000-0000-0000B8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00775" y="704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13</xdr:row>
      <xdr:rowOff>9525</xdr:rowOff>
    </xdr:from>
    <xdr:to>
      <xdr:col>15</xdr:col>
      <xdr:colOff>0</xdr:colOff>
      <xdr:row>13</xdr:row>
      <xdr:rowOff>114300</xdr:rowOff>
    </xdr:to>
    <xdr:pic>
      <xdr:nvPicPr>
        <xdr:cNvPr id="206265" name="Grafik 15">
          <a:extLst>
            <a:ext uri="{FF2B5EF4-FFF2-40B4-BE49-F238E27FC236}">
              <a16:creationId xmlns:a16="http://schemas.microsoft.com/office/drawing/2014/main" xmlns="" id="{00000000-0008-0000-0000-0000B9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781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5</xdr:row>
      <xdr:rowOff>9525</xdr:rowOff>
    </xdr:from>
    <xdr:to>
      <xdr:col>5</xdr:col>
      <xdr:colOff>0</xdr:colOff>
      <xdr:row>5</xdr:row>
      <xdr:rowOff>114300</xdr:rowOff>
    </xdr:to>
    <xdr:pic>
      <xdr:nvPicPr>
        <xdr:cNvPr id="206266" name="Grafik 15">
          <a:extLst>
            <a:ext uri="{FF2B5EF4-FFF2-40B4-BE49-F238E27FC236}">
              <a16:creationId xmlns:a16="http://schemas.microsoft.com/office/drawing/2014/main" xmlns="" id="{00000000-0008-0000-0000-0000B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0375"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20</xdr:row>
      <xdr:rowOff>9525</xdr:rowOff>
    </xdr:from>
    <xdr:to>
      <xdr:col>15</xdr:col>
      <xdr:colOff>0</xdr:colOff>
      <xdr:row>20</xdr:row>
      <xdr:rowOff>114300</xdr:rowOff>
    </xdr:to>
    <xdr:pic>
      <xdr:nvPicPr>
        <xdr:cNvPr id="206272" name="Grafik 15">
          <a:extLst>
            <a:ext uri="{FF2B5EF4-FFF2-40B4-BE49-F238E27FC236}">
              <a16:creationId xmlns:a16="http://schemas.microsoft.com/office/drawing/2014/main" xmlns="" id="{00000000-0008-0000-0000-0000C0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2924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11</xdr:row>
      <xdr:rowOff>9525</xdr:rowOff>
    </xdr:from>
    <xdr:to>
      <xdr:col>15</xdr:col>
      <xdr:colOff>0</xdr:colOff>
      <xdr:row>11</xdr:row>
      <xdr:rowOff>114300</xdr:rowOff>
    </xdr:to>
    <xdr:pic>
      <xdr:nvPicPr>
        <xdr:cNvPr id="206274" name="Grafik 15">
          <a:extLst>
            <a:ext uri="{FF2B5EF4-FFF2-40B4-BE49-F238E27FC236}">
              <a16:creationId xmlns:a16="http://schemas.microsoft.com/office/drawing/2014/main" xmlns="" id="{00000000-0008-0000-0000-0000C2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514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23</xdr:row>
      <xdr:rowOff>9525</xdr:rowOff>
    </xdr:from>
    <xdr:to>
      <xdr:col>15</xdr:col>
      <xdr:colOff>0</xdr:colOff>
      <xdr:row>23</xdr:row>
      <xdr:rowOff>114300</xdr:rowOff>
    </xdr:to>
    <xdr:pic>
      <xdr:nvPicPr>
        <xdr:cNvPr id="206277" name="Grafik 15">
          <a:extLst>
            <a:ext uri="{FF2B5EF4-FFF2-40B4-BE49-F238E27FC236}">
              <a16:creationId xmlns:a16="http://schemas.microsoft.com/office/drawing/2014/main" xmlns="" id="{00000000-0008-0000-0000-0000C5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3371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142875</xdr:colOff>
      <xdr:row>0</xdr:row>
      <xdr:rowOff>66675</xdr:rowOff>
    </xdr:from>
    <xdr:to>
      <xdr:col>15</xdr:col>
      <xdr:colOff>0</xdr:colOff>
      <xdr:row>3</xdr:row>
      <xdr:rowOff>114300</xdr:rowOff>
    </xdr:to>
    <xdr:pic>
      <xdr:nvPicPr>
        <xdr:cNvPr id="206278" name="Grafik 1">
          <a:extLst>
            <a:ext uri="{FF2B5EF4-FFF2-40B4-BE49-F238E27FC236}">
              <a16:creationId xmlns:a16="http://schemas.microsoft.com/office/drawing/2014/main" xmlns="" id="{00000000-0008-0000-0000-0000C625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57775" y="66675"/>
          <a:ext cx="13049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11</xdr:row>
      <xdr:rowOff>9525</xdr:rowOff>
    </xdr:from>
    <xdr:to>
      <xdr:col>5</xdr:col>
      <xdr:colOff>0</xdr:colOff>
      <xdr:row>11</xdr:row>
      <xdr:rowOff>114300</xdr:rowOff>
    </xdr:to>
    <xdr:pic>
      <xdr:nvPicPr>
        <xdr:cNvPr id="206282" name="Grafik 15">
          <a:extLst>
            <a:ext uri="{FF2B5EF4-FFF2-40B4-BE49-F238E27FC236}">
              <a16:creationId xmlns:a16="http://schemas.microsoft.com/office/drawing/2014/main" xmlns="" id="{00000000-0008-0000-0000-0000C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0850" y="1514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342900</xdr:colOff>
      <xdr:row>32</xdr:row>
      <xdr:rowOff>9525</xdr:rowOff>
    </xdr:from>
    <xdr:to>
      <xdr:col>4</xdr:col>
      <xdr:colOff>0</xdr:colOff>
      <xdr:row>32</xdr:row>
      <xdr:rowOff>114300</xdr:rowOff>
    </xdr:to>
    <xdr:pic>
      <xdr:nvPicPr>
        <xdr:cNvPr id="21" name="Grafik 14">
          <a:extLst>
            <a:ext uri="{FF2B5EF4-FFF2-40B4-BE49-F238E27FC236}">
              <a16:creationId xmlns:a16="http://schemas.microsoft.com/office/drawing/2014/main" xmlns="" id="{00000000-0008-0000-00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52700" y="5753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32</xdr:row>
      <xdr:rowOff>9525</xdr:rowOff>
    </xdr:from>
    <xdr:to>
      <xdr:col>14</xdr:col>
      <xdr:colOff>504825</xdr:colOff>
      <xdr:row>32</xdr:row>
      <xdr:rowOff>114300</xdr:rowOff>
    </xdr:to>
    <xdr:pic>
      <xdr:nvPicPr>
        <xdr:cNvPr id="23" name="Grafik 14">
          <a:extLst>
            <a:ext uri="{FF2B5EF4-FFF2-40B4-BE49-F238E27FC236}">
              <a16:creationId xmlns:a16="http://schemas.microsoft.com/office/drawing/2014/main" xmlns="" id="{00000000-0008-0000-00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5753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33</xdr:row>
      <xdr:rowOff>9525</xdr:rowOff>
    </xdr:from>
    <xdr:to>
      <xdr:col>14</xdr:col>
      <xdr:colOff>504825</xdr:colOff>
      <xdr:row>33</xdr:row>
      <xdr:rowOff>114300</xdr:rowOff>
    </xdr:to>
    <xdr:pic>
      <xdr:nvPicPr>
        <xdr:cNvPr id="24" name="Grafik 14">
          <a:extLst>
            <a:ext uri="{FF2B5EF4-FFF2-40B4-BE49-F238E27FC236}">
              <a16:creationId xmlns:a16="http://schemas.microsoft.com/office/drawing/2014/main" xmlns=""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6019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34</xdr:row>
      <xdr:rowOff>9525</xdr:rowOff>
    </xdr:from>
    <xdr:to>
      <xdr:col>14</xdr:col>
      <xdr:colOff>504825</xdr:colOff>
      <xdr:row>34</xdr:row>
      <xdr:rowOff>114300</xdr:rowOff>
    </xdr:to>
    <xdr:pic>
      <xdr:nvPicPr>
        <xdr:cNvPr id="25" name="Grafik 14">
          <a:extLst>
            <a:ext uri="{FF2B5EF4-FFF2-40B4-BE49-F238E27FC236}">
              <a16:creationId xmlns:a16="http://schemas.microsoft.com/office/drawing/2014/main" xmlns="" id="{00000000-0008-0000-00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6286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39</xdr:row>
      <xdr:rowOff>9525</xdr:rowOff>
    </xdr:from>
    <xdr:to>
      <xdr:col>14</xdr:col>
      <xdr:colOff>504825</xdr:colOff>
      <xdr:row>39</xdr:row>
      <xdr:rowOff>114300</xdr:rowOff>
    </xdr:to>
    <xdr:pic>
      <xdr:nvPicPr>
        <xdr:cNvPr id="27" name="Grafik 14">
          <a:extLst>
            <a:ext uri="{FF2B5EF4-FFF2-40B4-BE49-F238E27FC236}">
              <a16:creationId xmlns:a16="http://schemas.microsoft.com/office/drawing/2014/main" xmlns="" id="{00000000-0008-0000-0000-00001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7620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342900</xdr:colOff>
      <xdr:row>39</xdr:row>
      <xdr:rowOff>9525</xdr:rowOff>
    </xdr:from>
    <xdr:to>
      <xdr:col>9</xdr:col>
      <xdr:colOff>0</xdr:colOff>
      <xdr:row>39</xdr:row>
      <xdr:rowOff>114300</xdr:rowOff>
    </xdr:to>
    <xdr:pic>
      <xdr:nvPicPr>
        <xdr:cNvPr id="28" name="Grafik 14">
          <a:extLst>
            <a:ext uri="{FF2B5EF4-FFF2-40B4-BE49-F238E27FC236}">
              <a16:creationId xmlns:a16="http://schemas.microsoft.com/office/drawing/2014/main" xmlns="" id="{00000000-0008-0000-0000-00001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91075" y="7620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342900</xdr:colOff>
      <xdr:row>39</xdr:row>
      <xdr:rowOff>9525</xdr:rowOff>
    </xdr:from>
    <xdr:to>
      <xdr:col>11</xdr:col>
      <xdr:colOff>0</xdr:colOff>
      <xdr:row>39</xdr:row>
      <xdr:rowOff>114300</xdr:rowOff>
    </xdr:to>
    <xdr:pic>
      <xdr:nvPicPr>
        <xdr:cNvPr id="30" name="Grafik 14">
          <a:extLst>
            <a:ext uri="{FF2B5EF4-FFF2-40B4-BE49-F238E27FC236}">
              <a16:creationId xmlns:a16="http://schemas.microsoft.com/office/drawing/2014/main" xmlns="" id="{00000000-0008-0000-0000-00001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86425" y="7620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52</xdr:row>
      <xdr:rowOff>9525</xdr:rowOff>
    </xdr:from>
    <xdr:to>
      <xdr:col>14</xdr:col>
      <xdr:colOff>504825</xdr:colOff>
      <xdr:row>52</xdr:row>
      <xdr:rowOff>114300</xdr:rowOff>
    </xdr:to>
    <xdr:pic>
      <xdr:nvPicPr>
        <xdr:cNvPr id="31" name="Grafik 14">
          <a:extLst>
            <a:ext uri="{FF2B5EF4-FFF2-40B4-BE49-F238E27FC236}">
              <a16:creationId xmlns:a16="http://schemas.microsoft.com/office/drawing/2014/main" xmlns="" id="{00000000-0008-0000-00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10401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342900</xdr:colOff>
      <xdr:row>32</xdr:row>
      <xdr:rowOff>9525</xdr:rowOff>
    </xdr:from>
    <xdr:to>
      <xdr:col>4</xdr:col>
      <xdr:colOff>0</xdr:colOff>
      <xdr:row>32</xdr:row>
      <xdr:rowOff>114300</xdr:rowOff>
    </xdr:to>
    <xdr:pic>
      <xdr:nvPicPr>
        <xdr:cNvPr id="32" name="Grafik 14">
          <a:extLst>
            <a:ext uri="{FF2B5EF4-FFF2-40B4-BE49-F238E27FC236}">
              <a16:creationId xmlns:a16="http://schemas.microsoft.com/office/drawing/2014/main" xmlns="" id="{00000000-0008-0000-0000-00002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52700" y="571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44</xdr:row>
      <xdr:rowOff>9525</xdr:rowOff>
    </xdr:from>
    <xdr:to>
      <xdr:col>14</xdr:col>
      <xdr:colOff>504825</xdr:colOff>
      <xdr:row>44</xdr:row>
      <xdr:rowOff>114300</xdr:rowOff>
    </xdr:to>
    <xdr:pic>
      <xdr:nvPicPr>
        <xdr:cNvPr id="35" name="Grafik 14">
          <a:extLst>
            <a:ext uri="{FF2B5EF4-FFF2-40B4-BE49-F238E27FC236}">
              <a16:creationId xmlns:a16="http://schemas.microsoft.com/office/drawing/2014/main" xmlns="" id="{00000000-0008-0000-00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2375" y="8458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400050</xdr:colOff>
      <xdr:row>45</xdr:row>
      <xdr:rowOff>9525</xdr:rowOff>
    </xdr:from>
    <xdr:to>
      <xdr:col>14</xdr:col>
      <xdr:colOff>504825</xdr:colOff>
      <xdr:row>45</xdr:row>
      <xdr:rowOff>114300</xdr:rowOff>
    </xdr:to>
    <xdr:pic>
      <xdr:nvPicPr>
        <xdr:cNvPr id="36" name="Grafik 14">
          <a:extLst>
            <a:ext uri="{FF2B5EF4-FFF2-40B4-BE49-F238E27FC236}">
              <a16:creationId xmlns:a16="http://schemas.microsoft.com/office/drawing/2014/main" xmlns="" id="{00000000-0008-0000-00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2375" y="8696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342900</xdr:colOff>
      <xdr:row>34</xdr:row>
      <xdr:rowOff>9525</xdr:rowOff>
    </xdr:from>
    <xdr:to>
      <xdr:col>9</xdr:col>
      <xdr:colOff>0</xdr:colOff>
      <xdr:row>34</xdr:row>
      <xdr:rowOff>114300</xdr:rowOff>
    </xdr:to>
    <xdr:pic>
      <xdr:nvPicPr>
        <xdr:cNvPr id="26" name="Grafik 14">
          <a:extLst>
            <a:ext uri="{FF2B5EF4-FFF2-40B4-BE49-F238E27FC236}">
              <a16:creationId xmlns:a16="http://schemas.microsoft.com/office/drawing/2014/main" xmlns="" id="{00000000-0008-0000-0000-00001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91075" y="6315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0</xdr:colOff>
      <xdr:row>0</xdr:row>
      <xdr:rowOff>114300</xdr:rowOff>
    </xdr:to>
    <xdr:pic>
      <xdr:nvPicPr>
        <xdr:cNvPr id="89955" name="Grafik 15">
          <a:extLst>
            <a:ext uri="{FF2B5EF4-FFF2-40B4-BE49-F238E27FC236}">
              <a16:creationId xmlns:a16="http://schemas.microsoft.com/office/drawing/2014/main" xmlns="" id="{00000000-0008-0000-0100-0000635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7425" y="9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152400</xdr:colOff>
      <xdr:row>5</xdr:row>
      <xdr:rowOff>9525</xdr:rowOff>
    </xdr:from>
    <xdr:to>
      <xdr:col>14</xdr:col>
      <xdr:colOff>0</xdr:colOff>
      <xdr:row>5</xdr:row>
      <xdr:rowOff>114300</xdr:rowOff>
    </xdr:to>
    <xdr:pic>
      <xdr:nvPicPr>
        <xdr:cNvPr id="205517" name="Grafik 2">
          <a:extLst>
            <a:ext uri="{FF2B5EF4-FFF2-40B4-BE49-F238E27FC236}">
              <a16:creationId xmlns:a16="http://schemas.microsoft.com/office/drawing/2014/main" xmlns="" id="{00000000-0008-0000-0400-0000C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19975" y="742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152400</xdr:colOff>
      <xdr:row>7</xdr:row>
      <xdr:rowOff>9525</xdr:rowOff>
    </xdr:from>
    <xdr:to>
      <xdr:col>14</xdr:col>
      <xdr:colOff>0</xdr:colOff>
      <xdr:row>7</xdr:row>
      <xdr:rowOff>114300</xdr:rowOff>
    </xdr:to>
    <xdr:pic>
      <xdr:nvPicPr>
        <xdr:cNvPr id="205518" name="Grafik 3">
          <a:extLst>
            <a:ext uri="{FF2B5EF4-FFF2-40B4-BE49-F238E27FC236}">
              <a16:creationId xmlns:a16="http://schemas.microsoft.com/office/drawing/2014/main" xmlns="" id="{00000000-0008-0000-0400-0000CE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19975" y="9906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590550</xdr:colOff>
      <xdr:row>7</xdr:row>
      <xdr:rowOff>9525</xdr:rowOff>
    </xdr:from>
    <xdr:to>
      <xdr:col>7</xdr:col>
      <xdr:colOff>0</xdr:colOff>
      <xdr:row>7</xdr:row>
      <xdr:rowOff>114300</xdr:rowOff>
    </xdr:to>
    <xdr:pic>
      <xdr:nvPicPr>
        <xdr:cNvPr id="205519" name="Grafik 4">
          <a:extLst>
            <a:ext uri="{FF2B5EF4-FFF2-40B4-BE49-F238E27FC236}">
              <a16:creationId xmlns:a16="http://schemas.microsoft.com/office/drawing/2014/main" xmlns="" id="{00000000-0008-0000-0400-0000C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14700" y="9906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4600575</xdr:colOff>
      <xdr:row>10</xdr:row>
      <xdr:rowOff>9525</xdr:rowOff>
    </xdr:from>
    <xdr:to>
      <xdr:col>18</xdr:col>
      <xdr:colOff>4714875</xdr:colOff>
      <xdr:row>10</xdr:row>
      <xdr:rowOff>104775</xdr:rowOff>
    </xdr:to>
    <xdr:pic>
      <xdr:nvPicPr>
        <xdr:cNvPr id="205520" name="Grafik 6">
          <a:extLst>
            <a:ext uri="{FF2B5EF4-FFF2-40B4-BE49-F238E27FC236}">
              <a16:creationId xmlns:a16="http://schemas.microsoft.com/office/drawing/2014/main" xmlns="" id="{00000000-0008-0000-0400-0000D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77950" y="43243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54</xdr:row>
      <xdr:rowOff>9525</xdr:rowOff>
    </xdr:from>
    <xdr:to>
      <xdr:col>16</xdr:col>
      <xdr:colOff>514350</xdr:colOff>
      <xdr:row>54</xdr:row>
      <xdr:rowOff>114300</xdr:rowOff>
    </xdr:to>
    <xdr:pic>
      <xdr:nvPicPr>
        <xdr:cNvPr id="205521" name="Grafik 7">
          <a:extLst>
            <a:ext uri="{FF2B5EF4-FFF2-40B4-BE49-F238E27FC236}">
              <a16:creationId xmlns:a16="http://schemas.microsoft.com/office/drawing/2014/main" xmlns="" id="{00000000-0008-0000-0400-0000D1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0602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42</xdr:row>
      <xdr:rowOff>9525</xdr:rowOff>
    </xdr:from>
    <xdr:to>
      <xdr:col>17</xdr:col>
      <xdr:colOff>0</xdr:colOff>
      <xdr:row>42</xdr:row>
      <xdr:rowOff>114300</xdr:rowOff>
    </xdr:to>
    <xdr:pic>
      <xdr:nvPicPr>
        <xdr:cNvPr id="205523" name="Grafik 11">
          <a:extLst>
            <a:ext uri="{FF2B5EF4-FFF2-40B4-BE49-F238E27FC236}">
              <a16:creationId xmlns:a16="http://schemas.microsoft.com/office/drawing/2014/main" xmlns="" id="{00000000-0008-0000-0400-0000D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15344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11</xdr:row>
      <xdr:rowOff>9525</xdr:rowOff>
    </xdr:from>
    <xdr:to>
      <xdr:col>16</xdr:col>
      <xdr:colOff>514350</xdr:colOff>
      <xdr:row>11</xdr:row>
      <xdr:rowOff>114300</xdr:rowOff>
    </xdr:to>
    <xdr:pic>
      <xdr:nvPicPr>
        <xdr:cNvPr id="205524" name="Grafik 12">
          <a:extLst>
            <a:ext uri="{FF2B5EF4-FFF2-40B4-BE49-F238E27FC236}">
              <a16:creationId xmlns:a16="http://schemas.microsoft.com/office/drawing/2014/main" xmlns="" id="{00000000-0008-0000-0400-0000D4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61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48</xdr:row>
      <xdr:rowOff>9525</xdr:rowOff>
    </xdr:from>
    <xdr:to>
      <xdr:col>16</xdr:col>
      <xdr:colOff>514350</xdr:colOff>
      <xdr:row>48</xdr:row>
      <xdr:rowOff>114300</xdr:rowOff>
    </xdr:to>
    <xdr:pic>
      <xdr:nvPicPr>
        <xdr:cNvPr id="205525" name="Grafik 13">
          <a:extLst>
            <a:ext uri="{FF2B5EF4-FFF2-40B4-BE49-F238E27FC236}">
              <a16:creationId xmlns:a16="http://schemas.microsoft.com/office/drawing/2014/main" xmlns="" id="{00000000-0008-0000-0400-0000D5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7973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51</xdr:row>
      <xdr:rowOff>9525</xdr:rowOff>
    </xdr:from>
    <xdr:to>
      <xdr:col>16</xdr:col>
      <xdr:colOff>514350</xdr:colOff>
      <xdr:row>51</xdr:row>
      <xdr:rowOff>114300</xdr:rowOff>
    </xdr:to>
    <xdr:pic>
      <xdr:nvPicPr>
        <xdr:cNvPr id="205526" name="Grafik 14">
          <a:extLst>
            <a:ext uri="{FF2B5EF4-FFF2-40B4-BE49-F238E27FC236}">
              <a16:creationId xmlns:a16="http://schemas.microsoft.com/office/drawing/2014/main" xmlns="" id="{00000000-0008-0000-0400-0000D6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9288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56</xdr:row>
      <xdr:rowOff>9525</xdr:rowOff>
    </xdr:from>
    <xdr:to>
      <xdr:col>16</xdr:col>
      <xdr:colOff>514350</xdr:colOff>
      <xdr:row>56</xdr:row>
      <xdr:rowOff>114300</xdr:rowOff>
    </xdr:to>
    <xdr:pic>
      <xdr:nvPicPr>
        <xdr:cNvPr id="205527" name="Grafik 15">
          <a:extLst>
            <a:ext uri="{FF2B5EF4-FFF2-40B4-BE49-F238E27FC236}">
              <a16:creationId xmlns:a16="http://schemas.microsoft.com/office/drawing/2014/main" xmlns="" id="{00000000-0008-0000-0400-0000D7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1478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63</xdr:row>
      <xdr:rowOff>9525</xdr:rowOff>
    </xdr:from>
    <xdr:to>
      <xdr:col>16</xdr:col>
      <xdr:colOff>514350</xdr:colOff>
      <xdr:row>63</xdr:row>
      <xdr:rowOff>114300</xdr:rowOff>
    </xdr:to>
    <xdr:pic>
      <xdr:nvPicPr>
        <xdr:cNvPr id="205528" name="Grafik 17">
          <a:extLst>
            <a:ext uri="{FF2B5EF4-FFF2-40B4-BE49-F238E27FC236}">
              <a16:creationId xmlns:a16="http://schemas.microsoft.com/office/drawing/2014/main" xmlns="" id="{00000000-0008-0000-0400-0000D8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974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9</xdr:row>
      <xdr:rowOff>9525</xdr:rowOff>
    </xdr:from>
    <xdr:to>
      <xdr:col>16</xdr:col>
      <xdr:colOff>514350</xdr:colOff>
      <xdr:row>9</xdr:row>
      <xdr:rowOff>114300</xdr:rowOff>
    </xdr:to>
    <xdr:pic>
      <xdr:nvPicPr>
        <xdr:cNvPr id="205529" name="Grafik 12">
          <a:extLst>
            <a:ext uri="{FF2B5EF4-FFF2-40B4-BE49-F238E27FC236}">
              <a16:creationId xmlns:a16="http://schemas.microsoft.com/office/drawing/2014/main" xmlns="" id="{00000000-0008-0000-0400-0000D9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114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219075</xdr:colOff>
      <xdr:row>9</xdr:row>
      <xdr:rowOff>9525</xdr:rowOff>
    </xdr:from>
    <xdr:to>
      <xdr:col>3</xdr:col>
      <xdr:colOff>333375</xdr:colOff>
      <xdr:row>9</xdr:row>
      <xdr:rowOff>114300</xdr:rowOff>
    </xdr:to>
    <xdr:pic>
      <xdr:nvPicPr>
        <xdr:cNvPr id="205530" name="Grafik 5">
          <a:extLst>
            <a:ext uri="{FF2B5EF4-FFF2-40B4-BE49-F238E27FC236}">
              <a16:creationId xmlns:a16="http://schemas.microsoft.com/office/drawing/2014/main" xmlns="" id="{00000000-0008-0000-0400-0000DA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4114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14</xdr:row>
      <xdr:rowOff>9525</xdr:rowOff>
    </xdr:from>
    <xdr:to>
      <xdr:col>16</xdr:col>
      <xdr:colOff>514350</xdr:colOff>
      <xdr:row>14</xdr:row>
      <xdr:rowOff>114300</xdr:rowOff>
    </xdr:to>
    <xdr:pic>
      <xdr:nvPicPr>
        <xdr:cNvPr id="205531" name="Grafik 12">
          <a:extLst>
            <a:ext uri="{FF2B5EF4-FFF2-40B4-BE49-F238E27FC236}">
              <a16:creationId xmlns:a16="http://schemas.microsoft.com/office/drawing/2014/main" xmlns="" id="{00000000-0008-0000-0400-0000DB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5905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17</xdr:row>
      <xdr:rowOff>9525</xdr:rowOff>
    </xdr:from>
    <xdr:to>
      <xdr:col>16</xdr:col>
      <xdr:colOff>514350</xdr:colOff>
      <xdr:row>17</xdr:row>
      <xdr:rowOff>114300</xdr:rowOff>
    </xdr:to>
    <xdr:pic>
      <xdr:nvPicPr>
        <xdr:cNvPr id="205532" name="Grafik 12">
          <a:extLst>
            <a:ext uri="{FF2B5EF4-FFF2-40B4-BE49-F238E27FC236}">
              <a16:creationId xmlns:a16="http://schemas.microsoft.com/office/drawing/2014/main" xmlns="" id="{00000000-0008-0000-0400-0000DC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7191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20</xdr:row>
      <xdr:rowOff>9525</xdr:rowOff>
    </xdr:from>
    <xdr:to>
      <xdr:col>16</xdr:col>
      <xdr:colOff>514350</xdr:colOff>
      <xdr:row>20</xdr:row>
      <xdr:rowOff>114300</xdr:rowOff>
    </xdr:to>
    <xdr:pic>
      <xdr:nvPicPr>
        <xdr:cNvPr id="205533" name="Grafik 12">
          <a:extLst>
            <a:ext uri="{FF2B5EF4-FFF2-40B4-BE49-F238E27FC236}">
              <a16:creationId xmlns:a16="http://schemas.microsoft.com/office/drawing/2014/main" xmlns="" id="{00000000-0008-0000-0400-0000D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847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62</xdr:row>
      <xdr:rowOff>9525</xdr:rowOff>
    </xdr:from>
    <xdr:to>
      <xdr:col>16</xdr:col>
      <xdr:colOff>514350</xdr:colOff>
      <xdr:row>62</xdr:row>
      <xdr:rowOff>114300</xdr:rowOff>
    </xdr:to>
    <xdr:pic>
      <xdr:nvPicPr>
        <xdr:cNvPr id="205534" name="Grafik 17">
          <a:extLst>
            <a:ext uri="{FF2B5EF4-FFF2-40B4-BE49-F238E27FC236}">
              <a16:creationId xmlns:a16="http://schemas.microsoft.com/office/drawing/2014/main" xmlns="" id="{00000000-0008-0000-0400-0000DE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536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9</xdr:row>
      <xdr:rowOff>9525</xdr:rowOff>
    </xdr:from>
    <xdr:to>
      <xdr:col>2</xdr:col>
      <xdr:colOff>171450</xdr:colOff>
      <xdr:row>9</xdr:row>
      <xdr:rowOff>114300</xdr:rowOff>
    </xdr:to>
    <xdr:pic>
      <xdr:nvPicPr>
        <xdr:cNvPr id="205535" name="Grafik 5">
          <a:extLst>
            <a:ext uri="{FF2B5EF4-FFF2-40B4-BE49-F238E27FC236}">
              <a16:creationId xmlns:a16="http://schemas.microsoft.com/office/drawing/2014/main" xmlns="" id="{00000000-0008-0000-0400-0000D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4114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69</xdr:row>
      <xdr:rowOff>9525</xdr:rowOff>
    </xdr:from>
    <xdr:to>
      <xdr:col>16</xdr:col>
      <xdr:colOff>514350</xdr:colOff>
      <xdr:row>69</xdr:row>
      <xdr:rowOff>114300</xdr:rowOff>
    </xdr:to>
    <xdr:pic>
      <xdr:nvPicPr>
        <xdr:cNvPr id="205536" name="Grafik 20">
          <a:extLst>
            <a:ext uri="{FF2B5EF4-FFF2-40B4-BE49-F238E27FC236}">
              <a16:creationId xmlns:a16="http://schemas.microsoft.com/office/drawing/2014/main" xmlns="" id="{00000000-0008-0000-0400-0000E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28603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161925</xdr:colOff>
      <xdr:row>0</xdr:row>
      <xdr:rowOff>85725</xdr:rowOff>
    </xdr:from>
    <xdr:to>
      <xdr:col>17</xdr:col>
      <xdr:colOff>533400</xdr:colOff>
      <xdr:row>4</xdr:row>
      <xdr:rowOff>19050</xdr:rowOff>
    </xdr:to>
    <xdr:pic>
      <xdr:nvPicPr>
        <xdr:cNvPr id="205537" name="Grafik 1">
          <a:extLst>
            <a:ext uri="{FF2B5EF4-FFF2-40B4-BE49-F238E27FC236}">
              <a16:creationId xmlns:a16="http://schemas.microsoft.com/office/drawing/2014/main" xmlns="" id="{00000000-0008-0000-0400-0000E122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34350" y="8572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41</xdr:row>
      <xdr:rowOff>9525</xdr:rowOff>
    </xdr:from>
    <xdr:to>
      <xdr:col>16</xdr:col>
      <xdr:colOff>514350</xdr:colOff>
      <xdr:row>41</xdr:row>
      <xdr:rowOff>114300</xdr:rowOff>
    </xdr:to>
    <xdr:pic>
      <xdr:nvPicPr>
        <xdr:cNvPr id="205539" name="Grafik 11">
          <a:extLst>
            <a:ext uri="{FF2B5EF4-FFF2-40B4-BE49-F238E27FC236}">
              <a16:creationId xmlns:a16="http://schemas.microsoft.com/office/drawing/2014/main" xmlns="" id="{00000000-0008-0000-0400-0000E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906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27</xdr:row>
      <xdr:rowOff>9525</xdr:rowOff>
    </xdr:from>
    <xdr:to>
      <xdr:col>16</xdr:col>
      <xdr:colOff>514350</xdr:colOff>
      <xdr:row>27</xdr:row>
      <xdr:rowOff>95250</xdr:rowOff>
    </xdr:to>
    <xdr:pic>
      <xdr:nvPicPr>
        <xdr:cNvPr id="205541" name="Grafik 29">
          <a:extLst>
            <a:ext uri="{FF2B5EF4-FFF2-40B4-BE49-F238E27FC236}">
              <a16:creationId xmlns:a16="http://schemas.microsoft.com/office/drawing/2014/main" xmlns="" id="{00000000-0008-0000-0400-0000E5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10191750"/>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30</xdr:row>
      <xdr:rowOff>9525</xdr:rowOff>
    </xdr:from>
    <xdr:to>
      <xdr:col>16</xdr:col>
      <xdr:colOff>514350</xdr:colOff>
      <xdr:row>30</xdr:row>
      <xdr:rowOff>95250</xdr:rowOff>
    </xdr:to>
    <xdr:pic>
      <xdr:nvPicPr>
        <xdr:cNvPr id="205542" name="Grafik 29">
          <a:extLst>
            <a:ext uri="{FF2B5EF4-FFF2-40B4-BE49-F238E27FC236}">
              <a16:creationId xmlns:a16="http://schemas.microsoft.com/office/drawing/2014/main" xmlns="" id="{00000000-0008-0000-0400-0000E6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114776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65</xdr:row>
      <xdr:rowOff>9525</xdr:rowOff>
    </xdr:from>
    <xdr:to>
      <xdr:col>16</xdr:col>
      <xdr:colOff>514350</xdr:colOff>
      <xdr:row>65</xdr:row>
      <xdr:rowOff>95250</xdr:rowOff>
    </xdr:to>
    <xdr:pic>
      <xdr:nvPicPr>
        <xdr:cNvPr id="205543" name="Grafik 29">
          <a:extLst>
            <a:ext uri="{FF2B5EF4-FFF2-40B4-BE49-F238E27FC236}">
              <a16:creationId xmlns:a16="http://schemas.microsoft.com/office/drawing/2014/main" xmlns="" id="{00000000-0008-0000-0400-0000E7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268509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45</xdr:row>
      <xdr:rowOff>9525</xdr:rowOff>
    </xdr:from>
    <xdr:to>
      <xdr:col>16</xdr:col>
      <xdr:colOff>514350</xdr:colOff>
      <xdr:row>45</xdr:row>
      <xdr:rowOff>114300</xdr:rowOff>
    </xdr:to>
    <xdr:pic>
      <xdr:nvPicPr>
        <xdr:cNvPr id="31" name="Grafik 11">
          <a:extLst>
            <a:ext uri="{FF2B5EF4-FFF2-40B4-BE49-F238E27FC236}">
              <a16:creationId xmlns:a16="http://schemas.microsoft.com/office/drawing/2014/main" xmlns="" id="{00000000-0008-0000-04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6659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68</xdr:row>
      <xdr:rowOff>9525</xdr:rowOff>
    </xdr:from>
    <xdr:to>
      <xdr:col>17</xdr:col>
      <xdr:colOff>0</xdr:colOff>
      <xdr:row>68</xdr:row>
      <xdr:rowOff>114300</xdr:rowOff>
    </xdr:to>
    <xdr:pic>
      <xdr:nvPicPr>
        <xdr:cNvPr id="33" name="Grafik 20">
          <a:extLst>
            <a:ext uri="{FF2B5EF4-FFF2-40B4-BE49-F238E27FC236}">
              <a16:creationId xmlns:a16="http://schemas.microsoft.com/office/drawing/2014/main" xmlns="" id="{00000000-0008-0000-0400-00002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01100" y="281654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53</xdr:row>
      <xdr:rowOff>9525</xdr:rowOff>
    </xdr:from>
    <xdr:to>
      <xdr:col>16</xdr:col>
      <xdr:colOff>514350</xdr:colOff>
      <xdr:row>53</xdr:row>
      <xdr:rowOff>95250</xdr:rowOff>
    </xdr:to>
    <xdr:pic>
      <xdr:nvPicPr>
        <xdr:cNvPr id="37" name="Grafik 29">
          <a:extLst>
            <a:ext uri="{FF2B5EF4-FFF2-40B4-BE49-F238E27FC236}">
              <a16:creationId xmlns:a16="http://schemas.microsoft.com/office/drawing/2014/main" xmlns="" id="{00000000-0008-0000-04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201644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39</xdr:row>
      <xdr:rowOff>9525</xdr:rowOff>
    </xdr:from>
    <xdr:ext cx="104775" cy="104775"/>
    <xdr:pic>
      <xdr:nvPicPr>
        <xdr:cNvPr id="36" name="Grafik 11">
          <a:extLst>
            <a:ext uri="{FF2B5EF4-FFF2-40B4-BE49-F238E27FC236}">
              <a16:creationId xmlns:a16="http://schemas.microsoft.com/office/drawing/2014/main" xmlns="" id="{00000000-0008-0000-04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001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23</xdr:row>
      <xdr:rowOff>9525</xdr:rowOff>
    </xdr:from>
    <xdr:to>
      <xdr:col>16</xdr:col>
      <xdr:colOff>514350</xdr:colOff>
      <xdr:row>23</xdr:row>
      <xdr:rowOff>114300</xdr:rowOff>
    </xdr:to>
    <xdr:pic>
      <xdr:nvPicPr>
        <xdr:cNvPr id="32" name="Grafik 12">
          <a:extLst>
            <a:ext uri="{FF2B5EF4-FFF2-40B4-BE49-F238E27FC236}">
              <a16:creationId xmlns:a16="http://schemas.microsoft.com/office/drawing/2014/main" xmlns="" id="{D0FC2550-627C-43F4-888F-4789C617B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53475" y="889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352425</xdr:colOff>
      <xdr:row>7</xdr:row>
      <xdr:rowOff>9525</xdr:rowOff>
    </xdr:from>
    <xdr:to>
      <xdr:col>6</xdr:col>
      <xdr:colOff>0</xdr:colOff>
      <xdr:row>7</xdr:row>
      <xdr:rowOff>104775</xdr:rowOff>
    </xdr:to>
    <xdr:pic>
      <xdr:nvPicPr>
        <xdr:cNvPr id="189372" name="Grafik 4">
          <a:extLst>
            <a:ext uri="{FF2B5EF4-FFF2-40B4-BE49-F238E27FC236}">
              <a16:creationId xmlns:a16="http://schemas.microsoft.com/office/drawing/2014/main" xmlns="" id="{00000000-0008-0000-0700-0000BC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1825"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514350</xdr:colOff>
      <xdr:row>1</xdr:row>
      <xdr:rowOff>114300</xdr:rowOff>
    </xdr:from>
    <xdr:to>
      <xdr:col>11</xdr:col>
      <xdr:colOff>1952625</xdr:colOff>
      <xdr:row>2</xdr:row>
      <xdr:rowOff>171450</xdr:rowOff>
    </xdr:to>
    <xdr:pic>
      <xdr:nvPicPr>
        <xdr:cNvPr id="189373" name="Grafik 1">
          <a:extLst>
            <a:ext uri="{FF2B5EF4-FFF2-40B4-BE49-F238E27FC236}">
              <a16:creationId xmlns:a16="http://schemas.microsoft.com/office/drawing/2014/main" xmlns="" id="{00000000-0008-0000-0700-0000BDE3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1143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7</xdr:row>
      <xdr:rowOff>9525</xdr:rowOff>
    </xdr:from>
    <xdr:to>
      <xdr:col>11</xdr:col>
      <xdr:colOff>0</xdr:colOff>
      <xdr:row>7</xdr:row>
      <xdr:rowOff>104775</xdr:rowOff>
    </xdr:to>
    <xdr:pic>
      <xdr:nvPicPr>
        <xdr:cNvPr id="189374" name="Grafik 4">
          <a:extLst>
            <a:ext uri="{FF2B5EF4-FFF2-40B4-BE49-F238E27FC236}">
              <a16:creationId xmlns:a16="http://schemas.microsoft.com/office/drawing/2014/main" xmlns="" id="{00000000-0008-0000-0700-0000BE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5</xdr:row>
      <xdr:rowOff>9525</xdr:rowOff>
    </xdr:from>
    <xdr:to>
      <xdr:col>11</xdr:col>
      <xdr:colOff>0</xdr:colOff>
      <xdr:row>5</xdr:row>
      <xdr:rowOff>104775</xdr:rowOff>
    </xdr:to>
    <xdr:pic>
      <xdr:nvPicPr>
        <xdr:cNvPr id="189375" name="Grafik 4">
          <a:extLst>
            <a:ext uri="{FF2B5EF4-FFF2-40B4-BE49-F238E27FC236}">
              <a16:creationId xmlns:a16="http://schemas.microsoft.com/office/drawing/2014/main" xmlns="" id="{00000000-0008-0000-0700-0000BF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7620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600075</xdr:colOff>
      <xdr:row>5</xdr:row>
      <xdr:rowOff>9525</xdr:rowOff>
    </xdr:from>
    <xdr:to>
      <xdr:col>13</xdr:col>
      <xdr:colOff>0</xdr:colOff>
      <xdr:row>5</xdr:row>
      <xdr:rowOff>104775</xdr:rowOff>
    </xdr:to>
    <xdr:pic>
      <xdr:nvPicPr>
        <xdr:cNvPr id="200107" name="Grafik 2">
          <a:extLst>
            <a:ext uri="{FF2B5EF4-FFF2-40B4-BE49-F238E27FC236}">
              <a16:creationId xmlns:a16="http://schemas.microsoft.com/office/drawing/2014/main" xmlns="" id="{00000000-0008-0000-0900-0000AB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8858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600075</xdr:colOff>
      <xdr:row>7</xdr:row>
      <xdr:rowOff>9525</xdr:rowOff>
    </xdr:from>
    <xdr:to>
      <xdr:col>13</xdr:col>
      <xdr:colOff>0</xdr:colOff>
      <xdr:row>7</xdr:row>
      <xdr:rowOff>104775</xdr:rowOff>
    </xdr:to>
    <xdr:pic>
      <xdr:nvPicPr>
        <xdr:cNvPr id="200108" name="Grafik 3">
          <a:extLst>
            <a:ext uri="{FF2B5EF4-FFF2-40B4-BE49-F238E27FC236}">
              <a16:creationId xmlns:a16="http://schemas.microsoft.com/office/drawing/2014/main" xmlns="" id="{00000000-0008-0000-0900-0000AC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11620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895350</xdr:colOff>
      <xdr:row>7</xdr:row>
      <xdr:rowOff>9525</xdr:rowOff>
    </xdr:from>
    <xdr:to>
      <xdr:col>5</xdr:col>
      <xdr:colOff>0</xdr:colOff>
      <xdr:row>7</xdr:row>
      <xdr:rowOff>104775</xdr:rowOff>
    </xdr:to>
    <xdr:pic>
      <xdr:nvPicPr>
        <xdr:cNvPr id="200109" name="Grafik 4">
          <a:extLst>
            <a:ext uri="{FF2B5EF4-FFF2-40B4-BE49-F238E27FC236}">
              <a16:creationId xmlns:a16="http://schemas.microsoft.com/office/drawing/2014/main" xmlns="" id="{00000000-0008-0000-0900-0000AD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86050" y="11620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590550</xdr:colOff>
      <xdr:row>25</xdr:row>
      <xdr:rowOff>9525</xdr:rowOff>
    </xdr:from>
    <xdr:to>
      <xdr:col>6</xdr:col>
      <xdr:colOff>704850</xdr:colOff>
      <xdr:row>25</xdr:row>
      <xdr:rowOff>104775</xdr:rowOff>
    </xdr:to>
    <xdr:pic>
      <xdr:nvPicPr>
        <xdr:cNvPr id="200110" name="Grafik 2">
          <a:extLst>
            <a:ext uri="{FF2B5EF4-FFF2-40B4-BE49-F238E27FC236}">
              <a16:creationId xmlns:a16="http://schemas.microsoft.com/office/drawing/2014/main" xmlns="" id="{00000000-0008-0000-0900-0000AE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0" y="63436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200025</xdr:colOff>
      <xdr:row>0</xdr:row>
      <xdr:rowOff>104775</xdr:rowOff>
    </xdr:from>
    <xdr:to>
      <xdr:col>13</xdr:col>
      <xdr:colOff>66675</xdr:colOff>
      <xdr:row>3</xdr:row>
      <xdr:rowOff>114300</xdr:rowOff>
    </xdr:to>
    <xdr:pic>
      <xdr:nvPicPr>
        <xdr:cNvPr id="200111" name="Grafik 1">
          <a:extLst>
            <a:ext uri="{FF2B5EF4-FFF2-40B4-BE49-F238E27FC236}">
              <a16:creationId xmlns:a16="http://schemas.microsoft.com/office/drawing/2014/main" xmlns="" id="{00000000-0008-0000-0900-0000AF0D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48375" y="1047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1876425</xdr:colOff>
      <xdr:row>7</xdr:row>
      <xdr:rowOff>9525</xdr:rowOff>
    </xdr:from>
    <xdr:to>
      <xdr:col>3</xdr:col>
      <xdr:colOff>0</xdr:colOff>
      <xdr:row>7</xdr:row>
      <xdr:rowOff>104775</xdr:rowOff>
    </xdr:to>
    <xdr:pic>
      <xdr:nvPicPr>
        <xdr:cNvPr id="201131" name="Grafik 5">
          <a:extLst>
            <a:ext uri="{FF2B5EF4-FFF2-40B4-BE49-F238E27FC236}">
              <a16:creationId xmlns:a16="http://schemas.microsoft.com/office/drawing/2014/main" xmlns="" id="{00000000-0008-0000-0E00-0000AB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1866900</xdr:colOff>
      <xdr:row>13</xdr:row>
      <xdr:rowOff>9525</xdr:rowOff>
    </xdr:from>
    <xdr:to>
      <xdr:col>3</xdr:col>
      <xdr:colOff>0</xdr:colOff>
      <xdr:row>13</xdr:row>
      <xdr:rowOff>104775</xdr:rowOff>
    </xdr:to>
    <xdr:pic>
      <xdr:nvPicPr>
        <xdr:cNvPr id="201132" name="Grafik 4">
          <a:extLst>
            <a:ext uri="{FF2B5EF4-FFF2-40B4-BE49-F238E27FC236}">
              <a16:creationId xmlns:a16="http://schemas.microsoft.com/office/drawing/2014/main" xmlns="" id="{00000000-0008-0000-0E00-0000AC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4175" y="1962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5</xdr:row>
      <xdr:rowOff>9525</xdr:rowOff>
    </xdr:from>
    <xdr:to>
      <xdr:col>7</xdr:col>
      <xdr:colOff>0</xdr:colOff>
      <xdr:row>5</xdr:row>
      <xdr:rowOff>104775</xdr:rowOff>
    </xdr:to>
    <xdr:pic>
      <xdr:nvPicPr>
        <xdr:cNvPr id="201133" name="Grafik 5">
          <a:extLst>
            <a:ext uri="{FF2B5EF4-FFF2-40B4-BE49-F238E27FC236}">
              <a16:creationId xmlns:a16="http://schemas.microsoft.com/office/drawing/2014/main" xmlns="" id="{00000000-0008-0000-0E00-0000AD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7334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7</xdr:row>
      <xdr:rowOff>9525</xdr:rowOff>
    </xdr:from>
    <xdr:to>
      <xdr:col>7</xdr:col>
      <xdr:colOff>0</xdr:colOff>
      <xdr:row>7</xdr:row>
      <xdr:rowOff>104775</xdr:rowOff>
    </xdr:to>
    <xdr:pic>
      <xdr:nvPicPr>
        <xdr:cNvPr id="201134" name="Grafik 5">
          <a:extLst>
            <a:ext uri="{FF2B5EF4-FFF2-40B4-BE49-F238E27FC236}">
              <a16:creationId xmlns:a16="http://schemas.microsoft.com/office/drawing/2014/main" xmlns="" id="{00000000-0008-0000-0E00-0000AE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419100</xdr:colOff>
      <xdr:row>1</xdr:row>
      <xdr:rowOff>57150</xdr:rowOff>
    </xdr:from>
    <xdr:to>
      <xdr:col>7</xdr:col>
      <xdr:colOff>457200</xdr:colOff>
      <xdr:row>2</xdr:row>
      <xdr:rowOff>180975</xdr:rowOff>
    </xdr:to>
    <xdr:pic>
      <xdr:nvPicPr>
        <xdr:cNvPr id="201135" name="Grafik 1">
          <a:extLst>
            <a:ext uri="{FF2B5EF4-FFF2-40B4-BE49-F238E27FC236}">
              <a16:creationId xmlns:a16="http://schemas.microsoft.com/office/drawing/2014/main" xmlns="" id="{00000000-0008-0000-0E00-0000AF11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4860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Tabelle1" displayName="Tabelle1" ref="A68:S89" totalsRowShown="0" headerRowDxfId="332" dataDxfId="331">
  <autoFilter ref="A68:S89"/>
  <tableColumns count="19">
    <tableColumn id="1" name="Baden-Württemberg" dataDxfId="330" dataCellStyle="Standard_Werte"/>
    <tableColumn id="2" name="Bayern" dataDxfId="329"/>
    <tableColumn id="3" name="Berlin" dataDxfId="328"/>
    <tableColumn id="4" name="Brandenburg" dataDxfId="327"/>
    <tableColumn id="5" name="Bremen" dataDxfId="326"/>
    <tableColumn id="6" name="Hamburg" dataDxfId="325"/>
    <tableColumn id="7" name="Hessen" dataDxfId="324"/>
    <tableColumn id="8" name="Mecklenburg-Vorpommern" dataDxfId="323"/>
    <tableColumn id="9" name="Niedersachsen" dataDxfId="322"/>
    <tableColumn id="10" name="Nordrhein-Westfalen" dataDxfId="321"/>
    <tableColumn id="11" name="Rheinland-Pfalz" dataDxfId="320"/>
    <tableColumn id="12" name="Saarland" dataDxfId="319"/>
    <tableColumn id="13" name="Sachsen" dataDxfId="318"/>
    <tableColumn id="14" name="Sachsen-Anhalt" dataDxfId="317"/>
    <tableColumn id="15" name="Schleswig-Holstein" dataDxfId="316"/>
    <tableColumn id="16" name="Thüringen" dataDxfId="315"/>
    <tableColumn id="17" name="Schweiz" dataDxfId="314"/>
    <tableColumn id="18" name="Österreich" dataDxfId="313"/>
    <tableColumn id="19" name="Italien" dataDxfId="31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comments" Target="../comments5.xml"/><Relationship Id="rId5" Type="http://schemas.openxmlformats.org/officeDocument/2006/relationships/vmlDrawing" Target="../drawings/vmlDrawing7.vml"/><Relationship Id="rId4"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omments" Target="../comments2.xml"/><Relationship Id="rId5" Type="http://schemas.openxmlformats.org/officeDocument/2006/relationships/vmlDrawing" Target="../drawings/vmlDrawing4.v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Q81"/>
  <sheetViews>
    <sheetView showGridLines="0" tabSelected="1" zoomScaleNormal="100" zoomScaleSheetLayoutView="75" zoomScalePageLayoutView="69" workbookViewId="0">
      <selection activeCell="C6" sqref="C6:E6"/>
    </sheetView>
  </sheetViews>
  <sheetFormatPr baseColWidth="10" defaultColWidth="11.42578125" defaultRowHeight="14.25" x14ac:dyDescent="0.2"/>
  <cols>
    <col min="1" max="1" width="0.85546875" style="550" customWidth="1"/>
    <col min="2" max="2" width="14.5703125" style="550" customWidth="1"/>
    <col min="3" max="3" width="19.42578125" style="550" customWidth="1"/>
    <col min="4" max="12" width="6.7109375" style="550" customWidth="1"/>
    <col min="13" max="13" width="7.28515625" style="550" customWidth="1"/>
    <col min="14" max="14" width="6.7109375" style="550" customWidth="1"/>
    <col min="15" max="15" width="7.7109375" style="550" customWidth="1"/>
    <col min="16" max="16384" width="11.42578125" style="550"/>
  </cols>
  <sheetData>
    <row r="1" spans="1:17" ht="9.9499999999999993" customHeight="1" x14ac:dyDescent="0.25">
      <c r="A1" s="549"/>
    </row>
    <row r="2" spans="1:17" ht="12.95" customHeight="1" x14ac:dyDescent="0.2">
      <c r="A2" s="551"/>
      <c r="B2" s="657" t="s">
        <v>964</v>
      </c>
      <c r="C2" s="552"/>
      <c r="D2" s="552"/>
    </row>
    <row r="3" spans="1:17" ht="16.5" x14ac:dyDescent="0.25">
      <c r="A3" s="553"/>
      <c r="B3" s="554" t="s">
        <v>362</v>
      </c>
    </row>
    <row r="4" spans="1:17" ht="12.75" customHeight="1" x14ac:dyDescent="0.25">
      <c r="A4" s="555"/>
      <c r="B4" s="793"/>
      <c r="C4" s="793"/>
      <c r="D4" s="793"/>
      <c r="E4" s="793"/>
      <c r="F4" s="793"/>
      <c r="G4" s="793"/>
      <c r="H4" s="793"/>
      <c r="I4" s="793"/>
      <c r="J4" s="793"/>
      <c r="K4" s="793"/>
      <c r="L4" s="793"/>
      <c r="M4" s="793"/>
      <c r="N4" s="793"/>
      <c r="O4" s="793"/>
      <c r="Q4" s="556"/>
    </row>
    <row r="5" spans="1:17" ht="15" customHeight="1" x14ac:dyDescent="0.2">
      <c r="E5" s="557"/>
      <c r="F5" s="557"/>
      <c r="G5" s="557"/>
      <c r="H5" s="557"/>
      <c r="I5" s="557"/>
      <c r="J5" s="557"/>
      <c r="K5" s="557"/>
      <c r="L5" s="557"/>
      <c r="M5" s="557"/>
      <c r="N5" s="557"/>
      <c r="O5" s="557"/>
      <c r="P5" s="557"/>
      <c r="Q5" s="556"/>
    </row>
    <row r="6" spans="1:17" ht="14.25" customHeight="1" x14ac:dyDescent="0.2">
      <c r="A6" s="558"/>
      <c r="B6" s="559" t="s">
        <v>85</v>
      </c>
      <c r="C6" s="728"/>
      <c r="D6" s="729"/>
      <c r="E6" s="730"/>
      <c r="F6" s="560"/>
      <c r="G6" s="560"/>
      <c r="M6" s="725" t="s">
        <v>641</v>
      </c>
      <c r="N6" s="725"/>
      <c r="O6" s="725"/>
    </row>
    <row r="7" spans="1:17" ht="5.0999999999999996" customHeight="1" x14ac:dyDescent="0.2">
      <c r="A7" s="558"/>
      <c r="B7" s="561"/>
      <c r="C7" s="558"/>
      <c r="D7" s="558"/>
      <c r="E7" s="562"/>
      <c r="F7" s="562"/>
      <c r="G7" s="562"/>
      <c r="H7" s="562"/>
      <c r="I7" s="562"/>
      <c r="J7" s="562"/>
      <c r="K7" s="562"/>
      <c r="L7" s="562"/>
      <c r="M7" s="563"/>
      <c r="N7" s="563"/>
      <c r="O7" s="563"/>
    </row>
    <row r="8" spans="1:17" s="558" customFormat="1" ht="14.25" customHeight="1" x14ac:dyDescent="0.2">
      <c r="B8" s="564" t="s">
        <v>140</v>
      </c>
      <c r="C8" s="726" t="str">
        <f>IF($C$6="","",Datenquelle!B109)</f>
        <v/>
      </c>
      <c r="D8" s="726"/>
      <c r="E8" s="727"/>
      <c r="F8" s="727"/>
      <c r="G8" s="727"/>
      <c r="H8" s="727"/>
      <c r="I8" s="727"/>
      <c r="J8" s="727"/>
      <c r="K8" s="727"/>
      <c r="L8" s="727"/>
      <c r="M8" s="727"/>
      <c r="N8" s="727"/>
      <c r="O8" s="727"/>
    </row>
    <row r="9" spans="1:17" s="558" customFormat="1" ht="5.0999999999999996" customHeight="1" x14ac:dyDescent="0.2">
      <c r="B9" s="565"/>
      <c r="C9" s="563"/>
      <c r="D9" s="563"/>
      <c r="E9" s="563"/>
      <c r="F9" s="563"/>
      <c r="G9" s="563"/>
      <c r="H9" s="563"/>
      <c r="I9" s="563"/>
      <c r="J9" s="563"/>
      <c r="K9" s="563"/>
    </row>
    <row r="10" spans="1:17" s="558" customFormat="1" ht="14.25" customHeight="1" x14ac:dyDescent="0.2">
      <c r="B10" s="564" t="s">
        <v>141</v>
      </c>
      <c r="C10" s="726" t="str">
        <f>IF($C$6="","",Datenquelle!C109)</f>
        <v/>
      </c>
      <c r="D10" s="726"/>
      <c r="E10" s="727"/>
      <c r="F10" s="727"/>
      <c r="G10" s="727"/>
      <c r="H10" s="727"/>
      <c r="I10" s="727"/>
      <c r="J10" s="727"/>
      <c r="K10" s="727"/>
      <c r="L10" s="727"/>
      <c r="M10" s="727"/>
      <c r="N10" s="727"/>
      <c r="O10" s="727"/>
    </row>
    <row r="11" spans="1:17" s="558" customFormat="1" ht="5.0999999999999996" customHeight="1" x14ac:dyDescent="0.2">
      <c r="B11" s="565"/>
      <c r="C11" s="563"/>
      <c r="D11" s="563"/>
      <c r="E11" s="563"/>
      <c r="F11" s="563"/>
      <c r="G11" s="563"/>
      <c r="H11" s="563"/>
      <c r="I11" s="563"/>
      <c r="J11" s="563"/>
      <c r="K11" s="563"/>
    </row>
    <row r="12" spans="1:17" s="558" customFormat="1" ht="14.25" customHeight="1" x14ac:dyDescent="0.2">
      <c r="B12" s="566" t="s">
        <v>478</v>
      </c>
      <c r="C12" s="734"/>
      <c r="D12" s="735"/>
      <c r="E12" s="736"/>
      <c r="F12" s="567"/>
      <c r="G12" s="567"/>
      <c r="I12" s="568" t="s">
        <v>82</v>
      </c>
      <c r="J12" s="566"/>
      <c r="K12" s="566"/>
      <c r="L12" s="569"/>
      <c r="M12" s="731"/>
      <c r="N12" s="732"/>
      <c r="O12" s="733"/>
    </row>
    <row r="13" spans="1:17" s="558" customFormat="1" ht="5.0999999999999996" customHeight="1" x14ac:dyDescent="0.2">
      <c r="E13" s="562"/>
      <c r="F13" s="562"/>
      <c r="G13" s="562"/>
      <c r="I13" s="570"/>
      <c r="J13" s="571"/>
      <c r="K13" s="571"/>
      <c r="L13" s="571"/>
      <c r="M13" s="563"/>
      <c r="N13" s="563"/>
      <c r="O13" s="563"/>
    </row>
    <row r="14" spans="1:17" s="558" customFormat="1" ht="14.25" customHeight="1" x14ac:dyDescent="0.2">
      <c r="B14" s="572"/>
      <c r="C14" s="816"/>
      <c r="D14" s="816"/>
      <c r="E14" s="817"/>
      <c r="F14" s="618"/>
      <c r="G14" s="618"/>
      <c r="I14" s="571" t="s">
        <v>599</v>
      </c>
      <c r="J14" s="571"/>
      <c r="K14" s="571"/>
      <c r="L14" s="573"/>
      <c r="M14" s="768" t="str">
        <f>IF($C$6="","",Datenquelle!G109)</f>
        <v/>
      </c>
      <c r="N14" s="768"/>
      <c r="O14" s="768"/>
    </row>
    <row r="15" spans="1:17" ht="5.0999999999999996" customHeight="1" x14ac:dyDescent="0.2">
      <c r="B15" s="574"/>
      <c r="C15" s="574"/>
      <c r="D15" s="574"/>
      <c r="E15" s="574"/>
      <c r="F15" s="574"/>
      <c r="G15" s="574"/>
      <c r="I15" s="575"/>
      <c r="J15" s="566"/>
      <c r="K15" s="566"/>
      <c r="L15" s="566"/>
    </row>
    <row r="16" spans="1:17" s="558" customFormat="1" ht="14.25" customHeight="1" x14ac:dyDescent="0.2">
      <c r="B16" s="576"/>
      <c r="C16" s="820"/>
      <c r="D16" s="820"/>
      <c r="E16" s="821"/>
      <c r="F16" s="619"/>
      <c r="G16" s="619"/>
      <c r="I16" s="577" t="s">
        <v>657</v>
      </c>
      <c r="J16" s="577"/>
      <c r="K16" s="577"/>
      <c r="L16" s="578"/>
      <c r="M16" s="778">
        <v>2021</v>
      </c>
      <c r="N16" s="778"/>
      <c r="O16" s="778"/>
    </row>
    <row r="17" spans="2:17" s="558" customFormat="1" ht="6.75" customHeight="1" x14ac:dyDescent="0.2">
      <c r="B17" s="579"/>
      <c r="H17" s="580"/>
      <c r="I17" s="580"/>
      <c r="J17" s="580"/>
      <c r="K17" s="580"/>
      <c r="M17" s="581"/>
      <c r="N17" s="581"/>
      <c r="O17" s="581"/>
    </row>
    <row r="18" spans="2:17" s="558" customFormat="1" ht="6.75" customHeight="1" x14ac:dyDescent="0.2">
      <c r="H18" s="582"/>
      <c r="I18" s="819"/>
      <c r="J18" s="819"/>
      <c r="K18" s="819"/>
      <c r="L18" s="819"/>
      <c r="M18" s="819"/>
      <c r="N18" s="819"/>
      <c r="O18" s="819"/>
    </row>
    <row r="19" spans="2:17" s="558" customFormat="1" ht="6.75" customHeight="1" x14ac:dyDescent="0.2">
      <c r="H19" s="582"/>
      <c r="I19" s="818"/>
      <c r="J19" s="818"/>
      <c r="K19" s="818"/>
      <c r="L19" s="818"/>
      <c r="M19" s="818"/>
      <c r="N19" s="818"/>
      <c r="O19" s="818"/>
    </row>
    <row r="20" spans="2:17" s="558" customFormat="1" ht="6.75" customHeight="1" x14ac:dyDescent="0.2">
      <c r="B20" s="564"/>
      <c r="C20" s="561"/>
      <c r="D20" s="561"/>
      <c r="E20" s="561"/>
      <c r="F20" s="561"/>
      <c r="G20" s="561"/>
      <c r="H20" s="583"/>
      <c r="I20" s="584"/>
      <c r="J20" s="584"/>
      <c r="K20" s="584"/>
      <c r="L20" s="561"/>
      <c r="M20" s="585"/>
      <c r="N20" s="585"/>
      <c r="O20" s="585"/>
    </row>
    <row r="21" spans="2:17" s="558" customFormat="1" ht="14.25" customHeight="1" x14ac:dyDescent="0.2">
      <c r="B21" s="813" t="s">
        <v>472</v>
      </c>
      <c r="C21" s="814"/>
      <c r="D21" s="814"/>
      <c r="E21" s="814"/>
      <c r="F21" s="814"/>
      <c r="G21" s="815"/>
      <c r="H21" s="803" t="s">
        <v>706</v>
      </c>
      <c r="I21" s="804"/>
      <c r="J21" s="804"/>
      <c r="K21" s="804"/>
      <c r="L21" s="804"/>
      <c r="M21" s="804"/>
      <c r="N21" s="804"/>
      <c r="O21" s="805"/>
    </row>
    <row r="22" spans="2:17" s="558" customFormat="1" ht="14.25" customHeight="1" x14ac:dyDescent="0.2">
      <c r="B22" s="796" t="str">
        <f>IF(C6="","",Datenquelle!F109)</f>
        <v/>
      </c>
      <c r="C22" s="797"/>
      <c r="D22" s="797"/>
      <c r="E22" s="797"/>
      <c r="F22" s="797"/>
      <c r="G22" s="798"/>
      <c r="H22" s="806"/>
      <c r="I22" s="806"/>
      <c r="J22" s="806"/>
      <c r="K22" s="806"/>
      <c r="L22" s="806"/>
      <c r="M22" s="806"/>
      <c r="N22" s="806"/>
      <c r="O22" s="806"/>
    </row>
    <row r="23" spans="2:17" s="558" customFormat="1" ht="6.95" customHeight="1" x14ac:dyDescent="0.2">
      <c r="B23" s="565"/>
      <c r="C23" s="565"/>
      <c r="D23" s="565"/>
      <c r="E23" s="565"/>
      <c r="F23" s="565"/>
      <c r="G23" s="565"/>
      <c r="H23" s="586"/>
      <c r="I23" s="565"/>
      <c r="J23" s="565"/>
      <c r="K23" s="565"/>
      <c r="L23" s="565"/>
      <c r="M23" s="561"/>
      <c r="N23" s="561"/>
      <c r="O23" s="561"/>
    </row>
    <row r="24" spans="2:17" s="558" customFormat="1" ht="14.25" customHeight="1" x14ac:dyDescent="0.2">
      <c r="B24" s="799" t="s">
        <v>24</v>
      </c>
      <c r="C24" s="800"/>
      <c r="D24" s="800"/>
      <c r="E24" s="800"/>
      <c r="F24" s="800"/>
      <c r="G24" s="800"/>
      <c r="H24" s="807" t="s">
        <v>610</v>
      </c>
      <c r="I24" s="808"/>
      <c r="J24" s="808"/>
      <c r="K24" s="808"/>
      <c r="L24" s="808"/>
      <c r="M24" s="808"/>
      <c r="N24" s="808"/>
      <c r="O24" s="809"/>
      <c r="Q24" s="580"/>
    </row>
    <row r="25" spans="2:17" s="558" customFormat="1" ht="14.25" customHeight="1" x14ac:dyDescent="0.2">
      <c r="B25" s="801"/>
      <c r="C25" s="802"/>
      <c r="D25" s="802"/>
      <c r="E25" s="802"/>
      <c r="F25" s="802"/>
      <c r="G25" s="802"/>
      <c r="H25" s="810" t="s">
        <v>551</v>
      </c>
      <c r="I25" s="811"/>
      <c r="J25" s="811"/>
      <c r="K25" s="811"/>
      <c r="L25" s="811"/>
      <c r="M25" s="811"/>
      <c r="N25" s="811"/>
      <c r="O25" s="812"/>
      <c r="Q25" s="580"/>
    </row>
    <row r="26" spans="2:17" s="558" customFormat="1" ht="23.25" customHeight="1" x14ac:dyDescent="0.2">
      <c r="B26" s="721"/>
      <c r="C26" s="722"/>
      <c r="D26" s="722"/>
      <c r="E26" s="722"/>
      <c r="F26" s="722"/>
      <c r="G26" s="722"/>
      <c r="H26" s="722"/>
      <c r="I26" s="722"/>
      <c r="J26" s="722"/>
      <c r="K26" s="722"/>
      <c r="L26" s="722"/>
      <c r="M26" s="722"/>
      <c r="N26" s="722"/>
      <c r="O26" s="722"/>
      <c r="Q26" s="580"/>
    </row>
    <row r="27" spans="2:17" s="558" customFormat="1" ht="8.25" customHeight="1" thickBot="1" x14ac:dyDescent="0.25">
      <c r="B27" s="790"/>
      <c r="C27" s="790"/>
      <c r="D27" s="790"/>
      <c r="E27" s="790"/>
      <c r="F27" s="790"/>
      <c r="G27" s="790"/>
      <c r="H27" s="790"/>
      <c r="I27" s="790"/>
      <c r="J27" s="790"/>
      <c r="K27" s="790"/>
      <c r="L27" s="790"/>
      <c r="M27" s="790"/>
      <c r="N27" s="790"/>
      <c r="O27" s="790"/>
    </row>
    <row r="28" spans="2:17" s="558" customFormat="1" ht="23.25" customHeight="1" x14ac:dyDescent="0.2">
      <c r="B28" s="775" t="s">
        <v>970</v>
      </c>
      <c r="C28" s="745"/>
      <c r="D28" s="745" t="s">
        <v>776</v>
      </c>
      <c r="E28" s="745"/>
      <c r="F28" s="745" t="s">
        <v>777</v>
      </c>
      <c r="G28" s="745"/>
      <c r="H28" s="745"/>
      <c r="I28" s="745"/>
      <c r="J28" s="745"/>
      <c r="K28" s="745"/>
      <c r="L28" s="745"/>
      <c r="M28" s="745"/>
      <c r="N28" s="745"/>
      <c r="O28" s="785" t="s">
        <v>645</v>
      </c>
    </row>
    <row r="29" spans="2:17" s="558" customFormat="1" ht="23.25" customHeight="1" x14ac:dyDescent="0.2">
      <c r="B29" s="776"/>
      <c r="C29" s="777"/>
      <c r="D29" s="777"/>
      <c r="E29" s="777"/>
      <c r="F29" s="777" t="s">
        <v>642</v>
      </c>
      <c r="G29" s="777"/>
      <c r="H29" s="777"/>
      <c r="I29" s="777"/>
      <c r="J29" s="777"/>
      <c r="K29" s="777"/>
      <c r="L29" s="777"/>
      <c r="M29" s="748" t="s">
        <v>778</v>
      </c>
      <c r="N29" s="750" t="s">
        <v>779</v>
      </c>
      <c r="O29" s="786"/>
    </row>
    <row r="30" spans="2:17" s="558" customFormat="1" ht="90" customHeight="1" x14ac:dyDescent="0.2">
      <c r="B30" s="776"/>
      <c r="C30" s="777"/>
      <c r="D30" s="587" t="s">
        <v>643</v>
      </c>
      <c r="E30" s="587" t="s">
        <v>644</v>
      </c>
      <c r="F30" s="587" t="s">
        <v>646</v>
      </c>
      <c r="G30" s="639" t="s">
        <v>791</v>
      </c>
      <c r="H30" s="587" t="s">
        <v>696</v>
      </c>
      <c r="I30" s="587" t="s">
        <v>647</v>
      </c>
      <c r="J30" s="587" t="s">
        <v>648</v>
      </c>
      <c r="K30" s="587" t="s">
        <v>649</v>
      </c>
      <c r="L30" s="587" t="s">
        <v>780</v>
      </c>
      <c r="M30" s="749"/>
      <c r="N30" s="750"/>
      <c r="O30" s="787"/>
    </row>
    <row r="31" spans="2:17" s="558" customFormat="1" ht="6.95" customHeight="1" thickBot="1" x14ac:dyDescent="0.25">
      <c r="B31" s="588"/>
      <c r="C31" s="588"/>
      <c r="D31" s="589"/>
      <c r="E31" s="589"/>
      <c r="F31" s="589"/>
      <c r="G31" s="589"/>
      <c r="H31" s="590"/>
      <c r="I31" s="590"/>
      <c r="J31" s="589"/>
      <c r="K31" s="589"/>
      <c r="L31" s="589"/>
      <c r="M31" s="591"/>
      <c r="N31" s="591"/>
      <c r="O31" s="592"/>
    </row>
    <row r="32" spans="2:17" s="558" customFormat="1" ht="18.95" customHeight="1" thickBot="1" x14ac:dyDescent="0.25">
      <c r="B32" s="773" t="s">
        <v>781</v>
      </c>
      <c r="C32" s="773"/>
      <c r="D32" s="774"/>
      <c r="E32" s="774"/>
      <c r="F32" s="774"/>
      <c r="G32" s="774"/>
      <c r="H32" s="774"/>
      <c r="I32" s="774"/>
      <c r="J32" s="774"/>
      <c r="K32" s="774"/>
      <c r="L32" s="774"/>
      <c r="M32" s="774"/>
      <c r="N32" s="774"/>
      <c r="O32" s="773"/>
    </row>
    <row r="33" spans="2:17" s="558" customFormat="1" ht="18.95" customHeight="1" x14ac:dyDescent="0.2">
      <c r="B33" s="755" t="s">
        <v>519</v>
      </c>
      <c r="C33" s="593" t="s">
        <v>782</v>
      </c>
      <c r="D33" s="594"/>
      <c r="E33" s="594"/>
      <c r="F33" s="594"/>
      <c r="G33" s="594"/>
      <c r="H33" s="594"/>
      <c r="I33" s="594"/>
      <c r="J33" s="594"/>
      <c r="K33" s="594"/>
      <c r="L33" s="594"/>
      <c r="M33" s="594"/>
      <c r="N33" s="594"/>
      <c r="O33" s="595" t="str">
        <f>IF(AND(D33="",E33="",F33="",G33="",H33="",I33="",J33="",K33="",L33="",M33="",N33=""),"",SUM(D33:N33))</f>
        <v/>
      </c>
    </row>
    <row r="34" spans="2:17" s="558" customFormat="1" ht="18.95" customHeight="1" x14ac:dyDescent="0.2">
      <c r="B34" s="756"/>
      <c r="C34" s="596" t="s">
        <v>783</v>
      </c>
      <c r="D34" s="597"/>
      <c r="E34" s="597"/>
      <c r="F34" s="597"/>
      <c r="G34" s="597"/>
      <c r="H34" s="597"/>
      <c r="I34" s="597"/>
      <c r="J34" s="597"/>
      <c r="K34" s="597"/>
      <c r="L34" s="597"/>
      <c r="M34" s="597"/>
      <c r="N34" s="597"/>
      <c r="O34" s="598" t="str">
        <f t="shared" ref="O34:O39" si="0">IF(AND(D34="",E34="",F34="",G34="",H34="",I34="",J34="",K34="",L34="",M34="",N34=""),"",SUM(D34:N34))</f>
        <v/>
      </c>
    </row>
    <row r="35" spans="2:17" s="558" customFormat="1" ht="18.95" customHeight="1" x14ac:dyDescent="0.2">
      <c r="B35" s="756"/>
      <c r="C35" s="596" t="s">
        <v>784</v>
      </c>
      <c r="D35" s="597"/>
      <c r="E35" s="597"/>
      <c r="F35" s="597"/>
      <c r="G35" s="597"/>
      <c r="H35" s="597"/>
      <c r="I35" s="597"/>
      <c r="J35" s="597"/>
      <c r="K35" s="597"/>
      <c r="L35" s="597"/>
      <c r="M35" s="597"/>
      <c r="N35" s="597"/>
      <c r="O35" s="598" t="str">
        <f t="shared" si="0"/>
        <v/>
      </c>
    </row>
    <row r="36" spans="2:17" s="558" customFormat="1" ht="18.95" customHeight="1" x14ac:dyDescent="0.2">
      <c r="B36" s="753" t="s">
        <v>650</v>
      </c>
      <c r="C36" s="754"/>
      <c r="D36" s="697"/>
      <c r="E36" s="597"/>
      <c r="F36" s="597"/>
      <c r="G36" s="597"/>
      <c r="H36" s="597"/>
      <c r="I36" s="597"/>
      <c r="J36" s="597"/>
      <c r="K36" s="597"/>
      <c r="L36" s="597"/>
      <c r="M36" s="597"/>
      <c r="N36" s="597"/>
      <c r="O36" s="598" t="str">
        <f t="shared" si="0"/>
        <v/>
      </c>
    </row>
    <row r="37" spans="2:17" s="558" customFormat="1" ht="18.95" customHeight="1" x14ac:dyDescent="0.2">
      <c r="B37" s="753" t="s">
        <v>628</v>
      </c>
      <c r="C37" s="754"/>
      <c r="D37" s="698"/>
      <c r="E37" s="597"/>
      <c r="F37" s="597"/>
      <c r="G37" s="597"/>
      <c r="H37" s="597"/>
      <c r="I37" s="597"/>
      <c r="J37" s="597"/>
      <c r="K37" s="597"/>
      <c r="L37" s="597"/>
      <c r="M37" s="597"/>
      <c r="N37" s="597"/>
      <c r="O37" s="598" t="str">
        <f t="shared" si="0"/>
        <v/>
      </c>
    </row>
    <row r="38" spans="2:17" s="558" customFormat="1" ht="18.95" customHeight="1" x14ac:dyDescent="0.2">
      <c r="B38" s="753" t="s">
        <v>629</v>
      </c>
      <c r="C38" s="754"/>
      <c r="D38" s="698"/>
      <c r="E38" s="597"/>
      <c r="F38" s="597"/>
      <c r="G38" s="597"/>
      <c r="H38" s="597"/>
      <c r="I38" s="597"/>
      <c r="J38" s="597"/>
      <c r="K38" s="597"/>
      <c r="L38" s="597"/>
      <c r="M38" s="597"/>
      <c r="N38" s="597"/>
      <c r="O38" s="598" t="str">
        <f>IF(AND(D38="",E38="",F38="",G38="",H38="",I38="",J38="",K38="",L38="",M38="",N38=""),"",SUM(D38:N38))</f>
        <v/>
      </c>
      <c r="Q38" s="599"/>
    </row>
    <row r="39" spans="2:17" s="558" customFormat="1" ht="18.95" customHeight="1" x14ac:dyDescent="0.2">
      <c r="B39" s="753" t="s">
        <v>785</v>
      </c>
      <c r="C39" s="754"/>
      <c r="D39" s="699"/>
      <c r="E39" s="597"/>
      <c r="F39" s="597"/>
      <c r="G39" s="597"/>
      <c r="H39" s="597"/>
      <c r="I39" s="597"/>
      <c r="J39" s="597"/>
      <c r="K39" s="597"/>
      <c r="L39" s="597"/>
      <c r="M39" s="597"/>
      <c r="N39" s="597"/>
      <c r="O39" s="598" t="str">
        <f t="shared" si="0"/>
        <v/>
      </c>
    </row>
    <row r="40" spans="2:17" s="558" customFormat="1" ht="18.95" customHeight="1" thickBot="1" x14ac:dyDescent="0.25">
      <c r="B40" s="746" t="s">
        <v>697</v>
      </c>
      <c r="C40" s="747"/>
      <c r="D40" s="600" t="str">
        <f>IF(AND(D33="",D34="",D35="",D36="",D37="",D38="",D39=""),"",SUM(D33:D39))</f>
        <v/>
      </c>
      <c r="E40" s="600" t="str">
        <f t="shared" ref="E40:M40" si="1">IF(AND(E33="",E34="",E35="",E36="",E37="",E38="",E39=""),"",SUM(E33:E39))</f>
        <v/>
      </c>
      <c r="F40" s="600" t="str">
        <f t="shared" si="1"/>
        <v/>
      </c>
      <c r="G40" s="600" t="str">
        <f t="shared" si="1"/>
        <v/>
      </c>
      <c r="H40" s="600" t="str">
        <f t="shared" si="1"/>
        <v/>
      </c>
      <c r="I40" s="600" t="str">
        <f t="shared" si="1"/>
        <v/>
      </c>
      <c r="J40" s="600" t="str">
        <f t="shared" si="1"/>
        <v/>
      </c>
      <c r="K40" s="600" t="str">
        <f t="shared" si="1"/>
        <v/>
      </c>
      <c r="L40" s="600" t="str">
        <f t="shared" si="1"/>
        <v/>
      </c>
      <c r="M40" s="600" t="str">
        <f t="shared" si="1"/>
        <v/>
      </c>
      <c r="N40" s="600" t="str">
        <f>IF(AND(N33="",N34="",N35="",N36="",N37="",N38="",N39=""),"",SUM(N33:N39))</f>
        <v/>
      </c>
      <c r="O40" s="601" t="str">
        <f>IF(AND(O33="",O34="",O35="",O36="",O37="",O38="",O39=""),"",SUM(O33:O39))</f>
        <v/>
      </c>
    </row>
    <row r="41" spans="2:17" s="558" customFormat="1" ht="6.95" customHeight="1" thickBot="1" x14ac:dyDescent="0.25">
      <c r="B41" s="602"/>
      <c r="C41" s="602"/>
      <c r="D41" s="572"/>
      <c r="E41" s="603"/>
      <c r="F41" s="603"/>
      <c r="G41" s="603"/>
      <c r="H41" s="603"/>
      <c r="I41" s="603"/>
      <c r="J41" s="603"/>
      <c r="K41" s="603"/>
      <c r="L41" s="603"/>
      <c r="M41" s="603"/>
      <c r="N41" s="603"/>
      <c r="O41" s="603"/>
    </row>
    <row r="42" spans="2:17" s="558" customFormat="1" ht="18.95" customHeight="1" thickBot="1" x14ac:dyDescent="0.25">
      <c r="B42" s="788" t="s">
        <v>651</v>
      </c>
      <c r="C42" s="789"/>
      <c r="D42" s="604"/>
      <c r="E42" s="605"/>
      <c r="F42" s="606"/>
      <c r="G42" s="606"/>
      <c r="H42" s="606"/>
      <c r="I42" s="606"/>
      <c r="J42" s="606"/>
      <c r="K42" s="606"/>
      <c r="L42" s="606"/>
      <c r="M42" s="606"/>
      <c r="N42" s="606"/>
      <c r="O42" s="607" t="str">
        <f>IF(AND(F42="",G42="",H42="",I42="",J42="",K42="",L42="",M42="",N42=""),"",SUM(F42:N42))</f>
        <v/>
      </c>
    </row>
    <row r="43" spans="2:17" s="558" customFormat="1" ht="12" customHeight="1" thickBot="1" x14ac:dyDescent="0.25">
      <c r="B43" s="608"/>
      <c r="C43" s="609"/>
      <c r="D43" s="609"/>
      <c r="E43" s="603"/>
      <c r="F43" s="603"/>
      <c r="G43" s="603"/>
      <c r="H43" s="603"/>
      <c r="I43" s="603"/>
      <c r="J43" s="603"/>
      <c r="K43" s="603"/>
      <c r="L43" s="603"/>
      <c r="M43" s="603"/>
      <c r="N43" s="603"/>
      <c r="O43" s="603"/>
    </row>
    <row r="44" spans="2:17" s="558" customFormat="1" ht="18.95" customHeight="1" thickBot="1" x14ac:dyDescent="0.25">
      <c r="B44" s="757" t="s">
        <v>968</v>
      </c>
      <c r="C44" s="758"/>
      <c r="D44" s="758"/>
      <c r="E44" s="758"/>
      <c r="F44" s="758"/>
      <c r="G44" s="758"/>
      <c r="H44" s="758"/>
      <c r="I44" s="758"/>
      <c r="J44" s="758"/>
      <c r="K44" s="758"/>
      <c r="L44" s="758"/>
      <c r="M44" s="758"/>
      <c r="N44" s="758"/>
      <c r="O44" s="759"/>
    </row>
    <row r="45" spans="2:17" s="558" customFormat="1" ht="18.95" customHeight="1" x14ac:dyDescent="0.2">
      <c r="B45" s="760" t="s">
        <v>916</v>
      </c>
      <c r="C45" s="761"/>
      <c r="D45" s="700"/>
      <c r="E45" s="610"/>
      <c r="F45" s="610"/>
      <c r="G45" s="610"/>
      <c r="H45" s="610"/>
      <c r="I45" s="610"/>
      <c r="J45" s="610"/>
      <c r="K45" s="610"/>
      <c r="L45" s="610"/>
      <c r="M45" s="610"/>
      <c r="N45" s="610"/>
      <c r="O45" s="598" t="str">
        <f>IF(AND(E45="",F45="",G45="",H45="",I45="",J45="",K45="",L45="",M45="",N45=""),"",SUM(E45:N45))</f>
        <v/>
      </c>
    </row>
    <row r="46" spans="2:17" s="558" customFormat="1" ht="18.95" customHeight="1" x14ac:dyDescent="0.2">
      <c r="B46" s="762" t="s">
        <v>917</v>
      </c>
      <c r="C46" s="763"/>
      <c r="D46" s="698"/>
      <c r="E46" s="597"/>
      <c r="F46" s="597"/>
      <c r="G46" s="597"/>
      <c r="H46" s="597"/>
      <c r="I46" s="597"/>
      <c r="J46" s="597"/>
      <c r="K46" s="597"/>
      <c r="L46" s="597"/>
      <c r="M46" s="597"/>
      <c r="N46" s="597"/>
      <c r="O46" s="598" t="str">
        <f>IF(AND(E46="",F46="",G46="",H46="",I46="",J46="",K46="",L46="",M46="",N46=""),"",SUM(E46:N46))</f>
        <v/>
      </c>
    </row>
    <row r="47" spans="2:17" s="558" customFormat="1" ht="18.95" customHeight="1" thickBot="1" x14ac:dyDescent="0.25">
      <c r="B47" s="764" t="s">
        <v>786</v>
      </c>
      <c r="C47" s="765"/>
      <c r="D47" s="720"/>
      <c r="E47" s="611"/>
      <c r="F47" s="611"/>
      <c r="G47" s="611"/>
      <c r="H47" s="611"/>
      <c r="I47" s="611"/>
      <c r="J47" s="611"/>
      <c r="K47" s="611"/>
      <c r="L47" s="611"/>
      <c r="M47" s="611"/>
      <c r="N47" s="611"/>
      <c r="O47" s="601" t="str">
        <f>IF(AND(E47="",F47="",G47="",H47="",I47="",J47="",K47="",L47="",M47="",N47=""),"",SUM(E47:N47))</f>
        <v/>
      </c>
    </row>
    <row r="48" spans="2:17" s="612" customFormat="1" ht="6.95" customHeight="1" thickBot="1" x14ac:dyDescent="0.25">
      <c r="B48" s="567"/>
      <c r="C48" s="567"/>
      <c r="D48" s="603"/>
      <c r="E48" s="603"/>
      <c r="F48" s="603"/>
      <c r="G48" s="603"/>
      <c r="H48" s="603"/>
      <c r="I48" s="603"/>
      <c r="J48" s="603"/>
      <c r="K48" s="603"/>
      <c r="L48" s="603"/>
      <c r="M48" s="603"/>
      <c r="N48" s="603"/>
      <c r="O48" s="603"/>
    </row>
    <row r="49" spans="2:17" s="558" customFormat="1" ht="18.95" customHeight="1" thickBot="1" x14ac:dyDescent="0.25">
      <c r="B49" s="751" t="s">
        <v>652</v>
      </c>
      <c r="C49" s="752"/>
      <c r="D49" s="604"/>
      <c r="E49" s="606"/>
      <c r="F49" s="606"/>
      <c r="G49" s="606"/>
      <c r="H49" s="606"/>
      <c r="I49" s="606"/>
      <c r="J49" s="606"/>
      <c r="K49" s="606"/>
      <c r="L49" s="606"/>
      <c r="M49" s="606"/>
      <c r="N49" s="606"/>
      <c r="O49" s="607" t="str">
        <f>IF(AND(E49="",F49="",G49="",H49="",I49="",J49="",K49="",L49="",M49="",N49=""),"",SUM(E49:N49))</f>
        <v/>
      </c>
    </row>
    <row r="50" spans="2:17" s="558" customFormat="1" ht="12" customHeight="1" thickBot="1" x14ac:dyDescent="0.25">
      <c r="B50" s="608"/>
      <c r="C50" s="609"/>
      <c r="D50" s="609"/>
      <c r="E50" s="603"/>
      <c r="F50" s="603"/>
      <c r="G50" s="603"/>
      <c r="H50" s="603"/>
      <c r="I50" s="603"/>
      <c r="J50" s="603"/>
      <c r="K50" s="603"/>
      <c r="L50" s="603"/>
      <c r="M50" s="603"/>
      <c r="N50" s="603"/>
      <c r="O50" s="603"/>
    </row>
    <row r="51" spans="2:17" s="558" customFormat="1" ht="27.75" customHeight="1" thickBot="1" x14ac:dyDescent="0.25">
      <c r="B51" s="794" t="s">
        <v>787</v>
      </c>
      <c r="C51" s="795"/>
      <c r="D51" s="613" t="str">
        <f>IF(D40="","",D40)</f>
        <v/>
      </c>
      <c r="E51" s="613" t="str">
        <f t="shared" ref="E51:N51" si="2">IF(OR(E40="",E47="",E49=""),"",(E40+E47-E49))</f>
        <v/>
      </c>
      <c r="F51" s="613" t="str">
        <f t="shared" si="2"/>
        <v/>
      </c>
      <c r="G51" s="613" t="str">
        <f t="shared" si="2"/>
        <v/>
      </c>
      <c r="H51" s="613" t="str">
        <f t="shared" si="2"/>
        <v/>
      </c>
      <c r="I51" s="613" t="str">
        <f t="shared" si="2"/>
        <v/>
      </c>
      <c r="J51" s="613" t="str">
        <f t="shared" si="2"/>
        <v/>
      </c>
      <c r="K51" s="613" t="str">
        <f t="shared" si="2"/>
        <v/>
      </c>
      <c r="L51" s="613" t="str">
        <f t="shared" si="2"/>
        <v/>
      </c>
      <c r="M51" s="613" t="str">
        <f t="shared" si="2"/>
        <v/>
      </c>
      <c r="N51" s="613" t="str">
        <f t="shared" si="2"/>
        <v/>
      </c>
      <c r="O51" s="607" t="str">
        <f>IF(AND(D51="",E51="",F51="",G51="",H51="",I51="",J51="",K51="",L51="",M51="",N51=""),"",SUM(D51:N51))</f>
        <v/>
      </c>
    </row>
    <row r="52" spans="2:17" s="558" customFormat="1" ht="12" customHeight="1" thickBot="1" x14ac:dyDescent="0.25">
      <c r="B52" s="608"/>
      <c r="C52" s="609"/>
      <c r="D52" s="609"/>
      <c r="E52" s="603"/>
      <c r="F52" s="603"/>
      <c r="G52" s="603"/>
      <c r="H52" s="603"/>
      <c r="I52" s="603"/>
      <c r="J52" s="603"/>
      <c r="K52" s="603"/>
      <c r="L52" s="603"/>
      <c r="M52" s="603"/>
      <c r="N52" s="603"/>
      <c r="O52" s="603"/>
    </row>
    <row r="53" spans="2:17" s="558" customFormat="1" ht="18.95" customHeight="1" thickBot="1" x14ac:dyDescent="0.25">
      <c r="B53" s="779" t="s">
        <v>788</v>
      </c>
      <c r="C53" s="780"/>
      <c r="D53" s="769" t="s">
        <v>694</v>
      </c>
      <c r="E53" s="770"/>
      <c r="F53" s="770"/>
      <c r="G53" s="770"/>
      <c r="H53" s="770"/>
      <c r="I53" s="770"/>
      <c r="J53" s="770"/>
      <c r="K53" s="770"/>
      <c r="L53" s="770"/>
      <c r="M53" s="770"/>
      <c r="N53" s="614" t="str">
        <f>IF(OR(F40="",F47=""),"",(F40+F47))</f>
        <v/>
      </c>
      <c r="O53" s="771" t="str">
        <f>IF(AND(N53&lt;&gt;"",N54&lt;&gt;"",N55&lt;&gt;""),N53+N54+N55,IF(AND(N53&lt;&gt;"",N54="",N55=""),N53,IF(AND(N53="",N54&lt;&gt;"",N55=""),N54,IF(AND(N53="",N54="",N55&lt;&gt;""),N55,IF(AND(N53="",N54="",N55=""),"",IF(AND(N53&lt;&gt;"",N54&lt;&gt;"",N55=""),N53+N54,IF(AND(N54&lt;&gt;"",N55&lt;&gt;"",N53=""),N54+N55,IF(AND(N53&lt;&gt;"",N55&lt;&gt;"",N54=""),N53+N55))))))))</f>
        <v/>
      </c>
    </row>
    <row r="54" spans="2:17" s="558" customFormat="1" ht="18.95" customHeight="1" thickBot="1" x14ac:dyDescent="0.25">
      <c r="B54" s="781"/>
      <c r="C54" s="782"/>
      <c r="D54" s="772" t="s">
        <v>789</v>
      </c>
      <c r="E54" s="770"/>
      <c r="F54" s="770"/>
      <c r="G54" s="770"/>
      <c r="H54" s="770"/>
      <c r="I54" s="770"/>
      <c r="J54" s="770"/>
      <c r="K54" s="770"/>
      <c r="L54" s="770"/>
      <c r="M54" s="770"/>
      <c r="N54" s="614" t="str">
        <f>IF(OR(G40="",G47=""),"",(G40+G47))</f>
        <v/>
      </c>
      <c r="O54" s="771"/>
    </row>
    <row r="55" spans="2:17" s="558" customFormat="1" ht="18.95" customHeight="1" thickBot="1" x14ac:dyDescent="0.25">
      <c r="B55" s="783"/>
      <c r="C55" s="784"/>
      <c r="D55" s="769" t="s">
        <v>695</v>
      </c>
      <c r="E55" s="770"/>
      <c r="F55" s="770"/>
      <c r="G55" s="770"/>
      <c r="H55" s="770"/>
      <c r="I55" s="770"/>
      <c r="J55" s="770"/>
      <c r="K55" s="770"/>
      <c r="L55" s="770"/>
      <c r="M55" s="770"/>
      <c r="N55" s="614" t="str">
        <f>IF(OR(H40="",H47=""),"",(H40+H47))</f>
        <v/>
      </c>
      <c r="O55" s="771"/>
    </row>
    <row r="56" spans="2:17" s="558" customFormat="1" ht="11.25" customHeight="1" x14ac:dyDescent="0.2">
      <c r="B56" s="608"/>
      <c r="C56" s="615"/>
      <c r="D56" s="615"/>
      <c r="E56" s="616"/>
      <c r="F56" s="616"/>
      <c r="G56" s="616"/>
      <c r="H56" s="616"/>
      <c r="I56" s="616"/>
      <c r="J56" s="616"/>
      <c r="K56" s="616"/>
      <c r="L56" s="616"/>
      <c r="M56" s="616"/>
      <c r="N56" s="616"/>
      <c r="O56" s="616"/>
    </row>
    <row r="57" spans="2:17" s="558" customFormat="1" ht="27" customHeight="1" x14ac:dyDescent="0.2">
      <c r="B57" s="766" t="s">
        <v>967</v>
      </c>
      <c r="C57" s="767"/>
      <c r="D57" s="767"/>
      <c r="E57" s="767"/>
      <c r="F57" s="767"/>
      <c r="G57" s="767"/>
      <c r="H57" s="767"/>
      <c r="I57" s="767"/>
      <c r="J57" s="767"/>
      <c r="K57" s="767"/>
      <c r="L57" s="767"/>
      <c r="M57" s="767"/>
      <c r="N57" s="767"/>
      <c r="O57" s="767"/>
    </row>
    <row r="58" spans="2:17" s="558" customFormat="1" ht="16.5" customHeight="1" x14ac:dyDescent="0.2">
      <c r="B58" s="739" t="s">
        <v>653</v>
      </c>
      <c r="C58" s="740"/>
      <c r="D58" s="740"/>
      <c r="E58" s="740"/>
      <c r="F58" s="740"/>
      <c r="G58" s="740"/>
      <c r="H58" s="740"/>
      <c r="I58" s="740"/>
      <c r="J58" s="740"/>
      <c r="K58" s="740"/>
      <c r="L58" s="740"/>
      <c r="M58" s="740"/>
      <c r="N58" s="740"/>
      <c r="O58" s="740"/>
      <c r="Q58" s="558" t="s">
        <v>78</v>
      </c>
    </row>
    <row r="59" spans="2:17" s="558" customFormat="1" ht="45.75" customHeight="1" x14ac:dyDescent="0.2">
      <c r="B59" s="741" t="s">
        <v>971</v>
      </c>
      <c r="C59" s="742"/>
      <c r="D59" s="742"/>
      <c r="E59" s="742"/>
      <c r="F59" s="742"/>
      <c r="G59" s="742"/>
      <c r="H59" s="742"/>
      <c r="I59" s="742"/>
      <c r="J59" s="742"/>
      <c r="K59" s="742"/>
      <c r="L59" s="742"/>
      <c r="M59" s="742"/>
      <c r="N59" s="742"/>
      <c r="O59" s="742"/>
    </row>
    <row r="60" spans="2:17" s="558" customFormat="1" ht="45.75" customHeight="1" x14ac:dyDescent="0.2">
      <c r="B60" s="743" t="s">
        <v>969</v>
      </c>
      <c r="C60" s="737"/>
      <c r="D60" s="737"/>
      <c r="E60" s="737"/>
      <c r="F60" s="737"/>
      <c r="G60" s="737"/>
      <c r="H60" s="737"/>
      <c r="I60" s="737"/>
      <c r="J60" s="737"/>
      <c r="K60" s="737"/>
      <c r="L60" s="737"/>
      <c r="M60" s="737"/>
      <c r="N60" s="737"/>
      <c r="O60" s="737"/>
    </row>
    <row r="61" spans="2:17" s="558" customFormat="1" ht="12" customHeight="1" x14ac:dyDescent="0.2">
      <c r="B61" s="737" t="s">
        <v>654</v>
      </c>
      <c r="C61" s="744"/>
      <c r="D61" s="744"/>
      <c r="E61" s="744"/>
      <c r="F61" s="744"/>
      <c r="G61" s="744"/>
      <c r="H61" s="744"/>
      <c r="I61" s="744"/>
      <c r="J61" s="744"/>
      <c r="K61" s="744"/>
      <c r="L61" s="744"/>
      <c r="M61" s="744"/>
      <c r="N61" s="744"/>
      <c r="O61" s="744"/>
    </row>
    <row r="62" spans="2:17" s="558" customFormat="1" ht="14.25" customHeight="1" x14ac:dyDescent="0.2">
      <c r="B62" s="737" t="s">
        <v>655</v>
      </c>
      <c r="C62" s="737"/>
      <c r="D62" s="737"/>
      <c r="E62" s="737"/>
      <c r="F62" s="737"/>
      <c r="G62" s="737"/>
      <c r="H62" s="737"/>
      <c r="I62" s="737"/>
      <c r="J62" s="737"/>
      <c r="K62" s="737"/>
      <c r="L62" s="737"/>
      <c r="M62" s="737"/>
      <c r="N62" s="737"/>
      <c r="O62" s="737"/>
    </row>
    <row r="63" spans="2:17" s="558" customFormat="1" ht="15.75" customHeight="1" x14ac:dyDescent="0.2">
      <c r="B63" s="743" t="s">
        <v>794</v>
      </c>
      <c r="C63" s="737"/>
      <c r="D63" s="737"/>
      <c r="E63" s="737"/>
      <c r="F63" s="737"/>
      <c r="G63" s="737"/>
      <c r="H63" s="737"/>
      <c r="I63" s="737"/>
      <c r="J63" s="737"/>
      <c r="K63" s="737"/>
      <c r="L63" s="737"/>
      <c r="M63" s="737"/>
      <c r="N63" s="737"/>
      <c r="O63" s="737"/>
    </row>
    <row r="64" spans="2:17" s="558" customFormat="1" ht="70.5" customHeight="1" x14ac:dyDescent="0.2">
      <c r="B64" s="737" t="s">
        <v>775</v>
      </c>
      <c r="C64" s="737"/>
      <c r="D64" s="737"/>
      <c r="E64" s="737"/>
      <c r="F64" s="737"/>
      <c r="G64" s="737"/>
      <c r="H64" s="737"/>
      <c r="I64" s="737"/>
      <c r="J64" s="737"/>
      <c r="K64" s="737"/>
      <c r="L64" s="737"/>
      <c r="M64" s="737"/>
      <c r="N64" s="737"/>
      <c r="O64" s="737"/>
    </row>
    <row r="65" spans="2:15" s="558" customFormat="1" ht="13.5" customHeight="1" x14ac:dyDescent="0.2">
      <c r="B65" s="737" t="s">
        <v>656</v>
      </c>
      <c r="C65" s="738"/>
      <c r="D65" s="738"/>
      <c r="E65" s="738"/>
      <c r="F65" s="738"/>
      <c r="G65" s="738"/>
      <c r="H65" s="738"/>
      <c r="I65" s="738"/>
      <c r="J65" s="738"/>
      <c r="K65" s="738"/>
      <c r="L65" s="738"/>
      <c r="M65" s="738"/>
      <c r="N65" s="738"/>
      <c r="O65" s="738"/>
    </row>
    <row r="66" spans="2:15" s="558" customFormat="1" ht="96.75" customHeight="1" x14ac:dyDescent="0.2">
      <c r="B66" s="723" t="s">
        <v>790</v>
      </c>
      <c r="C66" s="724"/>
      <c r="D66" s="724"/>
      <c r="E66" s="724"/>
      <c r="F66" s="724"/>
      <c r="G66" s="724"/>
      <c r="H66" s="724"/>
      <c r="I66" s="724"/>
      <c r="J66" s="724"/>
      <c r="K66" s="724"/>
      <c r="L66" s="724"/>
      <c r="M66" s="724"/>
      <c r="N66" s="724"/>
      <c r="O66" s="724"/>
    </row>
    <row r="67" spans="2:15" s="558" customFormat="1" ht="86.25" customHeight="1" x14ac:dyDescent="0.2">
      <c r="B67" s="791" t="s">
        <v>848</v>
      </c>
      <c r="C67" s="792"/>
      <c r="D67" s="792"/>
      <c r="E67" s="792"/>
      <c r="F67" s="792"/>
      <c r="G67" s="792"/>
      <c r="H67" s="792"/>
      <c r="I67" s="792"/>
      <c r="J67" s="792"/>
      <c r="K67" s="792"/>
      <c r="L67" s="792"/>
      <c r="M67" s="792"/>
      <c r="N67" s="792"/>
      <c r="O67" s="792"/>
    </row>
    <row r="68" spans="2:15" x14ac:dyDescent="0.2">
      <c r="B68" s="617"/>
      <c r="C68" s="617"/>
      <c r="D68" s="617"/>
      <c r="E68" s="617"/>
      <c r="F68" s="617"/>
      <c r="G68" s="617"/>
      <c r="H68" s="617"/>
      <c r="I68" s="617"/>
      <c r="J68" s="617"/>
      <c r="K68" s="617"/>
      <c r="L68" s="617"/>
      <c r="M68" s="617"/>
      <c r="N68" s="617"/>
      <c r="O68" s="617"/>
    </row>
    <row r="69" spans="2:15" x14ac:dyDescent="0.2">
      <c r="B69" s="617"/>
      <c r="C69" s="617"/>
      <c r="D69" s="617"/>
      <c r="E69" s="617"/>
      <c r="F69" s="617"/>
      <c r="G69" s="617"/>
      <c r="H69" s="617"/>
      <c r="I69" s="617"/>
      <c r="J69" s="617"/>
      <c r="K69" s="617"/>
      <c r="L69" s="617"/>
      <c r="M69" s="617"/>
      <c r="N69" s="617"/>
      <c r="O69" s="617"/>
    </row>
    <row r="70" spans="2:15" x14ac:dyDescent="0.2">
      <c r="B70" s="617"/>
      <c r="C70" s="617"/>
      <c r="D70" s="617"/>
      <c r="E70" s="617"/>
      <c r="F70" s="617"/>
      <c r="G70" s="617"/>
      <c r="H70" s="617"/>
      <c r="I70" s="617"/>
      <c r="J70" s="617"/>
      <c r="K70" s="617"/>
      <c r="L70" s="617"/>
      <c r="M70" s="617"/>
      <c r="N70" s="617"/>
      <c r="O70" s="617"/>
    </row>
    <row r="71" spans="2:15" x14ac:dyDescent="0.2">
      <c r="B71" s="617"/>
      <c r="C71" s="617"/>
      <c r="D71" s="617"/>
      <c r="E71" s="617"/>
      <c r="F71" s="617"/>
      <c r="G71" s="617"/>
      <c r="H71" s="617"/>
      <c r="I71" s="617"/>
      <c r="J71" s="617"/>
      <c r="K71" s="617"/>
      <c r="L71" s="617"/>
      <c r="M71" s="617"/>
      <c r="N71" s="617"/>
      <c r="O71" s="617"/>
    </row>
    <row r="72" spans="2:15" x14ac:dyDescent="0.2">
      <c r="B72" s="617"/>
      <c r="C72" s="617"/>
      <c r="D72" s="617"/>
      <c r="E72" s="617"/>
      <c r="F72" s="617"/>
      <c r="G72" s="617"/>
      <c r="H72" s="617"/>
      <c r="I72" s="617"/>
      <c r="J72" s="617"/>
      <c r="K72" s="617"/>
      <c r="L72" s="617"/>
      <c r="M72" s="617"/>
      <c r="N72" s="617"/>
      <c r="O72" s="617"/>
    </row>
    <row r="73" spans="2:15" x14ac:dyDescent="0.2">
      <c r="B73" s="617"/>
      <c r="C73" s="617"/>
      <c r="D73" s="617"/>
      <c r="E73" s="617"/>
      <c r="F73" s="617"/>
      <c r="G73" s="617"/>
      <c r="H73" s="617"/>
      <c r="I73" s="617"/>
      <c r="J73" s="617"/>
      <c r="K73" s="617"/>
      <c r="L73" s="617"/>
      <c r="M73" s="617"/>
      <c r="N73" s="617"/>
      <c r="O73" s="617"/>
    </row>
    <row r="74" spans="2:15" x14ac:dyDescent="0.2">
      <c r="B74" s="617"/>
      <c r="C74" s="617"/>
      <c r="D74" s="617"/>
      <c r="E74" s="617"/>
      <c r="F74" s="617"/>
      <c r="G74" s="617"/>
      <c r="H74" s="617"/>
      <c r="I74" s="617"/>
      <c r="J74" s="617"/>
      <c r="K74" s="617"/>
      <c r="L74" s="617"/>
      <c r="M74" s="617"/>
      <c r="N74" s="617"/>
      <c r="O74" s="617"/>
    </row>
    <row r="75" spans="2:15" x14ac:dyDescent="0.2">
      <c r="B75" s="617"/>
      <c r="C75" s="617"/>
      <c r="D75" s="617"/>
      <c r="E75" s="617"/>
      <c r="F75" s="617"/>
      <c r="G75" s="617"/>
      <c r="H75" s="617"/>
      <c r="I75" s="617"/>
      <c r="J75" s="617"/>
      <c r="K75" s="617"/>
      <c r="L75" s="617"/>
      <c r="M75" s="617"/>
      <c r="N75" s="617"/>
      <c r="O75" s="617"/>
    </row>
    <row r="76" spans="2:15" x14ac:dyDescent="0.2">
      <c r="B76" s="617"/>
      <c r="C76" s="617"/>
      <c r="D76" s="617"/>
      <c r="E76" s="617"/>
      <c r="F76" s="617"/>
      <c r="G76" s="617"/>
      <c r="H76" s="617"/>
      <c r="I76" s="617"/>
      <c r="J76" s="617"/>
      <c r="K76" s="617"/>
      <c r="L76" s="617"/>
      <c r="M76" s="617"/>
      <c r="N76" s="617"/>
      <c r="O76" s="617"/>
    </row>
    <row r="77" spans="2:15" x14ac:dyDescent="0.2">
      <c r="B77" s="617"/>
      <c r="C77" s="617"/>
      <c r="D77" s="617"/>
      <c r="E77" s="617"/>
      <c r="F77" s="617"/>
      <c r="G77" s="617"/>
      <c r="H77" s="617"/>
      <c r="I77" s="617"/>
      <c r="J77" s="617"/>
      <c r="K77" s="617"/>
      <c r="L77" s="617"/>
      <c r="M77" s="617"/>
      <c r="N77" s="617"/>
      <c r="O77" s="617"/>
    </row>
    <row r="78" spans="2:15" x14ac:dyDescent="0.2">
      <c r="B78" s="617"/>
      <c r="C78" s="617"/>
      <c r="D78" s="617"/>
      <c r="E78" s="617"/>
      <c r="F78" s="617"/>
      <c r="G78" s="617"/>
      <c r="H78" s="617"/>
      <c r="I78" s="617"/>
      <c r="J78" s="617"/>
      <c r="K78" s="617"/>
      <c r="L78" s="617"/>
      <c r="M78" s="617"/>
      <c r="N78" s="617"/>
      <c r="O78" s="617"/>
    </row>
    <row r="79" spans="2:15" x14ac:dyDescent="0.2">
      <c r="B79" s="617"/>
      <c r="C79" s="617"/>
      <c r="D79" s="617"/>
      <c r="E79" s="617"/>
      <c r="F79" s="617"/>
      <c r="G79" s="617"/>
      <c r="H79" s="617"/>
      <c r="I79" s="617"/>
      <c r="J79" s="617"/>
      <c r="K79" s="617"/>
      <c r="L79" s="617"/>
      <c r="M79" s="617"/>
      <c r="N79" s="617"/>
      <c r="O79" s="617"/>
    </row>
    <row r="80" spans="2:15" x14ac:dyDescent="0.2">
      <c r="B80" s="617"/>
      <c r="C80" s="617"/>
      <c r="D80" s="617"/>
      <c r="E80" s="617"/>
      <c r="F80" s="617"/>
      <c r="G80" s="617"/>
      <c r="H80" s="617"/>
      <c r="I80" s="617"/>
      <c r="J80" s="617"/>
      <c r="K80" s="617"/>
      <c r="L80" s="617"/>
      <c r="M80" s="617"/>
      <c r="N80" s="617"/>
      <c r="O80" s="617"/>
    </row>
    <row r="81" spans="2:15" x14ac:dyDescent="0.2">
      <c r="B81" s="617"/>
      <c r="C81" s="617"/>
      <c r="D81" s="617"/>
      <c r="E81" s="617"/>
      <c r="F81" s="617"/>
      <c r="G81" s="617"/>
      <c r="H81" s="617"/>
      <c r="I81" s="617"/>
      <c r="J81" s="617"/>
      <c r="K81" s="617"/>
      <c r="L81" s="617"/>
      <c r="M81" s="617"/>
      <c r="N81" s="617"/>
      <c r="O81" s="617"/>
    </row>
  </sheetData>
  <sheetProtection password="CA09" sheet="1" objects="1" scenario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60">
    <mergeCell ref="B27:O27"/>
    <mergeCell ref="B67:O67"/>
    <mergeCell ref="B4:O4"/>
    <mergeCell ref="B51:C51"/>
    <mergeCell ref="B22:G22"/>
    <mergeCell ref="B24:G24"/>
    <mergeCell ref="B25:G25"/>
    <mergeCell ref="H21:O21"/>
    <mergeCell ref="H22:O22"/>
    <mergeCell ref="H24:O24"/>
    <mergeCell ref="H25:O25"/>
    <mergeCell ref="B21:G21"/>
    <mergeCell ref="C14:E14"/>
    <mergeCell ref="I19:O19"/>
    <mergeCell ref="I18:O18"/>
    <mergeCell ref="C16:E16"/>
    <mergeCell ref="M14:O14"/>
    <mergeCell ref="D53:M53"/>
    <mergeCell ref="O53:O55"/>
    <mergeCell ref="D54:M54"/>
    <mergeCell ref="D55:M55"/>
    <mergeCell ref="B32:O32"/>
    <mergeCell ref="B36:C36"/>
    <mergeCell ref="B37:C37"/>
    <mergeCell ref="B38:C38"/>
    <mergeCell ref="B28:C30"/>
    <mergeCell ref="D28:E29"/>
    <mergeCell ref="M16:O16"/>
    <mergeCell ref="B53:C55"/>
    <mergeCell ref="O28:O30"/>
    <mergeCell ref="B42:C42"/>
    <mergeCell ref="F29:L29"/>
    <mergeCell ref="B63:O63"/>
    <mergeCell ref="B64:O64"/>
    <mergeCell ref="M29:M30"/>
    <mergeCell ref="N29:N30"/>
    <mergeCell ref="B49:C49"/>
    <mergeCell ref="B39:C39"/>
    <mergeCell ref="B33:B35"/>
    <mergeCell ref="B44:O44"/>
    <mergeCell ref="B45:C45"/>
    <mergeCell ref="B46:C46"/>
    <mergeCell ref="B47:C47"/>
    <mergeCell ref="B57:O57"/>
    <mergeCell ref="B26:O26"/>
    <mergeCell ref="B66:O66"/>
    <mergeCell ref="M6:O6"/>
    <mergeCell ref="C10:O10"/>
    <mergeCell ref="C8:O8"/>
    <mergeCell ref="C6:E6"/>
    <mergeCell ref="M12:O12"/>
    <mergeCell ref="C12:E12"/>
    <mergeCell ref="B65:O65"/>
    <mergeCell ref="B58:O58"/>
    <mergeCell ref="B59:O59"/>
    <mergeCell ref="B60:O60"/>
    <mergeCell ref="B61:O61"/>
    <mergeCell ref="B62:O62"/>
    <mergeCell ref="F28:N28"/>
    <mergeCell ref="B40:C40"/>
  </mergeCells>
  <phoneticPr fontId="41" type="noConversion"/>
  <conditionalFormatting sqref="C6:E6 H22">
    <cfRule type="expression" dxfId="342" priority="40">
      <formula>LEN(TRIM(C6))=0</formula>
    </cfRule>
  </conditionalFormatting>
  <conditionalFormatting sqref="C12:E12">
    <cfRule type="expression" dxfId="341" priority="39">
      <formula>LEN(TRIM(C12))=0</formula>
    </cfRule>
  </conditionalFormatting>
  <conditionalFormatting sqref="M12:O12">
    <cfRule type="expression" dxfId="340" priority="38">
      <formula>LEN(TRIM(M12))=0</formula>
    </cfRule>
  </conditionalFormatting>
  <conditionalFormatting sqref="B25">
    <cfRule type="expression" dxfId="339" priority="34">
      <formula>LEN(TRIM(B25))=0</formula>
    </cfRule>
  </conditionalFormatting>
  <conditionalFormatting sqref="D33:N36 D39:N39 E37:N38">
    <cfRule type="expression" dxfId="338" priority="6">
      <formula>LEN(TRIM(D33))=0</formula>
    </cfRule>
  </conditionalFormatting>
  <conditionalFormatting sqref="F42:N42">
    <cfRule type="expression" dxfId="337" priority="5">
      <formula>LEN(TRIM(F42))=0</formula>
    </cfRule>
  </conditionalFormatting>
  <conditionalFormatting sqref="E45:N45">
    <cfRule type="expression" dxfId="336" priority="4">
      <formula>LEN(TRIM(E45))=0</formula>
    </cfRule>
  </conditionalFormatting>
  <conditionalFormatting sqref="E46:N46">
    <cfRule type="expression" dxfId="335" priority="3">
      <formula>LEN(TRIM(E46))=0</formula>
    </cfRule>
  </conditionalFormatting>
  <conditionalFormatting sqref="E47:N47">
    <cfRule type="expression" dxfId="334" priority="2">
      <formula>LEN(TRIM(E47))=0</formula>
    </cfRule>
  </conditionalFormatting>
  <conditionalFormatting sqref="E49:N49">
    <cfRule type="expression" dxfId="333" priority="1">
      <formula>LEN(TRIM(E49))=0</formula>
    </cfRule>
  </conditionalFormatting>
  <dataValidations xWindow="246" yWindow="423" count="17">
    <dataValidation allowBlank="1" showInputMessage="1" showErrorMessage="1" errorTitle="Eingabefehler" sqref="M14:N14 M16:N16"/>
    <dataValidation type="textLength" allowBlank="1" showInputMessage="1" showErrorMessage="1" errorTitle="Eingabefehler" error="Nur Texteingabe möglich." prompt="Name, Vorname" sqref="C14:G14">
      <formula1>0</formula1>
      <formula2>100</formula2>
    </dataValidation>
    <dataValidation type="date" allowBlank="1" showInputMessage="1" showErrorMessage="1" errorTitle="Eingabefehler" error="Erstelldatum: dd.mm.jjjj" sqref="C16:G16">
      <formula1>41275</formula1>
      <formula2>41791</formula2>
    </dataValidation>
    <dataValidation type="list" showInputMessage="1" showErrorMessage="1" errorTitle="Hinweis" error="Auswahl treffen über Dropdown-Liste." sqref="B25:G25">
      <formula1>Tumordokumentation</formula1>
    </dataValidation>
    <dataValidation type="date" errorStyle="information" allowBlank="1" showInputMessage="1" showErrorMessage="1" errorTitle="Kennzahlenjahr" error="Es können nur Kennzahlenjahre von 2012 bis 2014 eingetragen werden." sqref="M17:O17 M20:O20">
      <formula1>2010</formula1>
      <formula2>2012</formula2>
    </dataValidation>
    <dataValidation showInputMessage="1" showErrorMessage="1" errorTitle="Hinweis" error="Auswahl treffen über Dropdown-Liste." sqref="I19:O19"/>
    <dataValidation operator="greaterThan" allowBlank="1" showInputMessage="1" showErrorMessage="1" sqref="O28"/>
    <dataValidation type="whole" allowBlank="1" showInputMessage="1" showErrorMessage="1" errorTitle="Eingabefehler" error="Ganze Zahl zwischen 0 und 5000." sqref="I36 D45:N46 D33:N34 D35:H36 J35:N36 D37:N39">
      <formula1>0</formula1>
      <formula2>5000</formula2>
    </dataValidation>
    <dataValidation type="textLength" allowBlank="1" showErrorMessage="1" errorTitle="Eingabefehler" error="Nur Texteingabe bis 100 Zeichen möglich." prompt="Name, Vorname" sqref="C12:G12">
      <formula1>0</formula1>
      <formula2>100</formula2>
    </dataValidation>
    <dataValidation type="date" allowBlank="1" showErrorMessage="1" errorTitle="Eingabefehler" error="Format: tt.mm.jjjj_x000a__x000a_Zeitraum zwischen 01.10.2021 - 31.01.2023 angeben." sqref="M12:O12">
      <formula1>44470</formula1>
      <formula2>44957</formula2>
    </dataValidation>
    <dataValidation type="list" allowBlank="1" showInputMessage="1" showErrorMessage="1" errorTitle="Hinweis" error="Auswahl treffen über Dropdown-Liste." sqref="C6:E6">
      <formula1>ZentrumRegNr</formula1>
    </dataValidation>
    <dataValidation type="whole" allowBlank="1" showInputMessage="1" showErrorMessage="1" errorTitle="Eigabefehler" error="Ganze Zahl zwischen 0 und 5000." sqref="I35">
      <formula1>0</formula1>
      <formula2>5000</formula2>
    </dataValidation>
    <dataValidation type="whole" showInputMessage="1" showErrorMessage="1" errorTitle="Eingabefehler" error="&quot;davon Pat. mit Historie &quot;AS/WW&quot; kann nicht größer als &quot;Primärfallpat. gesamt&quot; sein." sqref="F42:N42">
      <formula1>0</formula1>
      <formula2>IF(F40="",0,F40)</formula2>
    </dataValidation>
    <dataValidation allowBlank="1" showInputMessage="1" showErrorMessage="1" errorTitle="Hinweis" error="Auswahl treffen über Dropdown-Liste." sqref="F6:G7"/>
    <dataValidation type="whole" showInputMessage="1" showErrorMessage="1" errorTitle="Eingabefehler" error="Pat. mit &quot;parallel Status Primärfall&quot; kann nicht größer als &quot;Pat. gesamt&quot; sein." sqref="D49:N49">
      <formula1>0</formula1>
      <formula2>D47</formula2>
    </dataValidation>
    <dataValidation type="whole" showInputMessage="1" showErrorMessage="1" errorTitle="Eingabefehler" error="&quot;Pat. gesamt&quot; kann nicht größer sein als &quot;Pat. mit Neudiagnose Rezidiv und Fernmetastase&quot;." sqref="D47:N47">
      <formula1>0</formula1>
      <formula2>D45+D46</formula2>
    </dataValidation>
    <dataValidation type="list" showInputMessage="1" showErrorMessage="1" errorTitle="Hinweis" error="Auswahl treffen über Dropdown-Liste." sqref="H22:O22">
      <formula1>AngabeKKR</formula1>
    </dataValidation>
  </dataValidations>
  <pageMargins left="0.59055118110236227" right="3.937007874015748E-2" top="0.39370078740157483" bottom="0.39370078740157483" header="0.31496062992125984" footer="0.11811023622047245"/>
  <pageSetup paperSize="9" scale="81" orientation="portrait"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55" max="14" man="1"/>
  </rowBreaks>
  <drawing r:id="rId4"/>
  <legacyDrawing r:id="rId5"/>
  <legacyDrawingHF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1"/>
  <dimension ref="B1:AG97"/>
  <sheetViews>
    <sheetView showGridLines="0" zoomScaleNormal="100" workbookViewId="0">
      <selection activeCell="D20" sqref="D20"/>
    </sheetView>
  </sheetViews>
  <sheetFormatPr baseColWidth="10" defaultColWidth="9" defaultRowHeight="14.25" x14ac:dyDescent="0.2"/>
  <cols>
    <col min="1" max="1" width="0.85546875" style="6" customWidth="1"/>
    <col min="2" max="2" width="14.42578125" style="6" customWidth="1"/>
    <col min="3" max="3" width="10.7109375" style="6" customWidth="1"/>
    <col min="4" max="4" width="14.42578125" style="6" customWidth="1"/>
    <col min="5" max="5" width="0.5703125" style="6" customWidth="1"/>
    <col min="6" max="7" width="10.7109375" style="6" customWidth="1"/>
    <col min="8" max="8" width="0.5703125" style="6" customWidth="1"/>
    <col min="9" max="9" width="10.7109375" style="6" customWidth="1"/>
    <col min="10" max="10" width="12.5703125" style="6" customWidth="1"/>
    <col min="11" max="11" width="0.5703125" style="6" customWidth="1"/>
    <col min="12" max="13" width="10.7109375" style="6" customWidth="1"/>
    <col min="14" max="14" width="4.7109375" style="6" customWidth="1"/>
    <col min="15" max="15" width="5.42578125" style="6" customWidth="1"/>
    <col min="16" max="18" width="4.85546875" style="6" customWidth="1"/>
    <col min="19" max="20" width="0.42578125" style="6" customWidth="1"/>
    <col min="21" max="21" width="4.85546875" style="6" customWidth="1"/>
    <col min="22" max="22" width="4.42578125" style="6" customWidth="1"/>
    <col min="23" max="23" width="4.85546875" style="6" customWidth="1"/>
    <col min="24" max="24" width="4.42578125" style="6" customWidth="1"/>
    <col min="25" max="26" width="4.85546875" style="6" customWidth="1"/>
    <col min="27" max="27" width="0.5703125" style="6" customWidth="1"/>
    <col min="28" max="28" width="6" style="6" customWidth="1"/>
    <col min="29" max="29" width="6.42578125" style="44" customWidth="1"/>
    <col min="30" max="223" width="11.42578125" style="6" customWidth="1"/>
    <col min="224" max="16384" width="9" style="6"/>
  </cols>
  <sheetData>
    <row r="1" spans="2:33" ht="9.9499999999999993" customHeight="1" x14ac:dyDescent="0.2">
      <c r="D1" s="37"/>
      <c r="P1" s="25"/>
      <c r="Q1" s="25"/>
      <c r="R1" s="25"/>
      <c r="S1" s="25"/>
      <c r="T1" s="25"/>
      <c r="U1" s="25"/>
    </row>
    <row r="2" spans="2:33" ht="12.95" customHeight="1" x14ac:dyDescent="0.2">
      <c r="B2" s="657" t="s">
        <v>964</v>
      </c>
      <c r="C2" s="10"/>
      <c r="D2" s="10"/>
      <c r="E2" s="10"/>
      <c r="F2" s="10"/>
      <c r="G2" s="10"/>
      <c r="H2" s="10"/>
      <c r="P2" s="25"/>
      <c r="Q2" s="25"/>
      <c r="R2" s="25"/>
      <c r="S2" s="25"/>
      <c r="T2" s="25"/>
      <c r="U2" s="25"/>
    </row>
    <row r="3" spans="2:33" ht="19.5" customHeight="1" x14ac:dyDescent="0.2">
      <c r="B3" s="215" t="s">
        <v>441</v>
      </c>
      <c r="P3" s="25"/>
      <c r="Q3" s="25"/>
      <c r="R3" s="25"/>
      <c r="S3" s="25"/>
      <c r="T3" s="25"/>
      <c r="U3" s="25"/>
      <c r="V3" s="26"/>
      <c r="W3" s="26"/>
      <c r="X3" s="26"/>
    </row>
    <row r="4" spans="2:33" ht="12" customHeight="1" x14ac:dyDescent="0.2">
      <c r="B4" s="30" t="s">
        <v>475</v>
      </c>
      <c r="P4" s="25"/>
      <c r="Q4" s="25"/>
      <c r="R4" s="25"/>
      <c r="S4" s="25"/>
      <c r="T4" s="25"/>
      <c r="U4" s="25"/>
      <c r="V4" s="26"/>
      <c r="W4" s="26"/>
      <c r="X4" s="26"/>
    </row>
    <row r="5" spans="2:33" ht="11.25" customHeight="1" x14ac:dyDescent="0.2">
      <c r="U5" s="25"/>
      <c r="V5" s="38"/>
      <c r="W5" s="38"/>
      <c r="X5" s="38"/>
    </row>
    <row r="6" spans="2:33" s="32" customFormat="1" ht="15" customHeight="1" x14ac:dyDescent="0.2">
      <c r="B6" s="216" t="s">
        <v>140</v>
      </c>
      <c r="C6" s="1122" t="str">
        <f>IF(Basisdaten!C8=0,"",Basisdaten!C8)</f>
        <v/>
      </c>
      <c r="D6" s="1123"/>
      <c r="E6" s="1123"/>
      <c r="F6" s="1123"/>
      <c r="G6" s="1123"/>
      <c r="H6" s="1123"/>
      <c r="I6" s="1123"/>
      <c r="J6" s="1123"/>
      <c r="K6" s="1123"/>
      <c r="L6" s="1123"/>
      <c r="M6" s="1124"/>
      <c r="P6" s="18"/>
    </row>
    <row r="7" spans="2:33" s="32" customFormat="1" ht="6.95" customHeight="1" x14ac:dyDescent="0.2">
      <c r="B7" s="34"/>
      <c r="C7" s="8"/>
      <c r="D7" s="15"/>
      <c r="E7" s="15"/>
      <c r="F7" s="15"/>
      <c r="G7" s="15"/>
      <c r="H7" s="15"/>
      <c r="I7" s="15"/>
      <c r="J7" s="15"/>
      <c r="K7" s="15"/>
      <c r="Q7" s="18"/>
    </row>
    <row r="8" spans="2:33" s="32" customFormat="1" ht="15" customHeight="1" x14ac:dyDescent="0.2">
      <c r="B8" s="217" t="s">
        <v>85</v>
      </c>
      <c r="C8" s="1122" t="str">
        <f>IF(Basisdaten!C6=0,"",Basisdaten!C6)</f>
        <v/>
      </c>
      <c r="D8" s="1123"/>
      <c r="E8" s="1124"/>
      <c r="F8" s="211"/>
      <c r="G8" s="210"/>
      <c r="H8" s="86"/>
      <c r="I8" s="1158" t="s">
        <v>544</v>
      </c>
      <c r="J8" s="1158"/>
      <c r="K8" s="1140" t="str">
        <f>IF(Basisdaten!M12=0,"",Basisdaten!M12)</f>
        <v/>
      </c>
      <c r="L8" s="1141"/>
      <c r="M8" s="1142"/>
      <c r="P8" s="18"/>
    </row>
    <row r="9" spans="2:33" s="32" customFormat="1" ht="3.75" customHeight="1" x14ac:dyDescent="0.2">
      <c r="C9" s="33"/>
      <c r="D9" s="34"/>
      <c r="E9" s="6"/>
      <c r="Q9" s="18"/>
    </row>
    <row r="10" spans="2:33" ht="3.75" customHeight="1" x14ac:dyDescent="0.2"/>
    <row r="11" spans="2:33" ht="10.5" customHeight="1" x14ac:dyDescent="0.2">
      <c r="B11" s="1211"/>
      <c r="C11" s="1211"/>
      <c r="D11" s="1211"/>
      <c r="E11" s="1211"/>
      <c r="F11" s="1211"/>
      <c r="G11" s="1211"/>
      <c r="H11" s="1211"/>
      <c r="I11" s="1211"/>
      <c r="J11" s="1211"/>
      <c r="K11" s="1211"/>
      <c r="L11" s="1211"/>
      <c r="M11" s="1211"/>
    </row>
    <row r="12" spans="2:33" s="63" customFormat="1" ht="16.5" customHeight="1" x14ac:dyDescent="0.2">
      <c r="B12" s="219" t="s">
        <v>109</v>
      </c>
      <c r="C12" s="64"/>
      <c r="D12" s="65"/>
      <c r="E12" s="67"/>
      <c r="F12" s="65"/>
      <c r="G12" s="65"/>
      <c r="H12" s="66"/>
      <c r="I12" s="64"/>
      <c r="J12" s="64"/>
      <c r="K12" s="64"/>
      <c r="L12" s="64"/>
      <c r="M12" s="64"/>
      <c r="N12" s="64"/>
      <c r="O12" s="64"/>
      <c r="P12" s="65"/>
      <c r="Q12" s="65"/>
      <c r="R12" s="65"/>
      <c r="S12" s="64"/>
      <c r="T12" s="64"/>
      <c r="U12" s="65"/>
      <c r="V12" s="65"/>
      <c r="W12" s="65"/>
      <c r="X12" s="64"/>
      <c r="Y12" s="65"/>
      <c r="Z12" s="65"/>
      <c r="AA12" s="65"/>
      <c r="AB12" s="65"/>
      <c r="AC12" s="65"/>
    </row>
    <row r="13" spans="2:33" s="63" customFormat="1" ht="13.5" customHeight="1" x14ac:dyDescent="0.2">
      <c r="B13" s="1184" t="str">
        <f>IF(OR(B14="",B14="Matrix kann eingereicht werden"),"In Ordnung",IF(B14="die inkorrekten und unvollständigen Einträge beheben","Nicht in Ordnung"))</f>
        <v>In Ordnung</v>
      </c>
      <c r="C13" s="1184"/>
      <c r="D13" s="1163" t="s">
        <v>83</v>
      </c>
      <c r="E13" s="1163"/>
      <c r="F13" s="1164"/>
      <c r="G13" s="1187" t="s">
        <v>13</v>
      </c>
      <c r="H13" s="1188"/>
      <c r="I13" s="1189"/>
      <c r="J13" s="1174" t="s">
        <v>102</v>
      </c>
      <c r="K13" s="1175"/>
      <c r="L13" s="1174" t="s">
        <v>550</v>
      </c>
      <c r="M13" s="1175"/>
      <c r="N13" s="32"/>
      <c r="O13" s="32"/>
      <c r="P13" s="32"/>
      <c r="Q13" s="64"/>
      <c r="R13" s="64"/>
      <c r="S13" s="64"/>
      <c r="T13" s="64"/>
      <c r="U13" s="64"/>
      <c r="V13" s="64"/>
      <c r="W13" s="64"/>
      <c r="X13" s="64"/>
      <c r="Y13" s="64"/>
      <c r="Z13" s="64"/>
      <c r="AA13" s="64"/>
      <c r="AB13" s="64"/>
      <c r="AC13" s="64"/>
      <c r="AD13" s="64"/>
      <c r="AE13" s="64"/>
      <c r="AF13" s="64"/>
      <c r="AG13" s="64"/>
    </row>
    <row r="14" spans="2:33" s="32" customFormat="1" ht="18.75" customHeight="1" x14ac:dyDescent="0.2">
      <c r="B14" s="1190" t="str">
        <f>Berechnung2!B6</f>
        <v/>
      </c>
      <c r="C14" s="1191"/>
      <c r="D14" s="1165">
        <f>Berechnung2!C6</f>
        <v>0</v>
      </c>
      <c r="E14" s="1165"/>
      <c r="F14" s="1166"/>
      <c r="G14" s="1149">
        <f>Berechnung2!D6</f>
        <v>0</v>
      </c>
      <c r="H14" s="1150"/>
      <c r="I14" s="1151"/>
      <c r="J14" s="1176">
        <f>Berechnung2!E6</f>
        <v>0</v>
      </c>
      <c r="K14" s="1177"/>
      <c r="L14" s="1176">
        <f>Berechnung2!F6</f>
        <v>0</v>
      </c>
      <c r="M14" s="1177"/>
      <c r="N14" s="6"/>
      <c r="O14" s="6"/>
      <c r="P14" s="6"/>
      <c r="AG14" s="18"/>
    </row>
    <row r="15" spans="2:33" s="32" customFormat="1" ht="8.25" customHeight="1" thickBot="1" x14ac:dyDescent="0.25">
      <c r="C15" s="8"/>
      <c r="D15" s="16"/>
      <c r="E15" s="16"/>
      <c r="F15" s="16"/>
      <c r="G15" s="16"/>
      <c r="H15" s="16"/>
      <c r="I15" s="16"/>
      <c r="J15" s="30"/>
      <c r="K15" s="36"/>
      <c r="L15" s="30"/>
      <c r="M15" s="30"/>
      <c r="O15" s="6"/>
      <c r="P15" s="6"/>
      <c r="Q15" s="6"/>
      <c r="R15" s="6"/>
      <c r="S15" s="6"/>
      <c r="T15" s="6"/>
      <c r="U15" s="6"/>
      <c r="AC15" s="18"/>
    </row>
    <row r="16" spans="2:33" ht="27.75" customHeight="1" thickTop="1" thickBot="1" x14ac:dyDescent="0.25">
      <c r="B16" s="446"/>
      <c r="C16" s="447"/>
      <c r="D16" s="448" t="s">
        <v>431</v>
      </c>
      <c r="E16" s="1195">
        <v>1</v>
      </c>
      <c r="F16" s="1167" t="s">
        <v>90</v>
      </c>
      <c r="G16" s="1168"/>
      <c r="H16" s="1192"/>
      <c r="I16" s="1168" t="s">
        <v>108</v>
      </c>
      <c r="J16" s="1179"/>
      <c r="K16" s="1195"/>
      <c r="L16" s="1168" t="s">
        <v>63</v>
      </c>
      <c r="M16" s="1178"/>
      <c r="AC16" s="6"/>
    </row>
    <row r="17" spans="2:29" ht="15" customHeight="1" thickBot="1" x14ac:dyDescent="0.25">
      <c r="B17" s="449" t="s">
        <v>430</v>
      </c>
      <c r="C17" s="102" t="s">
        <v>360</v>
      </c>
      <c r="D17" s="101" t="s">
        <v>353</v>
      </c>
      <c r="E17" s="1196"/>
      <c r="F17" s="102" t="s">
        <v>14</v>
      </c>
      <c r="G17" s="103" t="s">
        <v>354</v>
      </c>
      <c r="H17" s="1193"/>
      <c r="I17" s="103" t="s">
        <v>15</v>
      </c>
      <c r="J17" s="104" t="s">
        <v>355</v>
      </c>
      <c r="K17" s="1196"/>
      <c r="L17" s="110" t="s">
        <v>89</v>
      </c>
      <c r="M17" s="450" t="s">
        <v>356</v>
      </c>
      <c r="Q17" s="7"/>
      <c r="AC17" s="6"/>
    </row>
    <row r="18" spans="2:29" ht="123.75" customHeight="1" x14ac:dyDescent="0.2">
      <c r="B18" s="1138" t="s">
        <v>61</v>
      </c>
      <c r="C18" s="1159" t="s">
        <v>638</v>
      </c>
      <c r="D18" s="1182" t="s">
        <v>700</v>
      </c>
      <c r="E18" s="1196"/>
      <c r="F18" s="1182" t="s">
        <v>1003</v>
      </c>
      <c r="G18" s="1161" t="s">
        <v>471</v>
      </c>
      <c r="H18" s="1193"/>
      <c r="I18" s="1159" t="s">
        <v>290</v>
      </c>
      <c r="J18" s="1180" t="s">
        <v>291</v>
      </c>
      <c r="K18" s="1196"/>
      <c r="L18" s="1159" t="s">
        <v>292</v>
      </c>
      <c r="M18" s="1185" t="s">
        <v>293</v>
      </c>
      <c r="AC18" s="6"/>
    </row>
    <row r="19" spans="2:29" ht="30.75" customHeight="1" thickBot="1" x14ac:dyDescent="0.25">
      <c r="B19" s="1139"/>
      <c r="C19" s="1160"/>
      <c r="D19" s="1183"/>
      <c r="E19" s="1196"/>
      <c r="F19" s="1183"/>
      <c r="G19" s="1162"/>
      <c r="H19" s="1193"/>
      <c r="I19" s="1160"/>
      <c r="J19" s="1181"/>
      <c r="K19" s="1196"/>
      <c r="L19" s="1160"/>
      <c r="M19" s="1186"/>
      <c r="AC19" s="6"/>
    </row>
    <row r="20" spans="2:29" s="17" customFormat="1" ht="20.25" customHeight="1" thickBot="1" x14ac:dyDescent="0.3">
      <c r="B20" s="451" t="str">
        <f>IF(Berechnung2!$B$31&gt;5,IF(Berechnung2!$B$31=6,"EZ",IF(Berechnung2!$B$31&gt;6,"relevant","?")),"nicht relevant")</f>
        <v>nicht relevant</v>
      </c>
      <c r="C20" s="432">
        <v>2015</v>
      </c>
      <c r="D20" s="411"/>
      <c r="E20" s="1196"/>
      <c r="F20" s="413"/>
      <c r="G20" s="414" t="str">
        <f>IF(OR(D20="",D20=0),"",IF(AND(D20&gt;0,F20&gt;0,F20&lt;&gt;"",F20&lt;=D20),F20/D20,0))</f>
        <v/>
      </c>
      <c r="H20" s="1193"/>
      <c r="I20" s="413"/>
      <c r="J20" s="414" t="str">
        <f>IF(F20="","",IF(I20="","",IF(AND(I20&gt;0,I20&lt;=F20),I20/F20,0)))</f>
        <v/>
      </c>
      <c r="K20" s="1196"/>
      <c r="L20" s="413"/>
      <c r="M20" s="452" t="str">
        <f>IF(F20="","",IF(L20="","",IF(AND(L20&gt;0,L20&lt;=F20),L20/F20,0)))</f>
        <v/>
      </c>
      <c r="O20" s="61"/>
    </row>
    <row r="21" spans="2:29" s="17" customFormat="1" ht="20.25" customHeight="1" thickBot="1" x14ac:dyDescent="0.3">
      <c r="B21" s="451" t="str">
        <f>IF(Berechnung2!$B$31&gt;4,IF(Berechnung2!$B$31=5,"EZ",IF(Berechnung2!$B$31&gt;5,"relevant","?")),"nicht relevant")</f>
        <v>nicht relevant</v>
      </c>
      <c r="C21" s="432">
        <v>2016</v>
      </c>
      <c r="D21" s="412"/>
      <c r="E21" s="1196"/>
      <c r="F21" s="413"/>
      <c r="G21" s="415" t="str">
        <f>IF(OR(D21="",D21=0),"",IF(AND(D21&gt;0,F21&gt;0,F21&lt;&gt;"",F21&lt;=D21),F21/D21,0))</f>
        <v/>
      </c>
      <c r="H21" s="1193"/>
      <c r="I21" s="413"/>
      <c r="J21" s="415" t="str">
        <f>IF(F21="","",IF(I21="","",IF(AND(I21&gt;0,I21&lt;=F21),I21/F21,0)))</f>
        <v/>
      </c>
      <c r="K21" s="1196"/>
      <c r="L21" s="413"/>
      <c r="M21" s="452" t="str">
        <f>IF(F21="","",IF(L21="","",IF(AND(L21&gt;0,L21&lt;=F21),L21/F21,0)))</f>
        <v/>
      </c>
    </row>
    <row r="22" spans="2:29" s="17" customFormat="1" ht="20.25" customHeight="1" thickBot="1" x14ac:dyDescent="0.3">
      <c r="B22" s="451" t="str">
        <f>IF(Berechnung2!$B$31&gt;3,IF(Berechnung2!$B$31=4,"EZ",IF(Berechnung2!$B$31&gt;4,"relevant","?")),"nicht relevant")</f>
        <v>nicht relevant</v>
      </c>
      <c r="C22" s="432">
        <v>2017</v>
      </c>
      <c r="D22" s="412"/>
      <c r="E22" s="1196"/>
      <c r="F22" s="413"/>
      <c r="G22" s="415" t="str">
        <f>IF(OR(D22="",D22=0),"",IF(AND(D22&gt;0,F22&gt;0,F22&lt;&gt;"",F22&lt;=D22),F22/D22,0))</f>
        <v/>
      </c>
      <c r="H22" s="1193"/>
      <c r="I22" s="413"/>
      <c r="J22" s="415" t="str">
        <f>IF(F22="","",IF(I22="","",IF(AND(I22&gt;0,I22&lt;=F22),I22/F22,0)))</f>
        <v/>
      </c>
      <c r="K22" s="1196"/>
      <c r="L22" s="413"/>
      <c r="M22" s="452" t="str">
        <f>IF(F22="","",IF(L22="","",IF(AND(L22&gt;0,L22&lt;=F22),L22/F22,0)))</f>
        <v/>
      </c>
    </row>
    <row r="23" spans="2:29" s="17" customFormat="1" ht="20.25" customHeight="1" thickBot="1" x14ac:dyDescent="0.25">
      <c r="B23" s="453" t="str">
        <f>IF(Berechnung2!$B$31&gt;2,IF(Berechnung2!$B$31=3,"EZ",IF(Berechnung2!$B$31&gt;3,"relevant","?")),"nicht relevant")</f>
        <v>nicht relevant</v>
      </c>
      <c r="C23" s="443">
        <v>2018</v>
      </c>
      <c r="D23" s="487"/>
      <c r="E23" s="1196"/>
      <c r="F23" s="444"/>
      <c r="G23" s="445" t="str">
        <f>IF(OR(D23="",D23=0),"",IF(AND(D23&gt;0,F23&gt;0,F23&lt;&gt;"",F23&lt;=D23),F23/D23,0))</f>
        <v/>
      </c>
      <c r="H23" s="1193"/>
      <c r="I23" s="444"/>
      <c r="J23" s="445" t="str">
        <f>IF(F23="","",IF(I23="","",IF(AND(I23&gt;0,I23&lt;=F23),I23/F23,0)))</f>
        <v/>
      </c>
      <c r="K23" s="1196"/>
      <c r="L23" s="444"/>
      <c r="M23" s="454" t="str">
        <f>IF(F23="","",IF(L23="","",IF(AND(L23&gt;0,L23&lt;=F23),L23/F23,0)))</f>
        <v/>
      </c>
      <c r="O23" s="10"/>
      <c r="P23" s="10"/>
      <c r="Q23" s="10"/>
      <c r="R23" s="10"/>
      <c r="S23" s="10"/>
      <c r="T23" s="10"/>
      <c r="U23" s="10"/>
    </row>
    <row r="24" spans="2:29" s="17" customFormat="1" ht="20.25" customHeight="1" thickBot="1" x14ac:dyDescent="0.25">
      <c r="B24" s="455" t="str">
        <f>IF(Berechnung2!$B$31&gt;1,IF(Berechnung2!$B$31=2,"EZ",IF(Berechnung2!$B$31&gt;2,"relevant","?")),"nicht relevant")</f>
        <v>nicht relevant</v>
      </c>
      <c r="C24" s="456">
        <v>2019</v>
      </c>
      <c r="D24" s="457"/>
      <c r="E24" s="1197"/>
      <c r="F24" s="458"/>
      <c r="G24" s="459" t="str">
        <f>IF(OR(D24="",D24=0),"",IF(AND(D24&gt;0,F24&gt;0,F24&lt;&gt;"",F24&lt;=D24),F24/D24,0))</f>
        <v/>
      </c>
      <c r="H24" s="1194"/>
      <c r="I24" s="458"/>
      <c r="J24" s="459" t="str">
        <f>IF(F24="","",IF(I24="","",IF(AND(I24&gt;0,I24&lt;=F24),I24/F24,0)))</f>
        <v/>
      </c>
      <c r="K24" s="1197"/>
      <c r="L24" s="458"/>
      <c r="M24" s="460" t="str">
        <f>IF(F24="","",IF(L24="","",IF(AND(L24&gt;0,L24&lt;=F24),L24/F24,0)))</f>
        <v/>
      </c>
      <c r="O24" s="10"/>
      <c r="P24" s="10"/>
      <c r="Q24" s="10"/>
      <c r="R24" s="10"/>
      <c r="S24" s="10"/>
      <c r="T24" s="10"/>
      <c r="U24" s="10"/>
    </row>
    <row r="25" spans="2:29" s="10" customFormat="1" ht="5.25" customHeight="1" thickTop="1" thickBot="1" x14ac:dyDescent="0.25">
      <c r="D25" s="63"/>
      <c r="AC25" s="19"/>
    </row>
    <row r="26" spans="2:29" s="10" customFormat="1" ht="18.75" customHeight="1" thickBot="1" x14ac:dyDescent="0.25">
      <c r="C26" s="533" t="s">
        <v>1010</v>
      </c>
      <c r="D26" s="249"/>
      <c r="E26" s="249"/>
      <c r="F26" s="250"/>
      <c r="G26" s="359" t="str">
        <f>IF(B24="EZ","-----",IF(B24= "nicht relevant","-----",IF(COUNTBLANK(G22:G24)=3,"",SUMIF(B22:B24,"relevant",G22:G24)/COUNTIF(B22:B24,"relevant"))))</f>
        <v>-----</v>
      </c>
      <c r="K26" s="55"/>
      <c r="AC26" s="19"/>
    </row>
    <row r="27" spans="2:29" s="10" customFormat="1" ht="5.25" customHeight="1" x14ac:dyDescent="0.2">
      <c r="B27" s="167"/>
      <c r="F27" s="75"/>
      <c r="G27" s="75"/>
      <c r="K27" s="55"/>
      <c r="AC27" s="19"/>
    </row>
    <row r="28" spans="2:29" s="10" customFormat="1" ht="34.5" customHeight="1" x14ac:dyDescent="0.2">
      <c r="B28" s="1218" t="s">
        <v>1085</v>
      </c>
      <c r="C28" s="1218"/>
      <c r="D28" s="1218"/>
      <c r="E28" s="1218"/>
      <c r="F28" s="1218"/>
      <c r="G28" s="1218"/>
      <c r="H28" s="1218"/>
      <c r="I28" s="1218"/>
      <c r="J28" s="1218"/>
      <c r="K28" s="1218"/>
      <c r="L28" s="1218"/>
      <c r="M28" s="1218"/>
      <c r="AC28" s="19"/>
    </row>
    <row r="29" spans="2:29" s="10" customFormat="1" ht="171" customHeight="1" x14ac:dyDescent="0.2">
      <c r="B29" s="1172" t="s">
        <v>1004</v>
      </c>
      <c r="C29" s="1173"/>
      <c r="D29" s="1173"/>
      <c r="E29" s="1173"/>
      <c r="F29" s="1173"/>
      <c r="G29" s="1173"/>
      <c r="H29" s="1173"/>
      <c r="I29" s="1173"/>
      <c r="J29" s="1173"/>
      <c r="K29" s="1173"/>
      <c r="L29" s="1173"/>
      <c r="M29" s="1173"/>
      <c r="N29" s="1173"/>
      <c r="O29" s="1173"/>
      <c r="P29" s="1173"/>
      <c r="Q29" s="1173"/>
      <c r="R29" s="1173"/>
      <c r="S29" s="1173"/>
      <c r="T29" s="1173"/>
      <c r="U29" s="1173"/>
      <c r="AC29" s="19"/>
    </row>
    <row r="30" spans="2:29" s="10" customFormat="1" ht="7.5" customHeight="1" x14ac:dyDescent="0.2">
      <c r="B30" s="71"/>
      <c r="C30" s="71"/>
      <c r="D30" s="71"/>
      <c r="E30" s="71"/>
      <c r="F30" s="71"/>
      <c r="G30" s="71"/>
      <c r="H30" s="71"/>
      <c r="I30" s="71"/>
      <c r="J30" s="71"/>
      <c r="K30" s="71"/>
      <c r="L30" s="71"/>
      <c r="M30" s="71"/>
      <c r="N30" s="71"/>
      <c r="O30" s="7"/>
      <c r="P30" s="7"/>
      <c r="Q30" s="7"/>
      <c r="R30" s="7"/>
      <c r="S30" s="7"/>
      <c r="T30" s="7"/>
      <c r="U30" s="7"/>
      <c r="V30" s="73"/>
      <c r="W30" s="73"/>
      <c r="X30" s="73"/>
      <c r="Y30" s="73"/>
      <c r="Z30" s="73"/>
      <c r="AA30" s="73"/>
      <c r="AB30" s="73"/>
      <c r="AC30" s="74"/>
    </row>
    <row r="31" spans="2:29" s="7" customFormat="1" ht="12" x14ac:dyDescent="0.2">
      <c r="B31" s="227" t="s">
        <v>357</v>
      </c>
      <c r="J31" s="72"/>
    </row>
    <row r="32" spans="2:29" s="7" customFormat="1" ht="2.25" customHeight="1" x14ac:dyDescent="0.2">
      <c r="B32" s="192"/>
      <c r="J32" s="72"/>
    </row>
    <row r="33" spans="2:29" ht="15" customHeight="1" x14ac:dyDescent="0.2">
      <c r="B33" s="228" t="s">
        <v>442</v>
      </c>
      <c r="C33" s="1152" t="s">
        <v>137</v>
      </c>
      <c r="D33" s="1153"/>
      <c r="E33" s="1154"/>
      <c r="F33" s="1155" t="s">
        <v>64</v>
      </c>
      <c r="G33" s="1156"/>
      <c r="H33" s="1157"/>
      <c r="I33" s="1215" t="s">
        <v>138</v>
      </c>
      <c r="J33" s="1216"/>
      <c r="K33" s="1216"/>
      <c r="L33" s="1216"/>
      <c r="M33" s="1216"/>
      <c r="N33" s="1216"/>
      <c r="O33" s="1216"/>
      <c r="P33" s="1216"/>
      <c r="Q33" s="1216"/>
      <c r="R33" s="1216"/>
      <c r="S33" s="1216"/>
      <c r="T33" s="1216"/>
      <c r="U33" s="1217"/>
      <c r="AC33" s="6"/>
    </row>
    <row r="34" spans="2:29" s="190" customFormat="1" ht="15" customHeight="1" x14ac:dyDescent="0.25">
      <c r="B34" s="188" t="s">
        <v>117</v>
      </c>
      <c r="C34" s="1146" t="s">
        <v>367</v>
      </c>
      <c r="D34" s="1147"/>
      <c r="E34" s="1148"/>
      <c r="F34" s="1201"/>
      <c r="G34" s="1202"/>
      <c r="H34" s="1203"/>
      <c r="I34" s="1206" t="s">
        <v>164</v>
      </c>
      <c r="J34" s="1206"/>
      <c r="K34" s="1206"/>
      <c r="L34" s="1206"/>
      <c r="M34" s="1206"/>
      <c r="N34" s="1206"/>
      <c r="O34" s="1206"/>
      <c r="P34" s="1206"/>
      <c r="Q34" s="1206"/>
      <c r="R34" s="1206"/>
      <c r="S34" s="1206"/>
      <c r="T34" s="1206"/>
      <c r="U34" s="1206"/>
    </row>
    <row r="35" spans="2:29" s="190" customFormat="1" ht="15" customHeight="1" x14ac:dyDescent="0.25">
      <c r="B35" s="188" t="s">
        <v>117</v>
      </c>
      <c r="C35" s="1146" t="s">
        <v>139</v>
      </c>
      <c r="D35" s="1147"/>
      <c r="E35" s="1148"/>
      <c r="F35" s="1198"/>
      <c r="G35" s="1199"/>
      <c r="H35" s="1200"/>
      <c r="I35" s="1204" t="s">
        <v>470</v>
      </c>
      <c r="J35" s="1205"/>
      <c r="K35" s="1205"/>
      <c r="L35" s="1205"/>
      <c r="M35" s="1205"/>
      <c r="N35" s="1205"/>
      <c r="O35" s="1205"/>
      <c r="P35" s="1205"/>
      <c r="Q35" s="1205"/>
      <c r="R35" s="1205"/>
      <c r="S35" s="1205"/>
      <c r="T35" s="1205"/>
      <c r="U35" s="1205"/>
    </row>
    <row r="36" spans="2:29" s="190" customFormat="1" ht="15" customHeight="1" x14ac:dyDescent="0.25">
      <c r="B36" s="189" t="s">
        <v>430</v>
      </c>
      <c r="C36" s="1146" t="s">
        <v>368</v>
      </c>
      <c r="D36" s="1147"/>
      <c r="E36" s="1148"/>
      <c r="F36" s="1143" t="s">
        <v>550</v>
      </c>
      <c r="G36" s="1144"/>
      <c r="H36" s="1145"/>
      <c r="I36" s="1206" t="s">
        <v>448</v>
      </c>
      <c r="J36" s="1205"/>
      <c r="K36" s="1205"/>
      <c r="L36" s="1205"/>
      <c r="M36" s="1205"/>
      <c r="N36" s="1205"/>
      <c r="O36" s="1205"/>
      <c r="P36" s="1205"/>
      <c r="Q36" s="1205"/>
      <c r="R36" s="1205"/>
      <c r="S36" s="1205"/>
      <c r="T36" s="1205"/>
      <c r="U36" s="1205"/>
    </row>
    <row r="37" spans="2:29" s="190" customFormat="1" ht="15" customHeight="1" x14ac:dyDescent="0.25">
      <c r="B37" s="189" t="s">
        <v>14</v>
      </c>
      <c r="C37" s="1146" t="s">
        <v>436</v>
      </c>
      <c r="D37" s="1147"/>
      <c r="E37" s="1148"/>
      <c r="F37" s="1143" t="s">
        <v>102</v>
      </c>
      <c r="G37" s="1144"/>
      <c r="H37" s="1145"/>
      <c r="I37" s="1207" t="s">
        <v>1005</v>
      </c>
      <c r="J37" s="1205"/>
      <c r="K37" s="1205"/>
      <c r="L37" s="1205"/>
      <c r="M37" s="1205"/>
      <c r="N37" s="1205"/>
      <c r="O37" s="1205"/>
      <c r="P37" s="1205"/>
      <c r="Q37" s="1205"/>
      <c r="R37" s="1205"/>
      <c r="S37" s="1205"/>
      <c r="T37" s="1205"/>
      <c r="U37" s="1205"/>
    </row>
    <row r="38" spans="2:29" s="190" customFormat="1" ht="15" customHeight="1" x14ac:dyDescent="0.25">
      <c r="B38" s="189" t="s">
        <v>15</v>
      </c>
      <c r="C38" s="1146" t="s">
        <v>437</v>
      </c>
      <c r="D38" s="1147"/>
      <c r="E38" s="1148"/>
      <c r="F38" s="1143" t="s">
        <v>102</v>
      </c>
      <c r="G38" s="1144"/>
      <c r="H38" s="1145"/>
      <c r="I38" s="1207" t="s">
        <v>1006</v>
      </c>
      <c r="J38" s="1205"/>
      <c r="K38" s="1205"/>
      <c r="L38" s="1205"/>
      <c r="M38" s="1205"/>
      <c r="N38" s="1205"/>
      <c r="O38" s="1205"/>
      <c r="P38" s="1205"/>
      <c r="Q38" s="1205"/>
      <c r="R38" s="1205"/>
      <c r="S38" s="1205"/>
      <c r="T38" s="1205"/>
      <c r="U38" s="1205"/>
    </row>
    <row r="39" spans="2:29" s="190" customFormat="1" ht="15" customHeight="1" x14ac:dyDescent="0.25">
      <c r="B39" s="189" t="s">
        <v>89</v>
      </c>
      <c r="C39" s="1146" t="s">
        <v>437</v>
      </c>
      <c r="D39" s="1147"/>
      <c r="E39" s="1148"/>
      <c r="F39" s="1143" t="s">
        <v>102</v>
      </c>
      <c r="G39" s="1144"/>
      <c r="H39" s="1145"/>
      <c r="I39" s="1207" t="s">
        <v>1007</v>
      </c>
      <c r="J39" s="1205"/>
      <c r="K39" s="1205"/>
      <c r="L39" s="1205"/>
      <c r="M39" s="1205"/>
      <c r="N39" s="1205"/>
      <c r="O39" s="1205"/>
      <c r="P39" s="1205"/>
      <c r="Q39" s="1205"/>
      <c r="R39" s="1205"/>
      <c r="S39" s="1205"/>
      <c r="T39" s="1205"/>
      <c r="U39" s="1205"/>
    </row>
    <row r="40" spans="2:29" s="190" customFormat="1" ht="15" customHeight="1" x14ac:dyDescent="0.25">
      <c r="B40" s="189" t="s">
        <v>709</v>
      </c>
      <c r="C40" s="1146" t="s">
        <v>714</v>
      </c>
      <c r="D40" s="1147"/>
      <c r="E40" s="1148"/>
      <c r="F40" s="1169" t="s">
        <v>13</v>
      </c>
      <c r="G40" s="1170"/>
      <c r="H40" s="1171"/>
      <c r="I40" s="1208" t="s">
        <v>1011</v>
      </c>
      <c r="J40" s="1209"/>
      <c r="K40" s="1209"/>
      <c r="L40" s="1209"/>
      <c r="M40" s="1209"/>
      <c r="N40" s="1209"/>
      <c r="O40" s="1209"/>
      <c r="P40" s="1209"/>
      <c r="Q40" s="1209"/>
      <c r="R40" s="1209"/>
      <c r="S40" s="1209"/>
      <c r="T40" s="1209"/>
      <c r="U40" s="1209"/>
    </row>
    <row r="41" spans="2:29" s="190" customFormat="1" ht="15" customHeight="1" x14ac:dyDescent="0.25">
      <c r="B41" s="189" t="s">
        <v>710</v>
      </c>
      <c r="C41" s="1146" t="s">
        <v>477</v>
      </c>
      <c r="D41" s="1147"/>
      <c r="E41" s="1148"/>
      <c r="F41" s="1135" t="s">
        <v>83</v>
      </c>
      <c r="G41" s="1136"/>
      <c r="H41" s="1137"/>
      <c r="I41" s="1206" t="s">
        <v>449</v>
      </c>
      <c r="J41" s="1205"/>
      <c r="K41" s="1205"/>
      <c r="L41" s="1205"/>
      <c r="M41" s="1205"/>
      <c r="N41" s="1205"/>
      <c r="O41" s="1205"/>
      <c r="P41" s="1205"/>
      <c r="Q41" s="1205"/>
      <c r="R41" s="1205"/>
      <c r="S41" s="1205"/>
      <c r="T41" s="1205"/>
      <c r="U41" s="1205"/>
    </row>
    <row r="42" spans="2:29" s="190" customFormat="1" ht="15" customHeight="1" x14ac:dyDescent="0.25">
      <c r="B42" s="189" t="s">
        <v>709</v>
      </c>
      <c r="C42" s="1146" t="s">
        <v>715</v>
      </c>
      <c r="D42" s="1147"/>
      <c r="E42" s="1148"/>
      <c r="F42" s="1135" t="s">
        <v>83</v>
      </c>
      <c r="G42" s="1136"/>
      <c r="H42" s="1137"/>
      <c r="I42" s="1208" t="s">
        <v>924</v>
      </c>
      <c r="J42" s="1209"/>
      <c r="K42" s="1209"/>
      <c r="L42" s="1210"/>
      <c r="M42" s="1210"/>
      <c r="N42" s="1210"/>
      <c r="O42" s="1210"/>
      <c r="P42" s="1210"/>
      <c r="Q42" s="1210"/>
      <c r="R42" s="1210"/>
      <c r="S42" s="1210"/>
      <c r="T42" s="1210"/>
      <c r="U42" s="1210"/>
    </row>
    <row r="43" spans="2:29" s="190" customFormat="1" ht="15" customHeight="1" x14ac:dyDescent="0.25">
      <c r="B43" s="188" t="s">
        <v>711</v>
      </c>
      <c r="C43" s="1132" t="s">
        <v>452</v>
      </c>
      <c r="D43" s="1133"/>
      <c r="E43" s="1134"/>
      <c r="F43" s="1135" t="s">
        <v>83</v>
      </c>
      <c r="G43" s="1136"/>
      <c r="H43" s="1137"/>
      <c r="I43" s="1212" t="s">
        <v>296</v>
      </c>
      <c r="J43" s="1213"/>
      <c r="K43" s="1213"/>
      <c r="L43" s="1213" t="str">
        <f>CONCATENATE("Jahre ",C20,"-",C21)</f>
        <v>Jahre 2015-2016</v>
      </c>
      <c r="M43" s="1213"/>
      <c r="N43" s="1213"/>
      <c r="O43" s="1213"/>
      <c r="P43" s="1213"/>
      <c r="Q43" s="1213"/>
      <c r="R43" s="1213"/>
      <c r="S43" s="1213"/>
      <c r="T43" s="1213"/>
      <c r="U43" s="1214"/>
      <c r="V43" s="190" t="s">
        <v>78</v>
      </c>
    </row>
    <row r="44" spans="2:29" s="190" customFormat="1" ht="15" customHeight="1" x14ac:dyDescent="0.25">
      <c r="B44" s="188" t="s">
        <v>453</v>
      </c>
      <c r="C44" s="1132" t="s">
        <v>455</v>
      </c>
      <c r="D44" s="1133"/>
      <c r="E44" s="1134"/>
      <c r="F44" s="1135" t="s">
        <v>83</v>
      </c>
      <c r="G44" s="1136"/>
      <c r="H44" s="1137"/>
      <c r="I44" s="1212" t="s">
        <v>296</v>
      </c>
      <c r="J44" s="1213"/>
      <c r="K44" s="1213"/>
      <c r="L44" s="1213" t="str">
        <f>CONCATENATE("Jahr ",C22)</f>
        <v>Jahr 2017</v>
      </c>
      <c r="M44" s="1213"/>
      <c r="N44" s="1213"/>
      <c r="O44" s="1213"/>
      <c r="P44" s="1213"/>
      <c r="Q44" s="1213"/>
      <c r="R44" s="1213"/>
      <c r="S44" s="1213"/>
      <c r="T44" s="1213"/>
      <c r="U44" s="1214"/>
    </row>
    <row r="45" spans="2:29" s="190" customFormat="1" ht="15" customHeight="1" x14ac:dyDescent="0.25">
      <c r="B45" s="188" t="s">
        <v>454</v>
      </c>
      <c r="C45" s="1132" t="s">
        <v>456</v>
      </c>
      <c r="D45" s="1133"/>
      <c r="E45" s="1134"/>
      <c r="F45" s="1135" t="s">
        <v>83</v>
      </c>
      <c r="G45" s="1136"/>
      <c r="H45" s="1137"/>
      <c r="I45" s="1212" t="s">
        <v>296</v>
      </c>
      <c r="J45" s="1213"/>
      <c r="K45" s="1213"/>
      <c r="L45" s="1213" t="str">
        <f>CONCATENATE("Jahr ",C23)</f>
        <v>Jahr 2018</v>
      </c>
      <c r="M45" s="1213"/>
      <c r="N45" s="1213"/>
      <c r="O45" s="1213"/>
      <c r="P45" s="1213"/>
      <c r="Q45" s="1213"/>
      <c r="R45" s="1213"/>
      <c r="S45" s="1213"/>
      <c r="T45" s="1213"/>
      <c r="U45" s="1214"/>
    </row>
    <row r="46" spans="2:29" s="190" customFormat="1" ht="15" customHeight="1" x14ac:dyDescent="0.25">
      <c r="B46" s="188" t="s">
        <v>712</v>
      </c>
      <c r="C46" s="1132" t="s">
        <v>457</v>
      </c>
      <c r="D46" s="1133"/>
      <c r="E46" s="1134"/>
      <c r="F46" s="1135" t="s">
        <v>83</v>
      </c>
      <c r="G46" s="1136"/>
      <c r="H46" s="1137"/>
      <c r="I46" s="1212" t="s">
        <v>296</v>
      </c>
      <c r="J46" s="1213"/>
      <c r="K46" s="1213"/>
      <c r="L46" s="1213" t="str">
        <f>CONCATENATE("Jahr ",C24)</f>
        <v>Jahr 2019</v>
      </c>
      <c r="M46" s="1213"/>
      <c r="N46" s="1213"/>
      <c r="O46" s="1213"/>
      <c r="P46" s="1213"/>
      <c r="Q46" s="1213"/>
      <c r="R46" s="1213"/>
      <c r="S46" s="1213"/>
      <c r="T46" s="1213"/>
      <c r="U46" s="1214"/>
    </row>
    <row r="47" spans="2:29" s="190" customFormat="1" ht="15" customHeight="1" x14ac:dyDescent="0.25">
      <c r="B47" s="189" t="s">
        <v>464</v>
      </c>
      <c r="C47" s="1132" t="s">
        <v>460</v>
      </c>
      <c r="D47" s="1133"/>
      <c r="E47" s="1134"/>
      <c r="F47" s="1135" t="s">
        <v>83</v>
      </c>
      <c r="G47" s="1136"/>
      <c r="H47" s="1137"/>
      <c r="I47" s="1212" t="s">
        <v>467</v>
      </c>
      <c r="J47" s="1213"/>
      <c r="K47" s="1213"/>
      <c r="L47" s="1213" t="str">
        <f>CONCATENATE("Jahr ",C20)</f>
        <v>Jahr 2015</v>
      </c>
      <c r="M47" s="1213"/>
      <c r="N47" s="1213"/>
      <c r="O47" s="1213"/>
      <c r="P47" s="1213"/>
      <c r="Q47" s="1213"/>
      <c r="R47" s="1213"/>
      <c r="S47" s="1213"/>
      <c r="T47" s="1213"/>
      <c r="U47" s="1214"/>
    </row>
    <row r="48" spans="2:29" s="190" customFormat="1" ht="15" customHeight="1" x14ac:dyDescent="0.25">
      <c r="B48" s="189" t="s">
        <v>465</v>
      </c>
      <c r="C48" s="1132" t="s">
        <v>461</v>
      </c>
      <c r="D48" s="1133"/>
      <c r="E48" s="1134"/>
      <c r="F48" s="1135" t="s">
        <v>83</v>
      </c>
      <c r="G48" s="1136"/>
      <c r="H48" s="1137"/>
      <c r="I48" s="1212" t="s">
        <v>467</v>
      </c>
      <c r="J48" s="1213"/>
      <c r="K48" s="1213"/>
      <c r="L48" s="1213" t="str">
        <f>CONCATENATE("Jahr ",C21)</f>
        <v>Jahr 2016</v>
      </c>
      <c r="M48" s="1213"/>
      <c r="N48" s="1213"/>
      <c r="O48" s="1213"/>
      <c r="P48" s="1213"/>
      <c r="Q48" s="1213"/>
      <c r="R48" s="1213"/>
      <c r="S48" s="1213"/>
      <c r="T48" s="1213"/>
      <c r="U48" s="1214"/>
    </row>
    <row r="49" spans="2:29" s="190" customFormat="1" ht="15" customHeight="1" x14ac:dyDescent="0.25">
      <c r="B49" s="189" t="s">
        <v>466</v>
      </c>
      <c r="C49" s="1132" t="s">
        <v>462</v>
      </c>
      <c r="D49" s="1133"/>
      <c r="E49" s="1134"/>
      <c r="F49" s="1135" t="s">
        <v>83</v>
      </c>
      <c r="G49" s="1136"/>
      <c r="H49" s="1137"/>
      <c r="I49" s="1212" t="s">
        <v>467</v>
      </c>
      <c r="J49" s="1213"/>
      <c r="K49" s="1213"/>
      <c r="L49" s="1213" t="str">
        <f>CONCATENATE("Jahr ",C22)</f>
        <v>Jahr 2017</v>
      </c>
      <c r="M49" s="1213"/>
      <c r="N49" s="1213"/>
      <c r="O49" s="1213"/>
      <c r="P49" s="1213"/>
      <c r="Q49" s="1213"/>
      <c r="R49" s="1213"/>
      <c r="S49" s="1213"/>
      <c r="T49" s="1213"/>
      <c r="U49" s="1214"/>
    </row>
    <row r="50" spans="2:29" s="190" customFormat="1" ht="15" customHeight="1" x14ac:dyDescent="0.25">
      <c r="B50" s="189" t="s">
        <v>458</v>
      </c>
      <c r="C50" s="1132" t="s">
        <v>463</v>
      </c>
      <c r="D50" s="1133"/>
      <c r="E50" s="1134"/>
      <c r="F50" s="1135" t="s">
        <v>83</v>
      </c>
      <c r="G50" s="1136"/>
      <c r="H50" s="1137"/>
      <c r="I50" s="1212" t="s">
        <v>467</v>
      </c>
      <c r="J50" s="1213"/>
      <c r="K50" s="1213"/>
      <c r="L50" s="1213" t="str">
        <f>CONCATENATE("Jahr ",C23)</f>
        <v>Jahr 2018</v>
      </c>
      <c r="M50" s="1213"/>
      <c r="N50" s="1213"/>
      <c r="O50" s="1213"/>
      <c r="P50" s="1213"/>
      <c r="Q50" s="1213"/>
      <c r="R50" s="1213"/>
      <c r="S50" s="1213"/>
      <c r="T50" s="1213"/>
      <c r="U50" s="1214"/>
    </row>
    <row r="51" spans="2:29" s="190" customFormat="1" ht="15" customHeight="1" x14ac:dyDescent="0.25">
      <c r="B51" s="189" t="s">
        <v>713</v>
      </c>
      <c r="C51" s="1132" t="s">
        <v>459</v>
      </c>
      <c r="D51" s="1133"/>
      <c r="E51" s="1134"/>
      <c r="F51" s="1135" t="s">
        <v>83</v>
      </c>
      <c r="G51" s="1136"/>
      <c r="H51" s="1137"/>
      <c r="I51" s="1212" t="s">
        <v>637</v>
      </c>
      <c r="J51" s="1213"/>
      <c r="K51" s="1213"/>
      <c r="L51" s="1219" t="str">
        <f>CONCATENATE("Jahr ",C24)</f>
        <v>Jahr 2019</v>
      </c>
      <c r="M51" s="1219"/>
      <c r="N51" s="1219"/>
      <c r="O51" s="1219"/>
      <c r="P51" s="1219"/>
      <c r="Q51" s="1219"/>
      <c r="R51" s="1219"/>
      <c r="S51" s="1219"/>
      <c r="T51" s="1219"/>
      <c r="U51" s="1220"/>
    </row>
    <row r="54" spans="2:29" x14ac:dyDescent="0.2">
      <c r="N54" s="6" t="s">
        <v>298</v>
      </c>
    </row>
    <row r="55" spans="2:29" s="10" customFormat="1" ht="15" x14ac:dyDescent="0.25">
      <c r="B55" s="39"/>
      <c r="AC55" s="19"/>
    </row>
    <row r="64" spans="2:29" x14ac:dyDescent="0.2">
      <c r="B64" s="96"/>
      <c r="D64" s="96"/>
      <c r="E64" s="96"/>
      <c r="F64" s="96"/>
      <c r="G64" s="96"/>
      <c r="H64" s="96"/>
      <c r="I64" s="96"/>
      <c r="J64" s="96"/>
      <c r="K64" s="96"/>
      <c r="L64" s="96"/>
      <c r="M64" s="96"/>
      <c r="N64" s="96"/>
      <c r="O64" s="96"/>
      <c r="P64" s="96"/>
      <c r="Q64" s="96"/>
      <c r="R64" s="96"/>
      <c r="S64" s="96"/>
    </row>
    <row r="65" spans="2:23" hidden="1" x14ac:dyDescent="0.2"/>
    <row r="66" spans="2:23" hidden="1" x14ac:dyDescent="0.2">
      <c r="B66" s="30" t="s">
        <v>352</v>
      </c>
    </row>
    <row r="67" spans="2:23" hidden="1" x14ac:dyDescent="0.2">
      <c r="B67" s="183" t="str">
        <f>Berechnung2!B36</f>
        <v>ART</v>
      </c>
      <c r="C67" s="181">
        <f>Berechnung2!C36</f>
        <v>0</v>
      </c>
      <c r="D67" s="181">
        <f>Berechnung2!D36</f>
        <v>0</v>
      </c>
      <c r="E67" s="181">
        <f>Berechnung2!E36</f>
        <v>0</v>
      </c>
      <c r="F67" s="181" t="str">
        <f>Berechnung2!F36</f>
        <v>Werte</v>
      </c>
      <c r="G67" s="181">
        <f>Berechnung2!G36</f>
        <v>0</v>
      </c>
      <c r="H67" s="181">
        <f>Berechnung2!H36</f>
        <v>0</v>
      </c>
      <c r="I67" s="181">
        <f>Berechnung2!I36</f>
        <v>0</v>
      </c>
      <c r="J67" s="181">
        <f>Berechnung2!J36</f>
        <v>0</v>
      </c>
      <c r="K67" s="181">
        <f>Berechnung2!K36</f>
        <v>0</v>
      </c>
      <c r="L67" s="181" t="str">
        <f>Berechnung2!L36</f>
        <v>Texte Matrix Datenquali</v>
      </c>
      <c r="M67" s="181">
        <f>Berechnung2!M36</f>
        <v>0</v>
      </c>
      <c r="N67" s="181">
        <f>Berechnung2!N36</f>
        <v>0</v>
      </c>
      <c r="O67" s="181">
        <f>Berechnung2!O36</f>
        <v>0</v>
      </c>
      <c r="P67" s="245" t="str">
        <f>Berechnung2!P36</f>
        <v>Fehlermeldungen Matrix</v>
      </c>
      <c r="Q67" s="11"/>
      <c r="R67" s="11"/>
      <c r="S67" s="11"/>
      <c r="T67" s="11"/>
      <c r="U67" s="11"/>
      <c r="V67" s="11"/>
      <c r="W67" s="11"/>
    </row>
    <row r="68" spans="2:23" hidden="1" x14ac:dyDescent="0.2">
      <c r="B68" s="182">
        <f>Berechnung2!B37</f>
        <v>0</v>
      </c>
      <c r="C68" s="181">
        <f>Berechnung2!C37</f>
        <v>0</v>
      </c>
      <c r="D68" s="181">
        <f>Berechnung2!D37</f>
        <v>0</v>
      </c>
      <c r="E68" s="181">
        <f>Berechnung2!E37</f>
        <v>0</v>
      </c>
      <c r="F68" s="181">
        <f>Berechnung2!F37</f>
        <v>0</v>
      </c>
      <c r="G68" s="181">
        <f>Berechnung2!G37</f>
        <v>0</v>
      </c>
      <c r="H68" s="181">
        <f>Berechnung2!H37</f>
        <v>0</v>
      </c>
      <c r="I68" s="181">
        <f>Berechnung2!I37</f>
        <v>0</v>
      </c>
      <c r="J68" s="181">
        <f>Berechnung2!J37</f>
        <v>0</v>
      </c>
      <c r="K68" s="181">
        <f>Berechnung2!K37</f>
        <v>0</v>
      </c>
      <c r="L68" s="181">
        <f>Berechnung2!L37</f>
        <v>0</v>
      </c>
      <c r="M68" s="181">
        <f>Berechnung2!M37</f>
        <v>0</v>
      </c>
      <c r="N68" s="181">
        <f>Berechnung2!N37</f>
        <v>0</v>
      </c>
      <c r="O68" s="181">
        <f>Berechnung2!O37</f>
        <v>0</v>
      </c>
      <c r="P68" s="245" t="str">
        <f>Berechnung2!P37</f>
        <v>Ganze Zahl zwischen 0 und 5000 eingeben.</v>
      </c>
      <c r="Q68" s="218"/>
      <c r="R68" s="11"/>
      <c r="S68" s="11"/>
      <c r="T68" s="11"/>
      <c r="U68" s="11"/>
      <c r="V68" s="11"/>
      <c r="W68" s="11"/>
    </row>
    <row r="69" spans="2:23" hidden="1" x14ac:dyDescent="0.2">
      <c r="B69" s="182">
        <f>Berechnung2!B38</f>
        <v>0</v>
      </c>
      <c r="C69" s="181">
        <f>Berechnung2!C38</f>
        <v>0</v>
      </c>
      <c r="D69" s="181" t="str">
        <f>Berechnung2!D38</f>
        <v>unvollständig</v>
      </c>
      <c r="E69" s="181">
        <f>Berechnung2!E38</f>
        <v>0</v>
      </c>
      <c r="F69" s="181">
        <f>Berechnung2!F38</f>
        <v>0</v>
      </c>
      <c r="G69" s="181">
        <f>Berechnung2!G38</f>
        <v>0</v>
      </c>
      <c r="H69" s="181">
        <f>Berechnung2!H38</f>
        <v>0</v>
      </c>
      <c r="I69" s="181">
        <f>Berechnung2!I38</f>
        <v>0</v>
      </c>
      <c r="J69" s="181">
        <f>Berechnung2!J38</f>
        <v>0</v>
      </c>
      <c r="K69" s="181">
        <f>Berechnung2!K38</f>
        <v>0</v>
      </c>
      <c r="L69" s="181" t="str">
        <f>Berechnung2!L38</f>
        <v>relevante Nachsorgejahre nicht / unvollständig bearbeitet</v>
      </c>
      <c r="M69" s="181">
        <f>Berechnung2!M38</f>
        <v>0</v>
      </c>
      <c r="N69" s="181">
        <f>Berechnung2!N38</f>
        <v>0</v>
      </c>
      <c r="O69" s="181">
        <f>Berechnung2!O38</f>
        <v>0</v>
      </c>
      <c r="P69" s="181">
        <f>Berechnung2!P38</f>
        <v>0</v>
      </c>
      <c r="Q69" s="11"/>
      <c r="R69" s="11"/>
      <c r="S69" s="11"/>
      <c r="T69" s="11"/>
      <c r="U69" s="11"/>
      <c r="V69" s="11"/>
      <c r="W69" s="11"/>
    </row>
    <row r="70" spans="2:23" hidden="1" x14ac:dyDescent="0.2">
      <c r="B70" s="182" t="str">
        <f>Berechnung2!B39</f>
        <v>zu geringe Anzahl der Primärfälle</v>
      </c>
      <c r="C70" s="181">
        <f>Berechnung2!C39</f>
        <v>0</v>
      </c>
      <c r="D70" s="181" t="str">
        <f>Berechnung2!D39</f>
        <v>plausi</v>
      </c>
      <c r="E70" s="181" t="str">
        <f>Berechnung2!E39</f>
        <v>&lt;</v>
      </c>
      <c r="F70" s="181">
        <f>Berechnung2!F39</f>
        <v>0</v>
      </c>
      <c r="G70" s="186">
        <f>Berechnung2!G39</f>
        <v>100</v>
      </c>
      <c r="H70" s="181">
        <f>Berechnung2!H39</f>
        <v>0</v>
      </c>
      <c r="I70" s="181">
        <f>Berechnung2!I39</f>
        <v>0</v>
      </c>
      <c r="J70" s="181">
        <f>Berechnung2!J39</f>
        <v>0</v>
      </c>
      <c r="K70" s="181">
        <f>Berechnung2!K39</f>
        <v>0</v>
      </c>
      <c r="L70" s="181" t="str">
        <f>Berechnung2!L39</f>
        <v>zu wenig Primärfälle angegeben</v>
      </c>
      <c r="M70" s="181">
        <f>Berechnung2!M39</f>
        <v>0</v>
      </c>
      <c r="N70" s="181">
        <f>Berechnung2!N39</f>
        <v>0</v>
      </c>
      <c r="O70" s="181">
        <f>Berechnung2!O39</f>
        <v>0</v>
      </c>
      <c r="P70" s="181">
        <f>Berechnung2!P39</f>
        <v>0</v>
      </c>
      <c r="Q70" s="11"/>
      <c r="R70" s="11"/>
      <c r="S70" s="11"/>
      <c r="T70" s="11"/>
      <c r="U70" s="11"/>
      <c r="V70" s="11"/>
      <c r="W70" s="11"/>
    </row>
    <row r="71" spans="2:23" hidden="1" x14ac:dyDescent="0.2">
      <c r="B71" s="182" t="str">
        <f>Berechnung2!B40</f>
        <v>geringe Follow-Up-Quote</v>
      </c>
      <c r="C71" s="181">
        <f>Berechnung2!C40</f>
        <v>0</v>
      </c>
      <c r="D71" s="181" t="str">
        <f>Berechnung2!D40</f>
        <v>plausi</v>
      </c>
      <c r="E71" s="181" t="str">
        <f>Berechnung2!E40</f>
        <v>&lt;</v>
      </c>
      <c r="F71" s="185">
        <f>Berechnung2!F40</f>
        <v>0</v>
      </c>
      <c r="G71" s="184">
        <f>Berechnung2!G40</f>
        <v>0</v>
      </c>
      <c r="H71" s="181">
        <f>Berechnung2!H40</f>
        <v>0</v>
      </c>
      <c r="I71" s="184">
        <f>Berechnung2!I40</f>
        <v>0.69999</v>
      </c>
      <c r="J71" s="184">
        <f>Berechnung2!J40</f>
        <v>0.69999</v>
      </c>
      <c r="K71" s="181">
        <f>Berechnung2!K40</f>
        <v>0</v>
      </c>
      <c r="L71" s="181" t="str">
        <f>Berechnung2!L40</f>
        <v>geringe Follow-Up Quote der Nachsorgejahre</v>
      </c>
      <c r="M71" s="181">
        <f>Berechnung2!M40</f>
        <v>0</v>
      </c>
      <c r="N71" s="181">
        <f>Berechnung2!N40</f>
        <v>0</v>
      </c>
      <c r="O71" s="181">
        <f>Berechnung2!O40</f>
        <v>0</v>
      </c>
      <c r="P71" s="181">
        <f>Berechnung2!P40</f>
        <v>0</v>
      </c>
      <c r="Q71" s="11"/>
      <c r="R71" s="11"/>
      <c r="S71" s="11"/>
      <c r="T71" s="11"/>
      <c r="U71" s="11"/>
      <c r="V71" s="11"/>
      <c r="W71" s="11"/>
    </row>
    <row r="72" spans="2:23" hidden="1" x14ac:dyDescent="0.2">
      <c r="B72" s="182" t="str">
        <f>Berechnung2!B41</f>
        <v>geringe Follow-Up-Quote der Jahre 2015-2017</v>
      </c>
      <c r="C72" s="181">
        <f>Berechnung2!C41</f>
        <v>0</v>
      </c>
      <c r="D72" s="181" t="str">
        <f>Berechnung2!D41</f>
        <v>sollvorgabe</v>
      </c>
      <c r="E72" s="181" t="str">
        <f>Berechnung2!E41</f>
        <v>&lt;</v>
      </c>
      <c r="F72" s="185">
        <f>Berechnung2!F41</f>
        <v>0</v>
      </c>
      <c r="G72" s="184">
        <f>Berechnung2!G41</f>
        <v>0</v>
      </c>
      <c r="H72" s="181">
        <f>Berechnung2!H41</f>
        <v>0</v>
      </c>
      <c r="I72" s="184">
        <f>Berechnung2!I41</f>
        <v>0.79998999999999998</v>
      </c>
      <c r="J72" s="184">
        <f>Berechnung2!J41</f>
        <v>0.79998999999999998</v>
      </c>
      <c r="K72" s="181">
        <f>Berechnung2!K41</f>
        <v>0</v>
      </c>
      <c r="L72" s="181" t="str">
        <f>Berechnung2!L41</f>
        <v>durchschnittliche Follow-Up-Quote &lt; 80%</v>
      </c>
      <c r="M72" s="181">
        <f>Berechnung2!M41</f>
        <v>0</v>
      </c>
      <c r="N72" s="181">
        <f>Berechnung2!N41</f>
        <v>0</v>
      </c>
      <c r="O72" s="181">
        <f>Berechnung2!O41</f>
        <v>0</v>
      </c>
      <c r="P72" s="181">
        <f>Berechnung2!P41</f>
        <v>0</v>
      </c>
      <c r="Q72" s="11"/>
      <c r="R72" s="11"/>
      <c r="S72" s="11"/>
      <c r="T72" s="11"/>
      <c r="U72" s="11"/>
      <c r="V72" s="11"/>
      <c r="W72" s="11"/>
    </row>
    <row r="73" spans="2:23" hidden="1" x14ac:dyDescent="0.2">
      <c r="B73" s="182" t="str">
        <f>Berechnung2!B42</f>
        <v>zu hohe Follow-Up-Quote der Jahre 2015-2017</v>
      </c>
      <c r="C73" s="181">
        <f>Berechnung2!C42</f>
        <v>0</v>
      </c>
      <c r="D73" s="181" t="str">
        <f>Berechnung2!D42</f>
        <v>plausi</v>
      </c>
      <c r="E73" s="181" t="str">
        <f>Berechnung2!E42</f>
        <v>&gt;</v>
      </c>
      <c r="F73" s="181">
        <f>Berechnung2!F42</f>
        <v>0</v>
      </c>
      <c r="G73" s="184">
        <f>Berechnung2!G42</f>
        <v>0</v>
      </c>
      <c r="H73" s="181">
        <f>Berechnung2!H42</f>
        <v>0.95001000000000002</v>
      </c>
      <c r="I73" s="184">
        <f>Berechnung2!I42</f>
        <v>1</v>
      </c>
      <c r="J73" s="184">
        <f>Berechnung2!J42</f>
        <v>0.95001000000000002</v>
      </c>
      <c r="K73" s="181">
        <f>Berechnung2!K42</f>
        <v>0</v>
      </c>
      <c r="L73" s="181" t="str">
        <f>Berechnung2!L42</f>
        <v>durchschnittliche Follow-Up-Quote &gt; 95%</v>
      </c>
      <c r="M73" s="181">
        <f>Berechnung2!M42</f>
        <v>0</v>
      </c>
      <c r="N73" s="181">
        <f>Berechnung2!N42</f>
        <v>0</v>
      </c>
      <c r="O73" s="181">
        <f>Berechnung2!O42</f>
        <v>0</v>
      </c>
      <c r="P73" s="181">
        <f>Berechnung2!P42</f>
        <v>0</v>
      </c>
      <c r="Q73" s="11"/>
      <c r="R73" s="11"/>
      <c r="S73" s="11"/>
      <c r="T73" s="11"/>
      <c r="U73" s="11"/>
      <c r="V73" s="11"/>
      <c r="W73" s="11"/>
    </row>
    <row r="74" spans="2:23" hidden="1" x14ac:dyDescent="0.2">
      <c r="B74" s="182" t="str">
        <f>Berechnung2!B43</f>
        <v>zu viele Patienten im Follow Up</v>
      </c>
      <c r="C74" s="181">
        <f>Berechnung2!C43</f>
        <v>0</v>
      </c>
      <c r="D74" s="181" t="str">
        <f>Berechnung2!D43</f>
        <v>inkorrekt</v>
      </c>
      <c r="E74" s="181">
        <f>Berechnung2!E43</f>
        <v>0</v>
      </c>
      <c r="F74" s="181">
        <f>Berechnung2!F43</f>
        <v>0</v>
      </c>
      <c r="G74" s="181">
        <f>Berechnung2!G43</f>
        <v>0</v>
      </c>
      <c r="H74" s="181">
        <f>Berechnung2!H43</f>
        <v>0</v>
      </c>
      <c r="I74" s="181">
        <f>Berechnung2!I43</f>
        <v>0</v>
      </c>
      <c r="J74" s="181">
        <f>Berechnung2!J43</f>
        <v>0</v>
      </c>
      <c r="K74" s="181">
        <f>Berechnung2!K43</f>
        <v>0</v>
      </c>
      <c r="L74" s="181" t="str">
        <f>Berechnung2!L43</f>
        <v>Werte Spalte F "Patienten mit Follow-Up" müssen kleiner gleich sein als Spalte D "Anzahl Primärfälle"</v>
      </c>
      <c r="M74" s="181">
        <f>Berechnung2!M43</f>
        <v>0</v>
      </c>
      <c r="N74" s="181">
        <f>Berechnung2!N43</f>
        <v>0</v>
      </c>
      <c r="O74" s="181">
        <f>Berechnung2!O43</f>
        <v>0</v>
      </c>
      <c r="P74" s="181">
        <f>Berechnung2!P43</f>
        <v>0</v>
      </c>
      <c r="Q74" s="11"/>
      <c r="R74" s="11"/>
      <c r="S74" s="11"/>
      <c r="T74" s="11"/>
      <c r="U74" s="11"/>
      <c r="V74" s="11"/>
      <c r="W74" s="11"/>
    </row>
    <row r="75" spans="2:23" hidden="1" x14ac:dyDescent="0.2">
      <c r="B75" s="182" t="str">
        <f>Berechnung2!B44</f>
        <v>zu viele Patienten bei DFS absolut</v>
      </c>
      <c r="C75" s="181">
        <f>Berechnung2!C44</f>
        <v>0</v>
      </c>
      <c r="D75" s="181" t="str">
        <f>Berechnung2!D44</f>
        <v>inkorrekt</v>
      </c>
      <c r="E75" s="181">
        <f>Berechnung2!E44</f>
        <v>0</v>
      </c>
      <c r="F75" s="181">
        <f>Berechnung2!F44</f>
        <v>0</v>
      </c>
      <c r="G75" s="181">
        <f>Berechnung2!G44</f>
        <v>0</v>
      </c>
      <c r="H75" s="181">
        <f>Berechnung2!H44</f>
        <v>0</v>
      </c>
      <c r="I75" s="181">
        <f>Berechnung2!I44</f>
        <v>0</v>
      </c>
      <c r="J75" s="181">
        <f>Berechnung2!J44</f>
        <v>0</v>
      </c>
      <c r="K75" s="181">
        <f>Berechnung2!K44</f>
        <v>0</v>
      </c>
      <c r="L75" s="181" t="str">
        <f>Berechnung2!L44</f>
        <v>Werte Spalte I "DFS absolut" müssen kleiner gleich sein als Spalte F "Patienten mit Follow-Up"</v>
      </c>
      <c r="M75" s="181">
        <f>Berechnung2!M44</f>
        <v>0</v>
      </c>
      <c r="N75" s="181">
        <f>Berechnung2!N44</f>
        <v>0</v>
      </c>
      <c r="O75" s="181">
        <f>Berechnung2!O44</f>
        <v>0</v>
      </c>
      <c r="P75" s="181">
        <f>Berechnung2!P44</f>
        <v>0</v>
      </c>
      <c r="Q75" s="11"/>
      <c r="R75" s="11"/>
      <c r="S75" s="11"/>
      <c r="T75" s="11"/>
      <c r="U75" s="11"/>
      <c r="V75" s="11"/>
      <c r="W75" s="11"/>
    </row>
    <row r="76" spans="2:23" hidden="1" x14ac:dyDescent="0.2">
      <c r="B76" s="182" t="str">
        <f>Berechnung2!B45</f>
        <v>zu viele Patienten bei OAS absolut</v>
      </c>
      <c r="C76" s="181">
        <f>Berechnung2!C45</f>
        <v>0</v>
      </c>
      <c r="D76" s="181" t="str">
        <f>Berechnung2!D45</f>
        <v>inkorrekt</v>
      </c>
      <c r="E76" s="181">
        <f>Berechnung2!E45</f>
        <v>0</v>
      </c>
      <c r="F76" s="181">
        <f>Berechnung2!F45</f>
        <v>0</v>
      </c>
      <c r="G76" s="181">
        <f>Berechnung2!G45</f>
        <v>0</v>
      </c>
      <c r="H76" s="181">
        <f>Berechnung2!H45</f>
        <v>0</v>
      </c>
      <c r="I76" s="181">
        <f>Berechnung2!I45</f>
        <v>0</v>
      </c>
      <c r="J76" s="181">
        <f>Berechnung2!J45</f>
        <v>0</v>
      </c>
      <c r="K76" s="181">
        <f>Berechnung2!K45</f>
        <v>0</v>
      </c>
      <c r="L76" s="181" t="str">
        <f>Berechnung2!L45</f>
        <v>Werte Spalte L "OAS absolut" müssen kleiner gleich sein als Spalte F "Patienten mit Follow-Up"</v>
      </c>
      <c r="M76" s="181">
        <f>Berechnung2!M45</f>
        <v>0</v>
      </c>
      <c r="N76" s="181">
        <f>Berechnung2!N45</f>
        <v>0</v>
      </c>
      <c r="O76" s="181">
        <f>Berechnung2!O45</f>
        <v>0</v>
      </c>
      <c r="P76" s="181">
        <f>Berechnung2!P45</f>
        <v>0</v>
      </c>
      <c r="Q76" s="11"/>
      <c r="R76" s="11"/>
      <c r="S76" s="11"/>
      <c r="T76" s="11"/>
      <c r="U76" s="11"/>
      <c r="V76" s="11"/>
      <c r="W76" s="11"/>
    </row>
    <row r="77" spans="2:23" hidden="1" x14ac:dyDescent="0.2">
      <c r="B77" s="182">
        <f>Berechnung2!B46</f>
        <v>0</v>
      </c>
      <c r="C77" s="181">
        <f>Berechnung2!C46</f>
        <v>0</v>
      </c>
      <c r="D77" s="181">
        <f>Berechnung2!D46</f>
        <v>0</v>
      </c>
      <c r="E77" s="181">
        <f>Berechnung2!E46</f>
        <v>0</v>
      </c>
      <c r="F77" s="181">
        <f>Berechnung2!F46</f>
        <v>0</v>
      </c>
      <c r="G77" s="181">
        <f>Berechnung2!G46</f>
        <v>0</v>
      </c>
      <c r="H77" s="181">
        <f>Berechnung2!H46</f>
        <v>0</v>
      </c>
      <c r="I77" s="181">
        <f>Berechnung2!I46</f>
        <v>0</v>
      </c>
      <c r="J77" s="181">
        <f>Berechnung2!J46</f>
        <v>0</v>
      </c>
      <c r="K77" s="181">
        <f>Berechnung2!K46</f>
        <v>0</v>
      </c>
      <c r="L77" s="181">
        <f>Berechnung2!L46</f>
        <v>0</v>
      </c>
      <c r="M77" s="181">
        <f>Berechnung2!M46</f>
        <v>0</v>
      </c>
      <c r="N77" s="181">
        <f>Berechnung2!N46</f>
        <v>0</v>
      </c>
      <c r="O77" s="181">
        <f>Berechnung2!O46</f>
        <v>0</v>
      </c>
      <c r="P77" s="181">
        <f>Berechnung2!P46</f>
        <v>0</v>
      </c>
      <c r="Q77" s="11"/>
      <c r="R77" s="11"/>
      <c r="S77" s="11"/>
      <c r="T77" s="11"/>
      <c r="U77" s="11"/>
      <c r="V77" s="11"/>
      <c r="W77" s="11"/>
    </row>
    <row r="78" spans="2:23" hidden="1" x14ac:dyDescent="0.2">
      <c r="B78" s="182" t="str">
        <f>Berechnung2!B47</f>
        <v>DFS</v>
      </c>
      <c r="C78" s="181">
        <f>Berechnung2!C47</f>
        <v>0</v>
      </c>
      <c r="D78" s="181">
        <f>Berechnung2!D47</f>
        <v>0</v>
      </c>
      <c r="E78" s="181" t="str">
        <f>Berechnung2!E47</f>
        <v>von</v>
      </c>
      <c r="F78" s="181" t="str">
        <f>Berechnung2!F47</f>
        <v>untere Grenze</v>
      </c>
      <c r="G78" s="181">
        <f>Berechnung2!G47</f>
        <v>0</v>
      </c>
      <c r="H78" s="181">
        <f>Berechnung2!H47</f>
        <v>0</v>
      </c>
      <c r="I78" s="181">
        <f>Berechnung2!I47</f>
        <v>0</v>
      </c>
      <c r="J78" s="181" t="str">
        <f>Berechnung2!J47</f>
        <v>obere Grenze</v>
      </c>
      <c r="K78" s="181">
        <f>Berechnung2!K47</f>
        <v>0</v>
      </c>
      <c r="L78" s="181" t="str">
        <f>Berechnung2!L47</f>
        <v>DFS auffällig niedrig</v>
      </c>
      <c r="M78" s="181">
        <f>Berechnung2!M47</f>
        <v>0</v>
      </c>
      <c r="N78" s="181" t="str">
        <f>Berechnung2!N47</f>
        <v>DFS auffällig hoch</v>
      </c>
      <c r="O78" s="181">
        <f>Berechnung2!O47</f>
        <v>0</v>
      </c>
      <c r="P78" s="181">
        <f>Berechnung2!P47</f>
        <v>0</v>
      </c>
      <c r="Q78" s="11"/>
      <c r="R78" s="11"/>
      <c r="S78" s="11"/>
      <c r="T78" s="11"/>
      <c r="U78" s="11"/>
      <c r="V78" s="11"/>
      <c r="W78" s="11"/>
    </row>
    <row r="79" spans="2:23" hidden="1" x14ac:dyDescent="0.2">
      <c r="B79" s="182">
        <f>Berechnung2!B48</f>
        <v>2014</v>
      </c>
      <c r="C79" s="181">
        <f>Berechnung2!C48</f>
        <v>0</v>
      </c>
      <c r="D79" s="184">
        <f>Berechnung2!D48</f>
        <v>0</v>
      </c>
      <c r="E79" s="184">
        <f>Berechnung2!E48</f>
        <v>0</v>
      </c>
      <c r="F79" s="184">
        <f>Berechnung2!F48</f>
        <v>0.49998999999999999</v>
      </c>
      <c r="G79" s="184">
        <f>Berechnung2!G48</f>
        <v>0.49998999999999999</v>
      </c>
      <c r="H79" s="181">
        <f>Berechnung2!H48</f>
        <v>0</v>
      </c>
      <c r="I79" s="184">
        <f>Berechnung2!I48</f>
        <v>0</v>
      </c>
      <c r="J79" s="184">
        <f>Berechnung2!J48</f>
        <v>0</v>
      </c>
      <c r="K79" s="181">
        <f>Berechnung2!K48</f>
        <v>0</v>
      </c>
      <c r="L79" s="181" t="str">
        <f>Berechnung2!L48</f>
        <v>DFS auffällig niedrig</v>
      </c>
      <c r="M79" s="181">
        <f>Berechnung2!M48</f>
        <v>0</v>
      </c>
      <c r="N79" s="181" t="str">
        <f>Berechnung2!N48</f>
        <v>DFS auffällig hoch</v>
      </c>
      <c r="O79" s="181">
        <f>Berechnung2!O48</f>
        <v>0</v>
      </c>
      <c r="P79" s="181">
        <f>Berechnung2!P48</f>
        <v>0</v>
      </c>
      <c r="Q79" s="11"/>
      <c r="R79" s="11"/>
      <c r="S79" s="11"/>
      <c r="T79" s="11"/>
      <c r="U79" s="11"/>
      <c r="V79" s="11"/>
      <c r="W79" s="11"/>
    </row>
    <row r="80" spans="2:23" hidden="1" x14ac:dyDescent="0.2">
      <c r="B80" s="182">
        <f>Berechnung2!B49</f>
        <v>2015</v>
      </c>
      <c r="C80" s="181">
        <f>Berechnung2!C49</f>
        <v>0</v>
      </c>
      <c r="D80" s="184">
        <f>Berechnung2!D49</f>
        <v>0</v>
      </c>
      <c r="E80" s="184">
        <f>Berechnung2!E49</f>
        <v>0</v>
      </c>
      <c r="F80" s="184">
        <f>Berechnung2!F49</f>
        <v>0.49990000000000001</v>
      </c>
      <c r="G80" s="184">
        <f>Berechnung2!G49</f>
        <v>0.49998999999999999</v>
      </c>
      <c r="H80" s="181">
        <f>Berechnung2!H49</f>
        <v>0</v>
      </c>
      <c r="I80" s="184">
        <f>Berechnung2!I49</f>
        <v>0</v>
      </c>
      <c r="J80" s="184">
        <f>Berechnung2!J49</f>
        <v>0</v>
      </c>
      <c r="K80" s="181">
        <f>Berechnung2!K49</f>
        <v>0</v>
      </c>
      <c r="L80" s="181" t="str">
        <f>Berechnung2!L49</f>
        <v>DFS auffällig niedrig</v>
      </c>
      <c r="M80" s="181">
        <f>Berechnung2!M49</f>
        <v>0</v>
      </c>
      <c r="N80" s="181" t="str">
        <f>Berechnung2!N49</f>
        <v>DFS auffällig hoch</v>
      </c>
      <c r="O80" s="181">
        <f>Berechnung2!O49</f>
        <v>0</v>
      </c>
      <c r="P80" s="181">
        <f>Berechnung2!P49</f>
        <v>0</v>
      </c>
      <c r="Q80" s="11"/>
      <c r="R80" s="11"/>
      <c r="S80" s="11"/>
      <c r="T80" s="11"/>
      <c r="U80" s="11"/>
      <c r="V80" s="11"/>
      <c r="W80" s="11"/>
    </row>
    <row r="81" spans="2:23" hidden="1" x14ac:dyDescent="0.2">
      <c r="B81" s="182">
        <f>Berechnung2!B50</f>
        <v>2016</v>
      </c>
      <c r="C81" s="181">
        <f>Berechnung2!C50</f>
        <v>0</v>
      </c>
      <c r="D81" s="184">
        <f>Berechnung2!D50</f>
        <v>0</v>
      </c>
      <c r="E81" s="184">
        <f>Berechnung2!E50</f>
        <v>0</v>
      </c>
      <c r="F81" s="184">
        <f>Berechnung2!F50</f>
        <v>0.59999000000000002</v>
      </c>
      <c r="G81" s="184">
        <f>Berechnung2!G50</f>
        <v>0.59999000000000002</v>
      </c>
      <c r="H81" s="181">
        <f>Berechnung2!H50</f>
        <v>0</v>
      </c>
      <c r="I81" s="184">
        <f>Berechnung2!I50</f>
        <v>0</v>
      </c>
      <c r="J81" s="184">
        <f>Berechnung2!J50</f>
        <v>0</v>
      </c>
      <c r="K81" s="181">
        <f>Berechnung2!K50</f>
        <v>0</v>
      </c>
      <c r="L81" s="181" t="str">
        <f>Berechnung2!L50</f>
        <v>DFS auffällig niedrig</v>
      </c>
      <c r="M81" s="181">
        <f>Berechnung2!M50</f>
        <v>0</v>
      </c>
      <c r="N81" s="181" t="str">
        <f>Berechnung2!N50</f>
        <v>DFS auffällig hoch</v>
      </c>
      <c r="O81" s="181">
        <f>Berechnung2!O50</f>
        <v>0</v>
      </c>
      <c r="P81" s="181">
        <f>Berechnung2!P50</f>
        <v>0</v>
      </c>
      <c r="Q81" s="11"/>
      <c r="R81" s="11"/>
      <c r="S81" s="11"/>
      <c r="T81" s="11"/>
      <c r="U81" s="11"/>
      <c r="V81" s="11"/>
      <c r="W81" s="11"/>
    </row>
    <row r="82" spans="2:23" hidden="1" x14ac:dyDescent="0.2">
      <c r="B82" s="182">
        <f>Berechnung2!B51</f>
        <v>2017</v>
      </c>
      <c r="C82" s="181">
        <f>Berechnung2!C51</f>
        <v>0</v>
      </c>
      <c r="D82" s="184">
        <f>Berechnung2!D51</f>
        <v>0</v>
      </c>
      <c r="E82" s="184">
        <f>Berechnung2!E51</f>
        <v>0</v>
      </c>
      <c r="F82" s="184">
        <f>Berechnung2!F51</f>
        <v>0.69999</v>
      </c>
      <c r="G82" s="184">
        <f>Berechnung2!G51</f>
        <v>0.69999</v>
      </c>
      <c r="H82" s="181">
        <f>Berechnung2!H51</f>
        <v>0</v>
      </c>
      <c r="I82" s="184">
        <f>Berechnung2!I51</f>
        <v>0</v>
      </c>
      <c r="J82" s="184">
        <f>Berechnung2!J51</f>
        <v>0</v>
      </c>
      <c r="K82" s="181">
        <f>Berechnung2!K51</f>
        <v>0</v>
      </c>
      <c r="L82" s="181" t="str">
        <f>Berechnung2!L51</f>
        <v>DFS auffällig niedrig</v>
      </c>
      <c r="M82" s="181">
        <f>Berechnung2!M51</f>
        <v>0</v>
      </c>
      <c r="N82" s="181" t="str">
        <f>Berechnung2!N51</f>
        <v>DFS auffällig hoch</v>
      </c>
      <c r="O82" s="181">
        <f>Berechnung2!O51</f>
        <v>0</v>
      </c>
      <c r="P82" s="181">
        <f>Berechnung2!P51</f>
        <v>0</v>
      </c>
      <c r="Q82" s="11"/>
      <c r="R82" s="11"/>
      <c r="S82" s="11"/>
      <c r="T82" s="11"/>
      <c r="U82" s="11"/>
      <c r="V82" s="11"/>
      <c r="W82" s="11"/>
    </row>
    <row r="83" spans="2:23" hidden="1" x14ac:dyDescent="0.2">
      <c r="B83" s="182">
        <f>Berechnung2!B52</f>
        <v>2018</v>
      </c>
      <c r="C83" s="181">
        <f>Berechnung2!C52</f>
        <v>0</v>
      </c>
      <c r="D83" s="184">
        <f>Berechnung2!D52</f>
        <v>0</v>
      </c>
      <c r="E83" s="184">
        <f>Berechnung2!E52</f>
        <v>0</v>
      </c>
      <c r="F83" s="184">
        <f>Berechnung2!F52</f>
        <v>0.79998999999999998</v>
      </c>
      <c r="G83" s="184">
        <f>Berechnung2!G52</f>
        <v>0.79998999999999998</v>
      </c>
      <c r="H83" s="181">
        <f>Berechnung2!H52</f>
        <v>0</v>
      </c>
      <c r="I83" s="184">
        <f>Berechnung2!I52</f>
        <v>0</v>
      </c>
      <c r="J83" s="184">
        <f>Berechnung2!J52</f>
        <v>0</v>
      </c>
      <c r="K83" s="181">
        <f>Berechnung2!K52</f>
        <v>0</v>
      </c>
      <c r="L83" s="181" t="str">
        <f>Berechnung2!L52</f>
        <v>DFS auffällig niedrig</v>
      </c>
      <c r="M83" s="181">
        <f>Berechnung2!M52</f>
        <v>0</v>
      </c>
      <c r="N83" s="181" t="str">
        <f>Berechnung2!N52</f>
        <v>DFS auffällig hoch</v>
      </c>
      <c r="O83" s="181">
        <f>Berechnung2!O52</f>
        <v>0</v>
      </c>
      <c r="P83" s="181">
        <f>Berechnung2!P52</f>
        <v>0</v>
      </c>
      <c r="Q83" s="11"/>
      <c r="R83" s="11"/>
      <c r="S83" s="11"/>
      <c r="T83" s="11"/>
      <c r="U83" s="11"/>
      <c r="V83" s="11"/>
      <c r="W83" s="11"/>
    </row>
    <row r="84" spans="2:23" hidden="1" x14ac:dyDescent="0.2">
      <c r="B84" s="182">
        <f>Berechnung2!B53</f>
        <v>0</v>
      </c>
      <c r="C84" s="181">
        <f>Berechnung2!C53</f>
        <v>0</v>
      </c>
      <c r="D84" s="181">
        <f>Berechnung2!D53</f>
        <v>0</v>
      </c>
      <c r="E84" s="181">
        <f>Berechnung2!E53</f>
        <v>0</v>
      </c>
      <c r="F84" s="181">
        <f>Berechnung2!F53</f>
        <v>0</v>
      </c>
      <c r="G84" s="181">
        <f>Berechnung2!G53</f>
        <v>0</v>
      </c>
      <c r="H84" s="181">
        <f>Berechnung2!H53</f>
        <v>0</v>
      </c>
      <c r="I84" s="181">
        <f>Berechnung2!I53</f>
        <v>0</v>
      </c>
      <c r="J84" s="181">
        <f>Berechnung2!J53</f>
        <v>0</v>
      </c>
      <c r="K84" s="181">
        <f>Berechnung2!K53</f>
        <v>0</v>
      </c>
      <c r="L84" s="181">
        <f>Berechnung2!L53</f>
        <v>0</v>
      </c>
      <c r="M84" s="181">
        <f>Berechnung2!M53</f>
        <v>0</v>
      </c>
      <c r="N84" s="181">
        <f>Berechnung2!N53</f>
        <v>0</v>
      </c>
      <c r="O84" s="181">
        <f>Berechnung2!O53</f>
        <v>0</v>
      </c>
      <c r="P84" s="181">
        <f>Berechnung2!P53</f>
        <v>0</v>
      </c>
      <c r="Q84" s="11"/>
      <c r="R84" s="11"/>
      <c r="S84" s="11"/>
      <c r="T84" s="11"/>
      <c r="U84" s="11"/>
      <c r="V84" s="11"/>
      <c r="W84" s="11"/>
    </row>
    <row r="85" spans="2:23" hidden="1" x14ac:dyDescent="0.2">
      <c r="B85" s="182" t="str">
        <f>Berechnung2!B54</f>
        <v>OAS</v>
      </c>
      <c r="C85" s="181">
        <f>Berechnung2!C54</f>
        <v>0</v>
      </c>
      <c r="D85" s="181">
        <f>Berechnung2!D54</f>
        <v>0</v>
      </c>
      <c r="E85" s="181">
        <f>Berechnung2!E54</f>
        <v>0</v>
      </c>
      <c r="F85" s="181" t="str">
        <f>Berechnung2!F54</f>
        <v>untere Grenze</v>
      </c>
      <c r="G85" s="181">
        <f>Berechnung2!G54</f>
        <v>0</v>
      </c>
      <c r="H85" s="181">
        <f>Berechnung2!H54</f>
        <v>0</v>
      </c>
      <c r="I85" s="181">
        <f>Berechnung2!I54</f>
        <v>0</v>
      </c>
      <c r="J85" s="181" t="str">
        <f>Berechnung2!J54</f>
        <v>obere Grenze</v>
      </c>
      <c r="K85" s="181">
        <f>Berechnung2!K54</f>
        <v>0</v>
      </c>
      <c r="L85" s="181" t="str">
        <f>Berechnung2!L54</f>
        <v>OAS auffällig niedrig oder hoch</v>
      </c>
      <c r="M85" s="181">
        <f>Berechnung2!M54</f>
        <v>0</v>
      </c>
      <c r="N85" s="181" t="str">
        <f>Berechnung2!N54</f>
        <v>OAS auffällig niedrig oder hoch</v>
      </c>
      <c r="O85" s="181">
        <f>Berechnung2!O54</f>
        <v>0</v>
      </c>
      <c r="P85" s="181">
        <f>Berechnung2!P54</f>
        <v>0</v>
      </c>
      <c r="Q85" s="11"/>
      <c r="R85" s="11"/>
      <c r="S85" s="11"/>
      <c r="T85" s="11"/>
      <c r="U85" s="11"/>
      <c r="V85" s="11"/>
      <c r="W85" s="11"/>
    </row>
    <row r="86" spans="2:23" hidden="1" x14ac:dyDescent="0.2">
      <c r="B86" s="182">
        <f>Berechnung2!B55</f>
        <v>2014</v>
      </c>
      <c r="C86" s="181">
        <f>Berechnung2!C55</f>
        <v>0</v>
      </c>
      <c r="D86" s="184">
        <f>Berechnung2!D55</f>
        <v>0</v>
      </c>
      <c r="E86" s="184">
        <f>Berechnung2!E55</f>
        <v>0</v>
      </c>
      <c r="F86" s="184">
        <f>Berechnung2!F55</f>
        <v>0.59999000000000002</v>
      </c>
      <c r="G86" s="184">
        <f>Berechnung2!G55</f>
        <v>0.59999000000000002</v>
      </c>
      <c r="H86" s="181">
        <f>Berechnung2!H55</f>
        <v>0</v>
      </c>
      <c r="I86" s="184">
        <f>Berechnung2!I55</f>
        <v>1</v>
      </c>
      <c r="J86" s="184">
        <f>Berechnung2!J55</f>
        <v>1</v>
      </c>
      <c r="K86" s="181">
        <f>Berechnung2!K55</f>
        <v>0</v>
      </c>
      <c r="L86" s="181" t="str">
        <f>Berechnung2!L55</f>
        <v>OAS auffällig niedrig oder hoch</v>
      </c>
      <c r="M86" s="181">
        <f>Berechnung2!M55</f>
        <v>0</v>
      </c>
      <c r="N86" s="181" t="str">
        <f>Berechnung2!N55</f>
        <v>OAS auffällig niedrig oder hoch</v>
      </c>
      <c r="O86" s="181">
        <f>Berechnung2!O55</f>
        <v>0</v>
      </c>
      <c r="P86" s="181">
        <f>Berechnung2!P55</f>
        <v>0</v>
      </c>
      <c r="Q86" s="11"/>
      <c r="R86" s="11"/>
      <c r="S86" s="11"/>
      <c r="T86" s="11"/>
      <c r="U86" s="11"/>
      <c r="V86" s="11"/>
      <c r="W86" s="11"/>
    </row>
    <row r="87" spans="2:23" hidden="1" x14ac:dyDescent="0.2">
      <c r="B87" s="182">
        <f>Berechnung2!B56</f>
        <v>2015</v>
      </c>
      <c r="C87" s="181">
        <f>Berechnung2!C56</f>
        <v>0</v>
      </c>
      <c r="D87" s="184">
        <f>Berechnung2!D56</f>
        <v>0</v>
      </c>
      <c r="E87" s="184">
        <f>Berechnung2!E56</f>
        <v>0</v>
      </c>
      <c r="F87" s="184">
        <f>Berechnung2!F56</f>
        <v>0.69999</v>
      </c>
      <c r="G87" s="184">
        <f>Berechnung2!G56</f>
        <v>0.69999</v>
      </c>
      <c r="H87" s="181">
        <f>Berechnung2!H56</f>
        <v>0</v>
      </c>
      <c r="I87" s="184">
        <f>Berechnung2!I56</f>
        <v>1</v>
      </c>
      <c r="J87" s="184">
        <f>Berechnung2!J56</f>
        <v>1</v>
      </c>
      <c r="K87" s="181">
        <f>Berechnung2!K56</f>
        <v>0</v>
      </c>
      <c r="L87" s="181" t="str">
        <f>Berechnung2!L56</f>
        <v>OAS auffällig niedrig oder hoch</v>
      </c>
      <c r="M87" s="181">
        <f>Berechnung2!M56</f>
        <v>0</v>
      </c>
      <c r="N87" s="181" t="str">
        <f>Berechnung2!N56</f>
        <v>OAS auffällig niedrig oder hoch</v>
      </c>
      <c r="O87" s="181">
        <f>Berechnung2!O56</f>
        <v>0</v>
      </c>
      <c r="P87" s="181">
        <f>Berechnung2!P56</f>
        <v>0</v>
      </c>
      <c r="Q87" s="11"/>
      <c r="R87" s="11"/>
      <c r="S87" s="11"/>
      <c r="T87" s="11"/>
      <c r="U87" s="11"/>
      <c r="V87" s="11"/>
      <c r="W87" s="11"/>
    </row>
    <row r="88" spans="2:23" hidden="1" x14ac:dyDescent="0.2">
      <c r="B88" s="182">
        <f>Berechnung2!B57</f>
        <v>2016</v>
      </c>
      <c r="C88" s="181">
        <f>Berechnung2!C57</f>
        <v>0</v>
      </c>
      <c r="D88" s="184">
        <f>Berechnung2!D57</f>
        <v>0</v>
      </c>
      <c r="E88" s="184">
        <f>Berechnung2!E57</f>
        <v>0</v>
      </c>
      <c r="F88" s="184">
        <f>Berechnung2!F57</f>
        <v>0.79998999999999998</v>
      </c>
      <c r="G88" s="184">
        <f>Berechnung2!G57</f>
        <v>0.79998999999999998</v>
      </c>
      <c r="H88" s="181">
        <f>Berechnung2!H57</f>
        <v>0</v>
      </c>
      <c r="I88" s="184">
        <f>Berechnung2!I57</f>
        <v>1</v>
      </c>
      <c r="J88" s="184">
        <f>Berechnung2!J57</f>
        <v>1</v>
      </c>
      <c r="K88" s="181">
        <f>Berechnung2!K57</f>
        <v>0</v>
      </c>
      <c r="L88" s="181" t="str">
        <f>Berechnung2!L57</f>
        <v>OAS auffällig niedrig oder hoch</v>
      </c>
      <c r="M88" s="181">
        <f>Berechnung2!M57</f>
        <v>0</v>
      </c>
      <c r="N88" s="181" t="str">
        <f>Berechnung2!N57</f>
        <v>OAS auffällig niedrig oder hoch</v>
      </c>
      <c r="O88" s="181">
        <f>Berechnung2!O57</f>
        <v>0</v>
      </c>
      <c r="P88" s="181">
        <f>Berechnung2!P57</f>
        <v>0</v>
      </c>
      <c r="Q88" s="11"/>
      <c r="R88" s="11"/>
      <c r="S88" s="11"/>
      <c r="T88" s="11"/>
      <c r="U88" s="11"/>
      <c r="V88" s="11"/>
      <c r="W88" s="11"/>
    </row>
    <row r="89" spans="2:23" hidden="1" x14ac:dyDescent="0.2">
      <c r="B89" s="182">
        <f>Berechnung2!B58</f>
        <v>2017</v>
      </c>
      <c r="C89" s="181">
        <f>Berechnung2!C58</f>
        <v>0</v>
      </c>
      <c r="D89" s="184">
        <f>Berechnung2!D58</f>
        <v>0</v>
      </c>
      <c r="E89" s="184">
        <f>Berechnung2!E58</f>
        <v>0</v>
      </c>
      <c r="F89" s="184">
        <f>Berechnung2!F58</f>
        <v>0.89998999999999996</v>
      </c>
      <c r="G89" s="184">
        <f>Berechnung2!G58</f>
        <v>0.89998999999999996</v>
      </c>
      <c r="H89" s="181">
        <f>Berechnung2!H58</f>
        <v>0</v>
      </c>
      <c r="I89" s="184">
        <f>Berechnung2!I58</f>
        <v>1</v>
      </c>
      <c r="J89" s="184">
        <f>Berechnung2!J58</f>
        <v>1</v>
      </c>
      <c r="K89" s="181">
        <f>Berechnung2!K58</f>
        <v>0</v>
      </c>
      <c r="L89" s="181" t="str">
        <f>Berechnung2!L58</f>
        <v>OAS auffällig niedrig oder hoch</v>
      </c>
      <c r="M89" s="181">
        <f>Berechnung2!M58</f>
        <v>0</v>
      </c>
      <c r="N89" s="181" t="str">
        <f>Berechnung2!N58</f>
        <v>OAS auffällig niedrig oder hoch</v>
      </c>
      <c r="O89" s="181">
        <f>Berechnung2!O58</f>
        <v>0</v>
      </c>
      <c r="P89" s="181">
        <f>Berechnung2!P58</f>
        <v>0</v>
      </c>
      <c r="Q89" s="11"/>
      <c r="R89" s="11"/>
      <c r="S89" s="11"/>
      <c r="T89" s="11"/>
      <c r="U89" s="11"/>
      <c r="V89" s="11"/>
      <c r="W89" s="11"/>
    </row>
    <row r="90" spans="2:23" hidden="1" x14ac:dyDescent="0.2">
      <c r="B90" s="182">
        <f>Berechnung2!B59</f>
        <v>2018</v>
      </c>
      <c r="C90" s="181">
        <f>Berechnung2!C59</f>
        <v>0</v>
      </c>
      <c r="D90" s="184">
        <f>Berechnung2!D59</f>
        <v>0</v>
      </c>
      <c r="E90" s="184">
        <f>Berechnung2!E59</f>
        <v>0</v>
      </c>
      <c r="F90" s="184">
        <f>Berechnung2!F59</f>
        <v>0.89998999999999996</v>
      </c>
      <c r="G90" s="184">
        <f>Berechnung2!G59</f>
        <v>0.89998999999999996</v>
      </c>
      <c r="H90" s="181">
        <f>Berechnung2!H59</f>
        <v>0</v>
      </c>
      <c r="I90" s="184">
        <f>Berechnung2!I59</f>
        <v>1</v>
      </c>
      <c r="J90" s="184">
        <f>Berechnung2!J59</f>
        <v>0</v>
      </c>
      <c r="K90" s="181">
        <f>Berechnung2!K59</f>
        <v>0</v>
      </c>
      <c r="L90" s="181" t="str">
        <f>Berechnung2!L59</f>
        <v xml:space="preserve">OAS auffällig niedrig </v>
      </c>
      <c r="M90" s="181">
        <f>Berechnung2!M59</f>
        <v>0</v>
      </c>
      <c r="N90" s="246" t="s">
        <v>350</v>
      </c>
      <c r="O90" s="181">
        <f>Berechnung2!O59</f>
        <v>0</v>
      </c>
      <c r="P90" s="181">
        <f>Berechnung2!P59</f>
        <v>0</v>
      </c>
      <c r="Q90" s="11"/>
      <c r="R90" s="11"/>
      <c r="S90" s="11"/>
      <c r="T90" s="11"/>
      <c r="U90" s="11"/>
      <c r="V90" s="11"/>
      <c r="W90" s="11"/>
    </row>
    <row r="91" spans="2:23" hidden="1" x14ac:dyDescent="0.2"/>
    <row r="92" spans="2:23" hidden="1" x14ac:dyDescent="0.2"/>
    <row r="97" spans="4:4" x14ac:dyDescent="0.2">
      <c r="D97" s="247"/>
    </row>
  </sheetData>
  <sheetProtection algorithmName="SHA-512" hashValue="g3Y86Mr2M7B09bCD8BefFwZgWz3O0Wh+6jaqbXheyU79cSm0vuxCG8Wy7FrX61BCclOXmFWTTf+tfVdTP/08Ug==" saltValue="R4o+qX7GHlvuN6ydVk//uQ==" spinCount="100000" sheet="1" objects="1" scenarios="1" selectLockedCells="1"/>
  <dataConsolidate/>
  <customSheetViews>
    <customSheetView guid="{AD479C9E-06F7-4C03-8179-295428B49475}" scale="106" showGridLines="0">
      <selection activeCell="E24" sqref="E24"/>
      <pageMargins left="7.874015748031496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7.874015748031496E-2" right="3.937007874015748E-2" top="0.27559055118110237" bottom="0.27559055118110237" header="0.11811023622047245" footer="0.11811023622047245"/>
      <pageSetup paperSize="9" orientation="landscape" r:id="rId2"/>
      <headerFooter>
        <oddFooter>&amp;L&amp;"Arial,Standard"&amp;7&amp;F&amp;C&amp;"Arial,Standard"&amp;7 © DKG  Alle Rechte vorbehalten&amp;R&amp;"Arial,Standard"&amp;7&amp;P</oddFooter>
      </headerFooter>
    </customSheetView>
  </customSheetViews>
  <mergeCells count="98">
    <mergeCell ref="I43:K43"/>
    <mergeCell ref="L43:U43"/>
    <mergeCell ref="L50:U50"/>
    <mergeCell ref="I51:K51"/>
    <mergeCell ref="L51:U51"/>
    <mergeCell ref="I47:K47"/>
    <mergeCell ref="L47:U47"/>
    <mergeCell ref="I48:K48"/>
    <mergeCell ref="L48:U48"/>
    <mergeCell ref="I49:K49"/>
    <mergeCell ref="L49:U49"/>
    <mergeCell ref="I50:K50"/>
    <mergeCell ref="B11:M11"/>
    <mergeCell ref="I46:K46"/>
    <mergeCell ref="L46:U46"/>
    <mergeCell ref="I44:K44"/>
    <mergeCell ref="L44:U44"/>
    <mergeCell ref="I45:K45"/>
    <mergeCell ref="I33:U33"/>
    <mergeCell ref="L13:M13"/>
    <mergeCell ref="L14:M14"/>
    <mergeCell ref="L45:U45"/>
    <mergeCell ref="I18:I19"/>
    <mergeCell ref="I34:U34"/>
    <mergeCell ref="I39:U39"/>
    <mergeCell ref="I40:U40"/>
    <mergeCell ref="B28:M28"/>
    <mergeCell ref="C43:E43"/>
    <mergeCell ref="F42:H42"/>
    <mergeCell ref="I35:U35"/>
    <mergeCell ref="I36:U36"/>
    <mergeCell ref="I37:U37"/>
    <mergeCell ref="I38:U38"/>
    <mergeCell ref="I41:U41"/>
    <mergeCell ref="I42:U42"/>
    <mergeCell ref="C36:E36"/>
    <mergeCell ref="C40:E40"/>
    <mergeCell ref="F37:H37"/>
    <mergeCell ref="F35:H35"/>
    <mergeCell ref="F34:H34"/>
    <mergeCell ref="C37:E37"/>
    <mergeCell ref="F38:H38"/>
    <mergeCell ref="C38:E38"/>
    <mergeCell ref="C39:E39"/>
    <mergeCell ref="F39:H39"/>
    <mergeCell ref="B29:U29"/>
    <mergeCell ref="J13:K13"/>
    <mergeCell ref="J14:K14"/>
    <mergeCell ref="L16:M16"/>
    <mergeCell ref="I16:J16"/>
    <mergeCell ref="J18:J19"/>
    <mergeCell ref="F18:F19"/>
    <mergeCell ref="B13:C13"/>
    <mergeCell ref="L18:L19"/>
    <mergeCell ref="M18:M19"/>
    <mergeCell ref="G13:I13"/>
    <mergeCell ref="D18:D19"/>
    <mergeCell ref="B14:C14"/>
    <mergeCell ref="H16:H24"/>
    <mergeCell ref="E16:E24"/>
    <mergeCell ref="K16:K24"/>
    <mergeCell ref="C51:E51"/>
    <mergeCell ref="F51:H51"/>
    <mergeCell ref="F43:H43"/>
    <mergeCell ref="F40:H40"/>
    <mergeCell ref="F41:H41"/>
    <mergeCell ref="C41:E41"/>
    <mergeCell ref="C42:E42"/>
    <mergeCell ref="C47:E47"/>
    <mergeCell ref="F47:H47"/>
    <mergeCell ref="C44:E44"/>
    <mergeCell ref="F45:H45"/>
    <mergeCell ref="F46:H46"/>
    <mergeCell ref="C45:E45"/>
    <mergeCell ref="C46:E46"/>
    <mergeCell ref="F44:H44"/>
    <mergeCell ref="C48:E48"/>
    <mergeCell ref="C8:E8"/>
    <mergeCell ref="B18:B19"/>
    <mergeCell ref="C6:M6"/>
    <mergeCell ref="K8:M8"/>
    <mergeCell ref="F36:H36"/>
    <mergeCell ref="C35:E35"/>
    <mergeCell ref="C34:E34"/>
    <mergeCell ref="G14:I14"/>
    <mergeCell ref="C33:E33"/>
    <mergeCell ref="F33:H33"/>
    <mergeCell ref="I8:J8"/>
    <mergeCell ref="C18:C19"/>
    <mergeCell ref="G18:G19"/>
    <mergeCell ref="D13:F13"/>
    <mergeCell ref="D14:F14"/>
    <mergeCell ref="F16:G16"/>
    <mergeCell ref="C49:E49"/>
    <mergeCell ref="C50:E50"/>
    <mergeCell ref="F48:H48"/>
    <mergeCell ref="F49:H49"/>
    <mergeCell ref="F50:H50"/>
  </mergeCells>
  <phoneticPr fontId="41" type="noConversion"/>
  <conditionalFormatting sqref="C20">
    <cfRule type="expression" dxfId="131" priority="191" stopIfTrue="1">
      <formula>OR($B20="nicht relevant",$B20="EZ")</formula>
    </cfRule>
  </conditionalFormatting>
  <conditionalFormatting sqref="H25:M27 C25:G25 C27:F27 D26:F26">
    <cfRule type="cellIs" dxfId="130" priority="175" operator="lessThan">
      <formula>0</formula>
    </cfRule>
  </conditionalFormatting>
  <conditionalFormatting sqref="F20">
    <cfRule type="expression" dxfId="129" priority="119" stopIfTrue="1">
      <formula>OR($B20="nicht relevant",$B20="EZ")</formula>
    </cfRule>
    <cfRule type="expression" dxfId="128" priority="124" stopIfTrue="1">
      <formula>LEN(TRIM(F20))=0</formula>
    </cfRule>
    <cfRule type="cellIs" dxfId="127" priority="129" stopIfTrue="1" operator="greaterThan">
      <formula>D20</formula>
    </cfRule>
  </conditionalFormatting>
  <conditionalFormatting sqref="F21">
    <cfRule type="expression" dxfId="126" priority="118" stopIfTrue="1">
      <formula>OR($B21="nicht relevant",$B21="EZ")</formula>
    </cfRule>
    <cfRule type="expression" dxfId="125" priority="123" stopIfTrue="1">
      <formula>LEN(TRIM(F21))=0</formula>
    </cfRule>
    <cfRule type="cellIs" dxfId="124" priority="128" stopIfTrue="1" operator="greaterThan">
      <formula>D21</formula>
    </cfRule>
  </conditionalFormatting>
  <conditionalFormatting sqref="F22">
    <cfRule type="expression" dxfId="123" priority="117" stopIfTrue="1">
      <formula>OR($B22="nicht relevant",$B22="EZ")</formula>
    </cfRule>
    <cfRule type="expression" dxfId="122" priority="122" stopIfTrue="1">
      <formula>LEN(TRIM(F22))=0</formula>
    </cfRule>
    <cfRule type="cellIs" dxfId="121" priority="127" stopIfTrue="1" operator="greaterThan">
      <formula>D22</formula>
    </cfRule>
  </conditionalFormatting>
  <conditionalFormatting sqref="F23">
    <cfRule type="expression" dxfId="120" priority="116" stopIfTrue="1">
      <formula>OR($B23="nicht relevant",$B23="EZ")</formula>
    </cfRule>
    <cfRule type="expression" dxfId="119" priority="121" stopIfTrue="1">
      <formula>LEN(TRIM(F23))=0</formula>
    </cfRule>
    <cfRule type="cellIs" dxfId="118" priority="126" stopIfTrue="1" operator="greaterThan">
      <formula>D23</formula>
    </cfRule>
  </conditionalFormatting>
  <conditionalFormatting sqref="F24">
    <cfRule type="expression" dxfId="117" priority="115" stopIfTrue="1">
      <formula>OR($B24="nicht relevant",$B24="EZ")</formula>
    </cfRule>
    <cfRule type="expression" dxfId="116" priority="120" stopIfTrue="1">
      <formula>LEN(TRIM(F24))=0</formula>
    </cfRule>
    <cfRule type="cellIs" dxfId="115" priority="125" stopIfTrue="1" operator="greaterThan">
      <formula>D24</formula>
    </cfRule>
  </conditionalFormatting>
  <conditionalFormatting sqref="I20:I21">
    <cfRule type="expression" dxfId="114" priority="94" stopIfTrue="1">
      <formula>OR($B20="nicht relevant",$B20="EZ")</formula>
    </cfRule>
    <cfRule type="expression" dxfId="113" priority="99" stopIfTrue="1">
      <formula>LEN(TRIM(I20))=0</formula>
    </cfRule>
    <cfRule type="cellIs" dxfId="112" priority="104" stopIfTrue="1" operator="greaterThan">
      <formula>F20</formula>
    </cfRule>
  </conditionalFormatting>
  <conditionalFormatting sqref="I22">
    <cfRule type="expression" dxfId="111" priority="92" stopIfTrue="1">
      <formula>OR($B22="nicht relevant",$B22="EZ")</formula>
    </cfRule>
    <cfRule type="expression" dxfId="110" priority="97" stopIfTrue="1">
      <formula>LEN(TRIM(I22))=0</formula>
    </cfRule>
    <cfRule type="cellIs" dxfId="109" priority="102" stopIfTrue="1" operator="greaterThan">
      <formula>F22</formula>
    </cfRule>
  </conditionalFormatting>
  <conditionalFormatting sqref="I23">
    <cfRule type="expression" dxfId="108" priority="91" stopIfTrue="1">
      <formula>OR($B23="nicht relevant",$B23="EZ")</formula>
    </cfRule>
    <cfRule type="expression" dxfId="107" priority="96" stopIfTrue="1">
      <formula>LEN(TRIM(I23))=0</formula>
    </cfRule>
    <cfRule type="cellIs" dxfId="106" priority="101" stopIfTrue="1" operator="greaterThan">
      <formula>F23</formula>
    </cfRule>
  </conditionalFormatting>
  <conditionalFormatting sqref="I24">
    <cfRule type="expression" dxfId="105" priority="90" stopIfTrue="1">
      <formula>OR($B24="nicht relevant",$B24="EZ")</formula>
    </cfRule>
    <cfRule type="expression" dxfId="104" priority="95" stopIfTrue="1">
      <formula>LEN(TRIM(I24))=0</formula>
    </cfRule>
    <cfRule type="cellIs" dxfId="103" priority="100" stopIfTrue="1" operator="greaterThan">
      <formula>F24</formula>
    </cfRule>
  </conditionalFormatting>
  <conditionalFormatting sqref="L20:L21">
    <cfRule type="expression" dxfId="102" priority="53" stopIfTrue="1">
      <formula>OR($B20="nicht relevant",$B20="EZ")</formula>
    </cfRule>
    <cfRule type="expression" dxfId="101" priority="62" stopIfTrue="1">
      <formula>LEN(TRIM(L20))=0</formula>
    </cfRule>
    <cfRule type="cellIs" dxfId="100" priority="67" stopIfTrue="1" operator="greaterThan">
      <formula>F20</formula>
    </cfRule>
  </conditionalFormatting>
  <conditionalFormatting sqref="L22">
    <cfRule type="expression" dxfId="99" priority="55" stopIfTrue="1">
      <formula>OR($B22="nicht relevant",$B22="EZ")</formula>
    </cfRule>
    <cfRule type="expression" dxfId="98" priority="60" stopIfTrue="1">
      <formula>LEN(TRIM(L22))=0</formula>
    </cfRule>
    <cfRule type="cellIs" dxfId="97" priority="65" stopIfTrue="1" operator="greaterThan">
      <formula>F22</formula>
    </cfRule>
  </conditionalFormatting>
  <conditionalFormatting sqref="L23">
    <cfRule type="expression" dxfId="96" priority="56" stopIfTrue="1">
      <formula>OR($B23="nicht relevant",$B23="EZ")</formula>
    </cfRule>
    <cfRule type="expression" dxfId="95" priority="59" stopIfTrue="1">
      <formula>LEN(TRIM(L23))=0</formula>
    </cfRule>
    <cfRule type="cellIs" dxfId="94" priority="64" stopIfTrue="1" operator="greaterThan">
      <formula>F23</formula>
    </cfRule>
  </conditionalFormatting>
  <conditionalFormatting sqref="L24">
    <cfRule type="expression" dxfId="93" priority="57" stopIfTrue="1">
      <formula>OR($B24="nicht relevant",$B24="EZ")</formula>
    </cfRule>
    <cfRule type="expression" dxfId="92" priority="58" stopIfTrue="1">
      <formula>LEN(TRIM(L24))=0</formula>
    </cfRule>
    <cfRule type="cellIs" dxfId="91" priority="63" stopIfTrue="1" operator="greaterThan">
      <formula>F24</formula>
    </cfRule>
  </conditionalFormatting>
  <conditionalFormatting sqref="G20:G24">
    <cfRule type="expression" dxfId="90" priority="2803" stopIfTrue="1">
      <formula>OR($B20="nicht relevant",$B20="EZ")</formula>
    </cfRule>
    <cfRule type="expression" dxfId="89" priority="2805" stopIfTrue="1">
      <formula>LEN(TRIM(G20))=0</formula>
    </cfRule>
  </conditionalFormatting>
  <conditionalFormatting sqref="C21">
    <cfRule type="expression" dxfId="88" priority="20" stopIfTrue="1">
      <formula>OR($B21="nicht relevant",$B21="EZ")</formula>
    </cfRule>
  </conditionalFormatting>
  <conditionalFormatting sqref="C22">
    <cfRule type="expression" dxfId="87" priority="19" stopIfTrue="1">
      <formula>OR($B22="nicht relevant",$B22="EZ")</formula>
    </cfRule>
  </conditionalFormatting>
  <conditionalFormatting sqref="C23">
    <cfRule type="expression" dxfId="86" priority="18" stopIfTrue="1">
      <formula>OR($B23="nicht relevant",$B23="EZ")</formula>
    </cfRule>
  </conditionalFormatting>
  <conditionalFormatting sqref="C24">
    <cfRule type="expression" dxfId="85" priority="17" stopIfTrue="1">
      <formula>OR($B24="nicht relevant",$B24="EZ")</formula>
    </cfRule>
  </conditionalFormatting>
  <conditionalFormatting sqref="G26">
    <cfRule type="cellIs" dxfId="84" priority="15" stopIfTrue="1" operator="equal">
      <formula>"---"</formula>
    </cfRule>
    <cfRule type="cellIs" dxfId="83" priority="16" stopIfTrue="1" operator="between">
      <formula>$H$73</formula>
      <formula>$I$73</formula>
    </cfRule>
    <cfRule type="cellIs" dxfId="82" priority="2553" stopIfTrue="1" operator="between">
      <formula>$F$72</formula>
      <formula>$I$72</formula>
    </cfRule>
  </conditionalFormatting>
  <conditionalFormatting sqref="J22">
    <cfRule type="expression" dxfId="81" priority="2821" stopIfTrue="1">
      <formula>OR($B22="nicht relevant",$B22="EZ")</formula>
    </cfRule>
    <cfRule type="cellIs" dxfId="80" priority="2822" stopIfTrue="1" operator="between">
      <formula>$C$81</formula>
      <formula>$F$81</formula>
    </cfRule>
    <cfRule type="expression" dxfId="79" priority="2823" stopIfTrue="1">
      <formula>LEN(TRIM(J22))=0</formula>
    </cfRule>
  </conditionalFormatting>
  <conditionalFormatting sqref="J23">
    <cfRule type="expression" dxfId="78" priority="2824" stopIfTrue="1">
      <formula>OR($B23="nicht relevant",$B23="EZ")</formula>
    </cfRule>
    <cfRule type="cellIs" dxfId="77" priority="2825" stopIfTrue="1" operator="between">
      <formula>$C$82</formula>
      <formula>$F$82</formula>
    </cfRule>
    <cfRule type="expression" dxfId="76" priority="2826" stopIfTrue="1">
      <formula>LEN(TRIM(J23))=0</formula>
    </cfRule>
  </conditionalFormatting>
  <conditionalFormatting sqref="J24">
    <cfRule type="expression" dxfId="75" priority="2827" stopIfTrue="1">
      <formula>OR($B24="nicht relevant",$B24="EZ")</formula>
    </cfRule>
    <cfRule type="cellIs" dxfId="74" priority="2828" stopIfTrue="1" operator="between">
      <formula>$C$83</formula>
      <formula>$F$83</formula>
    </cfRule>
    <cfRule type="expression" dxfId="73" priority="2829" stopIfTrue="1">
      <formula>LEN(TRIM(J24))=0</formula>
    </cfRule>
  </conditionalFormatting>
  <conditionalFormatting sqref="B14:C14">
    <cfRule type="expression" dxfId="72" priority="10" stopIfTrue="1">
      <formula>$B$14="die inkorrekten und unvollständigen Einträge beheben"</formula>
    </cfRule>
  </conditionalFormatting>
  <conditionalFormatting sqref="B13:C13">
    <cfRule type="expression" dxfId="71" priority="9" stopIfTrue="1">
      <formula>$B$13="Nicht in Ordnung"</formula>
    </cfRule>
  </conditionalFormatting>
  <conditionalFormatting sqref="G22:G24">
    <cfRule type="cellIs" dxfId="70" priority="2804" stopIfTrue="1" operator="between">
      <formula>$F$71</formula>
      <formula>$I$71</formula>
    </cfRule>
  </conditionalFormatting>
  <conditionalFormatting sqref="D20:D22">
    <cfRule type="expression" dxfId="69" priority="2870" stopIfTrue="1">
      <formula>OR($B20="nicht relevant",$B20="EZ")</formula>
    </cfRule>
    <cfRule type="expression" dxfId="68" priority="2871" stopIfTrue="1">
      <formula>LEN(TRIM(D20))=0</formula>
    </cfRule>
  </conditionalFormatting>
  <conditionalFormatting sqref="D23">
    <cfRule type="expression" dxfId="67" priority="2873" stopIfTrue="1">
      <formula>OR($B23="nicht relevant",$B23="EZ")</formula>
    </cfRule>
    <cfRule type="expression" dxfId="66" priority="2874" stopIfTrue="1">
      <formula>LEN(TRIM(D23))=0</formula>
    </cfRule>
  </conditionalFormatting>
  <conditionalFormatting sqref="J21">
    <cfRule type="expression" dxfId="65" priority="2879" stopIfTrue="1">
      <formula>OR($B21="nicht relevant",$B21="EZ")</formula>
    </cfRule>
    <cfRule type="cellIs" dxfId="64" priority="2880" stopIfTrue="1" operator="between">
      <formula>$C$80</formula>
      <formula>$F$80</formula>
    </cfRule>
    <cfRule type="expression" dxfId="63" priority="2881" stopIfTrue="1">
      <formula>LEN(TRIM(J21))=0</formula>
    </cfRule>
  </conditionalFormatting>
  <conditionalFormatting sqref="D24">
    <cfRule type="expression" dxfId="62" priority="1" stopIfTrue="1">
      <formula>OR($B24="nicht relevant",$B24="EZ")</formula>
    </cfRule>
    <cfRule type="expression" dxfId="61" priority="2" stopIfTrue="1">
      <formula>LEN(TRIM(D24))=0</formula>
    </cfRule>
  </conditionalFormatting>
  <conditionalFormatting sqref="M24">
    <cfRule type="expression" dxfId="60" priority="2914" stopIfTrue="1">
      <formula>OR($B24="nicht relevant",$B24="EZ")</formula>
    </cfRule>
    <cfRule type="expression" dxfId="59" priority="2915" stopIfTrue="1">
      <formula>LEN(TRIM(M24))=0</formula>
    </cfRule>
    <cfRule type="cellIs" dxfId="58" priority="2916" stopIfTrue="1" operator="between">
      <formula>$C$90</formula>
      <formula>$F$90</formula>
    </cfRule>
  </conditionalFormatting>
  <conditionalFormatting sqref="J20">
    <cfRule type="expression" dxfId="57" priority="2917" stopIfTrue="1">
      <formula>OR($B20="nicht relevant",$B20="EZ")</formula>
    </cfRule>
    <cfRule type="cellIs" dxfId="56" priority="2918" stopIfTrue="1" operator="between">
      <formula>$C$79</formula>
      <formula>$F$79</formula>
    </cfRule>
    <cfRule type="expression" dxfId="55" priority="2919" stopIfTrue="1">
      <formula>LEN(TRIM(J20))=0</formula>
    </cfRule>
  </conditionalFormatting>
  <conditionalFormatting sqref="M20:M23">
    <cfRule type="expression" dxfId="54" priority="2920" stopIfTrue="1">
      <formula>OR($B20="nicht relevant",$B20="EZ")</formula>
    </cfRule>
    <cfRule type="expression" dxfId="53" priority="2921" stopIfTrue="1">
      <formula>LEN(TRIM(M20))=0</formula>
    </cfRule>
    <cfRule type="expression" dxfId="52" priority="2922" stopIfTrue="1">
      <formula>IF(M20="","",IF(M20&gt;=0,OR(M20&lt;G86,M20&gt;=I86),FALSE))</formula>
    </cfRule>
  </conditionalFormatting>
  <dataValidations count="4">
    <dataValidation type="whole" allowBlank="1" showInputMessage="1" showErrorMessage="1" errorTitle="Eingabefehler" error="Ganze Zahl zwischen 0 und 5000 eingeben." sqref="D20:D24">
      <formula1>0</formula1>
      <formula2>5000</formula2>
    </dataValidation>
    <dataValidation type="whole" showInputMessage="1" showErrorMessage="1" errorTitle="Eingabefehler" error="Werte Spalte I &quot;DFS absolut&quot; müssen kleiner sein als Spalte F &quot;Patienten mit Follow-Up&quot;." sqref="I20:I24">
      <formula1>0</formula1>
      <formula2>F20</formula2>
    </dataValidation>
    <dataValidation type="whole" showInputMessage="1" showErrorMessage="1" errorTitle="Eingabefehler" error="Werte Spalte L &quot;OAS absolut&quot; müssen kleiner sein als Spalte F &quot;Patienten mit Follow-Up&quot;." sqref="L20:L24">
      <formula1>0</formula1>
      <formula2>F20</formula2>
    </dataValidation>
    <dataValidation type="whole" showInputMessage="1" showErrorMessage="1" errorTitle="Eingabefehler" error="Werte Spalte F &quot;Patienten mit Follow-Up&quot; müssen kleiner sein als Spalte D &quot;Anzahl Primärfälle&quot;." sqref="F20:F24">
      <formula1>0</formula1>
      <formula2>D20</formula2>
    </dataValidation>
  </dataValidations>
  <pageMargins left="0.42" right="3.937007874015748E-2" top="0.59055118110236227" bottom="0.39370078740157483" header="0.31496062992125984"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28" max="20" man="1"/>
  </rowBreaks>
  <drawing r:id="rId4"/>
  <legacy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BK59"/>
  <sheetViews>
    <sheetView showGridLines="0" topLeftCell="A7" zoomScale="80" zoomScaleNormal="80" workbookViewId="0">
      <selection activeCell="A33" sqref="A33"/>
    </sheetView>
  </sheetViews>
  <sheetFormatPr baseColWidth="10" defaultColWidth="9" defaultRowHeight="14.25" x14ac:dyDescent="0.2"/>
  <cols>
    <col min="1" max="1" width="20.7109375" style="6" customWidth="1"/>
    <col min="2" max="2" width="29.42578125" style="6" customWidth="1"/>
    <col min="3" max="3" width="34" style="6" customWidth="1"/>
    <col min="4" max="6" width="29.42578125" style="6" customWidth="1"/>
    <col min="7" max="7" width="29.42578125" style="44" customWidth="1"/>
    <col min="8" max="8" width="28.5703125" style="43" customWidth="1"/>
    <col min="9" max="9" width="29.7109375" style="43" customWidth="1"/>
    <col min="10" max="10" width="63.140625" style="6" customWidth="1"/>
    <col min="11" max="11" width="29.85546875" style="6" customWidth="1"/>
    <col min="12" max="12" width="32.85546875" style="6" customWidth="1"/>
    <col min="13" max="13" width="27.5703125" style="6" customWidth="1"/>
    <col min="14" max="14" width="41.42578125" style="6" customWidth="1"/>
    <col min="15" max="15" width="21.42578125" style="6" customWidth="1"/>
    <col min="16" max="16" width="42.85546875" style="6" customWidth="1"/>
    <col min="17" max="17" width="41.140625" style="6" customWidth="1"/>
    <col min="18" max="18" width="27.5703125" style="6" customWidth="1"/>
    <col min="19" max="19" width="21.7109375" style="6" customWidth="1"/>
    <col min="20" max="20" width="19.7109375" style="6" customWidth="1"/>
    <col min="21" max="21" width="18.7109375" style="6" customWidth="1"/>
    <col min="22" max="160" width="11.42578125" style="6" customWidth="1"/>
    <col min="161" max="16384" width="9" style="6"/>
  </cols>
  <sheetData>
    <row r="1" spans="1:62" s="10" customFormat="1" x14ac:dyDescent="0.2"/>
    <row r="2" spans="1:62" s="32" customFormat="1" ht="20.25" customHeight="1" x14ac:dyDescent="0.25">
      <c r="A2" s="172" t="s">
        <v>109</v>
      </c>
      <c r="AI2" s="29"/>
      <c r="BI2" s="10"/>
      <c r="BJ2" s="19"/>
    </row>
    <row r="3" spans="1:62" ht="14.25" customHeight="1" x14ac:dyDescent="0.2">
      <c r="AI3" s="29"/>
      <c r="BH3" s="10"/>
      <c r="BJ3" s="19"/>
    </row>
    <row r="4" spans="1:62" x14ac:dyDescent="0.2">
      <c r="G4" s="6"/>
      <c r="H4" s="6"/>
      <c r="I4" s="6"/>
      <c r="AI4" s="29"/>
      <c r="BH4" s="10"/>
      <c r="BJ4" s="19"/>
    </row>
    <row r="5" spans="1:62" ht="15" customHeight="1" x14ac:dyDescent="0.2">
      <c r="B5" s="97" t="s">
        <v>100</v>
      </c>
      <c r="C5" s="49" t="s">
        <v>83</v>
      </c>
      <c r="D5" s="48" t="s">
        <v>13</v>
      </c>
      <c r="E5" s="98" t="s">
        <v>102</v>
      </c>
      <c r="F5" s="99" t="s">
        <v>104</v>
      </c>
      <c r="G5" s="6"/>
      <c r="H5" s="6"/>
      <c r="I5" s="6"/>
      <c r="AI5" s="42"/>
      <c r="BH5" s="32"/>
      <c r="BI5" s="16"/>
    </row>
    <row r="6" spans="1:62" ht="28.5" customHeight="1" x14ac:dyDescent="0.2">
      <c r="B6" s="168" t="str">
        <f>IF(AND(E6=0,F6=0,Berechnung3!A6="relevant"),B8,IF(OR(Berechnung3!A6="nicht relevant",Berechnung3!A6="EZ"),"",B9))</f>
        <v/>
      </c>
      <c r="C6" s="88">
        <f>Berechnung3!J47</f>
        <v>0</v>
      </c>
      <c r="D6" s="89">
        <f>Berechnung3!J48</f>
        <v>0</v>
      </c>
      <c r="E6" s="169">
        <f>Berechnung3!J46</f>
        <v>0</v>
      </c>
      <c r="F6" s="170">
        <f>Berechnung3!J45</f>
        <v>0</v>
      </c>
      <c r="G6" s="6"/>
      <c r="H6" s="6"/>
      <c r="I6" s="6"/>
      <c r="AI6" s="42"/>
    </row>
    <row r="7" spans="1:62" x14ac:dyDescent="0.2">
      <c r="G7" s="6"/>
      <c r="H7" s="6"/>
      <c r="I7" s="6"/>
      <c r="AI7" s="42"/>
    </row>
    <row r="8" spans="1:62" ht="15" x14ac:dyDescent="0.25">
      <c r="A8" s="80" t="s">
        <v>124</v>
      </c>
      <c r="B8" s="6" t="s">
        <v>142</v>
      </c>
      <c r="G8" s="6"/>
      <c r="H8" s="6"/>
      <c r="I8" s="6"/>
      <c r="AI8" s="43"/>
    </row>
    <row r="9" spans="1:62" x14ac:dyDescent="0.2">
      <c r="B9" s="6" t="s">
        <v>163</v>
      </c>
      <c r="G9" s="6"/>
      <c r="H9" s="6"/>
      <c r="I9" s="6"/>
      <c r="AI9" s="43"/>
    </row>
    <row r="10" spans="1:62" x14ac:dyDescent="0.2">
      <c r="G10" s="6"/>
      <c r="H10" s="6"/>
      <c r="I10" s="6"/>
      <c r="AI10" s="43"/>
    </row>
    <row r="11" spans="1:62" ht="15.75" x14ac:dyDescent="0.25">
      <c r="A11" s="29"/>
      <c r="B11" s="23" t="s">
        <v>130</v>
      </c>
      <c r="E11" s="10"/>
      <c r="F11" s="10"/>
      <c r="G11" s="10"/>
      <c r="H11" s="10"/>
      <c r="I11" s="10"/>
      <c r="AI11" s="43"/>
    </row>
    <row r="12" spans="1:62" x14ac:dyDescent="0.2">
      <c r="A12" s="29"/>
      <c r="E12" s="10"/>
      <c r="F12" s="10"/>
      <c r="G12" s="10"/>
      <c r="H12" s="10"/>
      <c r="I12" s="10"/>
      <c r="AI12" s="43"/>
    </row>
    <row r="13" spans="1:62" x14ac:dyDescent="0.2">
      <c r="A13" s="29"/>
      <c r="B13" s="1231" t="s">
        <v>118</v>
      </c>
      <c r="C13" s="1233" t="s">
        <v>132</v>
      </c>
      <c r="D13" s="1229" t="s">
        <v>64</v>
      </c>
      <c r="E13" s="1221" t="s">
        <v>518</v>
      </c>
      <c r="F13" s="10"/>
      <c r="G13" s="10"/>
      <c r="H13" s="10"/>
      <c r="I13" s="10"/>
      <c r="AI13" s="43"/>
    </row>
    <row r="14" spans="1:62" ht="15" customHeight="1" x14ac:dyDescent="0.25">
      <c r="A14" s="42"/>
      <c r="B14" s="1232"/>
      <c r="C14" s="1234"/>
      <c r="D14" s="1230"/>
      <c r="E14" s="1222"/>
      <c r="F14" s="32"/>
      <c r="G14" s="32"/>
      <c r="H14" s="32"/>
      <c r="I14" s="180" t="s">
        <v>518</v>
      </c>
      <c r="J14" s="277" t="s">
        <v>531</v>
      </c>
      <c r="AI14" s="43"/>
    </row>
    <row r="15" spans="1:62" ht="38.1" customHeight="1" x14ac:dyDescent="0.2">
      <c r="A15" s="167" t="s">
        <v>129</v>
      </c>
      <c r="B15" s="46" t="str">
        <f>CONCATENATE(IF(Berechnung3!$H$2=Berechnung2!$L$38,Berechnung3!$B$2,""),IF(Berechnung3!$H$3=Berechnung2!$L$38,Berechnung3!$B$3,""),IF(Berechnung3!$H$4=Berechnung2!$L$38,Berechnung3!$B$4,""),IF(Berechnung3!$H$5=Berechnung2!$L$38,Berechnung3!$B$5,""),IF(Berechnung3!$H$6=Berechnung2!$L$38,Berechnung3!$B$6,""))</f>
        <v/>
      </c>
      <c r="C15" s="46">
        <f>IF(LEN(B15)&gt;0,"X",0)</f>
        <v>0</v>
      </c>
      <c r="D15" s="166" t="str">
        <f>IF(COUNTIF(Berechnung3!$H$2:$H$6,Berechnung2!$L$38)&gt;0,CONCATENATE(Berechnung1!$F$4,"                                             ",Berechnung2!$L$38),"")</f>
        <v/>
      </c>
      <c r="E15" s="166" t="str">
        <f>IF(COUNTIF(Berechnung3!$H$2:$H$6,Berechnung2!$L$38)&gt;0,"a","")</f>
        <v/>
      </c>
      <c r="G15" s="70" t="e">
        <f t="array" ref="G15">INDEX(B:B,SMALL(IF($C$15:$C$25="X",ROW($15:$25)),1))</f>
        <v>#NUM!</v>
      </c>
      <c r="H15" s="253" t="e">
        <f t="array" ref="H15">INDEX(D:D,SMALL(IF($C$15:$C$25="X",ROW($15:$25)),1))</f>
        <v>#NUM!</v>
      </c>
      <c r="I15" s="325" t="e">
        <f t="array" ref="I15">INDEX(E:E,SMALL(IF($C$15:$C$25="X",ROW($15:$25)),1))</f>
        <v>#NUM!</v>
      </c>
      <c r="J15" s="326" t="e">
        <f>IF(AND(Datendefizite_Matrix!D16="",I15&lt;&gt;""),"Anmerkung OnkoZert : Keine Erläuterung vorhanden",Datendefizite_Matrix!D16)</f>
        <v>#NUM!</v>
      </c>
      <c r="AJ15" s="43"/>
    </row>
    <row r="16" spans="1:62" ht="53.25" customHeight="1" x14ac:dyDescent="0.2">
      <c r="A16" s="171" t="s">
        <v>433</v>
      </c>
      <c r="B16" s="46" t="str">
        <f>CONCATENATE(IF(Berechnung3!$H$7=Berechnung2!$L$43,Berechnung3!$B$2,""),IF(Berechnung3!$H$8=Berechnung2!$L$43,Berechnung3!$B$3,""),IF(Berechnung3!$H$9=Berechnung2!$L$43,Berechnung3!$B$4,""),IF(Berechnung3!$H$10=Berechnung2!$L$43,Berechnung3!$B$5,""),IF(Berechnung3!$H$11=Berechnung2!$L$43,Berechnung3!$B$6,""))</f>
        <v/>
      </c>
      <c r="C16" s="46">
        <f>IF(LEN(B16)&gt;0,"X",0)</f>
        <v>0</v>
      </c>
      <c r="D16" s="166" t="str">
        <f>IF(COUNTIF(Berechnung3!$H$7:$H$11,Berechnung2!$L$43)&gt;0,CONCATENATE(Berechnung2!$E$5,"- ",Berechnung2!$L$43),"")</f>
        <v/>
      </c>
      <c r="E16" s="166" t="str">
        <f>IF(COUNTIF(Berechnung3!$H$7:$H$11,Berechnung2!$L$43)&gt;0,"b","")</f>
        <v/>
      </c>
      <c r="G16" s="70" t="e">
        <f t="array" ref="G16">INDEX(B:B,SMALL(IF($C$15:$C$25="X",ROW($15:$25)),2))</f>
        <v>#NUM!</v>
      </c>
      <c r="H16" s="253" t="e">
        <f t="array" ref="H16">INDEX(D:D,SMALL(IF($C$15:$C$25="X",ROW($15:$25)),2))</f>
        <v>#NUM!</v>
      </c>
      <c r="I16" s="325" t="e">
        <f t="array" ref="I16">INDEX(E:E,SMALL(IF($C$15:$C$25="X",ROW($15:$25)),2))</f>
        <v>#NUM!</v>
      </c>
      <c r="J16" s="326" t="e">
        <f>IF(AND(Datendefizite_Matrix!D17="",I16&lt;&gt;""),"Anmerkung OnkoZert : Keine Erläuterung vorhanden",Datendefizite_Matrix!D17)</f>
        <v>#NUM!</v>
      </c>
      <c r="AJ16" s="43"/>
    </row>
    <row r="17" spans="1:63" ht="38.1" customHeight="1" x14ac:dyDescent="0.2">
      <c r="A17" s="171" t="s">
        <v>434</v>
      </c>
      <c r="B17" s="46" t="str">
        <f>CONCATENATE(IF(Berechnung3!$H$12=Berechnung2!$L$44,Berechnung3!$B$2,""),IF(Berechnung3!$H$13=Berechnung2!$L$44,Berechnung3!$B$3,""),IF(Berechnung3!$H$14=Berechnung2!$L$44,Berechnung3!$B$4,""),IF(Berechnung3!$H$15=Berechnung2!$L$44,Berechnung3!$B$5,""),IF(Berechnung3!$H$16=Berechnung2!$L$44,Berechnung3!$B$6,""))</f>
        <v/>
      </c>
      <c r="C17" s="46">
        <f>IF(LEN(B17)&gt;0,"X",0)</f>
        <v>0</v>
      </c>
      <c r="D17" s="166" t="str">
        <f>IF(COUNTIF(Berechnung3!$H$12:$H$16,Berechnung2!$L$44)&gt;0,CONCATENATE(Berechnung2!$E$5,"- ",Berechnung2!$L$44),"")</f>
        <v/>
      </c>
      <c r="E17" s="166" t="str">
        <f>IF(COUNTIF(Berechnung3!$H$12:$H$16,Berechnung2!$L$44)&gt;0,"c","")</f>
        <v/>
      </c>
      <c r="G17" s="70" t="e">
        <f t="array" ref="G17">INDEX(B:B,SMALL(IF($C$15:$C$25="X",ROW($15:$25)),3))</f>
        <v>#NUM!</v>
      </c>
      <c r="H17" s="253" t="e">
        <f t="array" ref="H17">INDEX(D:D,SMALL(IF($C$15:$C$25="X",ROW($15:$25)),3))</f>
        <v>#NUM!</v>
      </c>
      <c r="I17" s="325" t="e">
        <f t="array" ref="I17">INDEX(E:E,SMALL(IF($C$15:$C$25="X",ROW($15:$25)),3))</f>
        <v>#NUM!</v>
      </c>
      <c r="J17" s="326" t="e">
        <f>IF(AND(Datendefizite_Matrix!D18="",I17&lt;&gt;""),"Anmerkung OnkoZert : Keine Erläuterung vorhanden",Datendefizite_Matrix!D18)</f>
        <v>#NUM!</v>
      </c>
      <c r="AJ17" s="43"/>
    </row>
    <row r="18" spans="1:63" ht="39.75" customHeight="1" x14ac:dyDescent="0.2">
      <c r="A18" s="171" t="s">
        <v>435</v>
      </c>
      <c r="B18" s="46" t="str">
        <f>CONCATENATE(IF(Berechnung3!$H$17=Berechnung2!$L$45,Berechnung3!$B$2,""),IF(Berechnung3!$H$18=Berechnung2!$L$45,Berechnung3!$B$3,""),IF(Berechnung3!$H$19=Berechnung2!$L$45,Berechnung3!$B$4,""),IF(Berechnung3!$H$20=Berechnung2!$L$45,Berechnung3!$B$5,""),IF(Berechnung3!$H$21=Berechnung2!$L$45,Berechnung3!$B$6,""))</f>
        <v/>
      </c>
      <c r="C18" s="46">
        <f>IF(LEN(B18)&gt;0,"X",0)</f>
        <v>0</v>
      </c>
      <c r="D18" s="166" t="str">
        <f>IF(COUNTIF(Berechnung3!$H$17:$H$21,Berechnung2!$L$45)&gt;0,CONCATENATE(Berechnung2!$E$5,"- ",Berechnung2!$L$45),"")</f>
        <v/>
      </c>
      <c r="E18" s="166" t="str">
        <f>IF(COUNTIF(Berechnung3!$H$17:$H$21,Berechnung2!$L$45)&gt;0,"d","")</f>
        <v/>
      </c>
      <c r="G18" s="70" t="e">
        <f t="array" ref="G18">INDEX(B:B,SMALL(IF($C$15:$C$25="X",ROW($15:$25)),4))</f>
        <v>#NUM!</v>
      </c>
      <c r="H18" s="253" t="e">
        <f t="array" ref="H18">INDEX(D:D,SMALL(IF($C$15:$C$25="X",ROW($15:$25)),4))</f>
        <v>#NUM!</v>
      </c>
      <c r="I18" s="325" t="e">
        <f t="array" ref="I18">INDEX(E:E,SMALL(IF($C$15:$C$25="X",ROW($15:$25)),4))</f>
        <v>#NUM!</v>
      </c>
      <c r="J18" s="326" t="e">
        <f>IF(AND(Datendefizite_Matrix!D19="",I18&lt;&gt;""),"Anmerkung OnkoZert : Keine Erläuterung vorhanden",Datendefizite_Matrix!D19)</f>
        <v>#NUM!</v>
      </c>
      <c r="AJ18" s="43"/>
    </row>
    <row r="19" spans="1:63" ht="49.5" customHeight="1" x14ac:dyDescent="0.2">
      <c r="A19" s="167" t="s">
        <v>3</v>
      </c>
      <c r="B19" s="47" t="s">
        <v>1012</v>
      </c>
      <c r="C19" s="46">
        <f>IF(LEN(D19)&gt;0,"X",0)</f>
        <v>0</v>
      </c>
      <c r="D19" s="166" t="str">
        <f>IF(COUNTIF(Berechnung3!$H$22,Berechnung2!$L$41)&gt;0,CONCATENATE(Berechnung1!$E$4,"                                     ",Berechnung2!$L$41),"")</f>
        <v/>
      </c>
      <c r="E19" s="166" t="str">
        <f>IF(COUNTIF(Berechnung3!$H$22,Berechnung2!$L$41)&gt;0,"e","")</f>
        <v/>
      </c>
      <c r="G19" s="70" t="e">
        <f t="array" ref="G19">INDEX(B:B,SMALL(IF($C$15:$C$25="X",ROW($15:$25)),5))</f>
        <v>#NUM!</v>
      </c>
      <c r="H19" s="253" t="e">
        <f t="array" ref="H19">INDEX(D:D,SMALL(IF($C$15:$C$25="X",ROW($15:$25)),5))</f>
        <v>#NUM!</v>
      </c>
      <c r="I19" s="325" t="e">
        <f t="array" ref="I19">INDEX(E:E,SMALL(IF($C$15:$C$25="X",ROW($15:$25)),5))</f>
        <v>#NUM!</v>
      </c>
      <c r="J19" s="326" t="e">
        <f>IF(AND(Datendefizite_Matrix!D20="",I19&lt;&gt;""),"Anmerkung OnkoZert : Keine Erläuterung vorhanden",Datendefizite_Matrix!D20)</f>
        <v>#NUM!</v>
      </c>
      <c r="AJ19" s="41"/>
      <c r="BK19" s="40"/>
    </row>
    <row r="20" spans="1:63" ht="38.1" customHeight="1" x14ac:dyDescent="0.2">
      <c r="A20" s="171" t="s">
        <v>289</v>
      </c>
      <c r="B20" s="46" t="str">
        <f>CONCATENATE(IF(Berechnung3!$H$23=Berechnung2!$L$39,Berechnung3!$B$2,""),IF(Berechnung3!$H$24=Berechnung2!$L$39,Berechnung3!$B$3,""),IF(Berechnung3!$H$25=Berechnung2!$L$39,Berechnung3!$B$4,""),IF(Berechnung3!$H$26=Berechnung2!$L$39,Berechnung3!$B$5,""),IF(Berechnung3!$H$27=Berechnung2!$L$39,Berechnung3!$B$6,""))</f>
        <v/>
      </c>
      <c r="C20" s="46">
        <f>IF(LEN(B20)&gt;0,"X",0)</f>
        <v>0</v>
      </c>
      <c r="D20" s="166" t="str">
        <f>IF(COUNTIF(Berechnung3!$H$23:$H$27,Berechnung2!$L$39)&gt;0,CONCATENATE(Berechnung1!$D$3,"                                                     ",Berechnung2!$L$39),"")</f>
        <v/>
      </c>
      <c r="E20" s="166" t="str">
        <f>IF(COUNTIF(Berechnung3!$H$23:$H$27,Berechnung2!$L$39)&gt;0,"f","")</f>
        <v/>
      </c>
      <c r="G20" s="70" t="e">
        <f t="array" ref="G20">INDEX(B:B,SMALL(IF($C$15:$C$25="X",ROW($15:$25)),6))</f>
        <v>#NUM!</v>
      </c>
      <c r="H20" s="253" t="e">
        <f t="array" ref="H20">INDEX(D:D,SMALL(IF($C$15:$C$25="X",ROW($15:$25)),6))</f>
        <v>#NUM!</v>
      </c>
      <c r="I20" s="325" t="e">
        <f t="array" ref="I20">INDEX(E:E,SMALL(IF($C$15:$C$25="X",ROW($15:$25)),6))</f>
        <v>#NUM!</v>
      </c>
      <c r="J20" s="326" t="e">
        <f>IF(AND(Datendefizite_Matrix!D21="",I20&lt;&gt;""),"Anmerkung OnkoZert : Keine Erläuterung vorhanden",Datendefizite_Matrix!D21)</f>
        <v>#NUM!</v>
      </c>
      <c r="AJ20" s="43"/>
    </row>
    <row r="21" spans="1:63" ht="38.1" customHeight="1" x14ac:dyDescent="0.2">
      <c r="A21" s="167"/>
      <c r="B21" s="47" t="s">
        <v>1012</v>
      </c>
      <c r="C21" s="46">
        <f>IF(LEN(D21)&gt;0,"X",0)</f>
        <v>0</v>
      </c>
      <c r="D21" s="166" t="str">
        <f>IF(COUNTIF(Berechnung3!$H$28,Berechnung2!$L$42),CONCATENATE(Berechnung2!$C$5,"                                     ",Berechnung2!$L$42),"")</f>
        <v/>
      </c>
      <c r="E21" s="166" t="str">
        <f>IF(COUNTIF(Berechnung3!$H$28,Berechnung2!$L$42)&gt;0,"g","")</f>
        <v/>
      </c>
      <c r="G21" s="70" t="e">
        <f t="array" ref="G21">INDEX(B:B,SMALL(IF($C$15:$C$25="X",ROW($15:$25)),7))</f>
        <v>#NUM!</v>
      </c>
      <c r="H21" s="253" t="e">
        <f t="array" ref="H21">INDEX(D:D,SMALL(IF($C$15:$C$25="X",ROW($15:$25)),7))</f>
        <v>#NUM!</v>
      </c>
      <c r="I21" s="325" t="e">
        <f t="array" ref="I21">INDEX(E:E,SMALL(IF($C$15:$C$25="X",ROW($15:$25)),7))</f>
        <v>#NUM!</v>
      </c>
      <c r="J21" s="326" t="e">
        <f>IF(AND(Datendefizite_Matrix!D22="",I21&lt;&gt;""),"Anmerkung OnkoZert : Keine Erläuterung vorhanden",Datendefizite_Matrix!D22)</f>
        <v>#NUM!</v>
      </c>
      <c r="AJ21" s="43"/>
    </row>
    <row r="22" spans="1:63" ht="38.1" customHeight="1" x14ac:dyDescent="0.2">
      <c r="A22" s="167" t="s">
        <v>295</v>
      </c>
      <c r="B22" s="46" t="str">
        <f>CONCATENATE(IF(Berechnung3!$H$29=Berechnung2!L40,Berechnung3!$B$2,""),IF(Berechnung3!$H$30=Berechnung2!L40,Berechnung3!$B$3,""),IF(Berechnung3!$H$31=Berechnung2!L40,Berechnung3!$B$4,""),IF(Berechnung3!$H$32=Berechnung2!L40,Berechnung3!$B$5,""),IF(Berechnung3!$H$33=Berechnung2!L40,Berechnung3!$B$6,""))</f>
        <v/>
      </c>
      <c r="C22" s="46">
        <f>IF(LEN(B22)&gt;0,"X",0)</f>
        <v>0</v>
      </c>
      <c r="D22" s="166" t="str">
        <f>IF(COUNTIF(Berechnung3!H29:H33,Berechnung2!$L$40)&gt;0,CONCATENATE(Berechnung1!$D$3,"                                                     ",Berechnung2!$L$40),"")</f>
        <v/>
      </c>
      <c r="E22" s="166" t="str">
        <f>IF(COUNTIF(Berechnung3!H29:H33,Berechnung2!$L$40)&gt;0,"h","")</f>
        <v/>
      </c>
      <c r="G22" s="70" t="e">
        <f t="array" ref="G22">INDEX(B:B,SMALL(IF($C$15:$C$25="X",ROW($15:$25)),8))</f>
        <v>#NUM!</v>
      </c>
      <c r="H22" s="253" t="e">
        <f t="array" ref="H22">INDEX(D:D,SMALL(IF($C$15:$C$25="X",ROW($15:$25)),8))</f>
        <v>#NUM!</v>
      </c>
      <c r="I22" s="325" t="e">
        <f t="array" ref="I22">INDEX(E:E,SMALL(IF($C$15:$C$25="X",ROW($15:$25)),8))</f>
        <v>#NUM!</v>
      </c>
      <c r="J22" s="326" t="e">
        <f>IF(AND(Datendefizite_Matrix!D23="",I22&lt;&gt;""),"Anmerkung OnkoZert : Keine Erläuterung vorhanden",Datendefizite_Matrix!D23)</f>
        <v>#NUM!</v>
      </c>
      <c r="AJ22" s="43"/>
      <c r="BK22" s="44"/>
    </row>
    <row r="23" spans="1:63" ht="38.1" customHeight="1" x14ac:dyDescent="0.2">
      <c r="A23" s="167" t="s">
        <v>351</v>
      </c>
      <c r="B23" s="47" t="str">
        <f>CONCATENATE(IF(Berechnung3!$H$34=Berechnung2!$L$47,Berechnung3!$B$2,""),IF(Berechnung3!$H$35=Berechnung2!$L$47,Berechnung3!$B$3,""),IF(Berechnung3!$H$36=Berechnung2!$L$47,Berechnung3!$B$4,""),IF(Berechnung3!$H$37=Berechnung2!$L$47,Berechnung3!$B$5,""),IF(Berechnung3!$H$38=Berechnung2!$L$47,Berechnung3!$B$6,""))</f>
        <v/>
      </c>
      <c r="C23" s="46">
        <f>IF(LEN(B23)&gt;0,"X",0)</f>
        <v>0</v>
      </c>
      <c r="D23" s="166" t="str">
        <f>IF(COUNTIF(Berechnung3!$H$34:$H$38,Berechnung2!$L$47)&gt;0,CONCATENATE(Berechnung1!$D$3,"                                     ",Berechnung2!$L$47),"")</f>
        <v/>
      </c>
      <c r="E23" s="166" t="str">
        <f>IF(COUNTIF(Berechnung3!$H$34:$H$38,Berechnung2!$L$47)&gt;0,"i","")</f>
        <v/>
      </c>
      <c r="G23" s="70" t="e">
        <f t="array" ref="G23">INDEX(B:B,SMALL(IF($C$15:$C$25="X",ROW($15:$25)),9))</f>
        <v>#NUM!</v>
      </c>
      <c r="H23" s="253" t="e">
        <f t="array" ref="H23">INDEX(D:D,SMALL(IF($C$15:$C$25="X",ROW($15:$25)),9))</f>
        <v>#NUM!</v>
      </c>
      <c r="I23" s="325" t="e">
        <f t="array" ref="I23">INDEX(E:E,SMALL(IF($C$15:$C$25="X",ROW($15:$25)),9))</f>
        <v>#NUM!</v>
      </c>
      <c r="J23" s="326" t="e">
        <f>IF(AND(Datendefizite_Matrix!D24="",I23&lt;&gt;""),"Anmerkung OnkoZert : Keine Erläuterung vorhanden",Datendefizite_Matrix!D24)</f>
        <v>#NUM!</v>
      </c>
    </row>
    <row r="24" spans="1:63" ht="38.1" customHeight="1" x14ac:dyDescent="0.2">
      <c r="A24" s="167" t="s">
        <v>468</v>
      </c>
      <c r="B24" s="47" t="str">
        <f>CONCATENATE(IF(Berechnung3!$H$39=Berechnung2!$L$54,Berechnung3!$B$2,""),IF(Berechnung3!$H$40=Berechnung2!$L$54,Berechnung3!$B$3,""),IF(Berechnung3!$H$41=Berechnung2!$L$54,Berechnung3!$B$4,""),IF(Berechnung3!$H$42=Berechnung2!$L$54,Berechnung3!$B$5,""))</f>
        <v/>
      </c>
      <c r="C24" s="46">
        <f>IF(LEN(B24)&gt;0,"X",0)</f>
        <v>0</v>
      </c>
      <c r="D24" s="166" t="str">
        <f>IF(COUNTIF(Berechnung3!$H$39:$H$43,Berechnung2!$L$54)&gt;0,CONCATENATE(Berechnung1!$D$3,"                                     ",Berechnung2!$L$54),"")</f>
        <v/>
      </c>
      <c r="E24" s="166" t="str">
        <f>IF(COUNTIF(Berechnung3!$H$39:$H$43,Berechnung2!$L$54)&gt;0,"j","")</f>
        <v/>
      </c>
      <c r="G24" s="70" t="e">
        <f t="array" ref="G24">INDEX(B:B,SMALL(IF($C$15:$C$25="X",ROW($15:$25)),10))</f>
        <v>#NUM!</v>
      </c>
      <c r="H24" s="253" t="e">
        <f t="array" ref="H24">INDEX(D:D,SMALL(IF($C$15:$C$25="X",ROW($15:$25)),10))</f>
        <v>#NUM!</v>
      </c>
      <c r="I24" s="325" t="e">
        <f t="array" ref="I24">INDEX(E:E,SMALL(IF($C$15:$C$25="X",ROW($15:$25)),10))</f>
        <v>#NUM!</v>
      </c>
      <c r="J24" s="326" t="e">
        <f>IF(AND(Datendefizite_Matrix!D25="",I24&lt;&gt;""),"Anmerkung OnkoZert : Keine Erläuterung vorhanden",Datendefizite_Matrix!D25)</f>
        <v>#NUM!</v>
      </c>
    </row>
    <row r="25" spans="1:63" ht="38.1" customHeight="1" x14ac:dyDescent="0.2">
      <c r="A25" s="167" t="s">
        <v>469</v>
      </c>
      <c r="B25" s="47" t="str">
        <f>IF(Berechnung3!$H$43=Berechnung2!$L$59,Berechnung3!$B$6,"")</f>
        <v/>
      </c>
      <c r="C25" s="47">
        <f>IF(LEN(B25)&gt;0,"X",0)</f>
        <v>0</v>
      </c>
      <c r="D25" s="244" t="str">
        <f>IF(COUNTIF(Berechnung3!H$43,Berechnung2!$L$59)&gt;0,CONCATENATE(Berechnung1!$D$3,"                                     ",Berechnung2!$L$59),"")</f>
        <v/>
      </c>
      <c r="E25" s="244" t="str">
        <f>IF(COUNTIF(Berechnung3!H$43,Berechnung2!$L$59)&gt;0,"k","")</f>
        <v/>
      </c>
      <c r="G25" s="70" t="e">
        <f t="array" ref="G25">INDEX(B:B,SMALL(IF($C$15:$C$25="X",ROW($15:$25)),11))</f>
        <v>#NUM!</v>
      </c>
      <c r="H25" s="253" t="e">
        <f t="array" ref="H25">INDEX(D:D,SMALL(IF($C$15:$C$25="X",ROW($15:$25)),11))</f>
        <v>#NUM!</v>
      </c>
      <c r="I25" s="325" t="e">
        <f t="array" ref="I25">INDEX(E:E,SMALL(IF($C$15:$C$25="X",ROW($15:$25)),11))</f>
        <v>#NUM!</v>
      </c>
      <c r="J25" s="326" t="e">
        <f>IF(AND(Datendefizite_Matrix!D26="",I25&lt;&gt;""),"Anmerkung OnkoZert : Keine Erläuterung vorhanden",Datendefizite_Matrix!D26)</f>
        <v>#NUM!</v>
      </c>
    </row>
    <row r="29" spans="1:63" x14ac:dyDescent="0.2">
      <c r="A29" s="116" t="s">
        <v>62</v>
      </c>
      <c r="B29" s="113"/>
    </row>
    <row r="30" spans="1:63" x14ac:dyDescent="0.2">
      <c r="A30" s="116" t="s">
        <v>537</v>
      </c>
      <c r="B30" s="113"/>
    </row>
    <row r="31" spans="1:63" x14ac:dyDescent="0.2">
      <c r="A31" s="114" t="str">
        <f>Basisdaten!M14</f>
        <v/>
      </c>
      <c r="B31" s="115">
        <f>IF(A31&gt;A32,0,DATEDIF(A31,A32,"y"))</f>
        <v>0</v>
      </c>
      <c r="C31" s="117"/>
    </row>
    <row r="32" spans="1:63" x14ac:dyDescent="0.2">
      <c r="A32" s="465">
        <v>44561</v>
      </c>
      <c r="B32" s="115"/>
    </row>
    <row r="34" spans="1:17" ht="20.25" x14ac:dyDescent="0.3">
      <c r="A34" s="357"/>
    </row>
    <row r="36" spans="1:17" s="355" customFormat="1" ht="20.25" x14ac:dyDescent="0.25">
      <c r="A36" s="354" t="s">
        <v>117</v>
      </c>
      <c r="B36" s="327" t="s">
        <v>126</v>
      </c>
      <c r="C36" s="328"/>
      <c r="D36" s="328"/>
      <c r="E36" s="329"/>
      <c r="F36" s="330" t="s">
        <v>123</v>
      </c>
      <c r="G36" s="331"/>
      <c r="H36" s="331"/>
      <c r="I36" s="331"/>
      <c r="J36" s="332"/>
      <c r="K36" s="329"/>
      <c r="L36" s="327" t="s">
        <v>345</v>
      </c>
      <c r="M36" s="328"/>
      <c r="N36" s="328"/>
      <c r="O36" s="328"/>
      <c r="P36" s="331" t="s">
        <v>346</v>
      </c>
      <c r="Q36" s="333"/>
    </row>
    <row r="37" spans="1:17" s="355" customFormat="1" x14ac:dyDescent="0.25">
      <c r="B37" s="334"/>
      <c r="C37" s="328"/>
      <c r="D37" s="328"/>
      <c r="E37" s="329"/>
      <c r="F37" s="330"/>
      <c r="G37" s="335"/>
      <c r="H37" s="335"/>
      <c r="I37" s="331"/>
      <c r="J37" s="332"/>
      <c r="K37" s="329"/>
      <c r="L37" s="333"/>
      <c r="M37" s="328"/>
      <c r="N37" s="328"/>
      <c r="O37" s="328"/>
      <c r="P37" s="336" t="s">
        <v>347</v>
      </c>
      <c r="Q37" s="333"/>
    </row>
    <row r="38" spans="1:17" s="355" customFormat="1" x14ac:dyDescent="0.25">
      <c r="B38" s="337"/>
      <c r="C38" s="338"/>
      <c r="D38" s="339" t="s">
        <v>129</v>
      </c>
      <c r="E38" s="173"/>
      <c r="F38" s="340"/>
      <c r="G38" s="174"/>
      <c r="H38" s="174"/>
      <c r="I38" s="174"/>
      <c r="J38" s="341"/>
      <c r="K38" s="173"/>
      <c r="L38" s="338" t="s">
        <v>505</v>
      </c>
      <c r="M38" s="338"/>
      <c r="N38" s="338"/>
      <c r="O38" s="338"/>
      <c r="P38" s="342"/>
      <c r="Q38" s="333"/>
    </row>
    <row r="39" spans="1:17" s="356" customFormat="1" x14ac:dyDescent="0.25">
      <c r="B39" s="1228" t="s">
        <v>119</v>
      </c>
      <c r="C39" s="1226"/>
      <c r="D39" s="343" t="s">
        <v>127</v>
      </c>
      <c r="E39" s="344" t="s">
        <v>114</v>
      </c>
      <c r="F39" s="345"/>
      <c r="G39" s="491">
        <v>100</v>
      </c>
      <c r="H39" s="346"/>
      <c r="I39" s="345"/>
      <c r="J39" s="178"/>
      <c r="K39" s="344"/>
      <c r="L39" s="347" t="s">
        <v>348</v>
      </c>
      <c r="M39" s="347"/>
      <c r="N39" s="347"/>
      <c r="O39" s="347"/>
      <c r="P39" s="343"/>
      <c r="Q39" s="348"/>
    </row>
    <row r="40" spans="1:17" s="356" customFormat="1" x14ac:dyDescent="0.25">
      <c r="B40" s="1228" t="s">
        <v>120</v>
      </c>
      <c r="C40" s="1226"/>
      <c r="D40" s="343" t="s">
        <v>127</v>
      </c>
      <c r="E40" s="344" t="s">
        <v>114</v>
      </c>
      <c r="F40" s="392">
        <v>0</v>
      </c>
      <c r="G40" s="349">
        <v>0</v>
      </c>
      <c r="H40" s="392"/>
      <c r="I40" s="404">
        <v>0.69999</v>
      </c>
      <c r="J40" s="404">
        <v>0.69999</v>
      </c>
      <c r="K40" s="344"/>
      <c r="L40" s="347" t="s">
        <v>447</v>
      </c>
      <c r="M40" s="347"/>
      <c r="N40" s="347"/>
      <c r="O40" s="347"/>
      <c r="P40" s="343"/>
      <c r="Q40" s="348"/>
    </row>
    <row r="41" spans="1:17" s="355" customFormat="1" ht="26.25" customHeight="1" x14ac:dyDescent="0.25">
      <c r="B41" s="1227" t="s">
        <v>895</v>
      </c>
      <c r="C41" s="1224"/>
      <c r="D41" s="343" t="s">
        <v>128</v>
      </c>
      <c r="E41" s="173" t="s">
        <v>114</v>
      </c>
      <c r="F41" s="177">
        <v>0</v>
      </c>
      <c r="G41" s="176">
        <v>0</v>
      </c>
      <c r="H41" s="177"/>
      <c r="I41" s="405">
        <v>0.79998999999999998</v>
      </c>
      <c r="J41" s="177">
        <v>0.79998999999999998</v>
      </c>
      <c r="K41" s="173"/>
      <c r="L41" s="338" t="s">
        <v>294</v>
      </c>
      <c r="M41" s="338"/>
      <c r="N41" s="338"/>
      <c r="O41" s="338"/>
      <c r="P41" s="342"/>
      <c r="Q41" s="333"/>
    </row>
    <row r="42" spans="1:17" s="355" customFormat="1" ht="26.25" customHeight="1" x14ac:dyDescent="0.25">
      <c r="B42" s="1225" t="s">
        <v>896</v>
      </c>
      <c r="C42" s="1226"/>
      <c r="D42" s="343" t="s">
        <v>127</v>
      </c>
      <c r="E42" s="344" t="s">
        <v>113</v>
      </c>
      <c r="F42" s="405"/>
      <c r="G42" s="176">
        <v>0</v>
      </c>
      <c r="H42" s="405">
        <v>0.95001000000000002</v>
      </c>
      <c r="I42" s="405">
        <v>1</v>
      </c>
      <c r="J42" s="404">
        <v>0.95001000000000002</v>
      </c>
      <c r="K42" s="173"/>
      <c r="L42" s="338" t="s">
        <v>136</v>
      </c>
      <c r="M42" s="338"/>
      <c r="N42" s="338"/>
      <c r="O42" s="338"/>
      <c r="P42" s="342"/>
      <c r="Q42" s="333"/>
    </row>
    <row r="43" spans="1:17" s="355" customFormat="1" ht="28.5" customHeight="1" x14ac:dyDescent="0.25">
      <c r="B43" s="1223" t="s">
        <v>433</v>
      </c>
      <c r="C43" s="1224"/>
      <c r="D43" s="342" t="s">
        <v>432</v>
      </c>
      <c r="E43" s="173"/>
      <c r="F43" s="174"/>
      <c r="G43" s="174"/>
      <c r="H43" s="174"/>
      <c r="I43" s="174"/>
      <c r="J43" s="341"/>
      <c r="K43" s="173"/>
      <c r="L43" s="1223" t="s">
        <v>446</v>
      </c>
      <c r="M43" s="1224"/>
      <c r="N43" s="338"/>
      <c r="O43" s="338"/>
      <c r="P43" s="342"/>
      <c r="Q43" s="333"/>
    </row>
    <row r="44" spans="1:17" s="355" customFormat="1" ht="30.75" customHeight="1" x14ac:dyDescent="0.25">
      <c r="B44" s="1223" t="s">
        <v>434</v>
      </c>
      <c r="C44" s="1224"/>
      <c r="D44" s="342" t="s">
        <v>432</v>
      </c>
      <c r="E44" s="173"/>
      <c r="F44" s="174"/>
      <c r="G44" s="174"/>
      <c r="H44" s="174"/>
      <c r="I44" s="174"/>
      <c r="J44" s="341"/>
      <c r="K44" s="173"/>
      <c r="L44" s="1223" t="s">
        <v>444</v>
      </c>
      <c r="M44" s="1224"/>
      <c r="N44" s="338"/>
      <c r="O44" s="338"/>
      <c r="P44" s="342"/>
      <c r="Q44" s="333"/>
    </row>
    <row r="45" spans="1:17" s="355" customFormat="1" ht="32.25" customHeight="1" x14ac:dyDescent="0.25">
      <c r="B45" s="1223" t="s">
        <v>435</v>
      </c>
      <c r="C45" s="1224"/>
      <c r="D45" s="342" t="s">
        <v>432</v>
      </c>
      <c r="E45" s="173"/>
      <c r="F45" s="174"/>
      <c r="G45" s="174"/>
      <c r="H45" s="174"/>
      <c r="I45" s="174"/>
      <c r="J45" s="341"/>
      <c r="K45" s="173"/>
      <c r="L45" s="1223" t="s">
        <v>445</v>
      </c>
      <c r="M45" s="1224"/>
      <c r="N45" s="338"/>
      <c r="O45" s="338"/>
      <c r="P45" s="342"/>
      <c r="Q45" s="333"/>
    </row>
    <row r="46" spans="1:17" s="355" customFormat="1" x14ac:dyDescent="0.25">
      <c r="B46" s="333"/>
      <c r="C46" s="333"/>
      <c r="D46" s="333"/>
      <c r="E46" s="333"/>
      <c r="F46" s="333"/>
      <c r="G46" s="333"/>
      <c r="H46" s="333"/>
      <c r="I46" s="333"/>
      <c r="J46" s="333"/>
      <c r="K46" s="333"/>
      <c r="L46" s="333"/>
      <c r="M46" s="333"/>
      <c r="N46" s="333"/>
      <c r="O46" s="333"/>
      <c r="P46" s="342"/>
      <c r="Q46" s="333"/>
    </row>
    <row r="47" spans="1:17" s="355" customFormat="1" x14ac:dyDescent="0.25">
      <c r="B47" s="350" t="s">
        <v>108</v>
      </c>
      <c r="C47" s="338"/>
      <c r="D47" s="173"/>
      <c r="E47" s="174" t="s">
        <v>125</v>
      </c>
      <c r="F47" s="174" t="s">
        <v>121</v>
      </c>
      <c r="G47" s="174"/>
      <c r="H47" s="174"/>
      <c r="I47" s="174"/>
      <c r="J47" s="174" t="s">
        <v>122</v>
      </c>
      <c r="K47" s="173"/>
      <c r="L47" s="351" t="s">
        <v>296</v>
      </c>
      <c r="M47" s="351"/>
      <c r="N47" s="352" t="s">
        <v>349</v>
      </c>
      <c r="O47" s="351"/>
      <c r="P47" s="342"/>
      <c r="Q47" s="333"/>
    </row>
    <row r="48" spans="1:17" s="355" customFormat="1" x14ac:dyDescent="0.25">
      <c r="B48" s="350">
        <v>2014</v>
      </c>
      <c r="C48" s="403">
        <v>0</v>
      </c>
      <c r="D48" s="176"/>
      <c r="E48" s="177">
        <v>0</v>
      </c>
      <c r="F48" s="404">
        <v>0.49998999999999999</v>
      </c>
      <c r="G48" s="393">
        <v>0.49998999999999999</v>
      </c>
      <c r="H48" s="178"/>
      <c r="I48" s="243"/>
      <c r="J48" s="395"/>
      <c r="K48" s="173"/>
      <c r="L48" s="351" t="s">
        <v>296</v>
      </c>
      <c r="M48" s="351"/>
      <c r="N48" s="352" t="s">
        <v>349</v>
      </c>
      <c r="O48" s="351"/>
      <c r="P48" s="342"/>
      <c r="Q48" s="333"/>
    </row>
    <row r="49" spans="2:17" s="355" customFormat="1" x14ac:dyDescent="0.25">
      <c r="B49" s="350">
        <v>2015</v>
      </c>
      <c r="C49" s="403">
        <v>0</v>
      </c>
      <c r="D49" s="176"/>
      <c r="E49" s="177">
        <v>0</v>
      </c>
      <c r="F49" s="404">
        <v>0.49990000000000001</v>
      </c>
      <c r="G49" s="393">
        <v>0.49998999999999999</v>
      </c>
      <c r="H49" s="178"/>
      <c r="I49" s="243"/>
      <c r="J49" s="395"/>
      <c r="K49" s="173"/>
      <c r="L49" s="351" t="s">
        <v>296</v>
      </c>
      <c r="M49" s="351"/>
      <c r="N49" s="352" t="s">
        <v>349</v>
      </c>
      <c r="O49" s="351"/>
      <c r="P49" s="342"/>
      <c r="Q49" s="333"/>
    </row>
    <row r="50" spans="2:17" s="355" customFormat="1" x14ac:dyDescent="0.25">
      <c r="B50" s="350">
        <v>2016</v>
      </c>
      <c r="C50" s="403">
        <v>0</v>
      </c>
      <c r="D50" s="176"/>
      <c r="E50" s="177">
        <v>0</v>
      </c>
      <c r="F50" s="404">
        <v>0.59999000000000002</v>
      </c>
      <c r="G50" s="393">
        <v>0.59999000000000002</v>
      </c>
      <c r="H50" s="178"/>
      <c r="I50" s="243"/>
      <c r="J50" s="395"/>
      <c r="K50" s="173"/>
      <c r="L50" s="351" t="s">
        <v>296</v>
      </c>
      <c r="M50" s="351"/>
      <c r="N50" s="352" t="s">
        <v>349</v>
      </c>
      <c r="O50" s="351"/>
      <c r="P50" s="342"/>
      <c r="Q50" s="333"/>
    </row>
    <row r="51" spans="2:17" s="355" customFormat="1" x14ac:dyDescent="0.25">
      <c r="B51" s="350">
        <v>2017</v>
      </c>
      <c r="C51" s="403">
        <v>0</v>
      </c>
      <c r="D51" s="176"/>
      <c r="E51" s="177">
        <v>0</v>
      </c>
      <c r="F51" s="404">
        <v>0.69999</v>
      </c>
      <c r="G51" s="393">
        <v>0.69999</v>
      </c>
      <c r="H51" s="178"/>
      <c r="I51" s="243"/>
      <c r="J51" s="395"/>
      <c r="K51" s="173"/>
      <c r="L51" s="351" t="s">
        <v>296</v>
      </c>
      <c r="M51" s="351"/>
      <c r="N51" s="352" t="s">
        <v>349</v>
      </c>
      <c r="O51" s="351"/>
      <c r="P51" s="342"/>
      <c r="Q51" s="333"/>
    </row>
    <row r="52" spans="2:17" s="355" customFormat="1" x14ac:dyDescent="0.25">
      <c r="B52" s="350">
        <v>2018</v>
      </c>
      <c r="C52" s="403">
        <v>0</v>
      </c>
      <c r="D52" s="176"/>
      <c r="E52" s="177">
        <v>0</v>
      </c>
      <c r="F52" s="404">
        <v>0.79998999999999998</v>
      </c>
      <c r="G52" s="393">
        <v>0.79998999999999998</v>
      </c>
      <c r="H52" s="178"/>
      <c r="I52" s="243"/>
      <c r="J52" s="395"/>
      <c r="K52" s="173"/>
      <c r="L52" s="351" t="s">
        <v>296</v>
      </c>
      <c r="M52" s="351"/>
      <c r="N52" s="352" t="s">
        <v>349</v>
      </c>
      <c r="O52" s="351"/>
      <c r="P52" s="342"/>
      <c r="Q52" s="333"/>
    </row>
    <row r="53" spans="2:17" s="355" customFormat="1" x14ac:dyDescent="0.25">
      <c r="B53" s="333"/>
      <c r="C53" s="333"/>
      <c r="D53" s="175"/>
      <c r="E53" s="175"/>
      <c r="F53" s="179"/>
      <c r="G53" s="394"/>
      <c r="H53" s="175"/>
      <c r="I53" s="394"/>
      <c r="J53" s="396"/>
      <c r="K53" s="179"/>
      <c r="L53" s="353"/>
      <c r="M53" s="353"/>
      <c r="N53" s="353"/>
      <c r="O53" s="353"/>
      <c r="P53" s="342"/>
      <c r="Q53" s="333"/>
    </row>
    <row r="54" spans="2:17" s="355" customFormat="1" x14ac:dyDescent="0.25">
      <c r="B54" s="350" t="s">
        <v>63</v>
      </c>
      <c r="C54" s="338"/>
      <c r="D54" s="173"/>
      <c r="E54" s="174"/>
      <c r="F54" s="174" t="s">
        <v>121</v>
      </c>
      <c r="G54" s="341"/>
      <c r="H54" s="174"/>
      <c r="I54" s="341"/>
      <c r="J54" s="341" t="s">
        <v>122</v>
      </c>
      <c r="K54" s="173"/>
      <c r="L54" s="351" t="s">
        <v>467</v>
      </c>
      <c r="M54" s="351"/>
      <c r="N54" s="351" t="s">
        <v>467</v>
      </c>
      <c r="O54" s="351"/>
      <c r="P54" s="342"/>
      <c r="Q54" s="333"/>
    </row>
    <row r="55" spans="2:17" s="355" customFormat="1" x14ac:dyDescent="0.25">
      <c r="B55" s="350">
        <v>2014</v>
      </c>
      <c r="C55" s="403">
        <v>0</v>
      </c>
      <c r="D55" s="176"/>
      <c r="E55" s="177">
        <v>0</v>
      </c>
      <c r="F55" s="404">
        <v>0.59999000000000002</v>
      </c>
      <c r="G55" s="393">
        <v>0.59999000000000002</v>
      </c>
      <c r="H55" s="178"/>
      <c r="I55" s="404">
        <v>1</v>
      </c>
      <c r="J55" s="393">
        <v>1</v>
      </c>
      <c r="K55" s="173"/>
      <c r="L55" s="351" t="s">
        <v>467</v>
      </c>
      <c r="M55" s="351"/>
      <c r="N55" s="351" t="s">
        <v>467</v>
      </c>
      <c r="O55" s="351"/>
      <c r="P55" s="342"/>
      <c r="Q55" s="333"/>
    </row>
    <row r="56" spans="2:17" s="355" customFormat="1" x14ac:dyDescent="0.25">
      <c r="B56" s="350">
        <v>2015</v>
      </c>
      <c r="C56" s="403">
        <v>0</v>
      </c>
      <c r="D56" s="176"/>
      <c r="E56" s="177">
        <v>0</v>
      </c>
      <c r="F56" s="404">
        <v>0.69999</v>
      </c>
      <c r="G56" s="393">
        <v>0.69999</v>
      </c>
      <c r="H56" s="178"/>
      <c r="I56" s="404">
        <v>1</v>
      </c>
      <c r="J56" s="393">
        <v>1</v>
      </c>
      <c r="K56" s="173"/>
      <c r="L56" s="351" t="s">
        <v>467</v>
      </c>
      <c r="M56" s="351"/>
      <c r="N56" s="351" t="s">
        <v>467</v>
      </c>
      <c r="O56" s="351"/>
      <c r="P56" s="342"/>
      <c r="Q56" s="333"/>
    </row>
    <row r="57" spans="2:17" s="355" customFormat="1" x14ac:dyDescent="0.25">
      <c r="B57" s="350">
        <v>2016</v>
      </c>
      <c r="C57" s="403">
        <v>0</v>
      </c>
      <c r="D57" s="176"/>
      <c r="E57" s="177">
        <v>0</v>
      </c>
      <c r="F57" s="404">
        <v>0.79998999999999998</v>
      </c>
      <c r="G57" s="393">
        <v>0.79998999999999998</v>
      </c>
      <c r="H57" s="178"/>
      <c r="I57" s="404">
        <v>1</v>
      </c>
      <c r="J57" s="393">
        <v>1</v>
      </c>
      <c r="K57" s="173"/>
      <c r="L57" s="351" t="s">
        <v>467</v>
      </c>
      <c r="M57" s="351"/>
      <c r="N57" s="351" t="s">
        <v>467</v>
      </c>
      <c r="O57" s="351"/>
      <c r="P57" s="342"/>
      <c r="Q57" s="333"/>
    </row>
    <row r="58" spans="2:17" s="355" customFormat="1" x14ac:dyDescent="0.25">
      <c r="B58" s="350">
        <v>2017</v>
      </c>
      <c r="C58" s="403">
        <v>0</v>
      </c>
      <c r="D58" s="176"/>
      <c r="E58" s="177">
        <v>0</v>
      </c>
      <c r="F58" s="404">
        <v>0.89998999999999996</v>
      </c>
      <c r="G58" s="393">
        <v>0.89998999999999996</v>
      </c>
      <c r="H58" s="178"/>
      <c r="I58" s="404">
        <v>1</v>
      </c>
      <c r="J58" s="393">
        <v>1</v>
      </c>
      <c r="K58" s="173"/>
      <c r="L58" s="351" t="s">
        <v>467</v>
      </c>
      <c r="M58" s="351"/>
      <c r="N58" s="351" t="s">
        <v>467</v>
      </c>
      <c r="O58" s="351"/>
      <c r="P58" s="342"/>
      <c r="Q58" s="333"/>
    </row>
    <row r="59" spans="2:17" s="355" customFormat="1" x14ac:dyDescent="0.25">
      <c r="B59" s="350">
        <v>2018</v>
      </c>
      <c r="C59" s="403">
        <v>0</v>
      </c>
      <c r="D59" s="176"/>
      <c r="E59" s="177">
        <v>0</v>
      </c>
      <c r="F59" s="404">
        <v>0.89998999999999996</v>
      </c>
      <c r="G59" s="393">
        <v>0.89998999999999996</v>
      </c>
      <c r="H59" s="178"/>
      <c r="I59" s="404">
        <v>1</v>
      </c>
      <c r="J59" s="395"/>
      <c r="K59" s="173"/>
      <c r="L59" s="351" t="s">
        <v>297</v>
      </c>
      <c r="M59" s="351"/>
      <c r="N59" s="352" t="s">
        <v>350</v>
      </c>
      <c r="O59" s="351"/>
      <c r="P59" s="342"/>
      <c r="Q59" s="333"/>
    </row>
  </sheetData>
  <customSheetViews>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1"/>
    </customSheetView>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2"/>
    </customSheetView>
  </customSheetViews>
  <mergeCells count="14">
    <mergeCell ref="E13:E14"/>
    <mergeCell ref="L44:M44"/>
    <mergeCell ref="L45:M45"/>
    <mergeCell ref="B44:C44"/>
    <mergeCell ref="B45:C45"/>
    <mergeCell ref="B42:C42"/>
    <mergeCell ref="B41:C41"/>
    <mergeCell ref="B43:C43"/>
    <mergeCell ref="L43:M43"/>
    <mergeCell ref="B40:C40"/>
    <mergeCell ref="B39:C39"/>
    <mergeCell ref="D13:D14"/>
    <mergeCell ref="B13:B14"/>
    <mergeCell ref="C13:C14"/>
  </mergeCells>
  <phoneticPr fontId="41" type="noConversion"/>
  <conditionalFormatting sqref="BH7">
    <cfRule type="expression" dxfId="51" priority="2160">
      <formula>$BH7="EZ"</formula>
    </cfRule>
    <cfRule type="expression" dxfId="50" priority="2161">
      <formula>$BH7="nicht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I23"/>
  <sheetViews>
    <sheetView workbookViewId="0">
      <selection activeCell="F9" sqref="F9"/>
    </sheetView>
  </sheetViews>
  <sheetFormatPr baseColWidth="10" defaultColWidth="11.42578125" defaultRowHeight="15" x14ac:dyDescent="0.25"/>
  <cols>
    <col min="1" max="1" width="14.7109375" customWidth="1"/>
    <col min="2" max="2" width="18.140625" customWidth="1"/>
    <col min="3" max="3" width="14.7109375" customWidth="1"/>
    <col min="4" max="4" width="13.28515625" customWidth="1"/>
    <col min="5" max="5" width="14.85546875" customWidth="1"/>
    <col min="6" max="6" width="17.140625" customWidth="1"/>
    <col min="7" max="7" width="16" customWidth="1"/>
    <col min="8" max="8" width="15.28515625" customWidth="1"/>
    <col min="9" max="9" width="13.140625" customWidth="1"/>
    <col min="10" max="10" width="9.7109375" customWidth="1"/>
    <col min="11" max="11" width="8.7109375" customWidth="1"/>
    <col min="12" max="12" width="10" customWidth="1"/>
  </cols>
  <sheetData>
    <row r="1" spans="1:9" ht="41.25" customHeight="1" x14ac:dyDescent="0.25">
      <c r="A1" s="252" t="str">
        <f>Matrix!B18</f>
        <v>Relevante Nachsorgejahre</v>
      </c>
      <c r="B1" s="252" t="str">
        <f>Matrix!C18</f>
        <v>Angabe Jahr Primärfälle</v>
      </c>
      <c r="C1" s="252" t="str">
        <f>Matrix!D18</f>
        <v>Anzahl Primärfälle
(posttherapeutisch tumorfrei)</v>
      </c>
      <c r="D1" s="252" t="str">
        <f>LEFT(Matrix!F18,18)</f>
        <v>Pat. mit Follow-Up</v>
      </c>
      <c r="E1" s="252" t="str">
        <f>Matrix!G18</f>
        <v>Follow-Up Quote in % (F / D)</v>
      </c>
      <c r="F1" s="252" t="str">
        <f>Matrix!I18</f>
        <v>DFS (Disease Free Survival) absolut</v>
      </c>
      <c r="G1" s="252" t="str">
        <f>Matrix!J18</f>
        <v>DFS (Disease Free Survival)  in %</v>
      </c>
      <c r="H1" s="252" t="str">
        <f>Matrix!L18</f>
        <v>OAS (Overall Survival) absolut</v>
      </c>
      <c r="I1" s="252" t="str">
        <f>Matrix!M18</f>
        <v>OAS (Overall Survival)  in %</v>
      </c>
    </row>
    <row r="2" spans="1:9" x14ac:dyDescent="0.25">
      <c r="A2" s="196" t="str">
        <f>Matrix!B20</f>
        <v>nicht relevant</v>
      </c>
      <c r="B2" s="196">
        <f>Matrix!C20</f>
        <v>2015</v>
      </c>
      <c r="C2" s="241" t="str">
        <f>IF(Matrix!D20="","",Matrix!D20)</f>
        <v/>
      </c>
      <c r="D2" s="241" t="str">
        <f>IF(Matrix!F20="","",Matrix!F20)</f>
        <v/>
      </c>
      <c r="E2" s="358" t="str">
        <f>IF(Matrix!G20="","",Matrix!G20*100)</f>
        <v/>
      </c>
      <c r="F2" s="241" t="str">
        <f>IF(Matrix!I20="","",Matrix!I20)</f>
        <v/>
      </c>
      <c r="G2" s="358" t="str">
        <f>IF(Matrix!J20="","",Matrix!J20*100)</f>
        <v/>
      </c>
      <c r="H2" s="241" t="str">
        <f>IF(Matrix!L20="","",Matrix!L20)</f>
        <v/>
      </c>
      <c r="I2" s="358" t="str">
        <f>IF(Matrix!M20="","",Matrix!M20*100)</f>
        <v/>
      </c>
    </row>
    <row r="3" spans="1:9" x14ac:dyDescent="0.25">
      <c r="A3" s="196" t="str">
        <f>Matrix!B21</f>
        <v>nicht relevant</v>
      </c>
      <c r="B3" s="196">
        <f>Matrix!C21</f>
        <v>2016</v>
      </c>
      <c r="C3" s="241" t="str">
        <f>IF(Matrix!D21="","",Matrix!D21)</f>
        <v/>
      </c>
      <c r="D3" s="241" t="str">
        <f>IF(Matrix!F21="","",Matrix!F21)</f>
        <v/>
      </c>
      <c r="E3" s="358" t="str">
        <f>IF(Matrix!G21="","",Matrix!G21*100)</f>
        <v/>
      </c>
      <c r="F3" s="241" t="str">
        <f>IF(Matrix!I21="","",Matrix!I21)</f>
        <v/>
      </c>
      <c r="G3" s="358" t="str">
        <f>IF(Matrix!J21="","",Matrix!J21*100)</f>
        <v/>
      </c>
      <c r="H3" s="241" t="str">
        <f>IF(Matrix!L21="","",Matrix!L21)</f>
        <v/>
      </c>
      <c r="I3" s="358" t="str">
        <f>IF(Matrix!M21="","",Matrix!M21*100)</f>
        <v/>
      </c>
    </row>
    <row r="4" spans="1:9" x14ac:dyDescent="0.25">
      <c r="A4" s="196" t="str">
        <f>Matrix!B22</f>
        <v>nicht relevant</v>
      </c>
      <c r="B4" s="196">
        <f>Matrix!C22</f>
        <v>2017</v>
      </c>
      <c r="C4" s="241" t="str">
        <f>IF(Matrix!D22="","",Matrix!D22)</f>
        <v/>
      </c>
      <c r="D4" s="241" t="str">
        <f>IF(Matrix!F22="","",Matrix!F22)</f>
        <v/>
      </c>
      <c r="E4" s="358" t="str">
        <f>IF(Matrix!G22="","",Matrix!G22*100)</f>
        <v/>
      </c>
      <c r="F4" s="241" t="str">
        <f>IF(Matrix!I22="","",Matrix!I22)</f>
        <v/>
      </c>
      <c r="G4" s="358" t="str">
        <f>IF(Matrix!J22="","",Matrix!J22*100)</f>
        <v/>
      </c>
      <c r="H4" s="241" t="str">
        <f>IF(Matrix!L22="","",Matrix!L22)</f>
        <v/>
      </c>
      <c r="I4" s="358" t="str">
        <f>IF(Matrix!M22="","",Matrix!M22*100)</f>
        <v/>
      </c>
    </row>
    <row r="5" spans="1:9" x14ac:dyDescent="0.25">
      <c r="A5" s="196" t="str">
        <f>Matrix!B23</f>
        <v>nicht relevant</v>
      </c>
      <c r="B5" s="196">
        <f>Matrix!C23</f>
        <v>2018</v>
      </c>
      <c r="C5" s="241" t="str">
        <f>IF(Matrix!D23="","",Matrix!D23)</f>
        <v/>
      </c>
      <c r="D5" s="241" t="str">
        <f>IF(Matrix!F23="","",Matrix!F23)</f>
        <v/>
      </c>
      <c r="E5" s="358" t="str">
        <f>IF(Matrix!G23="","",Matrix!G23*100)</f>
        <v/>
      </c>
      <c r="F5" s="241" t="str">
        <f>IF(Matrix!I23="","",Matrix!I23)</f>
        <v/>
      </c>
      <c r="G5" s="358" t="str">
        <f>IF(Matrix!J23="","",Matrix!J23*100)</f>
        <v/>
      </c>
      <c r="H5" s="241" t="str">
        <f>IF(Matrix!L23="","",Matrix!L23)</f>
        <v/>
      </c>
      <c r="I5" s="358" t="str">
        <f>IF(Matrix!M23="","",Matrix!M23*100)</f>
        <v/>
      </c>
    </row>
    <row r="6" spans="1:9" x14ac:dyDescent="0.25">
      <c r="A6" s="196" t="str">
        <f>Matrix!B24</f>
        <v>nicht relevant</v>
      </c>
      <c r="B6" s="196">
        <f>Matrix!C24</f>
        <v>2019</v>
      </c>
      <c r="C6" s="241" t="str">
        <f>IF(Matrix!D24="","",Matrix!D24)</f>
        <v/>
      </c>
      <c r="D6" s="241" t="str">
        <f>IF(Matrix!F24="","",Matrix!F24)</f>
        <v/>
      </c>
      <c r="E6" s="358" t="str">
        <f>IF(Matrix!G24="","",Matrix!G24*100)</f>
        <v/>
      </c>
      <c r="F6" s="241" t="str">
        <f>IF(Matrix!I24="","",Matrix!I24)</f>
        <v/>
      </c>
      <c r="G6" s="358" t="str">
        <f>IF(Matrix!J24="","",Matrix!J24*100)</f>
        <v/>
      </c>
      <c r="H6" s="241" t="str">
        <f>IF(Matrix!L24="","",Matrix!L24)</f>
        <v/>
      </c>
      <c r="I6" s="358" t="str">
        <f>IF(Matrix!M24="","",Matrix!M24*100)</f>
        <v/>
      </c>
    </row>
    <row r="9" spans="1:9" x14ac:dyDescent="0.25">
      <c r="A9" s="199"/>
    </row>
    <row r="10" spans="1:9" ht="45.75" customHeight="1" x14ac:dyDescent="0.25"/>
    <row r="12" spans="1:9" ht="35.1" customHeight="1" x14ac:dyDescent="0.25"/>
    <row r="13" spans="1:9" ht="35.1" customHeight="1" x14ac:dyDescent="0.25"/>
    <row r="14" spans="1:9" ht="35.1" customHeight="1" x14ac:dyDescent="0.25"/>
    <row r="15" spans="1:9" ht="35.1" customHeight="1" x14ac:dyDescent="0.25">
      <c r="I15" t="s">
        <v>78</v>
      </c>
    </row>
    <row r="16" spans="1:9" ht="35.1" customHeight="1" x14ac:dyDescent="0.25"/>
    <row r="17" ht="35.1" customHeight="1" x14ac:dyDescent="0.25"/>
    <row r="18" ht="35.1" customHeight="1" x14ac:dyDescent="0.25"/>
    <row r="19" ht="35.1" customHeight="1" x14ac:dyDescent="0.25"/>
    <row r="20" s="220" customFormat="1" ht="35.1" customHeight="1" x14ac:dyDescent="0.25"/>
    <row r="21" s="220" customFormat="1" ht="35.1" customHeight="1" x14ac:dyDescent="0.25"/>
    <row r="22" s="220" customFormat="1" ht="35.1" customHeight="1" x14ac:dyDescent="0.25"/>
    <row r="23" ht="35.1" customHeight="1" x14ac:dyDescent="0.25"/>
  </sheetData>
  <customSheetViews>
    <customSheetView guid="{AD479C9E-06F7-4C03-8179-295428B49475}">
      <selection activeCell="H28" sqref="H28"/>
      <pageMargins left="0.7" right="0.7" top="0.78740157499999996" bottom="0.78740157499999996" header="0.3" footer="0.3"/>
    </customSheetView>
    <customSheetView guid="{DAA0C1F4-4D8F-4BD8-91F9-40281B589772}" state="hidden">
      <selection activeCell="D30" sqref="D30"/>
      <pageMargins left="0.7" right="0.7" top="0.78740157499999996" bottom="0.78740157499999996" header="0.3" footer="0.3"/>
    </customSheetView>
  </customSheetViews>
  <phoneticPr fontId="41" type="noConversion"/>
  <conditionalFormatting sqref="B2:B6">
    <cfRule type="expression" dxfId="49" priority="47" stopIfTrue="1">
      <formula>OR($B2="nicht relevant",$B2="EZ")</formula>
    </cfRule>
  </conditionalFormatting>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dimension ref="A1:P48"/>
  <sheetViews>
    <sheetView showGridLines="0" zoomScaleNormal="100" workbookViewId="0">
      <selection activeCell="E44" sqref="E44"/>
    </sheetView>
  </sheetViews>
  <sheetFormatPr baseColWidth="10" defaultColWidth="11.42578125" defaultRowHeight="12" x14ac:dyDescent="0.25"/>
  <cols>
    <col min="1" max="1" width="13.140625" style="304" customWidth="1"/>
    <col min="2" max="2" width="9.140625" style="304" customWidth="1"/>
    <col min="3" max="3" width="3" style="304" customWidth="1"/>
    <col min="4" max="4" width="28.85546875" style="304" customWidth="1"/>
    <col min="5" max="5" width="15.28515625" style="289" customWidth="1"/>
    <col min="6" max="6" width="7.85546875" style="289" customWidth="1"/>
    <col min="7" max="7" width="8.28515625" style="289" customWidth="1"/>
    <col min="8" max="8" width="37" style="304" customWidth="1"/>
    <col min="9" max="9" width="55.7109375" style="304" customWidth="1"/>
    <col min="10" max="10" width="5.5703125" style="304" customWidth="1"/>
    <col min="11" max="11" width="25.5703125" style="304" customWidth="1"/>
    <col min="12" max="12" width="34.7109375" style="304" customWidth="1"/>
    <col min="13" max="13" width="36.28515625" style="304" customWidth="1"/>
    <col min="14" max="14" width="41.42578125" style="304" customWidth="1"/>
    <col min="15" max="15" width="65" style="304" customWidth="1"/>
    <col min="16" max="16" width="41.7109375" style="304" customWidth="1"/>
    <col min="17" max="16384" width="11.42578125" style="304"/>
  </cols>
  <sheetData>
    <row r="1" spans="1:16" s="12" customFormat="1" ht="24.75" thickBot="1" x14ac:dyDescent="0.3">
      <c r="A1" s="324"/>
      <c r="B1" s="324"/>
      <c r="C1" s="324"/>
      <c r="D1" s="323"/>
      <c r="E1" s="303"/>
      <c r="F1" s="303"/>
      <c r="G1" s="303"/>
      <c r="L1" s="317" t="s">
        <v>131</v>
      </c>
      <c r="M1" s="316" t="s">
        <v>518</v>
      </c>
      <c r="N1" s="316" t="s">
        <v>517</v>
      </c>
      <c r="O1" s="317" t="s">
        <v>64</v>
      </c>
      <c r="P1" s="317" t="s">
        <v>476</v>
      </c>
    </row>
    <row r="2" spans="1:16" s="12" customFormat="1" ht="23.1" customHeight="1" x14ac:dyDescent="0.25">
      <c r="A2" s="305" t="str">
        <f>IF(Berechnung2!$B$31&gt;5,IF(Berechnung2!$B$31=6,"EZ",IF(Berechnung2!$B$31&gt;6,"relevant","?")),"nicht relevant")</f>
        <v>nicht relevant</v>
      </c>
      <c r="B2" s="149" t="str">
        <f>CONCATENATE("2015;"," ")</f>
        <v xml:space="preserve">2015; </v>
      </c>
      <c r="C2" s="278"/>
      <c r="D2" s="279" t="s">
        <v>104</v>
      </c>
      <c r="E2" s="399" t="str">
        <f>IF(H2="","","2015")</f>
        <v/>
      </c>
      <c r="F2" s="306" t="str">
        <f>IF(H2="","","a")</f>
        <v/>
      </c>
      <c r="G2" s="419" t="str">
        <f>IF(I2="","","1")</f>
        <v/>
      </c>
      <c r="H2" s="421" t="str">
        <f>IF(A2="relevant",IF(COUNTIF(Matrix!D20:M20,"")&gt;3,Berechnung2!$L$38,""),"")</f>
        <v/>
      </c>
      <c r="I2" s="297" t="str">
        <f>IF(H2="","",VLOOKUP(F2,Berechnung2!$I$15:$J$25,2,FALSE))</f>
        <v/>
      </c>
      <c r="J2" s="423" t="str">
        <f>IF(H2&lt;&gt;"",1,"")</f>
        <v/>
      </c>
      <c r="L2" s="305" t="str">
        <f t="array" aca="1" ref="L2" ca="1">IF(ROW()-ROW($F$2:$F$43)+1&gt;ROWS($E$2:$E$43)-COUNTBLANK($E$2:$E$43),"",INDIRECT(ADDRESS(SMALL((IF($E$2:$E$43&lt;&gt;"",ROW($E$2:$E$43),ROW()+ROWS($E$2:$E$43))),ROW()-ROW($F$2:$F$43)+1),COLUMN($E$2:$E$43),4)))</f>
        <v/>
      </c>
      <c r="M2" s="305" t="str">
        <f t="array" aca="1" ref="M2" ca="1">IF(ROW()-ROW($G$2:$G$43)+1&gt;ROWS($F$2:$F$43)-COUNTBLANK($F$2:$F$43),"",INDIRECT(ADDRESS(SMALL((IF($F$2:$F$43&lt;&gt;"",ROW($F$2:$F$43),ROW()+ROWS($F$2:$F$43))),ROW()-ROW($G$2:$G$43)+1),COLUMN($F$2:$F$43),4)))</f>
        <v/>
      </c>
      <c r="N2" s="305" t="str">
        <f t="array" aca="1" ref="N2" ca="1">IF(ROW()-ROW($H$2:$H$43)+1&gt;ROWS($G$2:$G$43)-COUNTBLANK($G$2:$G$43),"",INDIRECT(ADDRESS(SMALL((IF($G$2:$G$43&lt;&gt;"",ROW($G$2:$G$43),ROW()+ROWS($G$2:$G$43))),ROW()-ROW($H$2:$H$43)+1),COLUMN($G$2:$G$43),4)))</f>
        <v/>
      </c>
      <c r="O2" s="305" t="str">
        <f t="array" aca="1" ref="O2" ca="1">IF(ROW()-ROW($I$2:$I$43)+1&gt;ROWS($H$2:$H$43)-COUNTBLANK($H$2:$H$43),"",INDIRECT(ADDRESS(SMALL((IF($H$2:$H$43&lt;&gt;"",ROW($H$2:$H$43),ROW()+ROWS($H$2:$H$43))),ROW()-ROW($I$2:$I$43)+1),COLUMN($H$2:$H$43),4)))</f>
        <v/>
      </c>
      <c r="P2" s="305" t="str">
        <f t="array" aca="1" ref="P2" ca="1">IF(ROW()-ROW($J$2:$J$43)+1&gt;ROWS($I$2:$I$43)-COUNTBLANK($I$2:$I$43),"",INDIRECT(ADDRESS(SMALL((IF($I$2:$I$43&lt;&gt;"",ROW($I$2:$I$43),ROW()+ROWS($I$2:$I$43))),ROW()-ROW($J$2:$J$43)+1),COLUMN($I$2:$I$43),4)))</f>
        <v/>
      </c>
    </row>
    <row r="3" spans="1:16" s="12" customFormat="1" ht="23.1" customHeight="1" x14ac:dyDescent="0.25">
      <c r="A3" s="305" t="str">
        <f>IF(Berechnung2!$B$31&gt;4,IF(Berechnung2!$B$31=5,"EZ",IF(Berechnung2!$B$31&gt;5,"relevant","?")),"nicht relevant")</f>
        <v>nicht relevant</v>
      </c>
      <c r="B3" s="149" t="str">
        <f>CONCATENATE("2016;"," ")</f>
        <v xml:space="preserve">2016; </v>
      </c>
      <c r="C3" s="278"/>
      <c r="D3" s="1235" t="s">
        <v>505</v>
      </c>
      <c r="E3" s="400" t="str">
        <f>IF(H3="","","2016")</f>
        <v/>
      </c>
      <c r="F3" s="76" t="str">
        <f>IF(H3="","","a")</f>
        <v/>
      </c>
      <c r="G3" s="420" t="str">
        <f t="shared" ref="G3:G21" si="0">IF(I3="","","1")</f>
        <v/>
      </c>
      <c r="H3" s="422" t="str">
        <f>IF(A3="relevant",IF(COUNTIF(Matrix!D21:M21,"")&gt;3,Berechnung2!$L$38,""),"")</f>
        <v/>
      </c>
      <c r="I3" s="298" t="str">
        <f>IF(H3="","",VLOOKUP(F3,Berechnung2!$I$15:$J$25,2,FALSE))</f>
        <v/>
      </c>
      <c r="J3" s="424" t="str">
        <f t="shared" ref="J3:J43" si="1">IF(H3&lt;&gt;"",1,"")</f>
        <v/>
      </c>
      <c r="L3" s="305" t="str">
        <f t="array" aca="1" ref="L3" ca="1">IF(ROW()-ROW($F$2:$F$43)+1&gt;ROWS($E$2:$E$43)-COUNTBLANK($E$2:$E$43),"",INDIRECT(ADDRESS(SMALL((IF($E$2:$E$43&lt;&gt;"",ROW($E$2:$E$43),ROW()+ROWS($E$2:$E$43))),ROW()-ROW($F$2:$F$43)+1),COLUMN($E$2:$E$43),4)))</f>
        <v/>
      </c>
      <c r="M3" s="305" t="str">
        <f t="array" aca="1" ref="M3" ca="1">IF(ROW()-ROW($G$2:$G$43)+1&gt;ROWS($F$2:$F$43)-COUNTBLANK($F$2:$F$43),"",INDIRECT(ADDRESS(SMALL((IF($F$2:$F$43&lt;&gt;"",ROW($F$2:$F$43),ROW()+ROWS($F$2:$F$43))),ROW()-ROW($G$2:$G$43)+1),COLUMN($F$2:$F$43),4)))</f>
        <v/>
      </c>
      <c r="N3" s="305" t="str">
        <f t="array" aca="1" ref="N3" ca="1">IF(ROW()-ROW($H$2:$H$43)+1&gt;ROWS($G$2:$G$43)-COUNTBLANK($G$2:$G$43),"",INDIRECT(ADDRESS(SMALL((IF($G$2:$G$43&lt;&gt;"",ROW($G$2:$G$43),ROW()+ROWS($G$2:$G$43))),ROW()-ROW($H$2:$H$43)+1),COLUMN($G$2:$G$43),4)))</f>
        <v/>
      </c>
      <c r="O3" s="305" t="str">
        <f t="array" aca="1" ref="O3" ca="1">IF(ROW()-ROW($I$2:$I$43)+1&gt;ROWS($H$2:$H$43)-COUNTBLANK($H$2:$H$43),"",INDIRECT(ADDRESS(SMALL((IF($H$2:$H$43&lt;&gt;"",ROW($H$2:$H$43),ROW()+ROWS($H$2:$H$43))),ROW()-ROW($I$2:$I$43)+1),COLUMN($H$2:$H$43),4)))</f>
        <v/>
      </c>
      <c r="P3" s="305" t="str">
        <f t="array" aca="1" ref="P3" ca="1">IF(ROW()-ROW($J$2:$J$43)+1&gt;ROWS($I$2:$I$43)-COUNTBLANK($I$2:$I$43),"",INDIRECT(ADDRESS(SMALL((IF($I$2:$I$43&lt;&gt;"",ROW($I$2:$I$43),ROW()+ROWS($I$2:$I$43))),ROW()-ROW($J$2:$J$43)+1),COLUMN($I$2:$I$43),4)))</f>
        <v/>
      </c>
    </row>
    <row r="4" spans="1:16" s="12" customFormat="1" ht="23.1" customHeight="1" x14ac:dyDescent="0.25">
      <c r="A4" s="305" t="str">
        <f>IF(Berechnung2!$B$31&gt;3,IF(Berechnung2!$B$31=4,"EZ",IF(Berechnung2!$B$31&gt;4,"relevant","?")),"nicht relevant")</f>
        <v>nicht relevant</v>
      </c>
      <c r="B4" s="149" t="str">
        <f>CONCATENATE("2017;"," ")</f>
        <v xml:space="preserve">2017; </v>
      </c>
      <c r="C4" s="278"/>
      <c r="D4" s="1235"/>
      <c r="E4" s="400" t="str">
        <f>IF(H4="","","2017")</f>
        <v/>
      </c>
      <c r="F4" s="76" t="str">
        <f>IF(H4="","","a")</f>
        <v/>
      </c>
      <c r="G4" s="420" t="str">
        <f t="shared" si="0"/>
        <v/>
      </c>
      <c r="H4" s="422" t="str">
        <f>IF(A4="relevant",IF(COUNTIF(Matrix!D22:M22,"")&gt;3,Berechnung2!$L$38,""),"")</f>
        <v/>
      </c>
      <c r="I4" s="298" t="str">
        <f>IF(H4="","",VLOOKUP(F4,Berechnung2!$I$15:$J$25,2,FALSE))</f>
        <v/>
      </c>
      <c r="J4" s="424" t="str">
        <f t="shared" si="1"/>
        <v/>
      </c>
      <c r="L4" s="305" t="str">
        <f t="array" aca="1" ref="L4" ca="1">IF(ROW()-ROW($F$2:$F$43)+1&gt;ROWS($E$2:$E$43)-COUNTBLANK($E$2:$E$43),"",INDIRECT(ADDRESS(SMALL((IF($E$2:$E$43&lt;&gt;"",ROW($E$2:$E$43),ROW()+ROWS($E$2:$E$43))),ROW()-ROW($F$2:$F$43)+1),COLUMN($E$2:$E$43),4)))</f>
        <v/>
      </c>
      <c r="M4" s="305" t="str">
        <f t="array" aca="1" ref="M4" ca="1">IF(ROW()-ROW($G$2:$G$43)+1&gt;ROWS($F$2:$F$43)-COUNTBLANK($F$2:$F$43),"",INDIRECT(ADDRESS(SMALL((IF($F$2:$F$43&lt;&gt;"",ROW($F$2:$F$43),ROW()+ROWS($F$2:$F$43))),ROW()-ROW($G$2:$G$43)+1),COLUMN($F$2:$F$43),4)))</f>
        <v/>
      </c>
      <c r="N4" s="305" t="str">
        <f t="array" aca="1" ref="N4" ca="1">IF(ROW()-ROW($H$2:$H$43)+1&gt;ROWS($G$2:$G$43)-COUNTBLANK($G$2:$G$43),"",INDIRECT(ADDRESS(SMALL((IF($G$2:$G$43&lt;&gt;"",ROW($G$2:$G$43),ROW()+ROWS($G$2:$G$43))),ROW()-ROW($H$2:$H$43)+1),COLUMN($G$2:$G$43),4)))</f>
        <v/>
      </c>
      <c r="O4" s="305" t="str">
        <f t="array" aca="1" ref="O4" ca="1">IF(ROW()-ROW($I$2:$I$43)+1&gt;ROWS($H$2:$H$43)-COUNTBLANK($H$2:$H$43),"",INDIRECT(ADDRESS(SMALL((IF($H$2:$H$43&lt;&gt;"",ROW($H$2:$H$43),ROW()+ROWS($H$2:$H$43))),ROW()-ROW($I$2:$I$43)+1),COLUMN($H$2:$H$43),4)))</f>
        <v/>
      </c>
      <c r="P4" s="305" t="str">
        <f t="array" aca="1" ref="P4" ca="1">IF(ROW()-ROW($J$2:$J$43)+1&gt;ROWS($I$2:$I$43)-COUNTBLANK($I$2:$I$43),"",INDIRECT(ADDRESS(SMALL((IF($I$2:$I$43&lt;&gt;"",ROW($I$2:$I$43),ROW()+ROWS($I$2:$I$43))),ROW()-ROW($J$2:$J$43)+1),COLUMN($I$2:$I$43),4)))</f>
        <v/>
      </c>
    </row>
    <row r="5" spans="1:16" s="12" customFormat="1" ht="23.1" customHeight="1" x14ac:dyDescent="0.25">
      <c r="A5" s="305" t="str">
        <f>IF(Berechnung2!$B$31&gt;2,IF(Berechnung2!$B$31=3,"EZ",IF(Berechnung2!$B$31&gt;3,"relevant","?")),"nicht relevant")</f>
        <v>nicht relevant</v>
      </c>
      <c r="B5" s="149" t="str">
        <f>CONCATENATE("2018;"," ")</f>
        <v xml:space="preserve">2018; </v>
      </c>
      <c r="C5" s="278"/>
      <c r="D5" s="1235"/>
      <c r="E5" s="400" t="str">
        <f>IF(H5="","","2018")</f>
        <v/>
      </c>
      <c r="F5" s="76" t="str">
        <f>IF(H5="","","a")</f>
        <v/>
      </c>
      <c r="G5" s="420" t="str">
        <f t="shared" si="0"/>
        <v/>
      </c>
      <c r="H5" s="422" t="str">
        <f>IF(A5="relevant",IF(COUNTIF(Matrix!D23:M23,"")&gt;3,Berechnung2!$L$38,""),"")</f>
        <v/>
      </c>
      <c r="I5" s="298" t="str">
        <f>IF(H5="","",VLOOKUP(F5,Berechnung2!$I$15:$J$25,2,FALSE))</f>
        <v/>
      </c>
      <c r="J5" s="424" t="str">
        <f t="shared" si="1"/>
        <v/>
      </c>
      <c r="L5" s="305" t="str">
        <f t="array" aca="1" ref="L5" ca="1">IF(ROW()-ROW($F$2:$F$43)+1&gt;ROWS($E$2:$E$43)-COUNTBLANK($E$2:$E$43),"",INDIRECT(ADDRESS(SMALL((IF($E$2:$E$43&lt;&gt;"",ROW($E$2:$E$43),ROW()+ROWS($E$2:$E$43))),ROW()-ROW($F$2:$F$43)+1),COLUMN($E$2:$E$43),4)))</f>
        <v/>
      </c>
      <c r="M5" s="305" t="str">
        <f t="array" aca="1" ref="M5" ca="1">IF(ROW()-ROW($G$2:$G$43)+1&gt;ROWS($F$2:$F$43)-COUNTBLANK($F$2:$F$43),"",INDIRECT(ADDRESS(SMALL((IF($F$2:$F$43&lt;&gt;"",ROW($F$2:$F$43),ROW()+ROWS($F$2:$F$43))),ROW()-ROW($G$2:$G$43)+1),COLUMN($F$2:$F$43),4)))</f>
        <v/>
      </c>
      <c r="N5" s="305" t="str">
        <f t="array" aca="1" ref="N5" ca="1">IF(ROW()-ROW($H$2:$H$43)+1&gt;ROWS($G$2:$G$43)-COUNTBLANK($G$2:$G$43),"",INDIRECT(ADDRESS(SMALL((IF($G$2:$G$43&lt;&gt;"",ROW($G$2:$G$43),ROW()+ROWS($G$2:$G$43))),ROW()-ROW($H$2:$H$43)+1),COLUMN($G$2:$G$43),4)))</f>
        <v/>
      </c>
      <c r="O5" s="305" t="str">
        <f t="array" aca="1" ref="O5" ca="1">IF(ROW()-ROW($I$2:$I$43)+1&gt;ROWS($H$2:$H$43)-COUNTBLANK($H$2:$H$43),"",INDIRECT(ADDRESS(SMALL((IF($H$2:$H$43&lt;&gt;"",ROW($H$2:$H$43),ROW()+ROWS($H$2:$H$43))),ROW()-ROW($I$2:$I$43)+1),COLUMN($H$2:$H$43),4)))</f>
        <v/>
      </c>
      <c r="P5" s="305" t="str">
        <f t="array" aca="1" ref="P5" ca="1">IF(ROW()-ROW($J$2:$J$43)+1&gt;ROWS($I$2:$I$43)-COUNTBLANK($I$2:$I$43),"",INDIRECT(ADDRESS(SMALL((IF($I$2:$I$43&lt;&gt;"",ROW($I$2:$I$43),ROW()+ROWS($I$2:$I$43))),ROW()-ROW($J$2:$J$43)+1),COLUMN($I$2:$I$43),4)))</f>
        <v/>
      </c>
    </row>
    <row r="6" spans="1:16" s="12" customFormat="1" ht="23.1" customHeight="1" thickBot="1" x14ac:dyDescent="0.3">
      <c r="A6" s="305" t="str">
        <f>IF(Berechnung2!$B$31&gt;1,IF(Berechnung2!$B$31=2,"EZ",IF(Berechnung2!$B$31&gt;2,"relevant","?")),"nicht relevant")</f>
        <v>nicht relevant</v>
      </c>
      <c r="B6" s="149" t="str">
        <f>CONCATENATE("2019;"," ")</f>
        <v xml:space="preserve">2019; </v>
      </c>
      <c r="C6" s="278"/>
      <c r="D6" s="283" t="s">
        <v>520</v>
      </c>
      <c r="E6" s="433" t="str">
        <f>IF(H6="","","2019")</f>
        <v/>
      </c>
      <c r="F6" s="434" t="str">
        <f>IF(H6="","","a")</f>
        <v/>
      </c>
      <c r="G6" s="435" t="str">
        <f t="shared" si="0"/>
        <v/>
      </c>
      <c r="H6" s="436" t="str">
        <f>IF(A6="relevant",IF(COUNTIF(Matrix!D24:M24,"")&gt;3,Berechnung2!$L$38,""),"")</f>
        <v/>
      </c>
      <c r="I6" s="437" t="str">
        <f>IF(H6="","",VLOOKUP(F6,Berechnung2!$I$15:$J$25,2,FALSE))</f>
        <v/>
      </c>
      <c r="J6" s="438" t="str">
        <f t="shared" si="1"/>
        <v/>
      </c>
      <c r="L6" s="305" t="str">
        <f t="array" aca="1" ref="L6" ca="1">IF(ROW()-ROW($F$2:$F$43)+1&gt;ROWS($E$2:$E$43)-COUNTBLANK($E$2:$E$43),"",INDIRECT(ADDRESS(SMALL((IF($E$2:$E$43&lt;&gt;"",ROW($E$2:$E$43),ROW()+ROWS($E$2:$E$43))),ROW()-ROW($F$2:$F$43)+1),COLUMN($E$2:$E$43),4)))</f>
        <v/>
      </c>
      <c r="M6" s="305" t="str">
        <f t="array" aca="1" ref="M6" ca="1">IF(ROW()-ROW($G$2:$G$43)+1&gt;ROWS($F$2:$F$43)-COUNTBLANK($F$2:$F$43),"",INDIRECT(ADDRESS(SMALL((IF($F$2:$F$43&lt;&gt;"",ROW($F$2:$F$43),ROW()+ROWS($F$2:$F$43))),ROW()-ROW($G$2:$G$43)+1),COLUMN($F$2:$F$43),4)))</f>
        <v/>
      </c>
      <c r="N6" s="305" t="str">
        <f t="array" aca="1" ref="N6" ca="1">IF(ROW()-ROW($H$2:$H$43)+1&gt;ROWS($G$2:$G$43)-COUNTBLANK($G$2:$G$43),"",INDIRECT(ADDRESS(SMALL((IF($G$2:$G$43&lt;&gt;"",ROW($G$2:$G$43),ROW()+ROWS($G$2:$G$43))),ROW()-ROW($H$2:$H$43)+1),COLUMN($G$2:$G$43),4)))</f>
        <v/>
      </c>
      <c r="O6" s="305" t="str">
        <f t="array" aca="1" ref="O6" ca="1">IF(ROW()-ROW($I$2:$I$43)+1&gt;ROWS($H$2:$H$43)-COUNTBLANK($H$2:$H$43),"",INDIRECT(ADDRESS(SMALL((IF($H$2:$H$43&lt;&gt;"",ROW($H$2:$H$43),ROW()+ROWS($H$2:$H$43))),ROW()-ROW($I$2:$I$43)+1),COLUMN($H$2:$H$43),4)))</f>
        <v/>
      </c>
      <c r="P6" s="305" t="str">
        <f t="array" aca="1" ref="P6" ca="1">IF(ROW()-ROW($J$2:$J$43)+1&gt;ROWS($I$2:$I$43)-COUNTBLANK($I$2:$I$43),"",INDIRECT(ADDRESS(SMALL((IF($I$2:$I$43&lt;&gt;"",ROW($I$2:$I$43),ROW()+ROWS($I$2:$I$43))),ROW()-ROW($J$2:$J$43)+1),COLUMN($I$2:$I$43),4)))</f>
        <v/>
      </c>
    </row>
    <row r="7" spans="1:16" s="12" customFormat="1" ht="30.75" customHeight="1" x14ac:dyDescent="0.25">
      <c r="D7" s="418" t="s">
        <v>102</v>
      </c>
      <c r="E7" s="399" t="str">
        <f>IF(H7="","","2015")</f>
        <v/>
      </c>
      <c r="F7" s="306" t="str">
        <f>IF(H7="","","b")</f>
        <v/>
      </c>
      <c r="G7" s="306" t="str">
        <f t="shared" si="0"/>
        <v/>
      </c>
      <c r="H7" s="293" t="str">
        <f>IF(A2="relevant",IF(Matrix!F20="","",IF(Matrix!F20&gt;Matrix!D20,Berechnung2!$L$43,"")),"")</f>
        <v/>
      </c>
      <c r="I7" s="297" t="str">
        <f>IF(H7="","",VLOOKUP(F7,Berechnung2!$I$15:$J$25,2,FALSE))</f>
        <v/>
      </c>
      <c r="J7" s="319" t="str">
        <f t="shared" si="1"/>
        <v/>
      </c>
      <c r="K7" s="288"/>
      <c r="L7" s="305" t="str">
        <f t="array" aca="1" ref="L7" ca="1">IF(ROW()-ROW($F$2:$F$43)+1&gt;ROWS($E$2:$E$43)-COUNTBLANK($E$2:$E$43),"",INDIRECT(ADDRESS(SMALL((IF($E$2:$E$43&lt;&gt;"",ROW($E$2:$E$43),ROW()+ROWS($E$2:$E$43))),ROW()-ROW($F$2:$F$43)+1),COLUMN($E$2:$E$43),4)))</f>
        <v/>
      </c>
      <c r="M7" s="305" t="str">
        <f t="array" aca="1" ref="M7" ca="1">IF(ROW()-ROW($G$2:$G$43)+1&gt;ROWS($F$2:$F$43)-COUNTBLANK($F$2:$F$43),"",INDIRECT(ADDRESS(SMALL((IF($F$2:$F$43&lt;&gt;"",ROW($F$2:$F$43),ROW()+ROWS($F$2:$F$43))),ROW()-ROW($G$2:$G$43)+1),COLUMN($F$2:$F$43),4)))</f>
        <v/>
      </c>
      <c r="N7" s="305" t="str">
        <f t="array" aca="1" ref="N7" ca="1">IF(ROW()-ROW($H$2:$H$43)+1&gt;ROWS($G$2:$G$43)-COUNTBLANK($G$2:$G$43),"",INDIRECT(ADDRESS(SMALL((IF($G$2:$G$43&lt;&gt;"",ROW($G$2:$G$43),ROW()+ROWS($G$2:$G$43))),ROW()-ROW($H$2:$H$43)+1),COLUMN($G$2:$G$43),4)))</f>
        <v/>
      </c>
      <c r="O7" s="305" t="str">
        <f t="array" aca="1" ref="O7" ca="1">IF(ROW()-ROW($I$2:$I$43)+1&gt;ROWS($H$2:$H$43)-COUNTBLANK($H$2:$H$43),"",INDIRECT(ADDRESS(SMALL((IF($H$2:$H$43&lt;&gt;"",ROW($H$2:$H$43),ROW()+ROWS($H$2:$H$43))),ROW()-ROW($I$2:$I$43)+1),COLUMN($H$2:$H$43),4)))</f>
        <v/>
      </c>
      <c r="P7" s="305" t="str">
        <f t="array" aca="1" ref="P7" ca="1">IF(ROW()-ROW($J$2:$J$43)+1&gt;ROWS($I$2:$I$43)-COUNTBLANK($I$2:$I$43),"",INDIRECT(ADDRESS(SMALL((IF($I$2:$I$43&lt;&gt;"",ROW($I$2:$I$43),ROW()+ROWS($I$2:$I$43))),ROW()-ROW($J$2:$J$43)+1),COLUMN($I$2:$I$43),4)))</f>
        <v/>
      </c>
    </row>
    <row r="8" spans="1:16" s="12" customFormat="1" ht="23.1" customHeight="1" x14ac:dyDescent="0.25">
      <c r="D8" s="1235" t="s">
        <v>446</v>
      </c>
      <c r="E8" s="400" t="str">
        <f>IF(H8="","","2016")</f>
        <v/>
      </c>
      <c r="F8" s="76" t="str">
        <f>IF(H8="","","b")</f>
        <v/>
      </c>
      <c r="G8" s="76" t="str">
        <f t="shared" si="0"/>
        <v/>
      </c>
      <c r="H8" s="282" t="str">
        <f>IF(A3="relevant",IF(Matrix!F21="","",IF(Matrix!F21&gt;Matrix!D21,Berechnung2!$L$43,"")),"")</f>
        <v/>
      </c>
      <c r="I8" s="298" t="str">
        <f>IF(H8="","",VLOOKUP(F8,Berechnung2!$I$15:$J$25,2,FALSE))</f>
        <v/>
      </c>
      <c r="J8" s="320" t="str">
        <f t="shared" si="1"/>
        <v/>
      </c>
      <c r="K8" s="288"/>
      <c r="L8" s="305" t="str">
        <f t="array" aca="1" ref="L8" ca="1">IF(ROW()-ROW($F$2:$F$43)+1&gt;ROWS($E$2:$E$43)-COUNTBLANK($E$2:$E$43),"",INDIRECT(ADDRESS(SMALL((IF($E$2:$E$43&lt;&gt;"",ROW($E$2:$E$43),ROW()+ROWS($E$2:$E$43))),ROW()-ROW($F$2:$F$43)+1),COLUMN($E$2:$E$43),4)))</f>
        <v/>
      </c>
      <c r="M8" s="305" t="str">
        <f t="array" aca="1" ref="M8" ca="1">IF(ROW()-ROW($G$2:$G$43)+1&gt;ROWS($F$2:$F$43)-COUNTBLANK($F$2:$F$43),"",INDIRECT(ADDRESS(SMALL((IF($F$2:$F$43&lt;&gt;"",ROW($F$2:$F$43),ROW()+ROWS($F$2:$F$43))),ROW()-ROW($G$2:$G$43)+1),COLUMN($F$2:$F$43),4)))</f>
        <v/>
      </c>
      <c r="N8" s="305" t="str">
        <f t="array" aca="1" ref="N8" ca="1">IF(ROW()-ROW($H$2:$H$43)+1&gt;ROWS($G$2:$G$43)-COUNTBLANK($G$2:$G$43),"",INDIRECT(ADDRESS(SMALL((IF($G$2:$G$43&lt;&gt;"",ROW($G$2:$G$43),ROW()+ROWS($G$2:$G$43))),ROW()-ROW($H$2:$H$43)+1),COLUMN($G$2:$G$43),4)))</f>
        <v/>
      </c>
      <c r="O8" s="305" t="str">
        <f t="array" aca="1" ref="O8" ca="1">IF(ROW()-ROW($I$2:$I$43)+1&gt;ROWS($H$2:$H$43)-COUNTBLANK($H$2:$H$43),"",INDIRECT(ADDRESS(SMALL((IF($H$2:$H$43&lt;&gt;"",ROW($H$2:$H$43),ROW()+ROWS($H$2:$H$43))),ROW()-ROW($I$2:$I$43)+1),COLUMN($H$2:$H$43),4)))</f>
        <v/>
      </c>
      <c r="P8" s="305" t="str">
        <f t="array" aca="1" ref="P8" ca="1">IF(ROW()-ROW($J$2:$J$43)+1&gt;ROWS($I$2:$I$43)-COUNTBLANK($I$2:$I$43),"",INDIRECT(ADDRESS(SMALL((IF($I$2:$I$43&lt;&gt;"",ROW($I$2:$I$43),ROW()+ROWS($I$2:$I$43))),ROW()-ROW($J$2:$J$43)+1),COLUMN($I$2:$I$43),4)))</f>
        <v/>
      </c>
    </row>
    <row r="9" spans="1:16" s="12" customFormat="1" ht="23.1" customHeight="1" x14ac:dyDescent="0.25">
      <c r="D9" s="1235"/>
      <c r="E9" s="400" t="str">
        <f>IF(H9="","","2017")</f>
        <v/>
      </c>
      <c r="F9" s="76" t="str">
        <f>IF(H9="","","b")</f>
        <v/>
      </c>
      <c r="G9" s="76" t="str">
        <f t="shared" si="0"/>
        <v/>
      </c>
      <c r="H9" s="282" t="str">
        <f>IF(A4="relevant",IF(Matrix!F22="","",IF(Matrix!F22&gt;Matrix!D22,Berechnung2!$L$43,"")),"")</f>
        <v/>
      </c>
      <c r="I9" s="298" t="str">
        <f>IF(H9="","",VLOOKUP(F9,Berechnung2!$I$15:$J$25,2,FALSE))</f>
        <v/>
      </c>
      <c r="J9" s="320" t="str">
        <f t="shared" si="1"/>
        <v/>
      </c>
      <c r="K9" s="288"/>
      <c r="L9" s="305" t="str">
        <f t="array" aca="1" ref="L9" ca="1">IF(ROW()-ROW($F$2:$F$43)+1&gt;ROWS($E$2:$E$43)-COUNTBLANK($E$2:$E$43),"",INDIRECT(ADDRESS(SMALL((IF($E$2:$E$43&lt;&gt;"",ROW($E$2:$E$43),ROW()+ROWS($E$2:$E$43))),ROW()-ROW($F$2:$F$43)+1),COLUMN($E$2:$E$43),4)))</f>
        <v/>
      </c>
      <c r="M9" s="305" t="str">
        <f t="array" aca="1" ref="M9" ca="1">IF(ROW()-ROW($G$2:$G$43)+1&gt;ROWS($F$2:$F$43)-COUNTBLANK($F$2:$F$43),"",INDIRECT(ADDRESS(SMALL((IF($F$2:$F$43&lt;&gt;"",ROW($F$2:$F$43),ROW()+ROWS($F$2:$F$43))),ROW()-ROW($G$2:$G$43)+1),COLUMN($F$2:$F$43),4)))</f>
        <v/>
      </c>
      <c r="N9" s="305" t="str">
        <f t="array" aca="1" ref="N9" ca="1">IF(ROW()-ROW($H$2:$H$43)+1&gt;ROWS($G$2:$G$43)-COUNTBLANK($G$2:$G$43),"",INDIRECT(ADDRESS(SMALL((IF($G$2:$G$43&lt;&gt;"",ROW($G$2:$G$43),ROW()+ROWS($G$2:$G$43))),ROW()-ROW($H$2:$H$43)+1),COLUMN($G$2:$G$43),4)))</f>
        <v/>
      </c>
      <c r="O9" s="305" t="str">
        <f t="array" aca="1" ref="O9" ca="1">IF(ROW()-ROW($I$2:$I$43)+1&gt;ROWS($H$2:$H$43)-COUNTBLANK($H$2:$H$43),"",INDIRECT(ADDRESS(SMALL((IF($H$2:$H$43&lt;&gt;"",ROW($H$2:$H$43),ROW()+ROWS($H$2:$H$43))),ROW()-ROW($I$2:$I$43)+1),COLUMN($H$2:$H$43),4)))</f>
        <v/>
      </c>
      <c r="P9" s="305" t="str">
        <f t="array" aca="1" ref="P9" ca="1">IF(ROW()-ROW($J$2:$J$43)+1&gt;ROWS($I$2:$I$43)-COUNTBLANK($I$2:$I$43),"",INDIRECT(ADDRESS(SMALL((IF($I$2:$I$43&lt;&gt;"",ROW($I$2:$I$43),ROW()+ROWS($I$2:$I$43))),ROW()-ROW($J$2:$J$43)+1),COLUMN($I$2:$I$43),4)))</f>
        <v/>
      </c>
    </row>
    <row r="10" spans="1:16" s="12" customFormat="1" ht="23.1" customHeight="1" x14ac:dyDescent="0.25">
      <c r="D10" s="1235"/>
      <c r="E10" s="400" t="str">
        <f>IF(H10="","","2018")</f>
        <v/>
      </c>
      <c r="F10" s="76" t="str">
        <f>IF(H10="","","b")</f>
        <v/>
      </c>
      <c r="G10" s="76" t="str">
        <f t="shared" si="0"/>
        <v/>
      </c>
      <c r="H10" s="282" t="str">
        <f>IF(A5="relevant",IF(Matrix!F23="","",IF(Matrix!F23&gt;Matrix!D23,Berechnung2!$L$43,"")),"")</f>
        <v/>
      </c>
      <c r="I10" s="298" t="str">
        <f>IF(H10="","",VLOOKUP(F10,Berechnung2!$I$15:$J$25,2,FALSE))</f>
        <v/>
      </c>
      <c r="J10" s="320" t="str">
        <f t="shared" si="1"/>
        <v/>
      </c>
      <c r="K10" s="288"/>
      <c r="L10" s="305" t="str">
        <f t="array" aca="1" ref="L10" ca="1">IF(ROW()-ROW($F$2:$F$43)+1&gt;ROWS($E$2:$E$43)-COUNTBLANK($E$2:$E$43),"",INDIRECT(ADDRESS(SMALL((IF($E$2:$E$43&lt;&gt;"",ROW($E$2:$E$43),ROW()+ROWS($E$2:$E$43))),ROW()-ROW($F$2:$F$43)+1),COLUMN($E$2:$E$43),4)))</f>
        <v/>
      </c>
      <c r="M10" s="305" t="str">
        <f t="array" aca="1" ref="M10" ca="1">IF(ROW()-ROW($G$2:$G$43)+1&gt;ROWS($F$2:$F$43)-COUNTBLANK($F$2:$F$43),"",INDIRECT(ADDRESS(SMALL((IF($F$2:$F$43&lt;&gt;"",ROW($F$2:$F$43),ROW()+ROWS($F$2:$F$43))),ROW()-ROW($G$2:$G$43)+1),COLUMN($F$2:$F$43),4)))</f>
        <v/>
      </c>
      <c r="N10" s="305" t="str">
        <f t="array" aca="1" ref="N10" ca="1">IF(ROW()-ROW($H$2:$H$43)+1&gt;ROWS($G$2:$G$43)-COUNTBLANK($G$2:$G$43),"",INDIRECT(ADDRESS(SMALL((IF($G$2:$G$43&lt;&gt;"",ROW($G$2:$G$43),ROW()+ROWS($G$2:$G$43))),ROW()-ROW($H$2:$H$43)+1),COLUMN($G$2:$G$43),4)))</f>
        <v/>
      </c>
      <c r="O10" s="305" t="str">
        <f t="array" aca="1" ref="O10" ca="1">IF(ROW()-ROW($I$2:$I$43)+1&gt;ROWS($H$2:$H$43)-COUNTBLANK($H$2:$H$43),"",INDIRECT(ADDRESS(SMALL((IF($H$2:$H$43&lt;&gt;"",ROW($H$2:$H$43),ROW()+ROWS($H$2:$H$43))),ROW()-ROW($I$2:$I$43)+1),COLUMN($H$2:$H$43),4)))</f>
        <v/>
      </c>
      <c r="P10" s="305" t="str">
        <f t="array" aca="1" ref="P10" ca="1">IF(ROW()-ROW($J$2:$J$43)+1&gt;ROWS($I$2:$I$43)-COUNTBLANK($I$2:$I$43),"",INDIRECT(ADDRESS(SMALL((IF($I$2:$I$43&lt;&gt;"",ROW($I$2:$I$43),ROW()+ROWS($I$2:$I$43))),ROW()-ROW($J$2:$J$43)+1),COLUMN($I$2:$I$43),4)))</f>
        <v/>
      </c>
    </row>
    <row r="11" spans="1:16" s="12" customFormat="1" ht="23.1" customHeight="1" thickBot="1" x14ac:dyDescent="0.3">
      <c r="D11" s="283" t="s">
        <v>521</v>
      </c>
      <c r="E11" s="401" t="str">
        <f>IF(H11="","","2019")</f>
        <v/>
      </c>
      <c r="F11" s="307" t="str">
        <f>IF(H11="","","b")</f>
        <v/>
      </c>
      <c r="G11" s="307" t="str">
        <f t="shared" si="0"/>
        <v/>
      </c>
      <c r="H11" s="294" t="str">
        <f>IF(A6="relevant",IF(Matrix!F24="","",IF(Matrix!F24&gt;Matrix!D24,Berechnung2!$L$43,"")),"")</f>
        <v/>
      </c>
      <c r="I11" s="299" t="str">
        <f>IF(H11="","",VLOOKUP(F11,Berechnung2!$I$15:$J$25,2,FALSE))</f>
        <v/>
      </c>
      <c r="J11" s="321" t="str">
        <f t="shared" si="1"/>
        <v/>
      </c>
      <c r="K11" s="288"/>
      <c r="L11" s="305" t="str">
        <f t="array" aca="1" ref="L11" ca="1">IF(ROW()-ROW($F$2:$F$43)+1&gt;ROWS($E$2:$E$43)-COUNTBLANK($E$2:$E$43),"",INDIRECT(ADDRESS(SMALL((IF($E$2:$E$43&lt;&gt;"",ROW($E$2:$E$43),ROW()+ROWS($E$2:$E$43))),ROW()-ROW($F$2:$F$43)+1),COLUMN($E$2:$E$43),4)))</f>
        <v/>
      </c>
      <c r="M11" s="305" t="str">
        <f t="array" aca="1" ref="M11" ca="1">IF(ROW()-ROW($G$2:$G$43)+1&gt;ROWS($F$2:$F$43)-COUNTBLANK($F$2:$F$43),"",INDIRECT(ADDRESS(SMALL((IF($F$2:$F$43&lt;&gt;"",ROW($F$2:$F$43),ROW()+ROWS($F$2:$F$43))),ROW()-ROW($G$2:$G$43)+1),COLUMN($F$2:$F$43),4)))</f>
        <v/>
      </c>
      <c r="N11" s="305" t="str">
        <f t="array" aca="1" ref="N11" ca="1">IF(ROW()-ROW($H$2:$H$43)+1&gt;ROWS($G$2:$G$43)-COUNTBLANK($G$2:$G$43),"",INDIRECT(ADDRESS(SMALL((IF($G$2:$G$43&lt;&gt;"",ROW($G$2:$G$43),ROW()+ROWS($G$2:$G$43))),ROW()-ROW($H$2:$H$43)+1),COLUMN($G$2:$G$43),4)))</f>
        <v/>
      </c>
      <c r="O11" s="305" t="str">
        <f t="array" aca="1" ref="O11" ca="1">IF(ROW()-ROW($I$2:$I$43)+1&gt;ROWS($H$2:$H$43)-COUNTBLANK($H$2:$H$43),"",INDIRECT(ADDRESS(SMALL((IF($H$2:$H$43&lt;&gt;"",ROW($H$2:$H$43),ROW()+ROWS($H$2:$H$43))),ROW()-ROW($I$2:$I$43)+1),COLUMN($H$2:$H$43),4)))</f>
        <v/>
      </c>
      <c r="P11" s="305" t="str">
        <f t="array" aca="1" ref="P11" ca="1">IF(ROW()-ROW($J$2:$J$43)+1&gt;ROWS($I$2:$I$43)-COUNTBLANK($I$2:$I$43),"",INDIRECT(ADDRESS(SMALL((IF($I$2:$I$43&lt;&gt;"",ROW($I$2:$I$43),ROW()+ROWS($I$2:$I$43))),ROW()-ROW($J$2:$J$43)+1),COLUMN($I$2:$I$43),4)))</f>
        <v/>
      </c>
    </row>
    <row r="12" spans="1:16" s="12" customFormat="1" ht="23.1" customHeight="1" x14ac:dyDescent="0.25">
      <c r="D12" s="279" t="s">
        <v>102</v>
      </c>
      <c r="E12" s="290" t="str">
        <f>IF(H12="","","2015")</f>
        <v/>
      </c>
      <c r="F12" s="306" t="str">
        <f>IF(H12="","","c")</f>
        <v/>
      </c>
      <c r="G12" s="306" t="str">
        <f t="shared" si="0"/>
        <v/>
      </c>
      <c r="H12" s="293" t="str">
        <f>IF(A2="relevant",IF(Matrix!I20="","",IF(Matrix!I20&gt;Matrix!F20,Berechnung2!$L$44,"")),"")</f>
        <v/>
      </c>
      <c r="I12" s="297" t="str">
        <f>IF(H12="","",VLOOKUP(F12,Berechnung2!$I$15:$J$25,2,FALSE))</f>
        <v/>
      </c>
      <c r="J12" s="319" t="str">
        <f t="shared" si="1"/>
        <v/>
      </c>
      <c r="K12" s="288"/>
      <c r="L12" s="305" t="str">
        <f t="array" aca="1" ref="L12" ca="1">IF(ROW()-ROW($F$2:$F$43)+1&gt;ROWS($E$2:$E$43)-COUNTBLANK($E$2:$E$43),"",INDIRECT(ADDRESS(SMALL((IF($E$2:$E$43&lt;&gt;"",ROW($E$2:$E$43),ROW()+ROWS($E$2:$E$43))),ROW()-ROW($F$2:$F$43)+1),COLUMN($E$2:$E$43),4)))</f>
        <v/>
      </c>
      <c r="M12" s="305" t="str">
        <f t="array" aca="1" ref="M12" ca="1">IF(ROW()-ROW($G$2:$G$43)+1&gt;ROWS($F$2:$F$43)-COUNTBLANK($F$2:$F$43),"",INDIRECT(ADDRESS(SMALL((IF($F$2:$F$43&lt;&gt;"",ROW($F$2:$F$43),ROW()+ROWS($F$2:$F$43))),ROW()-ROW($G$2:$G$43)+1),COLUMN($F$2:$F$43),4)))</f>
        <v/>
      </c>
      <c r="N12" s="305" t="str">
        <f t="array" aca="1" ref="N12" ca="1">IF(ROW()-ROW($H$2:$H$43)+1&gt;ROWS($G$2:$G$43)-COUNTBLANK($G$2:$G$43),"",INDIRECT(ADDRESS(SMALL((IF($G$2:$G$43&lt;&gt;"",ROW($G$2:$G$43),ROW()+ROWS($G$2:$G$43))),ROW()-ROW($H$2:$H$43)+1),COLUMN($G$2:$G$43),4)))</f>
        <v/>
      </c>
      <c r="O12" s="305" t="str">
        <f t="array" aca="1" ref="O12" ca="1">IF(ROW()-ROW($I$2:$I$43)+1&gt;ROWS($H$2:$H$43)-COUNTBLANK($H$2:$H$43),"",INDIRECT(ADDRESS(SMALL((IF($H$2:$H$43&lt;&gt;"",ROW($H$2:$H$43),ROW()+ROWS($H$2:$H$43))),ROW()-ROW($I$2:$I$43)+1),COLUMN($H$2:$H$43),4)))</f>
        <v/>
      </c>
      <c r="P12" s="305" t="str">
        <f t="array" aca="1" ref="P12" ca="1">IF(ROW()-ROW($J$2:$J$43)+1&gt;ROWS($I$2:$I$43)-COUNTBLANK($I$2:$I$43),"",INDIRECT(ADDRESS(SMALL((IF($I$2:$I$43&lt;&gt;"",ROW($I$2:$I$43),ROW()+ROWS($I$2:$I$43))),ROW()-ROW($J$2:$J$43)+1),COLUMN($I$2:$I$43),4)))</f>
        <v/>
      </c>
    </row>
    <row r="13" spans="1:16" s="12" customFormat="1" ht="23.1" customHeight="1" x14ac:dyDescent="0.25">
      <c r="A13" s="304"/>
      <c r="B13" s="304"/>
      <c r="D13" s="1235" t="s">
        <v>444</v>
      </c>
      <c r="E13" s="280" t="str">
        <f>IF(H13="","","2016")</f>
        <v/>
      </c>
      <c r="F13" s="76" t="str">
        <f>IF(H13="","","c")</f>
        <v/>
      </c>
      <c r="G13" s="76" t="str">
        <f t="shared" si="0"/>
        <v/>
      </c>
      <c r="H13" s="282" t="str">
        <f>IF(A3="relevant",IF(Matrix!I21="","",IF(Matrix!I21&gt;Matrix!F21,Berechnung2!$L$44,"")),"")</f>
        <v/>
      </c>
      <c r="I13" s="298" t="str">
        <f>IF(H13="","",VLOOKUP(F13,Berechnung2!$I$15:$J$25,2,FALSE))</f>
        <v/>
      </c>
      <c r="J13" s="320" t="str">
        <f t="shared" si="1"/>
        <v/>
      </c>
      <c r="K13" s="288"/>
      <c r="L13" s="305" t="str">
        <f t="array" aca="1" ref="L13" ca="1">IF(ROW()-ROW($F$2:$F$43)+1&gt;ROWS($E$2:$E$43)-COUNTBLANK($E$2:$E$43),"",INDIRECT(ADDRESS(SMALL((IF($E$2:$E$43&lt;&gt;"",ROW($E$2:$E$43),ROW()+ROWS($E$2:$E$43))),ROW()-ROW($F$2:$F$43)+1),COLUMN($E$2:$E$43),4)))</f>
        <v/>
      </c>
      <c r="M13" s="305" t="str">
        <f t="array" aca="1" ref="M13" ca="1">IF(ROW()-ROW($G$2:$G$43)+1&gt;ROWS($F$2:$F$43)-COUNTBLANK($F$2:$F$43),"",INDIRECT(ADDRESS(SMALL((IF($F$2:$F$43&lt;&gt;"",ROW($F$2:$F$43),ROW()+ROWS($F$2:$F$43))),ROW()-ROW($G$2:$G$43)+1),COLUMN($F$2:$F$43),4)))</f>
        <v/>
      </c>
      <c r="N13" s="305" t="str">
        <f t="array" aca="1" ref="N13" ca="1">IF(ROW()-ROW($H$2:$H$43)+1&gt;ROWS($G$2:$G$43)-COUNTBLANK($G$2:$G$43),"",INDIRECT(ADDRESS(SMALL((IF($G$2:$G$43&lt;&gt;"",ROW($G$2:$G$43),ROW()+ROWS($G$2:$G$43))),ROW()-ROW($H$2:$H$43)+1),COLUMN($G$2:$G$43),4)))</f>
        <v/>
      </c>
      <c r="O13" s="305" t="str">
        <f t="array" aca="1" ref="O13" ca="1">IF(ROW()-ROW($I$2:$I$43)+1&gt;ROWS($H$2:$H$43)-COUNTBLANK($H$2:$H$43),"",INDIRECT(ADDRESS(SMALL((IF($H$2:$H$43&lt;&gt;"",ROW($H$2:$H$43),ROW()+ROWS($H$2:$H$43))),ROW()-ROW($I$2:$I$43)+1),COLUMN($H$2:$H$43),4)))</f>
        <v/>
      </c>
      <c r="P13" s="305" t="str">
        <f t="array" aca="1" ref="P13" ca="1">IF(ROW()-ROW($J$2:$J$43)+1&gt;ROWS($I$2:$I$43)-COUNTBLANK($I$2:$I$43),"",INDIRECT(ADDRESS(SMALL((IF($I$2:$I$43&lt;&gt;"",ROW($I$2:$I$43),ROW()+ROWS($I$2:$I$43))),ROW()-ROW($J$2:$J$43)+1),COLUMN($I$2:$I$43),4)))</f>
        <v/>
      </c>
    </row>
    <row r="14" spans="1:16" ht="23.1" customHeight="1" x14ac:dyDescent="0.25">
      <c r="D14" s="1235"/>
      <c r="E14" s="280" t="str">
        <f>IF(H14="","","2017")</f>
        <v/>
      </c>
      <c r="F14" s="76" t="str">
        <f>IF(H14="","","c")</f>
        <v/>
      </c>
      <c r="G14" s="76" t="str">
        <f t="shared" si="0"/>
        <v/>
      </c>
      <c r="H14" s="282" t="str">
        <f>IF(A4="relevant",IF(Matrix!I22="","",IF(Matrix!I22&gt;Matrix!F22,Berechnung2!$L$44,"")),"")</f>
        <v/>
      </c>
      <c r="I14" s="298" t="str">
        <f>IF(H14="","",VLOOKUP(F14,Berechnung2!$I$15:$J$25,2,FALSE))</f>
        <v/>
      </c>
      <c r="J14" s="320" t="str">
        <f t="shared" si="1"/>
        <v/>
      </c>
      <c r="L14" s="305" t="str">
        <f t="array" aca="1" ref="L14" ca="1">IF(ROW()-ROW($F$2:$F$43)+1&gt;ROWS($E$2:$E$43)-COUNTBLANK($E$2:$E$43),"",INDIRECT(ADDRESS(SMALL((IF($E$2:$E$43&lt;&gt;"",ROW($E$2:$E$43),ROW()+ROWS($E$2:$E$43))),ROW()-ROW($F$2:$F$43)+1),COLUMN($E$2:$E$43),4)))</f>
        <v/>
      </c>
      <c r="M14" s="305" t="str">
        <f t="array" aca="1" ref="M14" ca="1">IF(ROW()-ROW($G$2:$G$43)+1&gt;ROWS($F$2:$F$43)-COUNTBLANK($F$2:$F$43),"",INDIRECT(ADDRESS(SMALL((IF($F$2:$F$43&lt;&gt;"",ROW($F$2:$F$43),ROW()+ROWS($F$2:$F$43))),ROW()-ROW($G$2:$G$43)+1),COLUMN($F$2:$F$43),4)))</f>
        <v/>
      </c>
      <c r="N14" s="305" t="str">
        <f t="array" aca="1" ref="N14" ca="1">IF(ROW()-ROW($H$2:$H$43)+1&gt;ROWS($G$2:$G$43)-COUNTBLANK($G$2:$G$43),"",INDIRECT(ADDRESS(SMALL((IF($G$2:$G$43&lt;&gt;"",ROW($G$2:$G$43),ROW()+ROWS($G$2:$G$43))),ROW()-ROW($H$2:$H$43)+1),COLUMN($G$2:$G$43),4)))</f>
        <v/>
      </c>
      <c r="O14" s="305" t="str">
        <f t="array" aca="1" ref="O14" ca="1">IF(ROW()-ROW($I$2:$I$43)+1&gt;ROWS($H$2:$H$43)-COUNTBLANK($H$2:$H$43),"",INDIRECT(ADDRESS(SMALL((IF($H$2:$H$43&lt;&gt;"",ROW($H$2:$H$43),ROW()+ROWS($H$2:$H$43))),ROW()-ROW($I$2:$I$43)+1),COLUMN($H$2:$H$43),4)))</f>
        <v/>
      </c>
      <c r="P14" s="305" t="str">
        <f t="array" aca="1" ref="P14" ca="1">IF(ROW()-ROW($J$2:$J$43)+1&gt;ROWS($I$2:$I$43)-COUNTBLANK($I$2:$I$43),"",INDIRECT(ADDRESS(SMALL((IF($I$2:$I$43&lt;&gt;"",ROW($I$2:$I$43),ROW()+ROWS($I$2:$I$43))),ROW()-ROW($J$2:$J$43)+1),COLUMN($I$2:$I$43),4)))</f>
        <v/>
      </c>
    </row>
    <row r="15" spans="1:16" ht="23.1" customHeight="1" x14ac:dyDescent="0.25">
      <c r="D15" s="1235"/>
      <c r="E15" s="280" t="str">
        <f>IF(H15="","","2018")</f>
        <v/>
      </c>
      <c r="F15" s="76" t="str">
        <f>IF(H15="","","c")</f>
        <v/>
      </c>
      <c r="G15" s="76" t="str">
        <f t="shared" si="0"/>
        <v/>
      </c>
      <c r="H15" s="282" t="str">
        <f>IF(A5="relevant",IF(Matrix!I23="","",IF(Matrix!I23&gt;Matrix!F23,Berechnung2!$L$44,"")),"")</f>
        <v/>
      </c>
      <c r="I15" s="298" t="str">
        <f>IF(H15="","",VLOOKUP(F15,Berechnung2!$I$15:$J$25,2,FALSE))</f>
        <v/>
      </c>
      <c r="J15" s="320" t="str">
        <f t="shared" si="1"/>
        <v/>
      </c>
      <c r="L15" s="305" t="str">
        <f t="array" aca="1" ref="L15" ca="1">IF(ROW()-ROW($F$2:$F$43)+1&gt;ROWS($E$2:$E$43)-COUNTBLANK($E$2:$E$43),"",INDIRECT(ADDRESS(SMALL((IF($E$2:$E$43&lt;&gt;"",ROW($E$2:$E$43),ROW()+ROWS($E$2:$E$43))),ROW()-ROW($F$2:$F$43)+1),COLUMN($E$2:$E$43),4)))</f>
        <v/>
      </c>
      <c r="M15" s="305" t="str">
        <f t="array" aca="1" ref="M15" ca="1">IF(ROW()-ROW($G$2:$G$43)+1&gt;ROWS($F$2:$F$43)-COUNTBLANK($F$2:$F$43),"",INDIRECT(ADDRESS(SMALL((IF($F$2:$F$43&lt;&gt;"",ROW($F$2:$F$43),ROW()+ROWS($F$2:$F$43))),ROW()-ROW($G$2:$G$43)+1),COLUMN($F$2:$F$43),4)))</f>
        <v/>
      </c>
      <c r="N15" s="305" t="str">
        <f t="array" aca="1" ref="N15" ca="1">IF(ROW()-ROW($H$2:$H$43)+1&gt;ROWS($G$2:$G$43)-COUNTBLANK($G$2:$G$43),"",INDIRECT(ADDRESS(SMALL((IF($G$2:$G$43&lt;&gt;"",ROW($G$2:$G$43),ROW()+ROWS($G$2:$G$43))),ROW()-ROW($H$2:$H$43)+1),COLUMN($G$2:$G$43),4)))</f>
        <v/>
      </c>
      <c r="O15" s="305" t="str">
        <f t="array" aca="1" ref="O15" ca="1">IF(ROW()-ROW($I$2:$I$43)+1&gt;ROWS($H$2:$H$43)-COUNTBLANK($H$2:$H$43),"",INDIRECT(ADDRESS(SMALL((IF($H$2:$H$43&lt;&gt;"",ROW($H$2:$H$43),ROW()+ROWS($H$2:$H$43))),ROW()-ROW($I$2:$I$43)+1),COLUMN($H$2:$H$43),4)))</f>
        <v/>
      </c>
      <c r="P15" s="305" t="str">
        <f t="array" aca="1" ref="P15" ca="1">IF(ROW()-ROW($J$2:$J$43)+1&gt;ROWS($I$2:$I$43)-COUNTBLANK($I$2:$I$43),"",INDIRECT(ADDRESS(SMALL((IF($I$2:$I$43&lt;&gt;"",ROW($I$2:$I$43),ROW()+ROWS($I$2:$I$43))),ROW()-ROW($J$2:$J$43)+1),COLUMN($I$2:$I$43),4)))</f>
        <v/>
      </c>
    </row>
    <row r="16" spans="1:16" ht="23.1" customHeight="1" thickBot="1" x14ac:dyDescent="0.3">
      <c r="D16" s="283" t="s">
        <v>522</v>
      </c>
      <c r="E16" s="292" t="str">
        <f>IF(H16="","","2019")</f>
        <v/>
      </c>
      <c r="F16" s="307" t="str">
        <f>IF(H16="","","c")</f>
        <v/>
      </c>
      <c r="G16" s="307" t="str">
        <f t="shared" si="0"/>
        <v/>
      </c>
      <c r="H16" s="294" t="str">
        <f>IF(A6="relevant",IF(Matrix!I24="","",IF(Matrix!I24&gt;Matrix!F24,Berechnung2!$L$44,"")),"")</f>
        <v/>
      </c>
      <c r="I16" s="299" t="str">
        <f>IF(H16="","",VLOOKUP(F16,Berechnung2!$I$15:$J$25,2,FALSE))</f>
        <v/>
      </c>
      <c r="J16" s="321" t="str">
        <f t="shared" si="1"/>
        <v/>
      </c>
      <c r="L16" s="305" t="str">
        <f t="array" aca="1" ref="L16" ca="1">IF(ROW()-ROW($F$2:$F$43)+1&gt;ROWS($E$2:$E$43)-COUNTBLANK($E$2:$E$43),"",INDIRECT(ADDRESS(SMALL((IF($E$2:$E$43&lt;&gt;"",ROW($E$2:$E$43),ROW()+ROWS($E$2:$E$43))),ROW()-ROW($F$2:$F$43)+1),COLUMN($E$2:$E$43),4)))</f>
        <v/>
      </c>
      <c r="M16" s="305" t="str">
        <f t="array" aca="1" ref="M16" ca="1">IF(ROW()-ROW($G$2:$G$43)+1&gt;ROWS($F$2:$F$43)-COUNTBLANK($F$2:$F$43),"",INDIRECT(ADDRESS(SMALL((IF($F$2:$F$43&lt;&gt;"",ROW($F$2:$F$43),ROW()+ROWS($F$2:$F$43))),ROW()-ROW($G$2:$G$43)+1),COLUMN($F$2:$F$43),4)))</f>
        <v/>
      </c>
      <c r="N16" s="305" t="str">
        <f t="array" aca="1" ref="N16" ca="1">IF(ROW()-ROW($H$2:$H$43)+1&gt;ROWS($G$2:$G$43)-COUNTBLANK($G$2:$G$43),"",INDIRECT(ADDRESS(SMALL((IF($G$2:$G$43&lt;&gt;"",ROW($G$2:$G$43),ROW()+ROWS($G$2:$G$43))),ROW()-ROW($H$2:$H$43)+1),COLUMN($G$2:$G$43),4)))</f>
        <v/>
      </c>
      <c r="O16" s="305" t="str">
        <f t="array" aca="1" ref="O16" ca="1">IF(ROW()-ROW($I$2:$I$43)+1&gt;ROWS($H$2:$H$43)-COUNTBLANK($H$2:$H$43),"",INDIRECT(ADDRESS(SMALL((IF($H$2:$H$43&lt;&gt;"",ROW($H$2:$H$43),ROW()+ROWS($H$2:$H$43))),ROW()-ROW($I$2:$I$43)+1),COLUMN($H$2:$H$43),4)))</f>
        <v/>
      </c>
      <c r="P16" s="305" t="str">
        <f t="array" aca="1" ref="P16" ca="1">IF(ROW()-ROW($J$2:$J$43)+1&gt;ROWS($I$2:$I$43)-COUNTBLANK($I$2:$I$43),"",INDIRECT(ADDRESS(SMALL((IF($I$2:$I$43&lt;&gt;"",ROW($I$2:$I$43),ROW()+ROWS($I$2:$I$43))),ROW()-ROW($J$2:$J$43)+1),COLUMN($I$2:$I$43),4)))</f>
        <v/>
      </c>
    </row>
    <row r="17" spans="1:16" ht="23.1" customHeight="1" x14ac:dyDescent="0.25">
      <c r="D17" s="279" t="s">
        <v>102</v>
      </c>
      <c r="E17" s="290" t="str">
        <f>IF(H17="","","2015")</f>
        <v/>
      </c>
      <c r="F17" s="306" t="str">
        <f>IF(H17="","","d")</f>
        <v/>
      </c>
      <c r="G17" s="306" t="str">
        <f t="shared" si="0"/>
        <v/>
      </c>
      <c r="H17" s="293" t="str">
        <f>IF(A2="relevant",IF(Matrix!L20="","",IF(Matrix!L20&gt;Matrix!F20,Berechnung2!$L$45,"")),"")</f>
        <v/>
      </c>
      <c r="I17" s="297" t="str">
        <f>IF(H17="","",VLOOKUP(F17,Berechnung2!$I$15:$J$25,2,FALSE))</f>
        <v/>
      </c>
      <c r="J17" s="319" t="str">
        <f t="shared" si="1"/>
        <v/>
      </c>
      <c r="L17" s="305" t="str">
        <f t="array" aca="1" ref="L17" ca="1">IF(ROW()-ROW($F$2:$F$43)+1&gt;ROWS($E$2:$E$43)-COUNTBLANK($E$2:$E$43),"",INDIRECT(ADDRESS(SMALL((IF($E$2:$E$43&lt;&gt;"",ROW($E$2:$E$43),ROW()+ROWS($E$2:$E$43))),ROW()-ROW($F$2:$F$43)+1),COLUMN($E$2:$E$43),4)))</f>
        <v/>
      </c>
      <c r="M17" s="305" t="str">
        <f t="array" aca="1" ref="M17" ca="1">IF(ROW()-ROW($G$2:$G$43)+1&gt;ROWS($F$2:$F$43)-COUNTBLANK($F$2:$F$43),"",INDIRECT(ADDRESS(SMALL((IF($F$2:$F$43&lt;&gt;"",ROW($F$2:$F$43),ROW()+ROWS($F$2:$F$43))),ROW()-ROW($G$2:$G$43)+1),COLUMN($F$2:$F$43),4)))</f>
        <v/>
      </c>
      <c r="N17" s="305" t="str">
        <f t="array" aca="1" ref="N17" ca="1">IF(ROW()-ROW($H$2:$H$43)+1&gt;ROWS($G$2:$G$43)-COUNTBLANK($G$2:$G$43),"",INDIRECT(ADDRESS(SMALL((IF($G$2:$G$43&lt;&gt;"",ROW($G$2:$G$43),ROW()+ROWS($G$2:$G$43))),ROW()-ROW($H$2:$H$43)+1),COLUMN($G$2:$G$43),4)))</f>
        <v/>
      </c>
      <c r="O17" s="305" t="str">
        <f t="array" aca="1" ref="O17" ca="1">IF(ROW()-ROW($I$2:$I$43)+1&gt;ROWS($H$2:$H$43)-COUNTBLANK($H$2:$H$43),"",INDIRECT(ADDRESS(SMALL((IF($H$2:$H$43&lt;&gt;"",ROW($H$2:$H$43),ROW()+ROWS($H$2:$H$43))),ROW()-ROW($I$2:$I$43)+1),COLUMN($H$2:$H$43),4)))</f>
        <v/>
      </c>
      <c r="P17" s="305" t="str">
        <f t="array" aca="1" ref="P17" ca="1">IF(ROW()-ROW($J$2:$J$43)+1&gt;ROWS($I$2:$I$43)-COUNTBLANK($I$2:$I$43),"",INDIRECT(ADDRESS(SMALL((IF($I$2:$I$43&lt;&gt;"",ROW($I$2:$I$43),ROW()+ROWS($I$2:$I$43))),ROW()-ROW($J$2:$J$43)+1),COLUMN($I$2:$I$43),4)))</f>
        <v/>
      </c>
    </row>
    <row r="18" spans="1:16" ht="23.1" customHeight="1" x14ac:dyDescent="0.25">
      <c r="D18" s="1235" t="s">
        <v>445</v>
      </c>
      <c r="E18" s="280" t="str">
        <f>IF(H18="","","2016")</f>
        <v/>
      </c>
      <c r="F18" s="76" t="str">
        <f>IF(H18="","","d")</f>
        <v/>
      </c>
      <c r="G18" s="76" t="str">
        <f t="shared" si="0"/>
        <v/>
      </c>
      <c r="H18" s="282" t="str">
        <f>IF(A3="relevant",IF(Matrix!L21="","",IF(Matrix!L21&gt;Matrix!F21,Berechnung2!$L$45,"")),"")</f>
        <v/>
      </c>
      <c r="I18" s="298" t="str">
        <f>IF(H18="","",VLOOKUP(F18,Berechnung2!$I$15:$J$25,2,FALSE))</f>
        <v/>
      </c>
      <c r="J18" s="320" t="str">
        <f t="shared" si="1"/>
        <v/>
      </c>
      <c r="L18" s="305" t="str">
        <f t="array" aca="1" ref="L18" ca="1">IF(ROW()-ROW($F$2:$F$43)+1&gt;ROWS($E$2:$E$43)-COUNTBLANK($E$2:$E$43),"",INDIRECT(ADDRESS(SMALL((IF($E$2:$E$43&lt;&gt;"",ROW($E$2:$E$43),ROW()+ROWS($E$2:$E$43))),ROW()-ROW($F$2:$F$43)+1),COLUMN($E$2:$E$43),4)))</f>
        <v/>
      </c>
      <c r="M18" s="305" t="str">
        <f t="array" aca="1" ref="M18" ca="1">IF(ROW()-ROW($G$2:$G$43)+1&gt;ROWS($F$2:$F$43)-COUNTBLANK($F$2:$F$43),"",INDIRECT(ADDRESS(SMALL((IF($F$2:$F$43&lt;&gt;"",ROW($F$2:$F$43),ROW()+ROWS($F$2:$F$43))),ROW()-ROW($G$2:$G$43)+1),COLUMN($F$2:$F$43),4)))</f>
        <v/>
      </c>
      <c r="N18" s="305" t="str">
        <f t="array" aca="1" ref="N18" ca="1">IF(ROW()-ROW($H$2:$H$43)+1&gt;ROWS($G$2:$G$43)-COUNTBLANK($G$2:$G$43),"",INDIRECT(ADDRESS(SMALL((IF($G$2:$G$43&lt;&gt;"",ROW($G$2:$G$43),ROW()+ROWS($G$2:$G$43))),ROW()-ROW($H$2:$H$43)+1),COLUMN($G$2:$G$43),4)))</f>
        <v/>
      </c>
      <c r="O18" s="305" t="str">
        <f t="array" aca="1" ref="O18" ca="1">IF(ROW()-ROW($I$2:$I$43)+1&gt;ROWS($H$2:$H$43)-COUNTBLANK($H$2:$H$43),"",INDIRECT(ADDRESS(SMALL((IF($H$2:$H$43&lt;&gt;"",ROW($H$2:$H$43),ROW()+ROWS($H$2:$H$43))),ROW()-ROW($I$2:$I$43)+1),COLUMN($H$2:$H$43),4)))</f>
        <v/>
      </c>
      <c r="P18" s="305" t="str">
        <f t="array" aca="1" ref="P18" ca="1">IF(ROW()-ROW($J$2:$J$43)+1&gt;ROWS($I$2:$I$43)-COUNTBLANK($I$2:$I$43),"",INDIRECT(ADDRESS(SMALL((IF($I$2:$I$43&lt;&gt;"",ROW($I$2:$I$43),ROW()+ROWS($I$2:$I$43))),ROW()-ROW($J$2:$J$43)+1),COLUMN($I$2:$I$43),4)))</f>
        <v/>
      </c>
    </row>
    <row r="19" spans="1:16" ht="23.1" customHeight="1" x14ac:dyDescent="0.25">
      <c r="D19" s="1235"/>
      <c r="E19" s="280" t="str">
        <f>IF(H19="","","2017")</f>
        <v/>
      </c>
      <c r="F19" s="76" t="str">
        <f>IF(H19="","","d")</f>
        <v/>
      </c>
      <c r="G19" s="76" t="str">
        <f t="shared" si="0"/>
        <v/>
      </c>
      <c r="H19" s="282" t="str">
        <f>IF(A4="relevant",IF(Matrix!L22="","",IF(Matrix!L22&gt;Matrix!F22,Berechnung2!$L$45,"")),"")</f>
        <v/>
      </c>
      <c r="I19" s="298" t="str">
        <f>IF(H19="","",VLOOKUP(F19,Berechnung2!$I$15:$J$25,2,FALSE))</f>
        <v/>
      </c>
      <c r="J19" s="320" t="str">
        <f t="shared" si="1"/>
        <v/>
      </c>
      <c r="L19" s="305" t="str">
        <f t="array" aca="1" ref="L19" ca="1">IF(ROW()-ROW($F$2:$F$43)+1&gt;ROWS($E$2:$E$43)-COUNTBLANK($E$2:$E$43),"",INDIRECT(ADDRESS(SMALL((IF($E$2:$E$43&lt;&gt;"",ROW($E$2:$E$43),ROW()+ROWS($E$2:$E$43))),ROW()-ROW($F$2:$F$43)+1),COLUMN($E$2:$E$43),4)))</f>
        <v/>
      </c>
      <c r="M19" s="305" t="str">
        <f t="array" aca="1" ref="M19" ca="1">IF(ROW()-ROW($G$2:$G$43)+1&gt;ROWS($F$2:$F$43)-COUNTBLANK($F$2:$F$43),"",INDIRECT(ADDRESS(SMALL((IF($F$2:$F$43&lt;&gt;"",ROW($F$2:$F$43),ROW()+ROWS($F$2:$F$43))),ROW()-ROW($G$2:$G$43)+1),COLUMN($F$2:$F$43),4)))</f>
        <v/>
      </c>
      <c r="N19" s="305" t="str">
        <f t="array" aca="1" ref="N19" ca="1">IF(ROW()-ROW($H$2:$H$43)+1&gt;ROWS($G$2:$G$43)-COUNTBLANK($G$2:$G$43),"",INDIRECT(ADDRESS(SMALL((IF($G$2:$G$43&lt;&gt;"",ROW($G$2:$G$43),ROW()+ROWS($G$2:$G$43))),ROW()-ROW($H$2:$H$43)+1),COLUMN($G$2:$G$43),4)))</f>
        <v/>
      </c>
      <c r="O19" s="305" t="str">
        <f t="array" aca="1" ref="O19" ca="1">IF(ROW()-ROW($I$2:$I$43)+1&gt;ROWS($H$2:$H$43)-COUNTBLANK($H$2:$H$43),"",INDIRECT(ADDRESS(SMALL((IF($H$2:$H$43&lt;&gt;"",ROW($H$2:$H$43),ROW()+ROWS($H$2:$H$43))),ROW()-ROW($I$2:$I$43)+1),COLUMN($H$2:$H$43),4)))</f>
        <v/>
      </c>
      <c r="P19" s="305" t="str">
        <f t="array" aca="1" ref="P19" ca="1">IF(ROW()-ROW($J$2:$J$43)+1&gt;ROWS($I$2:$I$43)-COUNTBLANK($I$2:$I$43),"",INDIRECT(ADDRESS(SMALL((IF($I$2:$I$43&lt;&gt;"",ROW($I$2:$I$43),ROW()+ROWS($I$2:$I$43))),ROW()-ROW($J$2:$J$43)+1),COLUMN($I$2:$I$43),4)))</f>
        <v/>
      </c>
    </row>
    <row r="20" spans="1:16" ht="23.1" customHeight="1" x14ac:dyDescent="0.25">
      <c r="D20" s="1235"/>
      <c r="E20" s="280" t="str">
        <f>IF(H20="","","2018")</f>
        <v/>
      </c>
      <c r="F20" s="76" t="str">
        <f>IF(H20="","","d")</f>
        <v/>
      </c>
      <c r="G20" s="76" t="str">
        <f t="shared" si="0"/>
        <v/>
      </c>
      <c r="H20" s="282" t="str">
        <f>IF(A5="relevant",IF(Matrix!L23="","",IF(Matrix!L23&gt;Matrix!F23,Berechnung2!$L$45,"")),"")</f>
        <v/>
      </c>
      <c r="I20" s="298" t="str">
        <f>IF(H20="","",VLOOKUP(F20,Berechnung2!$I$15:$J$25,2,FALSE))</f>
        <v/>
      </c>
      <c r="J20" s="320" t="str">
        <f t="shared" si="1"/>
        <v/>
      </c>
      <c r="L20" s="305" t="str">
        <f t="array" aca="1" ref="L20" ca="1">IF(ROW()-ROW($F$2:$F$43)+1&gt;ROWS($E$2:$E$43)-COUNTBLANK($E$2:$E$43),"",INDIRECT(ADDRESS(SMALL((IF($E$2:$E$43&lt;&gt;"",ROW($E$2:$E$43),ROW()+ROWS($E$2:$E$43))),ROW()-ROW($F$2:$F$43)+1),COLUMN($E$2:$E$43),4)))</f>
        <v/>
      </c>
      <c r="M20" s="305" t="str">
        <f t="array" aca="1" ref="M20" ca="1">IF(ROW()-ROW($G$2:$G$43)+1&gt;ROWS($F$2:$F$43)-COUNTBLANK($F$2:$F$43),"",INDIRECT(ADDRESS(SMALL((IF($F$2:$F$43&lt;&gt;"",ROW($F$2:$F$43),ROW()+ROWS($F$2:$F$43))),ROW()-ROW($G$2:$G$43)+1),COLUMN($F$2:$F$43),4)))</f>
        <v/>
      </c>
      <c r="N20" s="305" t="str">
        <f t="array" aca="1" ref="N20" ca="1">IF(ROW()-ROW($H$2:$H$43)+1&gt;ROWS($G$2:$G$43)-COUNTBLANK($G$2:$G$43),"",INDIRECT(ADDRESS(SMALL((IF($G$2:$G$43&lt;&gt;"",ROW($G$2:$G$43),ROW()+ROWS($G$2:$G$43))),ROW()-ROW($H$2:$H$43)+1),COLUMN($G$2:$G$43),4)))</f>
        <v/>
      </c>
      <c r="O20" s="305" t="str">
        <f t="array" aca="1" ref="O20" ca="1">IF(ROW()-ROW($I$2:$I$43)+1&gt;ROWS($H$2:$H$43)-COUNTBLANK($H$2:$H$43),"",INDIRECT(ADDRESS(SMALL((IF($H$2:$H$43&lt;&gt;"",ROW($H$2:$H$43),ROW()+ROWS($H$2:$H$43))),ROW()-ROW($I$2:$I$43)+1),COLUMN($H$2:$H$43),4)))</f>
        <v/>
      </c>
      <c r="P20" s="305" t="str">
        <f t="array" aca="1" ref="P20" ca="1">IF(ROW()-ROW($J$2:$J$43)+1&gt;ROWS($I$2:$I$43)-COUNTBLANK($I$2:$I$43),"",INDIRECT(ADDRESS(SMALL((IF($I$2:$I$43&lt;&gt;"",ROW($I$2:$I$43),ROW()+ROWS($I$2:$I$43))),ROW()-ROW($J$2:$J$43)+1),COLUMN($I$2:$I$43),4)))</f>
        <v/>
      </c>
    </row>
    <row r="21" spans="1:16" ht="23.1" customHeight="1" thickBot="1" x14ac:dyDescent="0.3">
      <c r="D21" s="283" t="s">
        <v>523</v>
      </c>
      <c r="E21" s="292" t="str">
        <f>IF(H21="","","2019")</f>
        <v/>
      </c>
      <c r="F21" s="307" t="str">
        <f>IF(H21="","","d")</f>
        <v/>
      </c>
      <c r="G21" s="307" t="str">
        <f t="shared" si="0"/>
        <v/>
      </c>
      <c r="H21" s="294" t="str">
        <f>IF(A6="relevant",IF(Matrix!L24="","",IF(Matrix!L24&gt;Matrix!F24,Berechnung2!$L$45,"")),"")</f>
        <v/>
      </c>
      <c r="I21" s="299" t="str">
        <f>IF(H21="","",VLOOKUP(F21,Berechnung2!$I$15:$J$25,2,FALSE))</f>
        <v/>
      </c>
      <c r="J21" s="321" t="str">
        <f t="shared" si="1"/>
        <v/>
      </c>
      <c r="L21" s="305" t="str">
        <f t="array" aca="1" ref="L21" ca="1">IF(ROW()-ROW($F$2:$F$43)+1&gt;ROWS($E$2:$E$43)-COUNTBLANK($E$2:$E$43),"",INDIRECT(ADDRESS(SMALL((IF($E$2:$E$43&lt;&gt;"",ROW($E$2:$E$43),ROW()+ROWS($E$2:$E$43))),ROW()-ROW($F$2:$F$43)+1),COLUMN($E$2:$E$43),4)))</f>
        <v/>
      </c>
      <c r="M21" s="305" t="str">
        <f t="array" aca="1" ref="M21" ca="1">IF(ROW()-ROW($G$2:$G$43)+1&gt;ROWS($F$2:$F$43)-COUNTBLANK($F$2:$F$43),"",INDIRECT(ADDRESS(SMALL((IF($F$2:$F$43&lt;&gt;"",ROW($F$2:$F$43),ROW()+ROWS($F$2:$F$43))),ROW()-ROW($G$2:$G$43)+1),COLUMN($F$2:$F$43),4)))</f>
        <v/>
      </c>
      <c r="N21" s="305" t="str">
        <f t="array" aca="1" ref="N21" ca="1">IF(ROW()-ROW($H$2:$H$43)+1&gt;ROWS($G$2:$G$43)-COUNTBLANK($G$2:$G$43),"",INDIRECT(ADDRESS(SMALL((IF($G$2:$G$43&lt;&gt;"",ROW($G$2:$G$43),ROW()+ROWS($G$2:$G$43))),ROW()-ROW($H$2:$H$43)+1),COLUMN($G$2:$G$43),4)))</f>
        <v/>
      </c>
      <c r="O21" s="305" t="str">
        <f t="array" aca="1" ref="O21" ca="1">IF(ROW()-ROW($I$2:$I$43)+1&gt;ROWS($H$2:$H$43)-COUNTBLANK($H$2:$H$43),"",INDIRECT(ADDRESS(SMALL((IF($H$2:$H$43&lt;&gt;"",ROW($H$2:$H$43),ROW()+ROWS($H$2:$H$43))),ROW()-ROW($I$2:$I$43)+1),COLUMN($H$2:$H$43),4)))</f>
        <v/>
      </c>
      <c r="P21" s="305" t="str">
        <f t="array" aca="1" ref="P21" ca="1">IF(ROW()-ROW($J$2:$J$43)+1&gt;ROWS($I$2:$I$43)-COUNTBLANK($I$2:$I$43),"",INDIRECT(ADDRESS(SMALL((IF($I$2:$I$43&lt;&gt;"",ROW($I$2:$I$43),ROW()+ROWS($I$2:$I$43))),ROW()-ROW($J$2:$J$43)+1),COLUMN($I$2:$I$43),4)))</f>
        <v/>
      </c>
    </row>
    <row r="22" spans="1:16" ht="41.25" customHeight="1" thickBot="1" x14ac:dyDescent="0.3">
      <c r="D22" s="284" t="s">
        <v>524</v>
      </c>
      <c r="E22" s="427" t="str">
        <f>IF(H22="","","2017-2019")</f>
        <v/>
      </c>
      <c r="F22" s="428" t="str">
        <f>IF(H22="","","e")</f>
        <v/>
      </c>
      <c r="G22" s="428" t="str">
        <f>IF(I22="","","5")</f>
        <v/>
      </c>
      <c r="H22" s="429" t="str">
        <f>IF(OR(Matrix!$G$26="-----",Matrix!$G$26=""),"",IF(Matrix!G26="",0,IF(AND(ROUND(Matrix!G26,4)&gt;=Berechnung2!F41,ROUND(Matrix!G26,4)&lt;Berechnung2!J41),Berechnung2!L41,"")))</f>
        <v/>
      </c>
      <c r="I22" s="430" t="str">
        <f>IF(H22="","",VLOOKUP(F22,Berechnung2!$I$15:$J$25,2,FALSE))</f>
        <v/>
      </c>
      <c r="J22" s="431" t="str">
        <f t="shared" si="1"/>
        <v/>
      </c>
      <c r="L22" s="305" t="str">
        <f t="array" aca="1" ref="L22" ca="1">IF(ROW()-ROW($F$2:$F$43)+1&gt;ROWS($E$2:$E$43)-COUNTBLANK($E$2:$E$43),"",INDIRECT(ADDRESS(SMALL((IF($E$2:$E$43&lt;&gt;"",ROW($E$2:$E$43),ROW()+ROWS($E$2:$E$43))),ROW()-ROW($F$2:$F$43)+1),COLUMN($E$2:$E$43),4)))</f>
        <v/>
      </c>
      <c r="M22" s="305" t="str">
        <f t="array" aca="1" ref="M22" ca="1">IF(ROW()-ROW($G$2:$G$43)+1&gt;ROWS($F$2:$F$43)-COUNTBLANK($F$2:$F$43),"",INDIRECT(ADDRESS(SMALL((IF($F$2:$F$43&lt;&gt;"",ROW($F$2:$F$43),ROW()+ROWS($F$2:$F$43))),ROW()-ROW($G$2:$G$43)+1),COLUMN($F$2:$F$43),4)))</f>
        <v/>
      </c>
      <c r="N22" s="305" t="str">
        <f t="array" aca="1" ref="N22" ca="1">IF(ROW()-ROW($H$2:$H$43)+1&gt;ROWS($G$2:$G$43)-COUNTBLANK($G$2:$G$43),"",INDIRECT(ADDRESS(SMALL((IF($G$2:$G$43&lt;&gt;"",ROW($G$2:$G$43),ROW()+ROWS($G$2:$G$43))),ROW()-ROW($H$2:$H$43)+1),COLUMN($G$2:$G$43),4)))</f>
        <v/>
      </c>
      <c r="O22" s="305" t="str">
        <f t="array" aca="1" ref="O22" ca="1">IF(ROW()-ROW($I$2:$I$43)+1&gt;ROWS($H$2:$H$43)-COUNTBLANK($H$2:$H$43),"",INDIRECT(ADDRESS(SMALL((IF($H$2:$H$43&lt;&gt;"",ROW($H$2:$H$43),ROW()+ROWS($H$2:$H$43))),ROW()-ROW($I$2:$I$43)+1),COLUMN($H$2:$H$43),4)))</f>
        <v/>
      </c>
      <c r="P22" s="305" t="str">
        <f t="array" aca="1" ref="P22" ca="1">IF(ROW()-ROW($J$2:$J$43)+1&gt;ROWS($I$2:$I$43)-COUNTBLANK($I$2:$I$43),"",INDIRECT(ADDRESS(SMALL((IF($I$2:$I$43&lt;&gt;"",ROW($I$2:$I$43),ROW()+ROWS($I$2:$I$43))),ROW()-ROW($J$2:$J$43)+1),COLUMN($I$2:$I$43),4)))</f>
        <v/>
      </c>
    </row>
    <row r="23" spans="1:16" ht="42" customHeight="1" x14ac:dyDescent="0.25">
      <c r="A23" s="1238" t="s">
        <v>639</v>
      </c>
      <c r="B23" s="492"/>
      <c r="C23" s="492"/>
      <c r="D23" s="493" t="s">
        <v>83</v>
      </c>
      <c r="E23" s="494"/>
      <c r="F23" s="495"/>
      <c r="G23" s="496"/>
      <c r="H23" s="497"/>
      <c r="I23" s="498"/>
      <c r="J23" s="499"/>
      <c r="K23" s="492"/>
      <c r="L23" s="305" t="str">
        <f t="array" aca="1" ref="L23" ca="1">IF(ROW()-ROW($F$2:$F$43)+1&gt;ROWS($E$2:$E$43)-COUNTBLANK($E$2:$E$43),"",INDIRECT(ADDRESS(SMALL((IF($E$2:$E$43&lt;&gt;"",ROW($E$2:$E$43),ROW()+ROWS($E$2:$E$43))),ROW()-ROW($F$2:$F$43)+1),COLUMN($E$2:$E$43),4)))</f>
        <v/>
      </c>
      <c r="M23" s="305" t="str">
        <f t="array" aca="1" ref="M23" ca="1">IF(ROW()-ROW($G$2:$G$43)+1&gt;ROWS($F$2:$F$43)-COUNTBLANK($F$2:$F$43),"",INDIRECT(ADDRESS(SMALL((IF($F$2:$F$43&lt;&gt;"",ROW($F$2:$F$43),ROW()+ROWS($F$2:$F$43))),ROW()-ROW($G$2:$G$43)+1),COLUMN($F$2:$F$43),4)))</f>
        <v/>
      </c>
      <c r="N23" s="305" t="str">
        <f t="array" aca="1" ref="N23" ca="1">IF(ROW()-ROW($H$2:$H$43)+1&gt;ROWS($G$2:$G$43)-COUNTBLANK($G$2:$G$43),"",INDIRECT(ADDRESS(SMALL((IF($G$2:$G$43&lt;&gt;"",ROW($G$2:$G$43),ROW()+ROWS($G$2:$G$43))),ROW()-ROW($H$2:$H$43)+1),COLUMN($G$2:$G$43),4)))</f>
        <v/>
      </c>
      <c r="O23" s="305" t="str">
        <f t="array" aca="1" ref="O23" ca="1">IF(ROW()-ROW($I$2:$I$43)+1&gt;ROWS($H$2:$H$43)-COUNTBLANK($H$2:$H$43),"",INDIRECT(ADDRESS(SMALL((IF($H$2:$H$43&lt;&gt;"",ROW($H$2:$H$43),ROW()+ROWS($H$2:$H$43))),ROW()-ROW($I$2:$I$43)+1),COLUMN($H$2:$H$43),4)))</f>
        <v/>
      </c>
      <c r="P23" s="305" t="str">
        <f t="array" aca="1" ref="P23" ca="1">IF(ROW()-ROW($J$2:$J$43)+1&gt;ROWS($I$2:$I$43)-COUNTBLANK($I$2:$I$43),"",INDIRECT(ADDRESS(SMALL((IF($I$2:$I$43&lt;&gt;"",ROW($I$2:$I$43),ROW()+ROWS($I$2:$I$43))),ROW()-ROW($J$2:$J$43)+1),COLUMN($I$2:$I$43),4)))</f>
        <v/>
      </c>
    </row>
    <row r="24" spans="1:16" ht="23.1" customHeight="1" x14ac:dyDescent="0.25">
      <c r="A24" s="1238"/>
      <c r="B24" s="492"/>
      <c r="C24" s="492"/>
      <c r="D24" s="1236" t="s">
        <v>348</v>
      </c>
      <c r="E24" s="500"/>
      <c r="F24" s="501"/>
      <c r="G24" s="502"/>
      <c r="H24" s="503"/>
      <c r="I24" s="504"/>
      <c r="J24" s="505"/>
      <c r="K24" s="492"/>
      <c r="L24" s="305" t="str">
        <f t="array" aca="1" ref="L24" ca="1">IF(ROW()-ROW($F$2:$F$43)+1&gt;ROWS($E$2:$E$43)-COUNTBLANK($E$2:$E$43),"",INDIRECT(ADDRESS(SMALL((IF($E$2:$E$43&lt;&gt;"",ROW($E$2:$E$43),ROW()+ROWS($E$2:$E$43))),ROW()-ROW($F$2:$F$43)+1),COLUMN($E$2:$E$43),4)))</f>
        <v/>
      </c>
      <c r="M24" s="305" t="str">
        <f t="array" aca="1" ref="M24" ca="1">IF(ROW()-ROW($G$2:$G$43)+1&gt;ROWS($F$2:$F$43)-COUNTBLANK($F$2:$F$43),"",INDIRECT(ADDRESS(SMALL((IF($F$2:$F$43&lt;&gt;"",ROW($F$2:$F$43),ROW()+ROWS($F$2:$F$43))),ROW()-ROW($G$2:$G$43)+1),COLUMN($F$2:$F$43),4)))</f>
        <v/>
      </c>
      <c r="N24" s="305" t="str">
        <f t="array" aca="1" ref="N24" ca="1">IF(ROW()-ROW($H$2:$H$43)+1&gt;ROWS($G$2:$G$43)-COUNTBLANK($G$2:$G$43),"",INDIRECT(ADDRESS(SMALL((IF($G$2:$G$43&lt;&gt;"",ROW($G$2:$G$43),ROW()+ROWS($G$2:$G$43))),ROW()-ROW($H$2:$H$43)+1),COLUMN($G$2:$G$43),4)))</f>
        <v/>
      </c>
      <c r="O24" s="305" t="str">
        <f t="array" aca="1" ref="O24" ca="1">IF(ROW()-ROW($I$2:$I$43)+1&gt;ROWS($H$2:$H$43)-COUNTBLANK($H$2:$H$43),"",INDIRECT(ADDRESS(SMALL((IF($H$2:$H$43&lt;&gt;"",ROW($H$2:$H$43),ROW()+ROWS($H$2:$H$43))),ROW()-ROW($I$2:$I$43)+1),COLUMN($H$2:$H$43),4)))</f>
        <v/>
      </c>
      <c r="P24" s="305" t="str">
        <f t="array" aca="1" ref="P24" ca="1">IF(ROW()-ROW($J$2:$J$43)+1&gt;ROWS($I$2:$I$43)-COUNTBLANK($I$2:$I$43),"",INDIRECT(ADDRESS(SMALL((IF($I$2:$I$43&lt;&gt;"",ROW($I$2:$I$43),ROW()+ROWS($I$2:$I$43))),ROW()-ROW($J$2:$J$43)+1),COLUMN($I$2:$I$43),4)))</f>
        <v/>
      </c>
    </row>
    <row r="25" spans="1:16" ht="23.1" customHeight="1" x14ac:dyDescent="0.25">
      <c r="A25" s="1238"/>
      <c r="B25" s="492"/>
      <c r="C25" s="492"/>
      <c r="D25" s="1236"/>
      <c r="E25" s="500"/>
      <c r="F25" s="501"/>
      <c r="G25" s="502"/>
      <c r="H25" s="503"/>
      <c r="I25" s="504"/>
      <c r="J25" s="505"/>
      <c r="K25" s="492"/>
      <c r="L25" s="305" t="str">
        <f t="array" aca="1" ref="L25" ca="1">IF(ROW()-ROW($F$2:$F$43)+1&gt;ROWS($E$2:$E$43)-COUNTBLANK($E$2:$E$43),"",INDIRECT(ADDRESS(SMALL((IF($E$2:$E$43&lt;&gt;"",ROW($E$2:$E$43),ROW()+ROWS($E$2:$E$43))),ROW()-ROW($F$2:$F$43)+1),COLUMN($E$2:$E$43),4)))</f>
        <v/>
      </c>
      <c r="M25" s="305" t="str">
        <f t="array" aca="1" ref="M25" ca="1">IF(ROW()-ROW($G$2:$G$43)+1&gt;ROWS($F$2:$F$43)-COUNTBLANK($F$2:$F$43),"",INDIRECT(ADDRESS(SMALL((IF($F$2:$F$43&lt;&gt;"",ROW($F$2:$F$43),ROW()+ROWS($F$2:$F$43))),ROW()-ROW($G$2:$G$43)+1),COLUMN($F$2:$F$43),4)))</f>
        <v/>
      </c>
      <c r="N25" s="305" t="str">
        <f t="array" aca="1" ref="N25" ca="1">IF(ROW()-ROW($H$2:$H$43)+1&gt;ROWS($G$2:$G$43)-COUNTBLANK($G$2:$G$43),"",INDIRECT(ADDRESS(SMALL((IF($G$2:$G$43&lt;&gt;"",ROW($G$2:$G$43),ROW()+ROWS($G$2:$G$43))),ROW()-ROW($H$2:$H$43)+1),COLUMN($G$2:$G$43),4)))</f>
        <v/>
      </c>
      <c r="O25" s="305" t="str">
        <f t="array" aca="1" ref="O25" ca="1">IF(ROW()-ROW($I$2:$I$43)+1&gt;ROWS($H$2:$H$43)-COUNTBLANK($H$2:$H$43),"",INDIRECT(ADDRESS(SMALL((IF($H$2:$H$43&lt;&gt;"",ROW($H$2:$H$43),ROW()+ROWS($H$2:$H$43))),ROW()-ROW($I$2:$I$43)+1),COLUMN($H$2:$H$43),4)))</f>
        <v/>
      </c>
      <c r="P25" s="305" t="str">
        <f t="array" aca="1" ref="P25" ca="1">IF(ROW()-ROW($J$2:$J$43)+1&gt;ROWS($I$2:$I$43)-COUNTBLANK($I$2:$I$43),"",INDIRECT(ADDRESS(SMALL((IF($I$2:$I$43&lt;&gt;"",ROW($I$2:$I$43),ROW()+ROWS($I$2:$I$43))),ROW()-ROW($J$2:$J$43)+1),COLUMN($I$2:$I$43),4)))</f>
        <v/>
      </c>
    </row>
    <row r="26" spans="1:16" ht="23.1" customHeight="1" x14ac:dyDescent="0.25">
      <c r="A26" s="1238"/>
      <c r="B26" s="492"/>
      <c r="C26" s="492"/>
      <c r="D26" s="1236"/>
      <c r="E26" s="500"/>
      <c r="F26" s="501"/>
      <c r="G26" s="502"/>
      <c r="H26" s="503"/>
      <c r="I26" s="504"/>
      <c r="J26" s="505"/>
      <c r="K26" s="492"/>
      <c r="L26" s="305" t="str">
        <f t="array" aca="1" ref="L26" ca="1">IF(ROW()-ROW($F$2:$F$43)+1&gt;ROWS($E$2:$E$43)-COUNTBLANK($E$2:$E$43),"",INDIRECT(ADDRESS(SMALL((IF($E$2:$E$43&lt;&gt;"",ROW($E$2:$E$43),ROW()+ROWS($E$2:$E$43))),ROW()-ROW($F$2:$F$43)+1),COLUMN($E$2:$E$43),4)))</f>
        <v/>
      </c>
      <c r="M26" s="305" t="str">
        <f t="array" aca="1" ref="M26" ca="1">IF(ROW()-ROW($G$2:$G$43)+1&gt;ROWS($F$2:$F$43)-COUNTBLANK($F$2:$F$43),"",INDIRECT(ADDRESS(SMALL((IF($F$2:$F$43&lt;&gt;"",ROW($F$2:$F$43),ROW()+ROWS($F$2:$F$43))),ROW()-ROW($G$2:$G$43)+1),COLUMN($F$2:$F$43),4)))</f>
        <v/>
      </c>
      <c r="N26" s="305" t="str">
        <f t="array" aca="1" ref="N26" ca="1">IF(ROW()-ROW($H$2:$H$43)+1&gt;ROWS($G$2:$G$43)-COUNTBLANK($G$2:$G$43),"",INDIRECT(ADDRESS(SMALL((IF($G$2:$G$43&lt;&gt;"",ROW($G$2:$G$43),ROW()+ROWS($G$2:$G$43))),ROW()-ROW($H$2:$H$43)+1),COLUMN($G$2:$G$43),4)))</f>
        <v/>
      </c>
      <c r="O26" s="305" t="str">
        <f t="array" aca="1" ref="O26" ca="1">IF(ROW()-ROW($I$2:$I$43)+1&gt;ROWS($H$2:$H$43)-COUNTBLANK($H$2:$H$43),"",INDIRECT(ADDRESS(SMALL((IF($H$2:$H$43&lt;&gt;"",ROW($H$2:$H$43),ROW()+ROWS($H$2:$H$43))),ROW()-ROW($I$2:$I$43)+1),COLUMN($H$2:$H$43),4)))</f>
        <v/>
      </c>
      <c r="P26" s="305" t="str">
        <f t="array" aca="1" ref="P26" ca="1">IF(ROW()-ROW($J$2:$J$43)+1&gt;ROWS($I$2:$I$43)-COUNTBLANK($I$2:$I$43),"",INDIRECT(ADDRESS(SMALL((IF($I$2:$I$43&lt;&gt;"",ROW($I$2:$I$43),ROW()+ROWS($I$2:$I$43))),ROW()-ROW($J$2:$J$43)+1),COLUMN($I$2:$I$43),4)))</f>
        <v/>
      </c>
    </row>
    <row r="27" spans="1:16" ht="23.1" customHeight="1" thickBot="1" x14ac:dyDescent="0.3">
      <c r="A27" s="1238"/>
      <c r="B27" s="492"/>
      <c r="C27" s="492"/>
      <c r="D27" s="506" t="s">
        <v>525</v>
      </c>
      <c r="E27" s="507"/>
      <c r="F27" s="508"/>
      <c r="G27" s="509"/>
      <c r="H27" s="510"/>
      <c r="I27" s="511"/>
      <c r="J27" s="512"/>
      <c r="K27" s="492"/>
      <c r="L27" s="305" t="str">
        <f t="array" aca="1" ref="L27" ca="1">IF(ROW()-ROW($F$2:$F$43)+1&gt;ROWS($E$2:$E$43)-COUNTBLANK($E$2:$E$43),"",INDIRECT(ADDRESS(SMALL((IF($E$2:$E$43&lt;&gt;"",ROW($E$2:$E$43),ROW()+ROWS($E$2:$E$43))),ROW()-ROW($F$2:$F$43)+1),COLUMN($E$2:$E$43),4)))</f>
        <v/>
      </c>
      <c r="M27" s="305" t="str">
        <f t="array" aca="1" ref="M27" ca="1">IF(ROW()-ROW($G$2:$G$43)+1&gt;ROWS($F$2:$F$43)-COUNTBLANK($F$2:$F$43),"",INDIRECT(ADDRESS(SMALL((IF($F$2:$F$43&lt;&gt;"",ROW($F$2:$F$43),ROW()+ROWS($F$2:$F$43))),ROW()-ROW($G$2:$G$43)+1),COLUMN($F$2:$F$43),4)))</f>
        <v/>
      </c>
      <c r="N27" s="305" t="str">
        <f t="array" aca="1" ref="N27" ca="1">IF(ROW()-ROW($H$2:$H$43)+1&gt;ROWS($G$2:$G$43)-COUNTBLANK($G$2:$G$43),"",INDIRECT(ADDRESS(SMALL((IF($G$2:$G$43&lt;&gt;"",ROW($G$2:$G$43),ROW()+ROWS($G$2:$G$43))),ROW()-ROW($H$2:$H$43)+1),COLUMN($G$2:$G$43),4)))</f>
        <v/>
      </c>
      <c r="O27" s="305" t="str">
        <f t="array" aca="1" ref="O27" ca="1">IF(ROW()-ROW($I$2:$I$43)+1&gt;ROWS($H$2:$H$43)-COUNTBLANK($H$2:$H$43),"",INDIRECT(ADDRESS(SMALL((IF($H$2:$H$43&lt;&gt;"",ROW($H$2:$H$43),ROW()+ROWS($H$2:$H$43))),ROW()-ROW($I$2:$I$43)+1),COLUMN($H$2:$H$43),4)))</f>
        <v/>
      </c>
      <c r="P27" s="305" t="str">
        <f t="array" aca="1" ref="P27" ca="1">IF(ROW()-ROW($J$2:$J$43)+1&gt;ROWS($I$2:$I$43)-COUNTBLANK($I$2:$I$43),"",INDIRECT(ADDRESS(SMALL((IF($I$2:$I$43&lt;&gt;"",ROW($I$2:$I$43),ROW()+ROWS($I$2:$I$43))),ROW()-ROW($J$2:$J$43)+1),COLUMN($I$2:$I$43),4)))</f>
        <v/>
      </c>
    </row>
    <row r="28" spans="1:16" ht="39" customHeight="1" thickBot="1" x14ac:dyDescent="0.3">
      <c r="D28" s="286" t="s">
        <v>526</v>
      </c>
      <c r="E28" s="439" t="str">
        <f>IF(H28="","","2017-2019")</f>
        <v/>
      </c>
      <c r="F28" s="440" t="str">
        <f>IF(H28="","","g")</f>
        <v/>
      </c>
      <c r="G28" s="441" t="str">
        <f>IF(I28="","","6")</f>
        <v/>
      </c>
      <c r="H28" s="442" t="str">
        <f>IF(OR(Matrix!G26="-----",Matrix!G26=""),"",IF(Matrix!G26="",0,IF(ROUND(Matrix!G26,4)&gt;Berechnung2!J42,Berechnung2!L42,"")))</f>
        <v/>
      </c>
      <c r="I28" s="425" t="str">
        <f>IF(H28="","",VLOOKUP(F28,Berechnung2!$I$15:$J$25,2,FALSE))</f>
        <v/>
      </c>
      <c r="J28" s="426" t="str">
        <f t="shared" si="1"/>
        <v/>
      </c>
      <c r="L28" s="305" t="str">
        <f t="array" aca="1" ref="L28" ca="1">IF(ROW()-ROW($F$2:$F$43)+1&gt;ROWS($E$2:$E$43)-COUNTBLANK($E$2:$E$43),"",INDIRECT(ADDRESS(SMALL((IF($E$2:$E$43&lt;&gt;"",ROW($E$2:$E$43),ROW()+ROWS($E$2:$E$43))),ROW()-ROW($F$2:$F$43)+1),COLUMN($E$2:$E$43),4)))</f>
        <v/>
      </c>
      <c r="M28" s="305" t="str">
        <f t="array" aca="1" ref="M28" ca="1">IF(ROW()-ROW($G$2:$G$43)+1&gt;ROWS($F$2:$F$43)-COUNTBLANK($F$2:$F$43),"",INDIRECT(ADDRESS(SMALL((IF($F$2:$F$43&lt;&gt;"",ROW($F$2:$F$43),ROW()+ROWS($F$2:$F$43))),ROW()-ROW($G$2:$G$43)+1),COLUMN($F$2:$F$43),4)))</f>
        <v/>
      </c>
      <c r="N28" s="305" t="str">
        <f t="array" aca="1" ref="N28" ca="1">IF(ROW()-ROW($H$2:$H$43)+1&gt;ROWS($G$2:$G$43)-COUNTBLANK($G$2:$G$43),"",INDIRECT(ADDRESS(SMALL((IF($G$2:$G$43&lt;&gt;"",ROW($G$2:$G$43),ROW()+ROWS($G$2:$G$43))),ROW()-ROW($H$2:$H$43)+1),COLUMN($G$2:$G$43),4)))</f>
        <v/>
      </c>
      <c r="O28" s="305" t="str">
        <f t="array" aca="1" ref="O28" ca="1">IF(ROW()-ROW($I$2:$I$43)+1&gt;ROWS($H$2:$H$43)-COUNTBLANK($H$2:$H$43),"",INDIRECT(ADDRESS(SMALL((IF($H$2:$H$43&lt;&gt;"",ROW($H$2:$H$43),ROW()+ROWS($H$2:$H$43))),ROW()-ROW($I$2:$I$43)+1),COLUMN($H$2:$H$43),4)))</f>
        <v/>
      </c>
      <c r="P28" s="305" t="str">
        <f t="array" aca="1" ref="P28" ca="1">IF(ROW()-ROW($J$2:$J$43)+1&gt;ROWS($I$2:$I$43)-COUNTBLANK($I$2:$I$43),"",INDIRECT(ADDRESS(SMALL((IF($I$2:$I$43&lt;&gt;"",ROW($I$2:$I$43),ROW()+ROWS($I$2:$I$43))),ROW()-ROW($J$2:$J$43)+1),COLUMN($I$2:$I$43),4)))</f>
        <v/>
      </c>
    </row>
    <row r="29" spans="1:16" ht="33" customHeight="1" x14ac:dyDescent="0.25">
      <c r="D29" s="285" t="s">
        <v>83</v>
      </c>
      <c r="E29" s="400"/>
      <c r="F29" s="226"/>
      <c r="G29" s="226"/>
      <c r="H29" s="291"/>
      <c r="I29" s="297"/>
      <c r="J29" s="319"/>
      <c r="L29" s="305" t="str">
        <f t="array" aca="1" ref="L29" ca="1">IF(ROW()-ROW($F$2:$F$43)+1&gt;ROWS($E$2:$E$43)-COUNTBLANK($E$2:$E$43),"",INDIRECT(ADDRESS(SMALL((IF($E$2:$E$43&lt;&gt;"",ROW($E$2:$E$43),ROW()+ROWS($E$2:$E$43))),ROW()-ROW($F$2:$F$43)+1),COLUMN($E$2:$E$43),4)))</f>
        <v/>
      </c>
      <c r="M29" s="305" t="str">
        <f t="array" aca="1" ref="M29" ca="1">IF(ROW()-ROW($G$2:$G$43)+1&gt;ROWS($F$2:$F$43)-COUNTBLANK($F$2:$F$43),"",INDIRECT(ADDRESS(SMALL((IF($F$2:$F$43&lt;&gt;"",ROW($F$2:$F$43),ROW()+ROWS($F$2:$F$43))),ROW()-ROW($G$2:$G$43)+1),COLUMN($F$2:$F$43),4)))</f>
        <v/>
      </c>
      <c r="N29" s="305" t="str">
        <f t="array" aca="1" ref="N29" ca="1">IF(ROW()-ROW($H$2:$H$43)+1&gt;ROWS($G$2:$G$43)-COUNTBLANK($G$2:$G$43),"",INDIRECT(ADDRESS(SMALL((IF($G$2:$G$43&lt;&gt;"",ROW($G$2:$G$43),ROW()+ROWS($G$2:$G$43))),ROW()-ROW($H$2:$H$43)+1),COLUMN($G$2:$G$43),4)))</f>
        <v/>
      </c>
      <c r="O29" s="305" t="str">
        <f t="array" aca="1" ref="O29" ca="1">IF(ROW()-ROW($I$2:$I$43)+1&gt;ROWS($H$2:$H$43)-COUNTBLANK($H$2:$H$43),"",INDIRECT(ADDRESS(SMALL((IF($H$2:$H$43&lt;&gt;"",ROW($H$2:$H$43),ROW()+ROWS($H$2:$H$43))),ROW()-ROW($I$2:$I$43)+1),COLUMN($H$2:$H$43),4)))</f>
        <v/>
      </c>
      <c r="P29" s="305" t="str">
        <f t="array" aca="1" ref="P29" ca="1">IF(ROW()-ROW($J$2:$J$43)+1&gt;ROWS($I$2:$I$43)-COUNTBLANK($I$2:$I$43),"",INDIRECT(ADDRESS(SMALL((IF($I$2:$I$43&lt;&gt;"",ROW($I$2:$I$43),ROW()+ROWS($I$2:$I$43))),ROW()-ROW($J$2:$J$43)+1),COLUMN($I$2:$I$43),4)))</f>
        <v/>
      </c>
    </row>
    <row r="30" spans="1:16" ht="44.25" customHeight="1" x14ac:dyDescent="0.25">
      <c r="D30" s="1237" t="s">
        <v>447</v>
      </c>
      <c r="E30" s="400"/>
      <c r="F30" s="76"/>
      <c r="G30" s="76"/>
      <c r="H30" s="281"/>
      <c r="I30" s="298"/>
      <c r="J30" s="320"/>
      <c r="L30" s="305" t="str">
        <f t="array" aca="1" ref="L30" ca="1">IF(ROW()-ROW($F$2:$F$43)+1&gt;ROWS($E$2:$E$43)-COUNTBLANK($E$2:$E$43),"",INDIRECT(ADDRESS(SMALL((IF($E$2:$E$43&lt;&gt;"",ROW($E$2:$E$43),ROW()+ROWS($E$2:$E$43))),ROW()-ROW($F$2:$F$43)+1),COLUMN($E$2:$E$43),4)))</f>
        <v/>
      </c>
      <c r="M30" s="305" t="str">
        <f t="array" aca="1" ref="M30" ca="1">IF(ROW()-ROW($G$2:$G$43)+1&gt;ROWS($F$2:$F$43)-COUNTBLANK($F$2:$F$43),"",INDIRECT(ADDRESS(SMALL((IF($F$2:$F$43&lt;&gt;"",ROW($F$2:$F$43),ROW()+ROWS($F$2:$F$43))),ROW()-ROW($G$2:$G$43)+1),COLUMN($F$2:$F$43),4)))</f>
        <v/>
      </c>
      <c r="N30" s="305" t="str">
        <f t="array" aca="1" ref="N30" ca="1">IF(ROW()-ROW($H$2:$H$43)+1&gt;ROWS($G$2:$G$43)-COUNTBLANK($G$2:$G$43),"",INDIRECT(ADDRESS(SMALL((IF($G$2:$G$43&lt;&gt;"",ROW($G$2:$G$43),ROW()+ROWS($G$2:$G$43))),ROW()-ROW($H$2:$H$43)+1),COLUMN($G$2:$G$43),4)))</f>
        <v/>
      </c>
      <c r="O30" s="305" t="str">
        <f t="array" aca="1" ref="O30" ca="1">IF(ROW()-ROW($I$2:$I$43)+1&gt;ROWS($H$2:$H$43)-COUNTBLANK($H$2:$H$43),"",INDIRECT(ADDRESS(SMALL((IF($H$2:$H$43&lt;&gt;"",ROW($H$2:$H$43),ROW()+ROWS($H$2:$H$43))),ROW()-ROW($I$2:$I$43)+1),COLUMN($H$2:$H$43),4)))</f>
        <v/>
      </c>
      <c r="P30" s="305" t="str">
        <f t="array" aca="1" ref="P30" ca="1">IF(ROW()-ROW($J$2:$J$43)+1&gt;ROWS($I$2:$I$43)-COUNTBLANK($I$2:$I$43),"",INDIRECT(ADDRESS(SMALL((IF($I$2:$I$43&lt;&gt;"",ROW($I$2:$I$43),ROW()+ROWS($I$2:$I$43))),ROW()-ROW($J$2:$J$43)+1),COLUMN($I$2:$I$43),4)))</f>
        <v/>
      </c>
    </row>
    <row r="31" spans="1:16" ht="23.1" customHeight="1" x14ac:dyDescent="0.25">
      <c r="D31" s="1237"/>
      <c r="E31" s="400" t="str">
        <f>IF(H31="","","2017")</f>
        <v/>
      </c>
      <c r="F31" s="76" t="str">
        <f>IF(H31="","","h")</f>
        <v/>
      </c>
      <c r="G31" s="76" t="str">
        <f t="shared" ref="G31:G43" si="2">IF(I31="","","6")</f>
        <v/>
      </c>
      <c r="H31" s="281" t="str">
        <f>IF(A4="relevant",IF(Matrix!G22="","",IF(AND(ROUND(Matrix!G22,4)&gt;=Berechnung2!$F$40,ROUND(Matrix!G22,4)&lt;Berechnung2!$J$40),Berechnung2!$L$40,"")),"")</f>
        <v/>
      </c>
      <c r="I31" s="298" t="str">
        <f>IF(H31="","",VLOOKUP(F31,Berechnung2!$I$15:$J$25,2,FALSE))</f>
        <v/>
      </c>
      <c r="J31" s="320" t="str">
        <f t="shared" si="1"/>
        <v/>
      </c>
      <c r="L31" s="305" t="str">
        <f t="array" aca="1" ref="L31" ca="1">IF(ROW()-ROW($F$2:$F$43)+1&gt;ROWS($E$2:$E$43)-COUNTBLANK($E$2:$E$43),"",INDIRECT(ADDRESS(SMALL((IF($E$2:$E$43&lt;&gt;"",ROW($E$2:$E$43),ROW()+ROWS($E$2:$E$43))),ROW()-ROW($F$2:$F$43)+1),COLUMN($E$2:$E$43),4)))</f>
        <v/>
      </c>
      <c r="M31" s="305" t="str">
        <f t="array" aca="1" ref="M31" ca="1">IF(ROW()-ROW($G$2:$G$43)+1&gt;ROWS($F$2:$F$43)-COUNTBLANK($F$2:$F$43),"",INDIRECT(ADDRESS(SMALL((IF($F$2:$F$43&lt;&gt;"",ROW($F$2:$F$43),ROW()+ROWS($F$2:$F$43))),ROW()-ROW($G$2:$G$43)+1),COLUMN($F$2:$F$43),4)))</f>
        <v/>
      </c>
      <c r="N31" s="305" t="str">
        <f t="array" aca="1" ref="N31" ca="1">IF(ROW()-ROW($H$2:$H$43)+1&gt;ROWS($G$2:$G$43)-COUNTBLANK($G$2:$G$43),"",INDIRECT(ADDRESS(SMALL((IF($G$2:$G$43&lt;&gt;"",ROW($G$2:$G$43),ROW()+ROWS($G$2:$G$43))),ROW()-ROW($H$2:$H$43)+1),COLUMN($G$2:$G$43),4)))</f>
        <v/>
      </c>
      <c r="O31" s="305" t="str">
        <f t="array" aca="1" ref="O31" ca="1">IF(ROW()-ROW($I$2:$I$43)+1&gt;ROWS($H$2:$H$43)-COUNTBLANK($H$2:$H$43),"",INDIRECT(ADDRESS(SMALL((IF($H$2:$H$43&lt;&gt;"",ROW($H$2:$H$43),ROW()+ROWS($H$2:$H$43))),ROW()-ROW($I$2:$I$43)+1),COLUMN($H$2:$H$43),4)))</f>
        <v/>
      </c>
      <c r="P31" s="305" t="str">
        <f t="array" aca="1" ref="P31" ca="1">IF(ROW()-ROW($J$2:$J$43)+1&gt;ROWS($I$2:$I$43)-COUNTBLANK($I$2:$I$43),"",INDIRECT(ADDRESS(SMALL((IF($I$2:$I$43&lt;&gt;"",ROW($I$2:$I$43),ROW()+ROWS($I$2:$I$43))),ROW()-ROW($J$2:$J$43)+1),COLUMN($I$2:$I$43),4)))</f>
        <v/>
      </c>
    </row>
    <row r="32" spans="1:16" ht="23.1" customHeight="1" x14ac:dyDescent="0.25">
      <c r="D32" s="1237"/>
      <c r="E32" s="400" t="str">
        <f>IF(H32="","","2018")</f>
        <v/>
      </c>
      <c r="F32" s="76" t="str">
        <f>IF(H32="","","h")</f>
        <v/>
      </c>
      <c r="G32" s="76" t="str">
        <f t="shared" si="2"/>
        <v/>
      </c>
      <c r="H32" s="281" t="str">
        <f>IF(A5="relevant",IF(Matrix!G23="","",IF(AND(ROUND(Matrix!G23,4)&gt;=Berechnung2!$F$40,ROUND(Matrix!G23,4)&lt;Berechnung2!$J$40),Berechnung2!$L$40,"")),"")</f>
        <v/>
      </c>
      <c r="I32" s="298" t="str">
        <f>IF(H32="","",VLOOKUP(F32,Berechnung2!$I$15:$J$25,2,FALSE))</f>
        <v/>
      </c>
      <c r="J32" s="320" t="str">
        <f t="shared" si="1"/>
        <v/>
      </c>
      <c r="L32" s="305" t="str">
        <f t="array" aca="1" ref="L32" ca="1">IF(ROW()-ROW($F$2:$F$43)+1&gt;ROWS($E$2:$E$43)-COUNTBLANK($E$2:$E$43),"",INDIRECT(ADDRESS(SMALL((IF($E$2:$E$43&lt;&gt;"",ROW($E$2:$E$43),ROW()+ROWS($E$2:$E$43))),ROW()-ROW($F$2:$F$43)+1),COLUMN($E$2:$E$43),4)))</f>
        <v/>
      </c>
      <c r="M32" s="305" t="str">
        <f t="array" aca="1" ref="M32" ca="1">IF(ROW()-ROW($G$2:$G$43)+1&gt;ROWS($F$2:$F$43)-COUNTBLANK($F$2:$F$43),"",INDIRECT(ADDRESS(SMALL((IF($F$2:$F$43&lt;&gt;"",ROW($F$2:$F$43),ROW()+ROWS($F$2:$F$43))),ROW()-ROW($G$2:$G$43)+1),COLUMN($F$2:$F$43),4)))</f>
        <v/>
      </c>
      <c r="N32" s="305" t="str">
        <f t="array" aca="1" ref="N32" ca="1">IF(ROW()-ROW($H$2:$H$43)+1&gt;ROWS($G$2:$G$43)-COUNTBLANK($G$2:$G$43),"",INDIRECT(ADDRESS(SMALL((IF($G$2:$G$43&lt;&gt;"",ROW($G$2:$G$43),ROW()+ROWS($G$2:$G$43))),ROW()-ROW($H$2:$H$43)+1),COLUMN($G$2:$G$43),4)))</f>
        <v/>
      </c>
      <c r="O32" s="305" t="str">
        <f t="array" aca="1" ref="O32" ca="1">IF(ROW()-ROW($I$2:$I$43)+1&gt;ROWS($H$2:$H$43)-COUNTBLANK($H$2:$H$43),"",INDIRECT(ADDRESS(SMALL((IF($H$2:$H$43&lt;&gt;"",ROW($H$2:$H$43),ROW()+ROWS($H$2:$H$43))),ROW()-ROW($I$2:$I$43)+1),COLUMN($H$2:$H$43),4)))</f>
        <v/>
      </c>
      <c r="P32" s="305" t="str">
        <f t="array" aca="1" ref="P32" ca="1">IF(ROW()-ROW($J$2:$J$43)+1&gt;ROWS($I$2:$I$43)-COUNTBLANK($I$2:$I$43),"",INDIRECT(ADDRESS(SMALL((IF($I$2:$I$43&lt;&gt;"",ROW($I$2:$I$43),ROW()+ROWS($I$2:$I$43))),ROW()-ROW($J$2:$J$43)+1),COLUMN($I$2:$I$43),4)))</f>
        <v/>
      </c>
    </row>
    <row r="33" spans="4:16" ht="23.1" customHeight="1" thickBot="1" x14ac:dyDescent="0.3">
      <c r="D33" s="287" t="s">
        <v>527</v>
      </c>
      <c r="E33" s="401" t="str">
        <f>IF(H33="","","2019")</f>
        <v/>
      </c>
      <c r="F33" s="307" t="str">
        <f>IF(H33="","","h")</f>
        <v/>
      </c>
      <c r="G33" s="307" t="str">
        <f t="shared" si="2"/>
        <v/>
      </c>
      <c r="H33" s="295" t="str">
        <f>IF(A6="relevant",IF(Matrix!G24="","",IF(AND(ROUND(Matrix!G24,4)&gt;=Berechnung2!$F$40,ROUND(Matrix!G24,4)&lt;Berechnung2!$J$40),Berechnung2!$L$40,"")),"")</f>
        <v/>
      </c>
      <c r="I33" s="299" t="str">
        <f>IF(H33="","",VLOOKUP(F33,Berechnung2!$I$15:$J$25,2,FALSE))</f>
        <v/>
      </c>
      <c r="J33" s="321" t="str">
        <f t="shared" si="1"/>
        <v/>
      </c>
      <c r="L33" s="305" t="str">
        <f t="array" aca="1" ref="L33" ca="1">IF(ROW()-ROW($F$2:$F$43)+1&gt;ROWS($E$2:$E$43)-COUNTBLANK($E$2:$E$43),"",INDIRECT(ADDRESS(SMALL((IF($E$2:$E$43&lt;&gt;"",ROW($E$2:$E$43),ROW()+ROWS($E$2:$E$43))),ROW()-ROW($F$2:$F$43)+1),COLUMN($E$2:$E$43),4)))</f>
        <v/>
      </c>
      <c r="M33" s="305" t="str">
        <f t="array" aca="1" ref="M33" ca="1">IF(ROW()-ROW($G$2:$G$43)+1&gt;ROWS($F$2:$F$43)-COUNTBLANK($F$2:$F$43),"",INDIRECT(ADDRESS(SMALL((IF($F$2:$F$43&lt;&gt;"",ROW($F$2:$F$43),ROW()+ROWS($F$2:$F$43))),ROW()-ROW($G$2:$G$43)+1),COLUMN($F$2:$F$43),4)))</f>
        <v/>
      </c>
      <c r="N33" s="305" t="str">
        <f t="array" aca="1" ref="N33" ca="1">IF(ROW()-ROW($H$2:$H$43)+1&gt;ROWS($G$2:$G$43)-COUNTBLANK($G$2:$G$43),"",INDIRECT(ADDRESS(SMALL((IF($G$2:$G$43&lt;&gt;"",ROW($G$2:$G$43),ROW()+ROWS($G$2:$G$43))),ROW()-ROW($H$2:$H$43)+1),COLUMN($G$2:$G$43),4)))</f>
        <v/>
      </c>
      <c r="O33" s="305" t="str">
        <f t="array" aca="1" ref="O33" ca="1">IF(ROW()-ROW($I$2:$I$43)+1&gt;ROWS($H$2:$H$43)-COUNTBLANK($H$2:$H$43),"",INDIRECT(ADDRESS(SMALL((IF($H$2:$H$43&lt;&gt;"",ROW($H$2:$H$43),ROW()+ROWS($H$2:$H$43))),ROW()-ROW($I$2:$I$43)+1),COLUMN($H$2:$H$43),4)))</f>
        <v/>
      </c>
      <c r="P33" s="305" t="str">
        <f t="array" aca="1" ref="P33" ca="1">IF(ROW()-ROW($J$2:$J$43)+1&gt;ROWS($I$2:$I$43)-COUNTBLANK($I$2:$I$43),"",INDIRECT(ADDRESS(SMALL((IF($I$2:$I$43&lt;&gt;"",ROW($I$2:$I$43),ROW()+ROWS($I$2:$I$43))),ROW()-ROW($J$2:$J$43)+1),COLUMN($I$2:$I$43),4)))</f>
        <v/>
      </c>
    </row>
    <row r="34" spans="4:16" ht="23.1" customHeight="1" x14ac:dyDescent="0.25">
      <c r="D34" s="285" t="s">
        <v>83</v>
      </c>
      <c r="E34" s="399" t="str">
        <f>IF(H34="","","2015")</f>
        <v/>
      </c>
      <c r="F34" s="306" t="str">
        <f>IF(H34="","","i")</f>
        <v/>
      </c>
      <c r="G34" s="306" t="str">
        <f t="shared" si="2"/>
        <v/>
      </c>
      <c r="H34" s="291" t="str">
        <f>IF(A2="relevant",IF(Matrix!J20="","",IF(AND(ROUND(Matrix!J20,4)&gt;=Berechnung2!C48,ROUND(Matrix!J20,4)&lt;Berechnung2!G48),Berechnung2!L48,"")),"")</f>
        <v/>
      </c>
      <c r="I34" s="297" t="str">
        <f>IF(H34="","",VLOOKUP(F34,Berechnung2!$I$15:$J$25,2,FALSE))</f>
        <v/>
      </c>
      <c r="J34" s="319" t="str">
        <f t="shared" si="1"/>
        <v/>
      </c>
      <c r="L34" s="305" t="str">
        <f t="array" aca="1" ref="L34" ca="1">IF(ROW()-ROW($F$2:$F$43)+1&gt;ROWS($E$2:$E$43)-COUNTBLANK($E$2:$E$43),"",INDIRECT(ADDRESS(SMALL((IF($E$2:$E$43&lt;&gt;"",ROW($E$2:$E$43),ROW()+ROWS($E$2:$E$43))),ROW()-ROW($F$2:$F$43)+1),COLUMN($E$2:$E$43),4)))</f>
        <v/>
      </c>
      <c r="M34" s="305" t="str">
        <f t="array" aca="1" ref="M34" ca="1">IF(ROW()-ROW($G$2:$G$43)+1&gt;ROWS($F$2:$F$43)-COUNTBLANK($F$2:$F$43),"",INDIRECT(ADDRESS(SMALL((IF($F$2:$F$43&lt;&gt;"",ROW($F$2:$F$43),ROW()+ROWS($F$2:$F$43))),ROW()-ROW($G$2:$G$43)+1),COLUMN($F$2:$F$43),4)))</f>
        <v/>
      </c>
      <c r="N34" s="305" t="str">
        <f t="array" aca="1" ref="N34" ca="1">IF(ROW()-ROW($H$2:$H$43)+1&gt;ROWS($G$2:$G$43)-COUNTBLANK($G$2:$G$43),"",INDIRECT(ADDRESS(SMALL((IF($G$2:$G$43&lt;&gt;"",ROW($G$2:$G$43),ROW()+ROWS($G$2:$G$43))),ROW()-ROW($H$2:$H$43)+1),COLUMN($G$2:$G$43),4)))</f>
        <v/>
      </c>
      <c r="O34" s="305" t="str">
        <f t="array" aca="1" ref="O34" ca="1">IF(ROW()-ROW($I$2:$I$43)+1&gt;ROWS($H$2:$H$43)-COUNTBLANK($H$2:$H$43),"",INDIRECT(ADDRESS(SMALL((IF($H$2:$H$43&lt;&gt;"",ROW($H$2:$H$43),ROW()+ROWS($H$2:$H$43))),ROW()-ROW($I$2:$I$43)+1),COLUMN($H$2:$H$43),4)))</f>
        <v/>
      </c>
      <c r="P34" s="305" t="str">
        <f t="array" aca="1" ref="P34" ca="1">IF(ROW()-ROW($J$2:$J$43)+1&gt;ROWS($I$2:$I$43)-COUNTBLANK($I$2:$I$43),"",INDIRECT(ADDRESS(SMALL((IF($I$2:$I$43&lt;&gt;"",ROW($I$2:$I$43),ROW()+ROWS($I$2:$I$43))),ROW()-ROW($J$2:$J$43)+1),COLUMN($I$2:$I$43),4)))</f>
        <v/>
      </c>
    </row>
    <row r="35" spans="4:16" ht="23.1" customHeight="1" x14ac:dyDescent="0.25">
      <c r="D35" s="1237" t="s">
        <v>528</v>
      </c>
      <c r="E35" s="400" t="str">
        <f>IF(H35="","","2016")</f>
        <v/>
      </c>
      <c r="F35" s="76" t="str">
        <f>IF(H35="","","i")</f>
        <v/>
      </c>
      <c r="G35" s="76" t="str">
        <f t="shared" si="2"/>
        <v/>
      </c>
      <c r="H35" s="281" t="str">
        <f>IF(A3="relevant",IF(Matrix!J21="","",IF(AND(ROUND(Matrix!J21,4)&gt;=Berechnung2!C49,ROUND(Matrix!J21,4)&lt;Berechnung2!G49),Berechnung2!L49,"")),"")</f>
        <v/>
      </c>
      <c r="I35" s="298" t="str">
        <f>IF(H35="","",VLOOKUP(F35,Berechnung2!$I$15:$J$25,2,FALSE))</f>
        <v/>
      </c>
      <c r="J35" s="320" t="str">
        <f t="shared" si="1"/>
        <v/>
      </c>
      <c r="L35" s="305" t="str">
        <f t="array" aca="1" ref="L35" ca="1">IF(ROW()-ROW($F$2:$F$43)+1&gt;ROWS($E$2:$E$43)-COUNTBLANK($E$2:$E$43),"",INDIRECT(ADDRESS(SMALL((IF($E$2:$E$43&lt;&gt;"",ROW($E$2:$E$43),ROW()+ROWS($E$2:$E$43))),ROW()-ROW($F$2:$F$43)+1),COLUMN($E$2:$E$43),4)))</f>
        <v/>
      </c>
      <c r="M35" s="305" t="str">
        <f t="array" aca="1" ref="M35" ca="1">IF(ROW()-ROW($G$2:$G$43)+1&gt;ROWS($F$2:$F$43)-COUNTBLANK($F$2:$F$43),"",INDIRECT(ADDRESS(SMALL((IF($F$2:$F$43&lt;&gt;"",ROW($F$2:$F$43),ROW()+ROWS($F$2:$F$43))),ROW()-ROW($G$2:$G$43)+1),COLUMN($F$2:$F$43),4)))</f>
        <v/>
      </c>
      <c r="N35" s="305" t="str">
        <f t="array" aca="1" ref="N35" ca="1">IF(ROW()-ROW($H$2:$H$43)+1&gt;ROWS($G$2:$G$43)-COUNTBLANK($G$2:$G$43),"",INDIRECT(ADDRESS(SMALL((IF($G$2:$G$43&lt;&gt;"",ROW($G$2:$G$43),ROW()+ROWS($G$2:$G$43))),ROW()-ROW($H$2:$H$43)+1),COLUMN($G$2:$G$43),4)))</f>
        <v/>
      </c>
      <c r="O35" s="305" t="str">
        <f t="array" aca="1" ref="O35" ca="1">IF(ROW()-ROW($I$2:$I$43)+1&gt;ROWS($H$2:$H$43)-COUNTBLANK($H$2:$H$43),"",INDIRECT(ADDRESS(SMALL((IF($H$2:$H$43&lt;&gt;"",ROW($H$2:$H$43),ROW()+ROWS($H$2:$H$43))),ROW()-ROW($I$2:$I$43)+1),COLUMN($H$2:$H$43),4)))</f>
        <v/>
      </c>
      <c r="P35" s="305" t="str">
        <f t="array" aca="1" ref="P35" ca="1">IF(ROW()-ROW($J$2:$J$43)+1&gt;ROWS($I$2:$I$43)-COUNTBLANK($I$2:$I$43),"",INDIRECT(ADDRESS(SMALL((IF($I$2:$I$43&lt;&gt;"",ROW($I$2:$I$43),ROW()+ROWS($I$2:$I$43))),ROW()-ROW($J$2:$J$43)+1),COLUMN($I$2:$I$43),4)))</f>
        <v/>
      </c>
    </row>
    <row r="36" spans="4:16" ht="23.1" customHeight="1" x14ac:dyDescent="0.25">
      <c r="D36" s="1237"/>
      <c r="E36" s="400" t="str">
        <f>IF(H36="","","2017")</f>
        <v/>
      </c>
      <c r="F36" s="76" t="str">
        <f>IF(H36="","","i")</f>
        <v/>
      </c>
      <c r="G36" s="76" t="str">
        <f t="shared" si="2"/>
        <v/>
      </c>
      <c r="H36" s="281" t="str">
        <f>IF(A4="relevant",IF(Matrix!J22="","",IF(AND(ROUND(Matrix!J22,4)&gt;=Berechnung2!C50,ROUND(Matrix!J22,4)&lt;Berechnung2!G50),Berechnung2!L50,"")),"")</f>
        <v/>
      </c>
      <c r="I36" s="298" t="str">
        <f>IF(H36="","",VLOOKUP(F36,Berechnung2!$I$15:$J$25,2,FALSE))</f>
        <v/>
      </c>
      <c r="J36" s="320" t="str">
        <f t="shared" si="1"/>
        <v/>
      </c>
      <c r="L36" s="305" t="str">
        <f t="array" aca="1" ref="L36" ca="1">IF(ROW()-ROW($F$2:$F$43)+1&gt;ROWS($E$2:$E$43)-COUNTBLANK($E$2:$E$43),"",INDIRECT(ADDRESS(SMALL((IF($E$2:$E$43&lt;&gt;"",ROW($E$2:$E$43),ROW()+ROWS($E$2:$E$43))),ROW()-ROW($F$2:$F$43)+1),COLUMN($E$2:$E$43),4)))</f>
        <v/>
      </c>
      <c r="M36" s="305" t="str">
        <f t="array" aca="1" ref="M36" ca="1">IF(ROW()-ROW($G$2:$G$43)+1&gt;ROWS($F$2:$F$43)-COUNTBLANK($F$2:$F$43),"",INDIRECT(ADDRESS(SMALL((IF($F$2:$F$43&lt;&gt;"",ROW($F$2:$F$43),ROW()+ROWS($F$2:$F$43))),ROW()-ROW($G$2:$G$43)+1),COLUMN($F$2:$F$43),4)))</f>
        <v/>
      </c>
      <c r="N36" s="305" t="str">
        <f t="array" aca="1" ref="N36" ca="1">IF(ROW()-ROW($H$2:$H$43)+1&gt;ROWS($G$2:$G$43)-COUNTBLANK($G$2:$G$43),"",INDIRECT(ADDRESS(SMALL((IF($G$2:$G$43&lt;&gt;"",ROW($G$2:$G$43),ROW()+ROWS($G$2:$G$43))),ROW()-ROW($H$2:$H$43)+1),COLUMN($G$2:$G$43),4)))</f>
        <v/>
      </c>
      <c r="O36" s="305" t="str">
        <f t="array" aca="1" ref="O36" ca="1">IF(ROW()-ROW($I$2:$I$43)+1&gt;ROWS($H$2:$H$43)-COUNTBLANK($H$2:$H$43),"",INDIRECT(ADDRESS(SMALL((IF($H$2:$H$43&lt;&gt;"",ROW($H$2:$H$43),ROW()+ROWS($H$2:$H$43))),ROW()-ROW($I$2:$I$43)+1),COLUMN($H$2:$H$43),4)))</f>
        <v/>
      </c>
      <c r="P36" s="305" t="str">
        <f t="array" aca="1" ref="P36" ca="1">IF(ROW()-ROW($J$2:$J$43)+1&gt;ROWS($I$2:$I$43)-COUNTBLANK($I$2:$I$43),"",INDIRECT(ADDRESS(SMALL((IF($I$2:$I$43&lt;&gt;"",ROW($I$2:$I$43),ROW()+ROWS($I$2:$I$43))),ROW()-ROW($J$2:$J$43)+1),COLUMN($I$2:$I$43),4)))</f>
        <v/>
      </c>
    </row>
    <row r="37" spans="4:16" ht="23.1" customHeight="1" x14ac:dyDescent="0.25">
      <c r="D37" s="1237"/>
      <c r="E37" s="400" t="str">
        <f>IF(H37="","","2018")</f>
        <v/>
      </c>
      <c r="F37" s="76" t="str">
        <f>IF(H37="","","i")</f>
        <v/>
      </c>
      <c r="G37" s="76" t="str">
        <f t="shared" si="2"/>
        <v/>
      </c>
      <c r="H37" s="281" t="str">
        <f>IF(A5="relevant",IF(Matrix!J23="","",IF(AND(ROUND(Matrix!J23,4)&gt;=Berechnung2!C51,ROUND(Matrix!J23,4)&lt;Berechnung2!G51),Berechnung2!L51,"")),"")</f>
        <v/>
      </c>
      <c r="I37" s="298" t="str">
        <f>IF(H37="","",VLOOKUP(F37,Berechnung2!$I$15:$J$25,2,FALSE))</f>
        <v/>
      </c>
      <c r="J37" s="320" t="str">
        <f t="shared" si="1"/>
        <v/>
      </c>
      <c r="L37" s="305" t="str">
        <f t="array" aca="1" ref="L37" ca="1">IF(ROW()-ROW($F$2:$F$43)+1&gt;ROWS($E$2:$E$43)-COUNTBLANK($E$2:$E$43),"",INDIRECT(ADDRESS(SMALL((IF($E$2:$E$43&lt;&gt;"",ROW($E$2:$E$43),ROW()+ROWS($E$2:$E$43))),ROW()-ROW($F$2:$F$43)+1),COLUMN($E$2:$E$43),4)))</f>
        <v/>
      </c>
      <c r="M37" s="305" t="str">
        <f t="array" aca="1" ref="M37" ca="1">IF(ROW()-ROW($G$2:$G$43)+1&gt;ROWS($F$2:$F$43)-COUNTBLANK($F$2:$F$43),"",INDIRECT(ADDRESS(SMALL((IF($F$2:$F$43&lt;&gt;"",ROW($F$2:$F$43),ROW()+ROWS($F$2:$F$43))),ROW()-ROW($G$2:$G$43)+1),COLUMN($F$2:$F$43),4)))</f>
        <v/>
      </c>
      <c r="N37" s="305" t="str">
        <f t="array" aca="1" ref="N37" ca="1">IF(ROW()-ROW($H$2:$H$43)+1&gt;ROWS($G$2:$G$43)-COUNTBLANK($G$2:$G$43),"",INDIRECT(ADDRESS(SMALL((IF($G$2:$G$43&lt;&gt;"",ROW($G$2:$G$43),ROW()+ROWS($G$2:$G$43))),ROW()-ROW($H$2:$H$43)+1),COLUMN($G$2:$G$43),4)))</f>
        <v/>
      </c>
      <c r="O37" s="305" t="str">
        <f t="array" aca="1" ref="O37" ca="1">IF(ROW()-ROW($I$2:$I$43)+1&gt;ROWS($H$2:$H$43)-COUNTBLANK($H$2:$H$43),"",INDIRECT(ADDRESS(SMALL((IF($H$2:$H$43&lt;&gt;"",ROW($H$2:$H$43),ROW()+ROWS($H$2:$H$43))),ROW()-ROW($I$2:$I$43)+1),COLUMN($H$2:$H$43),4)))</f>
        <v/>
      </c>
      <c r="P37" s="305" t="str">
        <f t="array" aca="1" ref="P37" ca="1">IF(ROW()-ROW($J$2:$J$43)+1&gt;ROWS($I$2:$I$43)-COUNTBLANK($I$2:$I$43),"",INDIRECT(ADDRESS(SMALL((IF($I$2:$I$43&lt;&gt;"",ROW($I$2:$I$43),ROW()+ROWS($I$2:$I$43))),ROW()-ROW($J$2:$J$43)+1),COLUMN($I$2:$I$43),4)))</f>
        <v/>
      </c>
    </row>
    <row r="38" spans="4:16" ht="23.1" customHeight="1" thickBot="1" x14ac:dyDescent="0.3">
      <c r="D38" s="287" t="s">
        <v>530</v>
      </c>
      <c r="E38" s="401" t="str">
        <f>IF(H38="","","2019")</f>
        <v/>
      </c>
      <c r="F38" s="307" t="str">
        <f>IF(H38="","","i")</f>
        <v/>
      </c>
      <c r="G38" s="307" t="str">
        <f t="shared" si="2"/>
        <v/>
      </c>
      <c r="H38" s="295" t="str">
        <f>IF(A6="relevant",IF(Matrix!J24="","",IF(AND(ROUND(Matrix!J24,4)&gt;=Berechnung2!C52,ROUND(Matrix!J24,4)&lt;Berechnung2!G52),Berechnung2!L52,"")),"")</f>
        <v/>
      </c>
      <c r="I38" s="299" t="str">
        <f>IF(H38="","",VLOOKUP(F38,Berechnung2!$I$15:$J$25,2,FALSE))</f>
        <v/>
      </c>
      <c r="J38" s="321" t="str">
        <f t="shared" si="1"/>
        <v/>
      </c>
      <c r="L38" s="305" t="str">
        <f t="array" aca="1" ref="L38" ca="1">IF(ROW()-ROW($F$2:$F$43)+1&gt;ROWS($E$2:$E$43)-COUNTBLANK($E$2:$E$43),"",INDIRECT(ADDRESS(SMALL((IF($E$2:$E$43&lt;&gt;"",ROW($E$2:$E$43),ROW()+ROWS($E$2:$E$43))),ROW()-ROW($F$2:$F$43)+1),COLUMN($E$2:$E$43),4)))</f>
        <v/>
      </c>
      <c r="M38" s="305" t="str">
        <f t="array" aca="1" ref="M38" ca="1">IF(ROW()-ROW($G$2:$G$43)+1&gt;ROWS($F$2:$F$43)-COUNTBLANK($F$2:$F$43),"",INDIRECT(ADDRESS(SMALL((IF($F$2:$F$43&lt;&gt;"",ROW($F$2:$F$43),ROW()+ROWS($F$2:$F$43))),ROW()-ROW($G$2:$G$43)+1),COLUMN($F$2:$F$43),4)))</f>
        <v/>
      </c>
      <c r="N38" s="305" t="str">
        <f t="array" aca="1" ref="N38" ca="1">IF(ROW()-ROW($H$2:$H$43)+1&gt;ROWS($G$2:$G$43)-COUNTBLANK($G$2:$G$43),"",INDIRECT(ADDRESS(SMALL((IF($G$2:$G$43&lt;&gt;"",ROW($G$2:$G$43),ROW()+ROWS($G$2:$G$43))),ROW()-ROW($H$2:$H$43)+1),COLUMN($G$2:$G$43),4)))</f>
        <v/>
      </c>
      <c r="O38" s="305" t="str">
        <f t="array" aca="1" ref="O38" ca="1">IF(ROW()-ROW($I$2:$I$43)+1&gt;ROWS($H$2:$H$43)-COUNTBLANK($H$2:$H$43),"",INDIRECT(ADDRESS(SMALL((IF($H$2:$H$43&lt;&gt;"",ROW($H$2:$H$43),ROW()+ROWS($H$2:$H$43))),ROW()-ROW($I$2:$I$43)+1),COLUMN($H$2:$H$43),4)))</f>
        <v/>
      </c>
      <c r="P38" s="305" t="str">
        <f t="array" aca="1" ref="P38" ca="1">IF(ROW()-ROW($J$2:$J$43)+1&gt;ROWS($I$2:$I$43)-COUNTBLANK($I$2:$I$43),"",INDIRECT(ADDRESS(SMALL((IF($I$2:$I$43&lt;&gt;"",ROW($I$2:$I$43),ROW()+ROWS($I$2:$I$43))),ROW()-ROW($J$2:$J$43)+1),COLUMN($I$2:$I$43),4)))</f>
        <v/>
      </c>
    </row>
    <row r="39" spans="4:16" ht="23.1" customHeight="1" x14ac:dyDescent="0.25">
      <c r="D39" s="285" t="s">
        <v>83</v>
      </c>
      <c r="E39" s="399" t="str">
        <f>IF(H39="","","2015")</f>
        <v/>
      </c>
      <c r="F39" s="306" t="str">
        <f>IF(H39="","","j")</f>
        <v/>
      </c>
      <c r="G39" s="306" t="str">
        <f t="shared" si="2"/>
        <v/>
      </c>
      <c r="H39" s="291" t="str">
        <f>IF(A2="relevant",IF(Matrix!M20="","",IF(AND(ROUND(Matrix!M20,4)&gt;=Berechnung2!C55,ROUND(Matrix!M20,4)&lt;Berechnung2!G55),Berechnung2!L55,IF(ROUND(Matrix!M20,4)&gt;=Berechnung2!I55,Berechnung2!N55,""))),"")</f>
        <v/>
      </c>
      <c r="I39" s="297" t="str">
        <f>IF(H39="","",VLOOKUP(F39,Berechnung2!$I$15:$J$25,2,FALSE))</f>
        <v/>
      </c>
      <c r="J39" s="319" t="str">
        <f t="shared" si="1"/>
        <v/>
      </c>
      <c r="L39" s="305" t="str">
        <f t="array" aca="1" ref="L39" ca="1">IF(ROW()-ROW($F$2:$F$43)+1&gt;ROWS($E$2:$E$43)-COUNTBLANK($E$2:$E$43),"",INDIRECT(ADDRESS(SMALL((IF($E$2:$E$43&lt;&gt;"",ROW($E$2:$E$43),ROW()+ROWS($E$2:$E$43))),ROW()-ROW($F$2:$F$43)+1),COLUMN($E$2:$E$43),4)))</f>
        <v/>
      </c>
      <c r="M39" s="305" t="str">
        <f t="array" aca="1" ref="M39" ca="1">IF(ROW()-ROW($G$2:$G$43)+1&gt;ROWS($F$2:$F$43)-COUNTBLANK($F$2:$F$43),"",INDIRECT(ADDRESS(SMALL((IF($F$2:$F$43&lt;&gt;"",ROW($F$2:$F$43),ROW()+ROWS($F$2:$F$43))),ROW()-ROW($G$2:$G$43)+1),COLUMN($F$2:$F$43),4)))</f>
        <v/>
      </c>
      <c r="N39" s="305" t="str">
        <f t="array" aca="1" ref="N39" ca="1">IF(ROW()-ROW($H$2:$H$43)+1&gt;ROWS($G$2:$G$43)-COUNTBLANK($G$2:$G$43),"",INDIRECT(ADDRESS(SMALL((IF($G$2:$G$43&lt;&gt;"",ROW($G$2:$G$43),ROW()+ROWS($G$2:$G$43))),ROW()-ROW($H$2:$H$43)+1),COLUMN($G$2:$G$43),4)))</f>
        <v/>
      </c>
      <c r="O39" s="305" t="str">
        <f t="array" aca="1" ref="O39" ca="1">IF(ROW()-ROW($I$2:$I$43)+1&gt;ROWS($H$2:$H$43)-COUNTBLANK($H$2:$H$43),"",INDIRECT(ADDRESS(SMALL((IF($H$2:$H$43&lt;&gt;"",ROW($H$2:$H$43),ROW()+ROWS($H$2:$H$43))),ROW()-ROW($I$2:$I$43)+1),COLUMN($H$2:$H$43),4)))</f>
        <v/>
      </c>
      <c r="P39" s="305" t="str">
        <f t="array" aca="1" ref="P39" ca="1">IF(ROW()-ROW($J$2:$J$43)+1&gt;ROWS($I$2:$I$43)-COUNTBLANK($I$2:$I$43),"",INDIRECT(ADDRESS(SMALL((IF($I$2:$I$43&lt;&gt;"",ROW($I$2:$I$43),ROW()+ROWS($I$2:$I$43))),ROW()-ROW($J$2:$J$43)+1),COLUMN($I$2:$I$43),4)))</f>
        <v/>
      </c>
    </row>
    <row r="40" spans="4:16" ht="23.1" customHeight="1" x14ac:dyDescent="0.25">
      <c r="D40" s="1237" t="s">
        <v>467</v>
      </c>
      <c r="E40" s="400" t="str">
        <f>IF(H40="","","2016")</f>
        <v/>
      </c>
      <c r="F40" s="76" t="str">
        <f>IF(H40="","","j")</f>
        <v/>
      </c>
      <c r="G40" s="76" t="str">
        <f t="shared" si="2"/>
        <v/>
      </c>
      <c r="H40" s="281" t="str">
        <f>IF(A3="relevant",IF(Matrix!M21="","",IF(AND(ROUND(Matrix!M21,4)&gt;=Berechnung2!C56,ROUND(Matrix!M21,4)&lt;Berechnung2!G56),Berechnung2!L56,IF(ROUND(Matrix!M21,4)&gt;=Berechnung2!I56,Berechnung2!N56,""))),"")</f>
        <v/>
      </c>
      <c r="I40" s="298" t="str">
        <f>IF(H40="","",VLOOKUP(F40,Berechnung2!$I$15:$J$25,2,FALSE))</f>
        <v/>
      </c>
      <c r="J40" s="320" t="str">
        <f t="shared" si="1"/>
        <v/>
      </c>
      <c r="L40" s="305" t="str">
        <f t="array" aca="1" ref="L40" ca="1">IF(ROW()-ROW($F$2:$F$43)+1&gt;ROWS($E$2:$E$43)-COUNTBLANK($E$2:$E$43),"",INDIRECT(ADDRESS(SMALL((IF($E$2:$E$43&lt;&gt;"",ROW($E$2:$E$43),ROW()+ROWS($E$2:$E$43))),ROW()-ROW($F$2:$F$43)+1),COLUMN($E$2:$E$43),4)))</f>
        <v/>
      </c>
      <c r="M40" s="305" t="str">
        <f t="array" aca="1" ref="M40" ca="1">IF(ROW()-ROW($G$2:$G$43)+1&gt;ROWS($F$2:$F$43)-COUNTBLANK($F$2:$F$43),"",INDIRECT(ADDRESS(SMALL((IF($F$2:$F$43&lt;&gt;"",ROW($F$2:$F$43),ROW()+ROWS($F$2:$F$43))),ROW()-ROW($G$2:$G$43)+1),COLUMN($F$2:$F$43),4)))</f>
        <v/>
      </c>
      <c r="N40" s="305" t="str">
        <f t="array" aca="1" ref="N40" ca="1">IF(ROW()-ROW($H$2:$H$43)+1&gt;ROWS($G$2:$G$43)-COUNTBLANK($G$2:$G$43),"",INDIRECT(ADDRESS(SMALL((IF($G$2:$G$43&lt;&gt;"",ROW($G$2:$G$43),ROW()+ROWS($G$2:$G$43))),ROW()-ROW($H$2:$H$43)+1),COLUMN($G$2:$G$43),4)))</f>
        <v/>
      </c>
      <c r="O40" s="305" t="str">
        <f t="array" aca="1" ref="O40" ca="1">IF(ROW()-ROW($I$2:$I$43)+1&gt;ROWS($H$2:$H$43)-COUNTBLANK($H$2:$H$43),"",INDIRECT(ADDRESS(SMALL((IF($H$2:$H$43&lt;&gt;"",ROW($H$2:$H$43),ROW()+ROWS($H$2:$H$43))),ROW()-ROW($I$2:$I$43)+1),COLUMN($H$2:$H$43),4)))</f>
        <v/>
      </c>
      <c r="P40" s="305" t="str">
        <f t="array" aca="1" ref="P40" ca="1">IF(ROW()-ROW($J$2:$J$43)+1&gt;ROWS($I$2:$I$43)-COUNTBLANK($I$2:$I$43),"",INDIRECT(ADDRESS(SMALL((IF($I$2:$I$43&lt;&gt;"",ROW($I$2:$I$43),ROW()+ROWS($I$2:$I$43))),ROW()-ROW($J$2:$J$43)+1),COLUMN($I$2:$I$43),4)))</f>
        <v/>
      </c>
    </row>
    <row r="41" spans="4:16" ht="23.1" customHeight="1" x14ac:dyDescent="0.25">
      <c r="D41" s="1237"/>
      <c r="E41" s="400" t="str">
        <f>IF(H41="","","2017")</f>
        <v/>
      </c>
      <c r="F41" s="76" t="str">
        <f>IF(H41="","","j")</f>
        <v/>
      </c>
      <c r="G41" s="76" t="str">
        <f t="shared" si="2"/>
        <v/>
      </c>
      <c r="H41" s="281" t="str">
        <f>IF(A4="relevant",IF(Matrix!M22="","",IF(AND(ROUND(Matrix!M22,4)&gt;=Berechnung2!C57,ROUND(Matrix!M22,4)&lt;Berechnung2!G57),Berechnung2!L57,IF(ROUND(Matrix!M22,4)&gt;=Berechnung2!I57,Berechnung2!N57,""))),"")</f>
        <v/>
      </c>
      <c r="I41" s="298" t="str">
        <f>IF(H41="","",VLOOKUP(F41,Berechnung2!$I$15:$J$25,2,FALSE))</f>
        <v/>
      </c>
      <c r="J41" s="320" t="str">
        <f t="shared" si="1"/>
        <v/>
      </c>
      <c r="L41" s="305" t="str">
        <f t="array" aca="1" ref="L41" ca="1">IF(ROW()-ROW($F$2:$F$43)+1&gt;ROWS($E$2:$E$43)-COUNTBLANK($E$2:$E$43),"",INDIRECT(ADDRESS(SMALL((IF($E$2:$E$43&lt;&gt;"",ROW($E$2:$E$43),ROW()+ROWS($E$2:$E$43))),ROW()-ROW($F$2:$F$43)+1),COLUMN($E$2:$E$43),4)))</f>
        <v/>
      </c>
      <c r="M41" s="305" t="str">
        <f t="array" aca="1" ref="M41" ca="1">IF(ROW()-ROW($G$2:$G$43)+1&gt;ROWS($F$2:$F$43)-COUNTBLANK($F$2:$F$43),"",INDIRECT(ADDRESS(SMALL((IF($F$2:$F$43&lt;&gt;"",ROW($F$2:$F$43),ROW()+ROWS($F$2:$F$43))),ROW()-ROW($G$2:$G$43)+1),COLUMN($F$2:$F$43),4)))</f>
        <v/>
      </c>
      <c r="N41" s="305" t="str">
        <f t="array" aca="1" ref="N41" ca="1">IF(ROW()-ROW($H$2:$H$43)+1&gt;ROWS($G$2:$G$43)-COUNTBLANK($G$2:$G$43),"",INDIRECT(ADDRESS(SMALL((IF($G$2:$G$43&lt;&gt;"",ROW($G$2:$G$43),ROW()+ROWS($G$2:$G$43))),ROW()-ROW($H$2:$H$43)+1),COLUMN($G$2:$G$43),4)))</f>
        <v/>
      </c>
      <c r="O41" s="305" t="str">
        <f t="array" aca="1" ref="O41" ca="1">IF(ROW()-ROW($I$2:$I$43)+1&gt;ROWS($H$2:$H$43)-COUNTBLANK($H$2:$H$43),"",INDIRECT(ADDRESS(SMALL((IF($H$2:$H$43&lt;&gt;"",ROW($H$2:$H$43),ROW()+ROWS($H$2:$H$43))),ROW()-ROW($I$2:$I$43)+1),COLUMN($H$2:$H$43),4)))</f>
        <v/>
      </c>
      <c r="P41" s="305" t="str">
        <f t="array" aca="1" ref="P41" ca="1">IF(ROW()-ROW($J$2:$J$43)+1&gt;ROWS($I$2:$I$43)-COUNTBLANK($I$2:$I$43),"",INDIRECT(ADDRESS(SMALL((IF($I$2:$I$43&lt;&gt;"",ROW($I$2:$I$43),ROW()+ROWS($I$2:$I$43))),ROW()-ROW($J$2:$J$43)+1),COLUMN($I$2:$I$43),4)))</f>
        <v/>
      </c>
    </row>
    <row r="42" spans="4:16" ht="23.1" customHeight="1" thickBot="1" x14ac:dyDescent="0.3">
      <c r="D42" s="287" t="s">
        <v>529</v>
      </c>
      <c r="E42" s="401" t="str">
        <f>IF(H42="","","2018")</f>
        <v/>
      </c>
      <c r="F42" s="307" t="str">
        <f>IF(H42="","","j")</f>
        <v/>
      </c>
      <c r="G42" s="307" t="str">
        <f t="shared" si="2"/>
        <v/>
      </c>
      <c r="H42" s="295" t="str">
        <f>IF(A5="relevant",IF(Matrix!M23="","",IF(AND(ROUND(Matrix!M23,4)&gt;=Berechnung2!C58,ROUND(Matrix!M23,4)&lt;Berechnung2!G58),Berechnung2!L58,IF(ROUND(Matrix!M23,4)&gt;=Berechnung2!I58,Berechnung2!N58,""))),"")</f>
        <v/>
      </c>
      <c r="I42" s="299" t="str">
        <f>IF(H42="","",VLOOKUP(F42,Berechnung2!$I$15:$J$25,2,FALSE))</f>
        <v/>
      </c>
      <c r="J42" s="321" t="str">
        <f t="shared" si="1"/>
        <v/>
      </c>
      <c r="L42" s="305" t="str">
        <f t="array" aca="1" ref="L42" ca="1">IF(ROW()-ROW($F$2:$F$43)+1&gt;ROWS($E$2:$E$43)-COUNTBLANK($E$2:$E$43),"",INDIRECT(ADDRESS(SMALL((IF($E$2:$E$43&lt;&gt;"",ROW($E$2:$E$43),ROW()+ROWS($E$2:$E$43))),ROW()-ROW($F$2:$F$43)+1),COLUMN($E$2:$E$43),4)))</f>
        <v/>
      </c>
      <c r="M42" s="305" t="str">
        <f t="array" aca="1" ref="M42" ca="1">IF(ROW()-ROW($G$2:$G$43)+1&gt;ROWS($F$2:$F$43)-COUNTBLANK($F$2:$F$43),"",INDIRECT(ADDRESS(SMALL((IF($F$2:$F$43&lt;&gt;"",ROW($F$2:$F$43),ROW()+ROWS($F$2:$F$43))),ROW()-ROW($G$2:$G$43)+1),COLUMN($F$2:$F$43),4)))</f>
        <v/>
      </c>
      <c r="N42" s="305" t="str">
        <f t="array" aca="1" ref="N42" ca="1">IF(ROW()-ROW($H$2:$H$43)+1&gt;ROWS($G$2:$G$43)-COUNTBLANK($G$2:$G$43),"",INDIRECT(ADDRESS(SMALL((IF($G$2:$G$43&lt;&gt;"",ROW($G$2:$G$43),ROW()+ROWS($G$2:$G$43))),ROW()-ROW($H$2:$H$43)+1),COLUMN($G$2:$G$43),4)))</f>
        <v/>
      </c>
      <c r="O42" s="305" t="str">
        <f t="array" aca="1" ref="O42" ca="1">IF(ROW()-ROW($I$2:$I$43)+1&gt;ROWS($H$2:$H$43)-COUNTBLANK($H$2:$H$43),"",INDIRECT(ADDRESS(SMALL((IF($H$2:$H$43&lt;&gt;"",ROW($H$2:$H$43),ROW()+ROWS($H$2:$H$43))),ROW()-ROW($I$2:$I$43)+1),COLUMN($H$2:$H$43),4)))</f>
        <v/>
      </c>
      <c r="P42" s="305" t="str">
        <f t="array" aca="1" ref="P42" ca="1">IF(ROW()-ROW($J$2:$J$43)+1&gt;ROWS($I$2:$I$43)-COUNTBLANK($I$2:$I$43),"",INDIRECT(ADDRESS(SMALL((IF($I$2:$I$43&lt;&gt;"",ROW($I$2:$I$43),ROW()+ROWS($I$2:$I$43))),ROW()-ROW($J$2:$J$43)+1),COLUMN($I$2:$I$43),4)))</f>
        <v/>
      </c>
    </row>
    <row r="43" spans="4:16" ht="37.5" customHeight="1" thickBot="1" x14ac:dyDescent="0.3">
      <c r="D43" s="286" t="s">
        <v>545</v>
      </c>
      <c r="E43" s="402" t="str">
        <f>IF(H43="","","2019")</f>
        <v/>
      </c>
      <c r="F43" s="308" t="str">
        <f>IF(H43="","","k")</f>
        <v/>
      </c>
      <c r="G43" s="308" t="str">
        <f t="shared" si="2"/>
        <v/>
      </c>
      <c r="H43" s="296" t="str">
        <f>IF(A6="relevant",IF(Matrix!M24="","",IF(AND(ROUND(Matrix!M24,4)&gt;=Berechnung2!C59,ROUND(Matrix!M24,4)&lt;Berechnung2!G59),Berechnung2!L59,IF(ROUND(Matrix!M24,4)&gt;Berechnung2!I59,Berechnung2!N59,""))),"")</f>
        <v/>
      </c>
      <c r="I43" s="300" t="str">
        <f>IF(H43="","",VLOOKUP(F43,Berechnung2!$I$15:$J$25,2,FALSE))</f>
        <v/>
      </c>
      <c r="J43" s="322" t="str">
        <f t="shared" si="1"/>
        <v/>
      </c>
      <c r="L43" s="305" t="str">
        <f t="array" aca="1" ref="L43" ca="1">IF(ROW()-ROW($F$2:$F$43)+1&gt;ROWS($E$2:$E$43)-COUNTBLANK($E$2:$E$43),"",INDIRECT(ADDRESS(SMALL((IF($E$2:$E$43&lt;&gt;"",ROW($E$2:$E$43),ROW()+ROWS($E$2:$E$43))),ROW()-ROW($F$2:$F$43)+1),COLUMN($E$2:$E$43),4)))</f>
        <v/>
      </c>
      <c r="M43" s="305" t="str">
        <f t="array" aca="1" ref="M43" ca="1">IF(ROW()-ROW($G$2:$G$43)+1&gt;ROWS($F$2:$F$43)-COUNTBLANK($F$2:$F$43),"",INDIRECT(ADDRESS(SMALL((IF($F$2:$F$43&lt;&gt;"",ROW($F$2:$F$43),ROW()+ROWS($F$2:$F$43))),ROW()-ROW($G$2:$G$43)+1),COLUMN($F$2:$F$43),4)))</f>
        <v/>
      </c>
      <c r="N43" s="305" t="str">
        <f t="array" aca="1" ref="N43" ca="1">IF(ROW()-ROW($H$2:$H$43)+1&gt;ROWS($G$2:$G$43)-COUNTBLANK($G$2:$G$43),"",INDIRECT(ADDRESS(SMALL((IF($G$2:$G$43&lt;&gt;"",ROW($G$2:$G$43),ROW()+ROWS($G$2:$G$43))),ROW()-ROW($H$2:$H$43)+1),COLUMN($G$2:$G$43),4)))</f>
        <v/>
      </c>
      <c r="O43" s="305" t="str">
        <f t="array" aca="1" ref="O43" ca="1">IF(ROW()-ROW($I$2:$I$43)+1&gt;ROWS($H$2:$H$43)-COUNTBLANK($H$2:$H$43),"",INDIRECT(ADDRESS(SMALL((IF($H$2:$H$43&lt;&gt;"",ROW($H$2:$H$43),ROW()+ROWS($H$2:$H$43))),ROW()-ROW($I$2:$I$43)+1),COLUMN($H$2:$H$43),4)))</f>
        <v/>
      </c>
      <c r="P43" s="305" t="str">
        <f t="array" aca="1" ref="P43" ca="1">IF(ROW()-ROW($J$2:$J$43)+1&gt;ROWS($I$2:$I$43)-COUNTBLANK($I$2:$I$43),"",INDIRECT(ADDRESS(SMALL((IF($I$2:$I$43&lt;&gt;"",ROW($I$2:$I$43),ROW()+ROWS($I$2:$I$43))),ROW()-ROW($J$2:$J$43)+1),COLUMN($I$2:$I$43),4)))</f>
        <v/>
      </c>
    </row>
    <row r="45" spans="4:16" x14ac:dyDescent="0.25">
      <c r="I45" s="312" t="s">
        <v>104</v>
      </c>
      <c r="J45" s="315">
        <f>IF(SUM(J2:J6)=0,0,SUM(J2:J6))</f>
        <v>0</v>
      </c>
    </row>
    <row r="46" spans="4:16" x14ac:dyDescent="0.25">
      <c r="I46" s="311" t="s">
        <v>102</v>
      </c>
      <c r="J46" s="315">
        <f>IF(SUM(J7:J21)=0,0,SUM(J7:J21))</f>
        <v>0</v>
      </c>
    </row>
    <row r="47" spans="4:16" x14ac:dyDescent="0.25">
      <c r="I47" s="310" t="s">
        <v>83</v>
      </c>
      <c r="J47" s="314">
        <f>IF(SUM(J23:J43)=0,0,SUM(J23:J43))</f>
        <v>0</v>
      </c>
    </row>
    <row r="48" spans="4:16" x14ac:dyDescent="0.25">
      <c r="I48" s="309" t="s">
        <v>13</v>
      </c>
      <c r="J48" s="313">
        <f>IF(J22="",0,J22)</f>
        <v>0</v>
      </c>
    </row>
  </sheetData>
  <mergeCells count="9">
    <mergeCell ref="A23:A27"/>
    <mergeCell ref="D3:D5"/>
    <mergeCell ref="D24:D26"/>
    <mergeCell ref="D30:D32"/>
    <mergeCell ref="D35:D37"/>
    <mergeCell ref="D40:D41"/>
    <mergeCell ref="D8:D10"/>
    <mergeCell ref="D13:D15"/>
    <mergeCell ref="D18:D20"/>
  </mergeCells>
  <conditionalFormatting sqref="D28">
    <cfRule type="expression" dxfId="48" priority="20">
      <formula>#REF!="EZ"</formula>
    </cfRule>
    <cfRule type="expression" dxfId="47" priority="21">
      <formula>#REF!="nicht relevant"</formula>
    </cfRule>
  </conditionalFormatting>
  <conditionalFormatting sqref="D22">
    <cfRule type="expression" dxfId="46" priority="2847">
      <formula>$D22="EZ"</formula>
    </cfRule>
    <cfRule type="expression" dxfId="45" priority="2848">
      <formula>$D22="nicht relevant"</formula>
    </cfRule>
  </conditionalFormatting>
  <conditionalFormatting sqref="H28">
    <cfRule type="expression" dxfId="44" priority="2857">
      <formula>#REF!="EZ"</formula>
    </cfRule>
    <cfRule type="expression" dxfId="43" priority="2858">
      <formula>#REF!="nicht relevant"</formula>
    </cfRule>
  </conditionalFormatting>
  <conditionalFormatting sqref="D43">
    <cfRule type="expression" dxfId="42" priority="18">
      <formula>#REF!="EZ"</formula>
    </cfRule>
    <cfRule type="expression" dxfId="41" priority="19">
      <formula>#REF!="nicht relevant"</formula>
    </cfRule>
  </conditionalFormatting>
  <conditionalFormatting sqref="B2:B6">
    <cfRule type="expression" dxfId="40" priority="17" stopIfTrue="1">
      <formula>OR($A2="EZ",$A2="nicht relevant")</formula>
    </cfRule>
  </conditionalFormatting>
  <conditionalFormatting sqref="E2:J6">
    <cfRule type="expression" dxfId="39" priority="16" stopIfTrue="1">
      <formula>OR($A2="EZ",$A2="nicht relevant")</formula>
    </cfRule>
  </conditionalFormatting>
  <conditionalFormatting sqref="E7:J11">
    <cfRule type="expression" dxfId="38" priority="15" stopIfTrue="1">
      <formula>OR($A2="EZ",$A2="nicht relevant")</formula>
    </cfRule>
  </conditionalFormatting>
  <conditionalFormatting sqref="E12:J16">
    <cfRule type="expression" dxfId="37" priority="14" stopIfTrue="1">
      <formula>OR($A2="EZ",$A2="nicht relevant")</formula>
    </cfRule>
  </conditionalFormatting>
  <conditionalFormatting sqref="E17:J21">
    <cfRule type="expression" dxfId="36" priority="13" stopIfTrue="1">
      <formula>OR($A2="EZ",$A2="nicht relevant")</formula>
    </cfRule>
  </conditionalFormatting>
  <conditionalFormatting sqref="E23:J27">
    <cfRule type="expression" dxfId="35" priority="11" stopIfTrue="1">
      <formula>OR($A2="EZ",$A2="nicht relevant")</formula>
    </cfRule>
  </conditionalFormatting>
  <conditionalFormatting sqref="E29:J33">
    <cfRule type="expression" dxfId="34" priority="10" stopIfTrue="1">
      <formula>OR($A2="EZ",$A2="nicht relevant")</formula>
    </cfRule>
  </conditionalFormatting>
  <conditionalFormatting sqref="E34:J38">
    <cfRule type="expression" dxfId="33" priority="9" stopIfTrue="1">
      <formula>OR($A2="EZ",$A2="nicht relevant")</formula>
    </cfRule>
  </conditionalFormatting>
  <conditionalFormatting sqref="E39:J42">
    <cfRule type="expression" dxfId="32" priority="8" stopIfTrue="1">
      <formula>OR($A2="EZ",$A2="nicht relevant")</formula>
    </cfRule>
  </conditionalFormatting>
  <conditionalFormatting sqref="E8:E16">
    <cfRule type="expression" dxfId="31" priority="6" stopIfTrue="1">
      <formula>OR($A7="EZ",$A7="nicht relevant")</formula>
    </cfRule>
  </conditionalFormatting>
  <conditionalFormatting sqref="E17:E21">
    <cfRule type="expression" dxfId="30" priority="5" stopIfTrue="1">
      <formula>OR($A16="EZ",$A16="nicht relevant")</formula>
    </cfRule>
  </conditionalFormatting>
  <conditionalFormatting sqref="E23:E27">
    <cfRule type="expression" dxfId="29" priority="4" stopIfTrue="1">
      <formula>OR($A22="EZ",$A22="nicht relevant")</formula>
    </cfRule>
  </conditionalFormatting>
  <conditionalFormatting sqref="E29:E33">
    <cfRule type="expression" dxfId="28" priority="3" stopIfTrue="1">
      <formula>OR($A28="EZ",$A28="nicht relevant")</formula>
    </cfRule>
  </conditionalFormatting>
  <conditionalFormatting sqref="E34:E38">
    <cfRule type="expression" dxfId="27" priority="2" stopIfTrue="1">
      <formula>OR($A33="EZ",$A33="nicht relevant")</formula>
    </cfRule>
  </conditionalFormatting>
  <conditionalFormatting sqref="E39:E42">
    <cfRule type="expression" dxfId="26" priority="1" stopIfTrue="1">
      <formula>OR($A38="EZ",$A38="nicht relevant")</formula>
    </cfRule>
  </conditionalFormatting>
  <conditionalFormatting sqref="E7">
    <cfRule type="expression" dxfId="25" priority="2898" stopIfTrue="1">
      <formula>OR(#REF!="EZ",#REF!="nicht relevant")</formula>
    </cfRule>
  </conditionalFormatting>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dimension ref="A1:D43"/>
  <sheetViews>
    <sheetView topLeftCell="A3" workbookViewId="0">
      <selection activeCell="A43" sqref="A43"/>
    </sheetView>
  </sheetViews>
  <sheetFormatPr baseColWidth="10" defaultColWidth="11.42578125" defaultRowHeight="12" x14ac:dyDescent="0.2"/>
  <cols>
    <col min="1" max="1" width="27.140625" style="302" customWidth="1"/>
    <col min="2" max="2" width="20.42578125" style="302" customWidth="1"/>
    <col min="3" max="3" width="56" style="301" customWidth="1"/>
    <col min="4" max="4" width="78.7109375" style="301" customWidth="1"/>
    <col min="5" max="16384" width="11.42578125" style="201"/>
  </cols>
  <sheetData>
    <row r="1" spans="1:4" ht="24" x14ac:dyDescent="0.2">
      <c r="A1" s="317" t="s">
        <v>131</v>
      </c>
      <c r="B1" s="318" t="s">
        <v>517</v>
      </c>
      <c r="C1" s="318" t="s">
        <v>64</v>
      </c>
      <c r="D1" s="317" t="s">
        <v>476</v>
      </c>
    </row>
    <row r="2" spans="1:4" x14ac:dyDescent="0.2">
      <c r="A2" s="302" t="str">
        <f ca="1">Berechnung3!L2</f>
        <v/>
      </c>
      <c r="B2" s="302" t="str">
        <f ca="1">Berechnung3!N2</f>
        <v/>
      </c>
      <c r="C2" s="301" t="str">
        <f ca="1">Berechnung3!O2</f>
        <v/>
      </c>
      <c r="D2" s="301" t="str">
        <f ca="1">Berechnung3!P2</f>
        <v/>
      </c>
    </row>
    <row r="3" spans="1:4" x14ac:dyDescent="0.2">
      <c r="A3" s="302" t="str">
        <f ca="1">Berechnung3!L3</f>
        <v/>
      </c>
      <c r="B3" s="302" t="str">
        <f ca="1">Berechnung3!N3</f>
        <v/>
      </c>
      <c r="C3" s="301" t="str">
        <f ca="1">Berechnung3!O3</f>
        <v/>
      </c>
      <c r="D3" s="301" t="str">
        <f ca="1">Berechnung3!P3</f>
        <v/>
      </c>
    </row>
    <row r="4" spans="1:4" x14ac:dyDescent="0.2">
      <c r="A4" s="302" t="str">
        <f ca="1">Berechnung3!L4</f>
        <v/>
      </c>
      <c r="B4" s="302" t="str">
        <f ca="1">Berechnung3!N4</f>
        <v/>
      </c>
      <c r="C4" s="301" t="str">
        <f ca="1">Berechnung3!O4</f>
        <v/>
      </c>
      <c r="D4" s="301" t="str">
        <f ca="1">Berechnung3!P4</f>
        <v/>
      </c>
    </row>
    <row r="5" spans="1:4" x14ac:dyDescent="0.2">
      <c r="A5" s="302" t="str">
        <f ca="1">Berechnung3!L5</f>
        <v/>
      </c>
      <c r="B5" s="302" t="str">
        <f ca="1">Berechnung3!N5</f>
        <v/>
      </c>
      <c r="C5" s="301" t="str">
        <f ca="1">Berechnung3!O5</f>
        <v/>
      </c>
      <c r="D5" s="301" t="str">
        <f ca="1">Berechnung3!P5</f>
        <v/>
      </c>
    </row>
    <row r="6" spans="1:4" x14ac:dyDescent="0.2">
      <c r="A6" s="302" t="str">
        <f ca="1">Berechnung3!L6</f>
        <v/>
      </c>
      <c r="B6" s="302" t="str">
        <f ca="1">Berechnung3!N6</f>
        <v/>
      </c>
      <c r="C6" s="301" t="str">
        <f ca="1">Berechnung3!O6</f>
        <v/>
      </c>
      <c r="D6" s="301" t="str">
        <f ca="1">Berechnung3!P6</f>
        <v/>
      </c>
    </row>
    <row r="7" spans="1:4" x14ac:dyDescent="0.2">
      <c r="A7" s="302" t="str">
        <f ca="1">Berechnung3!L7</f>
        <v/>
      </c>
      <c r="B7" s="302" t="str">
        <f ca="1">Berechnung3!N7</f>
        <v/>
      </c>
      <c r="C7" s="301" t="str">
        <f ca="1">Berechnung3!O7</f>
        <v/>
      </c>
      <c r="D7" s="301" t="str">
        <f ca="1">Berechnung3!P7</f>
        <v/>
      </c>
    </row>
    <row r="8" spans="1:4" x14ac:dyDescent="0.2">
      <c r="A8" s="302" t="str">
        <f ca="1">Berechnung3!L8</f>
        <v/>
      </c>
      <c r="B8" s="302" t="str">
        <f ca="1">Berechnung3!N8</f>
        <v/>
      </c>
      <c r="C8" s="301" t="str">
        <f ca="1">Berechnung3!O8</f>
        <v/>
      </c>
      <c r="D8" s="301" t="str">
        <f ca="1">Berechnung3!P8</f>
        <v/>
      </c>
    </row>
    <row r="9" spans="1:4" x14ac:dyDescent="0.2">
      <c r="A9" s="302" t="str">
        <f ca="1">Berechnung3!L9</f>
        <v/>
      </c>
      <c r="B9" s="302" t="str">
        <f ca="1">Berechnung3!N9</f>
        <v/>
      </c>
      <c r="C9" s="301" t="str">
        <f ca="1">Berechnung3!O9</f>
        <v/>
      </c>
      <c r="D9" s="301" t="str">
        <f ca="1">Berechnung3!P9</f>
        <v/>
      </c>
    </row>
    <row r="10" spans="1:4" x14ac:dyDescent="0.2">
      <c r="A10" s="302" t="str">
        <f ca="1">Berechnung3!L10</f>
        <v/>
      </c>
      <c r="B10" s="302" t="str">
        <f ca="1">Berechnung3!N10</f>
        <v/>
      </c>
      <c r="C10" s="301" t="str">
        <f ca="1">Berechnung3!O10</f>
        <v/>
      </c>
      <c r="D10" s="301" t="str">
        <f ca="1">Berechnung3!P10</f>
        <v/>
      </c>
    </row>
    <row r="11" spans="1:4" x14ac:dyDescent="0.2">
      <c r="A11" s="302" t="str">
        <f ca="1">Berechnung3!L11</f>
        <v/>
      </c>
      <c r="B11" s="302" t="str">
        <f ca="1">Berechnung3!N11</f>
        <v/>
      </c>
      <c r="C11" s="301" t="str">
        <f ca="1">Berechnung3!O11</f>
        <v/>
      </c>
      <c r="D11" s="301" t="str">
        <f ca="1">Berechnung3!P11</f>
        <v/>
      </c>
    </row>
    <row r="12" spans="1:4" x14ac:dyDescent="0.2">
      <c r="A12" s="302" t="str">
        <f ca="1">Berechnung3!L12</f>
        <v/>
      </c>
      <c r="B12" s="302" t="str">
        <f ca="1">Berechnung3!N12</f>
        <v/>
      </c>
      <c r="C12" s="301" t="str">
        <f ca="1">Berechnung3!O12</f>
        <v/>
      </c>
      <c r="D12" s="301" t="str">
        <f ca="1">Berechnung3!P12</f>
        <v/>
      </c>
    </row>
    <row r="13" spans="1:4" x14ac:dyDescent="0.2">
      <c r="A13" s="302" t="str">
        <f ca="1">Berechnung3!L13</f>
        <v/>
      </c>
      <c r="B13" s="302" t="str">
        <f ca="1">Berechnung3!N13</f>
        <v/>
      </c>
      <c r="C13" s="301" t="str">
        <f ca="1">Berechnung3!O13</f>
        <v/>
      </c>
      <c r="D13" s="301" t="str">
        <f ca="1">Berechnung3!P13</f>
        <v/>
      </c>
    </row>
    <row r="14" spans="1:4" x14ac:dyDescent="0.2">
      <c r="A14" s="302" t="str">
        <f ca="1">Berechnung3!L14</f>
        <v/>
      </c>
      <c r="B14" s="302" t="str">
        <f ca="1">Berechnung3!N14</f>
        <v/>
      </c>
      <c r="C14" s="301" t="str">
        <f ca="1">Berechnung3!O14</f>
        <v/>
      </c>
      <c r="D14" s="301" t="str">
        <f ca="1">Berechnung3!P14</f>
        <v/>
      </c>
    </row>
    <row r="15" spans="1:4" x14ac:dyDescent="0.2">
      <c r="A15" s="302" t="str">
        <f ca="1">Berechnung3!L15</f>
        <v/>
      </c>
      <c r="B15" s="302" t="str">
        <f ca="1">Berechnung3!N15</f>
        <v/>
      </c>
      <c r="C15" s="301" t="str">
        <f ca="1">Berechnung3!O15</f>
        <v/>
      </c>
      <c r="D15" s="301" t="str">
        <f ca="1">Berechnung3!P15</f>
        <v/>
      </c>
    </row>
    <row r="16" spans="1:4" x14ac:dyDescent="0.2">
      <c r="A16" s="302" t="str">
        <f ca="1">Berechnung3!L16</f>
        <v/>
      </c>
      <c r="B16" s="302" t="str">
        <f ca="1">Berechnung3!N16</f>
        <v/>
      </c>
      <c r="C16" s="301" t="str">
        <f ca="1">Berechnung3!O16</f>
        <v/>
      </c>
      <c r="D16" s="301" t="str">
        <f ca="1">Berechnung3!P16</f>
        <v/>
      </c>
    </row>
    <row r="17" spans="1:4" x14ac:dyDescent="0.2">
      <c r="A17" s="302" t="str">
        <f ca="1">Berechnung3!L17</f>
        <v/>
      </c>
      <c r="B17" s="302" t="str">
        <f ca="1">Berechnung3!N17</f>
        <v/>
      </c>
      <c r="C17" s="301" t="str">
        <f ca="1">Berechnung3!O17</f>
        <v/>
      </c>
      <c r="D17" s="301" t="str">
        <f ca="1">Berechnung3!P17</f>
        <v/>
      </c>
    </row>
    <row r="18" spans="1:4" x14ac:dyDescent="0.2">
      <c r="A18" s="302" t="str">
        <f ca="1">Berechnung3!L18</f>
        <v/>
      </c>
      <c r="B18" s="302" t="str">
        <f ca="1">Berechnung3!N18</f>
        <v/>
      </c>
      <c r="C18" s="301" t="str">
        <f ca="1">Berechnung3!O18</f>
        <v/>
      </c>
      <c r="D18" s="301" t="str">
        <f ca="1">Berechnung3!P18</f>
        <v/>
      </c>
    </row>
    <row r="19" spans="1:4" x14ac:dyDescent="0.2">
      <c r="A19" s="302" t="str">
        <f ca="1">Berechnung3!L19</f>
        <v/>
      </c>
      <c r="B19" s="302" t="str">
        <f ca="1">Berechnung3!N19</f>
        <v/>
      </c>
      <c r="C19" s="301" t="str">
        <f ca="1">Berechnung3!O19</f>
        <v/>
      </c>
      <c r="D19" s="301" t="str">
        <f ca="1">Berechnung3!P19</f>
        <v/>
      </c>
    </row>
    <row r="20" spans="1:4" x14ac:dyDescent="0.2">
      <c r="A20" s="302" t="str">
        <f ca="1">Berechnung3!L20</f>
        <v/>
      </c>
      <c r="B20" s="302" t="str">
        <f ca="1">Berechnung3!N20</f>
        <v/>
      </c>
      <c r="C20" s="301" t="str">
        <f ca="1">Berechnung3!O20</f>
        <v/>
      </c>
      <c r="D20" s="301" t="str">
        <f ca="1">Berechnung3!P20</f>
        <v/>
      </c>
    </row>
    <row r="21" spans="1:4" x14ac:dyDescent="0.2">
      <c r="A21" s="302" t="str">
        <f ca="1">Berechnung3!L21</f>
        <v/>
      </c>
      <c r="B21" s="302" t="str">
        <f ca="1">Berechnung3!N21</f>
        <v/>
      </c>
      <c r="C21" s="301" t="str">
        <f ca="1">Berechnung3!O21</f>
        <v/>
      </c>
      <c r="D21" s="301" t="str">
        <f ca="1">Berechnung3!P21</f>
        <v/>
      </c>
    </row>
    <row r="22" spans="1:4" x14ac:dyDescent="0.2">
      <c r="A22" s="302" t="str">
        <f ca="1">Berechnung3!L22</f>
        <v/>
      </c>
      <c r="B22" s="302" t="str">
        <f ca="1">Berechnung3!N22</f>
        <v/>
      </c>
      <c r="C22" s="301" t="str">
        <f ca="1">Berechnung3!O22</f>
        <v/>
      </c>
      <c r="D22" s="301" t="str">
        <f ca="1">Berechnung3!P22</f>
        <v/>
      </c>
    </row>
    <row r="23" spans="1:4" x14ac:dyDescent="0.2">
      <c r="A23" s="302" t="str">
        <f ca="1">Berechnung3!L23</f>
        <v/>
      </c>
      <c r="B23" s="302" t="str">
        <f ca="1">Berechnung3!N23</f>
        <v/>
      </c>
      <c r="C23" s="301" t="str">
        <f ca="1">Berechnung3!O23</f>
        <v/>
      </c>
      <c r="D23" s="301" t="str">
        <f ca="1">Berechnung3!P23</f>
        <v/>
      </c>
    </row>
    <row r="24" spans="1:4" x14ac:dyDescent="0.2">
      <c r="A24" s="302" t="str">
        <f ca="1">Berechnung3!L24</f>
        <v/>
      </c>
      <c r="B24" s="302" t="str">
        <f ca="1">Berechnung3!N24</f>
        <v/>
      </c>
      <c r="C24" s="301" t="str">
        <f ca="1">Berechnung3!O24</f>
        <v/>
      </c>
      <c r="D24" s="301" t="str">
        <f ca="1">Berechnung3!P24</f>
        <v/>
      </c>
    </row>
    <row r="25" spans="1:4" x14ac:dyDescent="0.2">
      <c r="A25" s="302" t="str">
        <f ca="1">Berechnung3!L25</f>
        <v/>
      </c>
      <c r="B25" s="302" t="str">
        <f ca="1">Berechnung3!N25</f>
        <v/>
      </c>
      <c r="C25" s="301" t="str">
        <f ca="1">Berechnung3!O25</f>
        <v/>
      </c>
      <c r="D25" s="301" t="str">
        <f ca="1">Berechnung3!P25</f>
        <v/>
      </c>
    </row>
    <row r="26" spans="1:4" x14ac:dyDescent="0.2">
      <c r="A26" s="302" t="str">
        <f ca="1">Berechnung3!L26</f>
        <v/>
      </c>
      <c r="B26" s="302" t="str">
        <f ca="1">Berechnung3!N26</f>
        <v/>
      </c>
      <c r="C26" s="301" t="str">
        <f ca="1">Berechnung3!O26</f>
        <v/>
      </c>
      <c r="D26" s="301" t="str">
        <f ca="1">Berechnung3!P26</f>
        <v/>
      </c>
    </row>
    <row r="27" spans="1:4" x14ac:dyDescent="0.2">
      <c r="A27" s="302" t="str">
        <f ca="1">Berechnung3!L27</f>
        <v/>
      </c>
      <c r="B27" s="302" t="str">
        <f ca="1">Berechnung3!N27</f>
        <v/>
      </c>
      <c r="C27" s="301" t="str">
        <f ca="1">Berechnung3!O27</f>
        <v/>
      </c>
      <c r="D27" s="301" t="str">
        <f ca="1">Berechnung3!P27</f>
        <v/>
      </c>
    </row>
    <row r="28" spans="1:4" x14ac:dyDescent="0.2">
      <c r="A28" s="302" t="str">
        <f ca="1">Berechnung3!L28</f>
        <v/>
      </c>
      <c r="B28" s="302" t="str">
        <f ca="1">Berechnung3!N28</f>
        <v/>
      </c>
      <c r="C28" s="301" t="str">
        <f ca="1">Berechnung3!O28</f>
        <v/>
      </c>
      <c r="D28" s="301" t="str">
        <f ca="1">Berechnung3!P28</f>
        <v/>
      </c>
    </row>
    <row r="29" spans="1:4" x14ac:dyDescent="0.2">
      <c r="A29" s="302" t="str">
        <f ca="1">Berechnung3!L29</f>
        <v/>
      </c>
      <c r="B29" s="302" t="str">
        <f ca="1">Berechnung3!N29</f>
        <v/>
      </c>
      <c r="C29" s="301" t="str">
        <f ca="1">Berechnung3!O29</f>
        <v/>
      </c>
      <c r="D29" s="301" t="str">
        <f ca="1">Berechnung3!P29</f>
        <v/>
      </c>
    </row>
    <row r="30" spans="1:4" x14ac:dyDescent="0.2">
      <c r="A30" s="302" t="str">
        <f ca="1">Berechnung3!L30</f>
        <v/>
      </c>
      <c r="B30" s="302" t="str">
        <f ca="1">Berechnung3!N30</f>
        <v/>
      </c>
      <c r="C30" s="301" t="str">
        <f ca="1">Berechnung3!O30</f>
        <v/>
      </c>
      <c r="D30" s="301" t="str">
        <f ca="1">Berechnung3!P30</f>
        <v/>
      </c>
    </row>
    <row r="31" spans="1:4" x14ac:dyDescent="0.2">
      <c r="A31" s="302" t="str">
        <f ca="1">Berechnung3!L31</f>
        <v/>
      </c>
      <c r="B31" s="302" t="str">
        <f ca="1">Berechnung3!N31</f>
        <v/>
      </c>
      <c r="C31" s="301" t="str">
        <f ca="1">Berechnung3!O31</f>
        <v/>
      </c>
      <c r="D31" s="301" t="str">
        <f ca="1">Berechnung3!P31</f>
        <v/>
      </c>
    </row>
    <row r="32" spans="1:4" x14ac:dyDescent="0.2">
      <c r="A32" s="302" t="str">
        <f ca="1">Berechnung3!L32</f>
        <v/>
      </c>
      <c r="B32" s="302" t="str">
        <f ca="1">Berechnung3!N32</f>
        <v/>
      </c>
      <c r="C32" s="301" t="str">
        <f ca="1">Berechnung3!O32</f>
        <v/>
      </c>
      <c r="D32" s="301" t="str">
        <f ca="1">Berechnung3!P32</f>
        <v/>
      </c>
    </row>
    <row r="33" spans="1:4" x14ac:dyDescent="0.2">
      <c r="A33" s="302" t="str">
        <f ca="1">Berechnung3!L33</f>
        <v/>
      </c>
      <c r="B33" s="302" t="str">
        <f ca="1">Berechnung3!N33</f>
        <v/>
      </c>
      <c r="C33" s="301" t="str">
        <f ca="1">Berechnung3!O33</f>
        <v/>
      </c>
      <c r="D33" s="301" t="str">
        <f ca="1">Berechnung3!P33</f>
        <v/>
      </c>
    </row>
    <row r="34" spans="1:4" x14ac:dyDescent="0.2">
      <c r="A34" s="302" t="str">
        <f ca="1">Berechnung3!L34</f>
        <v/>
      </c>
      <c r="B34" s="302" t="str">
        <f ca="1">Berechnung3!N34</f>
        <v/>
      </c>
      <c r="C34" s="301" t="str">
        <f ca="1">Berechnung3!O34</f>
        <v/>
      </c>
      <c r="D34" s="301" t="str">
        <f ca="1">Berechnung3!P34</f>
        <v/>
      </c>
    </row>
    <row r="35" spans="1:4" x14ac:dyDescent="0.2">
      <c r="A35" s="302" t="str">
        <f ca="1">Berechnung3!L35</f>
        <v/>
      </c>
      <c r="B35" s="302" t="str">
        <f ca="1">Berechnung3!N35</f>
        <v/>
      </c>
      <c r="C35" s="301" t="str">
        <f ca="1">Berechnung3!O35</f>
        <v/>
      </c>
      <c r="D35" s="301" t="str">
        <f ca="1">Berechnung3!P35</f>
        <v/>
      </c>
    </row>
    <row r="36" spans="1:4" x14ac:dyDescent="0.2">
      <c r="A36" s="302" t="str">
        <f ca="1">Berechnung3!L36</f>
        <v/>
      </c>
      <c r="B36" s="302" t="str">
        <f ca="1">Berechnung3!N36</f>
        <v/>
      </c>
      <c r="C36" s="301" t="str">
        <f ca="1">Berechnung3!O36</f>
        <v/>
      </c>
      <c r="D36" s="301" t="str">
        <f ca="1">Berechnung3!P36</f>
        <v/>
      </c>
    </row>
    <row r="37" spans="1:4" x14ac:dyDescent="0.2">
      <c r="A37" s="302" t="str">
        <f ca="1">Berechnung3!L37</f>
        <v/>
      </c>
      <c r="B37" s="302" t="str">
        <f ca="1">Berechnung3!N37</f>
        <v/>
      </c>
      <c r="C37" s="301" t="str">
        <f ca="1">Berechnung3!O37</f>
        <v/>
      </c>
      <c r="D37" s="301" t="str">
        <f ca="1">Berechnung3!P37</f>
        <v/>
      </c>
    </row>
    <row r="38" spans="1:4" x14ac:dyDescent="0.2">
      <c r="A38" s="302" t="str">
        <f ca="1">Berechnung3!L38</f>
        <v/>
      </c>
      <c r="B38" s="302" t="str">
        <f ca="1">Berechnung3!N38</f>
        <v/>
      </c>
      <c r="C38" s="301" t="str">
        <f ca="1">Berechnung3!O38</f>
        <v/>
      </c>
      <c r="D38" s="301" t="str">
        <f ca="1">Berechnung3!P38</f>
        <v/>
      </c>
    </row>
    <row r="39" spans="1:4" x14ac:dyDescent="0.2">
      <c r="A39" s="302" t="str">
        <f ca="1">Berechnung3!L39</f>
        <v/>
      </c>
      <c r="B39" s="302" t="str">
        <f ca="1">Berechnung3!N39</f>
        <v/>
      </c>
      <c r="C39" s="301" t="str">
        <f ca="1">Berechnung3!O39</f>
        <v/>
      </c>
      <c r="D39" s="301" t="str">
        <f ca="1">Berechnung3!P39</f>
        <v/>
      </c>
    </row>
    <row r="40" spans="1:4" x14ac:dyDescent="0.2">
      <c r="A40" s="302" t="str">
        <f ca="1">Berechnung3!L40</f>
        <v/>
      </c>
      <c r="B40" s="302" t="str">
        <f ca="1">Berechnung3!N40</f>
        <v/>
      </c>
      <c r="C40" s="301" t="str">
        <f ca="1">Berechnung3!O40</f>
        <v/>
      </c>
      <c r="D40" s="301" t="str">
        <f ca="1">Berechnung3!P40</f>
        <v/>
      </c>
    </row>
    <row r="41" spans="1:4" x14ac:dyDescent="0.2">
      <c r="A41" s="302" t="str">
        <f ca="1">Berechnung3!L41</f>
        <v/>
      </c>
      <c r="B41" s="302" t="str">
        <f ca="1">Berechnung3!N41</f>
        <v/>
      </c>
      <c r="C41" s="301" t="str">
        <f ca="1">Berechnung3!O41</f>
        <v/>
      </c>
      <c r="D41" s="301" t="str">
        <f ca="1">Berechnung3!P41</f>
        <v/>
      </c>
    </row>
    <row r="42" spans="1:4" x14ac:dyDescent="0.2">
      <c r="A42" s="302" t="str">
        <f ca="1">Berechnung3!L42</f>
        <v/>
      </c>
      <c r="B42" s="302" t="str">
        <f ca="1">Berechnung3!N42</f>
        <v/>
      </c>
      <c r="C42" s="301" t="str">
        <f ca="1">Berechnung3!O42</f>
        <v/>
      </c>
      <c r="D42" s="301" t="str">
        <f ca="1">Berechnung3!P42</f>
        <v/>
      </c>
    </row>
    <row r="43" spans="1:4" x14ac:dyDescent="0.2">
      <c r="A43" s="302" t="str">
        <f ca="1">Berechnung3!L43</f>
        <v/>
      </c>
      <c r="B43" s="302" t="str">
        <f ca="1">Berechnung3!N43</f>
        <v/>
      </c>
      <c r="C43" s="301" t="str">
        <f ca="1">Berechnung3!O43</f>
        <v/>
      </c>
      <c r="D43" s="301" t="str">
        <f ca="1">Berechnung3!P43</f>
        <v/>
      </c>
    </row>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dimension ref="B1:O24"/>
  <sheetViews>
    <sheetView showGridLines="0" zoomScaleNormal="100" zoomScaleSheetLayoutView="88" workbookViewId="0">
      <selection activeCell="D16" sqref="D16:H16"/>
    </sheetView>
  </sheetViews>
  <sheetFormatPr baseColWidth="10" defaultColWidth="9" defaultRowHeight="14.25" x14ac:dyDescent="0.2"/>
  <cols>
    <col min="1" max="1" width="0.85546875" style="6" customWidth="1"/>
    <col min="2" max="2" width="14.140625" style="6" customWidth="1"/>
    <col min="3" max="3" width="29.5703125" style="6" customWidth="1"/>
    <col min="4" max="4" width="22.140625" style="6" customWidth="1"/>
    <col min="5" max="5" width="21.7109375" style="6" customWidth="1"/>
    <col min="6" max="6" width="22.140625" style="6" customWidth="1"/>
    <col min="7" max="7" width="21" style="6" customWidth="1"/>
    <col min="8" max="8" width="8" style="6" customWidth="1"/>
    <col min="9" max="183" width="11.42578125" style="6" customWidth="1"/>
    <col min="184" max="16384" width="9" style="6"/>
  </cols>
  <sheetData>
    <row r="1" spans="2:15" ht="9.9499999999999993" customHeight="1" x14ac:dyDescent="0.2">
      <c r="C1" s="37"/>
      <c r="F1" s="25"/>
    </row>
    <row r="2" spans="2:15" ht="12.95" customHeight="1" x14ac:dyDescent="0.2">
      <c r="B2" s="205" t="s">
        <v>965</v>
      </c>
      <c r="C2" s="213"/>
      <c r="D2" s="213"/>
      <c r="E2" s="32"/>
      <c r="F2" s="25"/>
      <c r="G2" s="32"/>
      <c r="H2" s="32"/>
    </row>
    <row r="3" spans="2:15" ht="15.75" x14ac:dyDescent="0.25">
      <c r="B3" s="23" t="s">
        <v>440</v>
      </c>
      <c r="F3" s="25"/>
      <c r="G3" s="26"/>
    </row>
    <row r="4" spans="2:15" x14ac:dyDescent="0.2">
      <c r="B4" s="532" t="s">
        <v>475</v>
      </c>
      <c r="C4" s="10"/>
      <c r="K4" s="30"/>
    </row>
    <row r="5" spans="2:15" ht="6.75" customHeight="1" x14ac:dyDescent="0.2">
      <c r="E5" s="15"/>
      <c r="F5" s="15"/>
      <c r="G5" s="15"/>
      <c r="H5" s="15"/>
      <c r="I5" s="15"/>
      <c r="J5" s="15"/>
      <c r="K5" s="30"/>
    </row>
    <row r="6" spans="2:15" s="32" customFormat="1" ht="12.75" customHeight="1" x14ac:dyDescent="0.2">
      <c r="B6" s="35" t="s">
        <v>140</v>
      </c>
      <c r="C6" s="1122" t="str">
        <f>IF(Basisdaten!C8=0,"",Basisdaten!C8)</f>
        <v/>
      </c>
      <c r="D6" s="1123"/>
      <c r="E6" s="1123"/>
      <c r="F6" s="1123"/>
      <c r="G6" s="1124"/>
      <c r="I6" s="30"/>
      <c r="J6" s="30"/>
      <c r="K6" s="28"/>
      <c r="L6" s="30"/>
      <c r="M6" s="30"/>
    </row>
    <row r="7" spans="2:15" s="32" customFormat="1" ht="6.95" customHeight="1" x14ac:dyDescent="0.2">
      <c r="B7" s="8"/>
      <c r="C7" s="8"/>
      <c r="D7" s="15"/>
      <c r="E7" s="15"/>
      <c r="F7" s="15"/>
      <c r="G7" s="15"/>
      <c r="H7" s="15"/>
      <c r="I7" s="15"/>
      <c r="K7" s="30"/>
      <c r="L7" s="30"/>
      <c r="M7" s="28"/>
      <c r="N7" s="30"/>
      <c r="O7" s="30"/>
    </row>
    <row r="8" spans="2:15" s="32" customFormat="1" ht="12.75" customHeight="1" x14ac:dyDescent="0.2">
      <c r="B8" s="35" t="s">
        <v>85</v>
      </c>
      <c r="C8" s="58" t="str">
        <f>IF(Basisdaten!C6=0,"",Basisdaten!C6)</f>
        <v/>
      </c>
      <c r="D8" s="200"/>
      <c r="F8" s="87" t="s">
        <v>479</v>
      </c>
      <c r="G8" s="57" t="str">
        <f>IF(Basisdaten!M12=0,"",Basisdaten!M12)</f>
        <v/>
      </c>
      <c r="I8" s="30"/>
      <c r="J8" s="30"/>
      <c r="K8" s="28"/>
      <c r="L8" s="30"/>
      <c r="M8" s="30"/>
    </row>
    <row r="9" spans="2:15" s="32" customFormat="1" ht="6" customHeight="1" x14ac:dyDescent="0.2">
      <c r="C9" s="34"/>
      <c r="D9" s="38"/>
      <c r="F9" s="38"/>
      <c r="J9" s="18"/>
      <c r="K9" s="42"/>
      <c r="L9" s="42"/>
      <c r="M9" s="42"/>
      <c r="N9" s="42"/>
      <c r="O9" s="42"/>
    </row>
    <row r="10" spans="2:15" s="69" customFormat="1" ht="18" customHeight="1" x14ac:dyDescent="0.25">
      <c r="B10" s="124" t="s">
        <v>109</v>
      </c>
    </row>
    <row r="11" spans="2:15" s="10" customFormat="1" ht="13.5" customHeight="1" x14ac:dyDescent="0.2">
      <c r="C11" s="206" t="str">
        <f>IF(OR(C12="",C12="Matrix kann eingereicht werden"),"In Ordnung",IF(C12="die inkorrekten und unvollständigen Einträge beheben","Nicht in Ordnung"))</f>
        <v>In Ordnung</v>
      </c>
      <c r="D11" s="59" t="s">
        <v>83</v>
      </c>
      <c r="E11" s="60" t="s">
        <v>13</v>
      </c>
      <c r="F11" s="95" t="s">
        <v>102</v>
      </c>
      <c r="G11" s="95" t="s">
        <v>550</v>
      </c>
    </row>
    <row r="12" spans="2:15" s="10" customFormat="1" ht="16.5" customHeight="1" x14ac:dyDescent="0.2">
      <c r="C12" s="94" t="str">
        <f>Berechnung2!B6</f>
        <v/>
      </c>
      <c r="D12" s="88">
        <f>Berechnung2!C6</f>
        <v>0</v>
      </c>
      <c r="E12" s="89">
        <f>Berechnung2!D6</f>
        <v>0</v>
      </c>
      <c r="F12" s="251">
        <f>Berechnung2!E6</f>
        <v>0</v>
      </c>
      <c r="G12" s="251">
        <f>Berechnung2!F6</f>
        <v>0</v>
      </c>
    </row>
    <row r="13" spans="2:15" s="32" customFormat="1" ht="10.5" customHeight="1" x14ac:dyDescent="0.2">
      <c r="C13" s="16"/>
      <c r="D13" s="16"/>
    </row>
    <row r="14" spans="2:15" ht="17.25" customHeight="1" x14ac:dyDescent="0.2">
      <c r="B14" s="1245" t="s">
        <v>131</v>
      </c>
      <c r="C14" s="1229" t="s">
        <v>64</v>
      </c>
      <c r="D14" s="1247" t="s">
        <v>476</v>
      </c>
      <c r="E14" s="1248"/>
      <c r="F14" s="1248"/>
      <c r="G14" s="1248"/>
      <c r="H14" s="1249"/>
    </row>
    <row r="15" spans="2:15" s="24" customFormat="1" ht="9" customHeight="1" x14ac:dyDescent="0.2">
      <c r="B15" s="1246"/>
      <c r="C15" s="1246"/>
      <c r="D15" s="1248"/>
      <c r="E15" s="1248"/>
      <c r="F15" s="1248"/>
      <c r="G15" s="1248"/>
      <c r="H15" s="1249"/>
    </row>
    <row r="16" spans="2:15" ht="66" customHeight="1" x14ac:dyDescent="0.25">
      <c r="B16" s="45" t="str">
        <f>IF(ISERROR(Berechnung2!G15),"",Berechnung2!G15)</f>
        <v/>
      </c>
      <c r="C16" s="45" t="str">
        <f>IF(ISERROR(Berechnung2!H15),"",Berechnung2!H15)</f>
        <v/>
      </c>
      <c r="D16" s="1242"/>
      <c r="E16" s="1243"/>
      <c r="F16" s="1243"/>
      <c r="G16" s="1243"/>
      <c r="H16" s="1244"/>
    </row>
    <row r="17" spans="2:8" ht="66" customHeight="1" x14ac:dyDescent="0.25">
      <c r="B17" s="45" t="str">
        <f>IF(ISERROR(Berechnung2!G16),"",Berechnung2!G16)</f>
        <v/>
      </c>
      <c r="C17" s="45" t="str">
        <f>IF(ISERROR(Berechnung2!H16),"",Berechnung2!H16)</f>
        <v/>
      </c>
      <c r="D17" s="1242"/>
      <c r="E17" s="1243"/>
      <c r="F17" s="1243"/>
      <c r="G17" s="1243"/>
      <c r="H17" s="1244"/>
    </row>
    <row r="18" spans="2:8" ht="66" customHeight="1" x14ac:dyDescent="0.25">
      <c r="B18" s="45" t="str">
        <f>IF(ISERROR(Berechnung2!G17),"",Berechnung2!G17)</f>
        <v/>
      </c>
      <c r="C18" s="45" t="str">
        <f>IF(ISERROR(Berechnung2!H17),"",Berechnung2!H17)</f>
        <v/>
      </c>
      <c r="D18" s="1242"/>
      <c r="E18" s="1243"/>
      <c r="F18" s="1243"/>
      <c r="G18" s="1243"/>
      <c r="H18" s="1244"/>
    </row>
    <row r="19" spans="2:8" ht="66" customHeight="1" x14ac:dyDescent="0.25">
      <c r="B19" s="45" t="str">
        <f>IF(ISERROR(Berechnung2!G18),"",Berechnung2!G18)</f>
        <v/>
      </c>
      <c r="C19" s="45" t="str">
        <f>IF(ISERROR(Berechnung2!H18),"",Berechnung2!H18)</f>
        <v/>
      </c>
      <c r="D19" s="1242"/>
      <c r="E19" s="1243"/>
      <c r="F19" s="1243"/>
      <c r="G19" s="1243"/>
      <c r="H19" s="1244"/>
    </row>
    <row r="20" spans="2:8" ht="66" customHeight="1" x14ac:dyDescent="0.25">
      <c r="B20" s="45" t="str">
        <f>IF(ISERROR(Berechnung2!G19),"",Berechnung2!G19)</f>
        <v/>
      </c>
      <c r="C20" s="45" t="str">
        <f>IF(ISERROR(Berechnung2!H19),"",Berechnung2!H19)</f>
        <v/>
      </c>
      <c r="D20" s="1242"/>
      <c r="E20" s="1243"/>
      <c r="F20" s="1243"/>
      <c r="G20" s="1243"/>
      <c r="H20" s="1244"/>
    </row>
    <row r="21" spans="2:8" ht="66" customHeight="1" x14ac:dyDescent="0.25">
      <c r="B21" s="45" t="str">
        <f>IF(ISERROR(Berechnung2!G20),"",Berechnung2!G20)</f>
        <v/>
      </c>
      <c r="C21" s="45" t="str">
        <f>IF(ISERROR(Berechnung2!H20),"",Berechnung2!H20)</f>
        <v/>
      </c>
      <c r="D21" s="1242"/>
      <c r="E21" s="1243"/>
      <c r="F21" s="1243"/>
      <c r="G21" s="1243"/>
      <c r="H21" s="1244"/>
    </row>
    <row r="22" spans="2:8" ht="66" customHeight="1" x14ac:dyDescent="0.25">
      <c r="B22" s="45" t="str">
        <f>IF(ISERROR(Berechnung2!G21),"",Berechnung2!G21)</f>
        <v/>
      </c>
      <c r="C22" s="45" t="str">
        <f>IF(ISERROR(Berechnung2!H21),"",Berechnung2!H21)</f>
        <v/>
      </c>
      <c r="D22" s="1242"/>
      <c r="E22" s="1243"/>
      <c r="F22" s="1243"/>
      <c r="G22" s="1243"/>
      <c r="H22" s="1244"/>
    </row>
    <row r="23" spans="2:8" ht="66" customHeight="1" x14ac:dyDescent="0.25">
      <c r="B23" s="45" t="str">
        <f>IF(ISERROR(Berechnung2!G22),"",Berechnung2!G22)</f>
        <v/>
      </c>
      <c r="C23" s="45" t="str">
        <f>IF(ISERROR(Berechnung2!H22),"",Berechnung2!H22)</f>
        <v/>
      </c>
      <c r="D23" s="1242"/>
      <c r="E23" s="1243"/>
      <c r="F23" s="1243"/>
      <c r="G23" s="1243"/>
      <c r="H23" s="1244"/>
    </row>
    <row r="24" spans="2:8" ht="66" customHeight="1" x14ac:dyDescent="0.2">
      <c r="B24" s="45" t="str">
        <f>IF(ISERROR(Berechnung2!G23),"",Berechnung2!G23)</f>
        <v/>
      </c>
      <c r="C24" s="45" t="str">
        <f>IF(ISERROR(Berechnung2!H23),"",Berechnung2!H23)</f>
        <v/>
      </c>
      <c r="D24" s="1239"/>
      <c r="E24" s="1240"/>
      <c r="F24" s="1240"/>
      <c r="G24" s="1240"/>
      <c r="H24" s="1241"/>
    </row>
  </sheetData>
  <sheetProtection algorithmName="SHA-512" hashValue="eObstpATP9mISP2FRvZXs4M7G2foiB2l0mUrFz2dBsaPNN0eXiKQb3IBvkdTbF+G6kZwpPWUWWGRxpDu9h209A==" saltValue="NBYobtlvCpc5yIOMrVilTw==" spinCount="100000" sheet="1" objects="1" scenarios="1" selectLockedCells="1"/>
  <customSheetViews>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D18:H18"/>
    <mergeCell ref="B14:B15"/>
    <mergeCell ref="C14:C15"/>
    <mergeCell ref="C6:G6"/>
    <mergeCell ref="D14:H15"/>
    <mergeCell ref="D16:H16"/>
    <mergeCell ref="D17:H17"/>
    <mergeCell ref="D24:H24"/>
    <mergeCell ref="D19:H19"/>
    <mergeCell ref="D20:H20"/>
    <mergeCell ref="D21:H21"/>
    <mergeCell ref="D22:H22"/>
    <mergeCell ref="D23:H23"/>
  </mergeCells>
  <phoneticPr fontId="41" type="noConversion"/>
  <conditionalFormatting sqref="B11:B12 D11:E12 F11:G11 H11:IV12 A9:XFD10">
    <cfRule type="cellIs" dxfId="24" priority="203" operator="lessThan">
      <formula>0</formula>
    </cfRule>
  </conditionalFormatting>
  <conditionalFormatting sqref="C16:C24">
    <cfRule type="expression" dxfId="23" priority="29" stopIfTrue="1">
      <formula>SEARCH("Unvollständig",$C16,1)</formula>
    </cfRule>
    <cfRule type="expression" dxfId="22" priority="49">
      <formula>SEARCH($D$11,$C16,1)</formula>
    </cfRule>
    <cfRule type="expression" dxfId="21" priority="50">
      <formula>SEARCH($E$11,$C16,1)</formula>
    </cfRule>
    <cfRule type="expression" dxfId="20" priority="51">
      <formula>SEARCH($F$11,$C16,1)</formula>
    </cfRule>
  </conditionalFormatting>
  <conditionalFormatting sqref="D17:G17">
    <cfRule type="notContainsBlanks" dxfId="19" priority="2450" stopIfTrue="1">
      <formula>LEN(TRIM(D17))&gt;0</formula>
    </cfRule>
    <cfRule type="expression" dxfId="18" priority="2452" stopIfTrue="1">
      <formula>B17&lt;&gt;""</formula>
    </cfRule>
  </conditionalFormatting>
  <conditionalFormatting sqref="D18:G18">
    <cfRule type="notContainsBlanks" dxfId="17" priority="47" stopIfTrue="1">
      <formula>LEN(TRIM(D18))&gt;0</formula>
    </cfRule>
    <cfRule type="expression" dxfId="16" priority="2453" stopIfTrue="1">
      <formula>B18&lt;&gt;""</formula>
    </cfRule>
  </conditionalFormatting>
  <conditionalFormatting sqref="D19:G19">
    <cfRule type="notContainsBlanks" dxfId="15" priority="46" stopIfTrue="1">
      <formula>LEN(TRIM(D19))&gt;0</formula>
    </cfRule>
    <cfRule type="expression" dxfId="14" priority="2454" stopIfTrue="1">
      <formula>B19&lt;&gt;""</formula>
    </cfRule>
  </conditionalFormatting>
  <conditionalFormatting sqref="D20:G20">
    <cfRule type="notContainsBlanks" dxfId="13" priority="45" stopIfTrue="1">
      <formula>LEN(TRIM(D20))&gt;0</formula>
    </cfRule>
    <cfRule type="expression" dxfId="12" priority="2455" stopIfTrue="1">
      <formula>B20&lt;&gt;""</formula>
    </cfRule>
  </conditionalFormatting>
  <conditionalFormatting sqref="D21:G21">
    <cfRule type="notContainsBlanks" dxfId="11" priority="35" stopIfTrue="1">
      <formula>LEN(TRIM(D21))&gt;0</formula>
    </cfRule>
    <cfRule type="expression" dxfId="10" priority="2456" stopIfTrue="1">
      <formula>B21&lt;&gt;""</formula>
    </cfRule>
  </conditionalFormatting>
  <conditionalFormatting sqref="D22:G22">
    <cfRule type="notContainsBlanks" dxfId="9" priority="34" stopIfTrue="1">
      <formula>LEN(TRIM(D22))&gt;0</formula>
    </cfRule>
    <cfRule type="expression" dxfId="8" priority="2457" stopIfTrue="1">
      <formula>B22&lt;&gt;""</formula>
    </cfRule>
  </conditionalFormatting>
  <conditionalFormatting sqref="D16">
    <cfRule type="notContainsBlanks" dxfId="7" priority="30" stopIfTrue="1">
      <formula>LEN(TRIM(D16))&gt;0</formula>
    </cfRule>
    <cfRule type="expression" dxfId="6" priority="2451" stopIfTrue="1">
      <formula>B16&lt;&gt;""</formula>
    </cfRule>
  </conditionalFormatting>
  <conditionalFormatting sqref="D23">
    <cfRule type="notContainsBlanks" dxfId="5" priority="33" stopIfTrue="1">
      <formula>LEN(TRIM(D23))&gt;0</formula>
    </cfRule>
    <cfRule type="expression" dxfId="4" priority="2458" stopIfTrue="1">
      <formula>B23&lt;&gt;""</formula>
    </cfRule>
  </conditionalFormatting>
  <conditionalFormatting sqref="D24">
    <cfRule type="notContainsBlanks" dxfId="3" priority="27" stopIfTrue="1">
      <formula>LEN(TRIM(D24))&gt;0</formula>
    </cfRule>
    <cfRule type="expression" dxfId="2" priority="28" stopIfTrue="1">
      <formula>B24&lt;&gt;""</formula>
    </cfRule>
  </conditionalFormatting>
  <conditionalFormatting sqref="C11">
    <cfRule type="expression" dxfId="1" priority="2" stopIfTrue="1">
      <formula>$C$11="Nicht in Ordnung"</formula>
    </cfRule>
  </conditionalFormatting>
  <conditionalFormatting sqref="C12">
    <cfRule type="expression" dxfId="0" priority="1" stopIfTrue="1">
      <formula>$C$12="die inkorrekten und unvollständigen Einträge beheben"</formula>
    </cfRule>
  </conditionalFormatting>
  <dataValidations count="1">
    <dataValidation type="textLength" allowBlank="1" showErrorMessage="1" errorTitle="Zeichenlänge" error="Minimal 30 Zeichen und max. 450 Zeichen." sqref="D16:H24">
      <formula1>30</formula1>
      <formula2>450</formula2>
    </dataValidation>
  </dataValidations>
  <pageMargins left="0.39370078740157483" right="3.937007874015748E-2" top="0.59055118110236227" bottom="0.39370078740157483" header="0.31496062992125984"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M19"/>
  <sheetViews>
    <sheetView topLeftCell="A4" workbookViewId="0">
      <selection activeCell="B6" sqref="B6"/>
    </sheetView>
  </sheetViews>
  <sheetFormatPr baseColWidth="10" defaultColWidth="11.42578125" defaultRowHeight="12" x14ac:dyDescent="0.2"/>
  <cols>
    <col min="1" max="1" width="21.42578125" style="201" customWidth="1"/>
    <col min="2" max="13" width="17.140625" style="201" customWidth="1"/>
    <col min="14" max="14" width="15.140625" style="201" customWidth="1"/>
    <col min="15" max="17" width="9.140625" style="201" customWidth="1"/>
    <col min="18" max="18" width="1.7109375" style="201" customWidth="1"/>
    <col min="19" max="21" width="8.7109375" style="201" customWidth="1"/>
    <col min="22" max="22" width="16.28515625" style="201" customWidth="1"/>
    <col min="23" max="16384" width="11.42578125" style="201"/>
  </cols>
  <sheetData>
    <row r="1" spans="1:13" s="519" customFormat="1" ht="61.5" customHeight="1" x14ac:dyDescent="0.25">
      <c r="A1" s="520" t="str">
        <f>LEFT(Basisdaten!B28,33)</f>
        <v>Zentrumspat. 
Prostatakarzinom 1)</v>
      </c>
      <c r="B1" s="520" t="str">
        <f>CONCATENATE(LEFT(Basisdaten!D28,21)," - ",Basisdaten!D30)</f>
        <v>nicht interventionell - Active Surveillance</v>
      </c>
      <c r="C1" s="520" t="str">
        <f>CONCATENATE(LEFT(Basisdaten!D28,21)," - ",Basisdaten!E30)</f>
        <v>nicht interventionell - Watchful Waiting</v>
      </c>
      <c r="D1" s="520" t="str">
        <f>CONCATENATE(LEFT(Basisdaten!F28,15)," - ",Basisdaten!F29," - ",Basisdaten!F30)</f>
        <v>interventionell - lokale Behandlung der Prostata - RPE</v>
      </c>
      <c r="E1" s="520" t="str">
        <f>CONCATENATE(LEFT(Basisdaten!F28,15)," - ",Basisdaten!F29," - ",Basisdaten!G30)</f>
        <v>interventionell - lokale Behandlung der Prostata - RZE aufgrund von PCa</v>
      </c>
      <c r="F1" s="520" t="str">
        <f>CONCATENATE(LEFT(Basisdaten!F28,15)," - ",Basisdaten!F29," - ",LEFT(Basisdaten!H30,22))</f>
        <v>interventionell - lokale Behandlung der Prostata - Zufallsbefund nach RZE</v>
      </c>
      <c r="G1" s="520" t="str">
        <f>CONCATENATE(LEFT(Basisdaten!F28,15)," - ",Basisdaten!F29," - ",Basisdaten!I30)</f>
        <v xml:space="preserve">interventionell - lokale Behandlung der Prostata - Definitive perkutane
Strahlentherapie  </v>
      </c>
      <c r="H1" s="520" t="str">
        <f>CONCATENATE(LEFT(Basisdaten!F28,15)," - ",Basisdaten!F29," - ",Basisdaten!J30)</f>
        <v>interventionell - lokale Behandlung der Prostata - LDR-Brachytherapie</v>
      </c>
      <c r="I1" s="520" t="str">
        <f>CONCATENATE(LEFT(Basisdaten!F28,15)," - ",Basisdaten!F29," - ",Basisdaten!K30)</f>
        <v>interventionell - lokale Behandlung der Prostata - HDR-Brachytherapie</v>
      </c>
      <c r="J1" s="520" t="str">
        <f>CONCATENATE(LEFT(Basisdaten!F28,15)," - ",Basisdaten!F29," - ",LEFT(Basisdaten!L30,22))</f>
        <v>interventionell - lokale Behandlung der Prostata - andere lokale Therapie</v>
      </c>
      <c r="K1" s="520" t="str">
        <f>CONCATENATE(LEFT(Basisdaten!F28,15)," - ",LEFT(Basisdaten!M29,39))</f>
        <v>interventionell - ausschließliche systemische 
Behandlung</v>
      </c>
      <c r="L1" s="520" t="str">
        <f>CONCATENATE(LEFT(Basisdaten!F28,15)," - ",LEFT(Basisdaten!N29,17))</f>
        <v>interventionell - andere Behandlung</v>
      </c>
      <c r="M1" s="520" t="str">
        <f>Basisdaten!O28</f>
        <v>Gesamt</v>
      </c>
    </row>
    <row r="2" spans="1:13" ht="36" x14ac:dyDescent="0.2">
      <c r="A2" s="521" t="str">
        <f>CONCATENATE(LEFT(Basisdaten!B32,18)," - ",Basisdaten!B33," - ",LEFT(Basisdaten!C33,16))</f>
        <v>a) Primärfall-Pat. - lokal begrenzt (T1/2-N0-M0) - niedrigem Risiko</v>
      </c>
      <c r="B2" s="522" t="str">
        <f>IF(Basisdaten!D33="","",Basisdaten!D33)</f>
        <v/>
      </c>
      <c r="C2" s="522" t="str">
        <f>IF(Basisdaten!E33="","",Basisdaten!E33)</f>
        <v/>
      </c>
      <c r="D2" s="522" t="str">
        <f>IF(Basisdaten!F33="","",Basisdaten!F33)</f>
        <v/>
      </c>
      <c r="E2" s="522" t="str">
        <f>IF(Basisdaten!G33="","",Basisdaten!G33)</f>
        <v/>
      </c>
      <c r="F2" s="522" t="str">
        <f>IF(Basisdaten!H33="","",Basisdaten!H33)</f>
        <v/>
      </c>
      <c r="G2" s="522" t="str">
        <f>IF(Basisdaten!I33="","",Basisdaten!I33)</f>
        <v/>
      </c>
      <c r="H2" s="522" t="str">
        <f>IF(Basisdaten!J33="","",Basisdaten!J33)</f>
        <v/>
      </c>
      <c r="I2" s="522" t="str">
        <f>IF(Basisdaten!K33="","",Basisdaten!K33)</f>
        <v/>
      </c>
      <c r="J2" s="522" t="str">
        <f>IF(Basisdaten!L33="","",Basisdaten!L33)</f>
        <v/>
      </c>
      <c r="K2" s="522" t="str">
        <f>IF(Basisdaten!M33="","",Basisdaten!M33)</f>
        <v/>
      </c>
      <c r="L2" s="522" t="str">
        <f>IF(Basisdaten!N33="","",Basisdaten!N33)</f>
        <v/>
      </c>
      <c r="M2" s="522" t="str">
        <f>IF(Basisdaten!O33="","",Basisdaten!O33)</f>
        <v/>
      </c>
    </row>
    <row r="3" spans="1:13" ht="36" x14ac:dyDescent="0.2">
      <c r="A3" s="521" t="str">
        <f>CONCATENATE(LEFT(Basisdaten!B32,18)," - ",Basisdaten!B33," - ",LEFT(Basisdaten!C34,16))</f>
        <v>a) Primärfall-Pat. - lokal begrenzt (T1/2-N0-M0) - mittlerem Risiko</v>
      </c>
      <c r="B3" s="522" t="str">
        <f>IF(Basisdaten!D34="","",Basisdaten!D34)</f>
        <v/>
      </c>
      <c r="C3" s="522" t="str">
        <f>IF(Basisdaten!E34="","",Basisdaten!E34)</f>
        <v/>
      </c>
      <c r="D3" s="522" t="str">
        <f>IF(Basisdaten!F34="","",Basisdaten!F34)</f>
        <v/>
      </c>
      <c r="E3" s="522" t="str">
        <f>IF(Basisdaten!G34="","",Basisdaten!G34)</f>
        <v/>
      </c>
      <c r="F3" s="522" t="str">
        <f>IF(Basisdaten!H34="","",Basisdaten!H34)</f>
        <v/>
      </c>
      <c r="G3" s="522" t="str">
        <f>IF(Basisdaten!I34="","",Basisdaten!I34)</f>
        <v/>
      </c>
      <c r="H3" s="522" t="str">
        <f>IF(Basisdaten!J34="","",Basisdaten!J34)</f>
        <v/>
      </c>
      <c r="I3" s="522" t="str">
        <f>IF(Basisdaten!K34="","",Basisdaten!K34)</f>
        <v/>
      </c>
      <c r="J3" s="522" t="str">
        <f>IF(Basisdaten!L34="","",Basisdaten!L34)</f>
        <v/>
      </c>
      <c r="K3" s="522" t="str">
        <f>IF(Basisdaten!M34="","",Basisdaten!M34)</f>
        <v/>
      </c>
      <c r="L3" s="522" t="str">
        <f>IF(Basisdaten!N34="","",Basisdaten!N34)</f>
        <v/>
      </c>
      <c r="M3" s="522" t="str">
        <f>IF(Basisdaten!O34="","",Basisdaten!O34)</f>
        <v/>
      </c>
    </row>
    <row r="4" spans="1:13" ht="36" x14ac:dyDescent="0.2">
      <c r="A4" s="521" t="str">
        <f>CONCATENATE(LEFT(Basisdaten!B32,18)," - ",Basisdaten!B33," - ",LEFT(Basisdaten!C35,12))</f>
        <v>a) Primärfall-Pat. - lokal begrenzt (T1/2-N0-M0) - hohem Risiko</v>
      </c>
      <c r="B4" s="522" t="str">
        <f>IF(Basisdaten!D35="","",Basisdaten!D35)</f>
        <v/>
      </c>
      <c r="C4" s="522" t="str">
        <f>IF(Basisdaten!E35="","",Basisdaten!E35)</f>
        <v/>
      </c>
      <c r="D4" s="522" t="str">
        <f>IF(Basisdaten!F35="","",Basisdaten!F35)</f>
        <v/>
      </c>
      <c r="E4" s="522" t="str">
        <f>IF(Basisdaten!G35="","",Basisdaten!G35)</f>
        <v/>
      </c>
      <c r="F4" s="522" t="str">
        <f>IF(Basisdaten!H35="","",Basisdaten!H35)</f>
        <v/>
      </c>
      <c r="G4" s="522" t="str">
        <f>IF(Basisdaten!I35="","",Basisdaten!I35)</f>
        <v/>
      </c>
      <c r="H4" s="522" t="str">
        <f>IF(Basisdaten!J35="","",Basisdaten!J35)</f>
        <v/>
      </c>
      <c r="I4" s="522" t="str">
        <f>IF(Basisdaten!K35="","",Basisdaten!K35)</f>
        <v/>
      </c>
      <c r="J4" s="522" t="str">
        <f>IF(Basisdaten!L35="","",Basisdaten!L35)</f>
        <v/>
      </c>
      <c r="K4" s="522" t="str">
        <f>IF(Basisdaten!M35="","",Basisdaten!M35)</f>
        <v/>
      </c>
      <c r="L4" s="522" t="str">
        <f>IF(Basisdaten!N35="","",Basisdaten!N35)</f>
        <v/>
      </c>
      <c r="M4" s="522" t="str">
        <f>IF(Basisdaten!O35="","",Basisdaten!O35)</f>
        <v/>
      </c>
    </row>
    <row r="5" spans="1:13" ht="36" x14ac:dyDescent="0.2">
      <c r="A5" s="521" t="str">
        <f>CONCATENATE(LEFT(Basisdaten!B32,18)," - ",Basisdaten!B36)</f>
        <v>a) Primärfall-Pat. - lokal fortgeschritten (T3/4-N0-M0)</v>
      </c>
      <c r="B5" s="522" t="str">
        <f>IF(Basisdaten!D36="","",Basisdaten!D36)</f>
        <v/>
      </c>
      <c r="C5" s="522" t="str">
        <f>IF(Basisdaten!E36="","",Basisdaten!E36)</f>
        <v/>
      </c>
      <c r="D5" s="522" t="str">
        <f>IF(Basisdaten!F36="","",Basisdaten!F36)</f>
        <v/>
      </c>
      <c r="E5" s="522" t="str">
        <f>IF(Basisdaten!G36="","",Basisdaten!G36)</f>
        <v/>
      </c>
      <c r="F5" s="522" t="str">
        <f>IF(Basisdaten!H36="","",Basisdaten!H36)</f>
        <v/>
      </c>
      <c r="G5" s="522" t="str">
        <f>IF(Basisdaten!I36="","",Basisdaten!I36)</f>
        <v/>
      </c>
      <c r="H5" s="522" t="str">
        <f>IF(Basisdaten!J36="","",Basisdaten!J36)</f>
        <v/>
      </c>
      <c r="I5" s="522" t="str">
        <f>IF(Basisdaten!K36="","",Basisdaten!K36)</f>
        <v/>
      </c>
      <c r="J5" s="522" t="str">
        <f>IF(Basisdaten!L36="","",Basisdaten!L36)</f>
        <v/>
      </c>
      <c r="K5" s="522" t="str">
        <f>IF(Basisdaten!M36="","",Basisdaten!M36)</f>
        <v/>
      </c>
      <c r="L5" s="522" t="str">
        <f>IF(Basisdaten!N36="","",Basisdaten!N36)</f>
        <v/>
      </c>
      <c r="M5" s="522" t="str">
        <f>IF(Basisdaten!O36="","",Basisdaten!O36)</f>
        <v/>
      </c>
    </row>
    <row r="6" spans="1:13" ht="24" x14ac:dyDescent="0.2">
      <c r="A6" s="521" t="str">
        <f>CONCATENATE(LEFT(Basisdaten!B32,18)," - ",Basisdaten!B37)</f>
        <v>a) Primärfall-Pat. - fortgeschritten (N1, M0)</v>
      </c>
      <c r="B6" s="719"/>
      <c r="C6" s="522" t="str">
        <f>IF(Basisdaten!E37="","",Basisdaten!E37)</f>
        <v/>
      </c>
      <c r="D6" s="522" t="str">
        <f>IF(Basisdaten!F37="","",Basisdaten!F37)</f>
        <v/>
      </c>
      <c r="E6" s="522" t="str">
        <f>IF(Basisdaten!G37="","",Basisdaten!G37)</f>
        <v/>
      </c>
      <c r="F6" s="522" t="str">
        <f>IF(Basisdaten!H37="","",Basisdaten!H37)</f>
        <v/>
      </c>
      <c r="G6" s="522" t="str">
        <f>IF(Basisdaten!I37="","",Basisdaten!I37)</f>
        <v/>
      </c>
      <c r="H6" s="522" t="str">
        <f>IF(Basisdaten!J37="","",Basisdaten!J37)</f>
        <v/>
      </c>
      <c r="I6" s="522" t="str">
        <f>IF(Basisdaten!K37="","",Basisdaten!K37)</f>
        <v/>
      </c>
      <c r="J6" s="522" t="str">
        <f>IF(Basisdaten!L37="","",Basisdaten!L37)</f>
        <v/>
      </c>
      <c r="K6" s="522" t="str">
        <f>IF(Basisdaten!M37="","",Basisdaten!M37)</f>
        <v/>
      </c>
      <c r="L6" s="522" t="str">
        <f>IF(Basisdaten!N37="","",Basisdaten!N37)</f>
        <v/>
      </c>
      <c r="M6" s="522" t="str">
        <f>IF(Basisdaten!O37="","",Basisdaten!O37)</f>
        <v/>
      </c>
    </row>
    <row r="7" spans="1:13" ht="24" x14ac:dyDescent="0.2">
      <c r="A7" s="521" t="str">
        <f>CONCATENATE(LEFT(Basisdaten!B32,18)," - ",Basisdaten!B38)</f>
        <v>a) Primärfall-Pat. - fortgeschritten (N0/1, M1)</v>
      </c>
      <c r="B7" s="719"/>
      <c r="C7" s="522" t="str">
        <f>IF(Basisdaten!E38="","",Basisdaten!E38)</f>
        <v/>
      </c>
      <c r="D7" s="522" t="str">
        <f>IF(Basisdaten!F38="","",Basisdaten!F38)</f>
        <v/>
      </c>
      <c r="E7" s="522" t="str">
        <f>IF(Basisdaten!G38="","",Basisdaten!G38)</f>
        <v/>
      </c>
      <c r="F7" s="522" t="str">
        <f>IF(Basisdaten!H38="","",Basisdaten!H38)</f>
        <v/>
      </c>
      <c r="G7" s="522" t="str">
        <f>IF(Basisdaten!I38="","",Basisdaten!I38)</f>
        <v/>
      </c>
      <c r="H7" s="522" t="str">
        <f>IF(Basisdaten!J38="","",Basisdaten!J38)</f>
        <v/>
      </c>
      <c r="I7" s="522" t="str">
        <f>IF(Basisdaten!K38="","",Basisdaten!K38)</f>
        <v/>
      </c>
      <c r="J7" s="522" t="str">
        <f>IF(Basisdaten!L38="","",Basisdaten!L38)</f>
        <v/>
      </c>
      <c r="K7" s="522" t="str">
        <f>IF(Basisdaten!M38="","",Basisdaten!M38)</f>
        <v/>
      </c>
      <c r="L7" s="522" t="str">
        <f>IF(Basisdaten!N38="","",Basisdaten!N38)</f>
        <v/>
      </c>
      <c r="M7" s="522" t="str">
        <f>IF(Basisdaten!O38="","",Basisdaten!O38)</f>
        <v/>
      </c>
    </row>
    <row r="8" spans="1:13" ht="24" x14ac:dyDescent="0.2">
      <c r="A8" s="521" t="str">
        <f>CONCATENATE(LEFT(Basisdaten!B32,18)," - ",LEFT(Basisdaten!B39,16))</f>
        <v>a) Primärfall-Pat. - nicht zuzuordnen</v>
      </c>
      <c r="B8" s="522" t="str">
        <f>IF(Basisdaten!D39="","",Basisdaten!D39)</f>
        <v/>
      </c>
      <c r="C8" s="522" t="str">
        <f>IF(Basisdaten!E39="","",Basisdaten!E39)</f>
        <v/>
      </c>
      <c r="D8" s="522" t="str">
        <f>IF(Basisdaten!F39="","",Basisdaten!F39)</f>
        <v/>
      </c>
      <c r="E8" s="522" t="str">
        <f>IF(Basisdaten!G39="","",Basisdaten!G39)</f>
        <v/>
      </c>
      <c r="F8" s="522" t="str">
        <f>IF(Basisdaten!H39="","",Basisdaten!H39)</f>
        <v/>
      </c>
      <c r="G8" s="522" t="str">
        <f>IF(Basisdaten!I39="","",Basisdaten!I39)</f>
        <v/>
      </c>
      <c r="H8" s="522" t="str">
        <f>IF(Basisdaten!J39="","",Basisdaten!J39)</f>
        <v/>
      </c>
      <c r="I8" s="522" t="str">
        <f>IF(Basisdaten!K39="","",Basisdaten!K39)</f>
        <v/>
      </c>
      <c r="J8" s="522" t="str">
        <f>IF(Basisdaten!L39="","",Basisdaten!L39)</f>
        <v/>
      </c>
      <c r="K8" s="522" t="str">
        <f>IF(Basisdaten!M39="","",Basisdaten!M39)</f>
        <v/>
      </c>
      <c r="L8" s="522" t="str">
        <f>IF(Basisdaten!N39="","",Basisdaten!N39)</f>
        <v/>
      </c>
      <c r="M8" s="522" t="str">
        <f>IF(Basisdaten!O39="","",Basisdaten!O39)</f>
        <v/>
      </c>
    </row>
    <row r="9" spans="1:13" ht="24" x14ac:dyDescent="0.2">
      <c r="A9" s="521" t="str">
        <f>CONCATENATE(LEFT(Basisdaten!B32,18)," - ",Basisdaten!B40)</f>
        <v>a) Primärfall-Pat. - Primärfallpat. gesamt</v>
      </c>
      <c r="B9" s="522" t="str">
        <f>IF(Basisdaten!D40="","",Basisdaten!D40)</f>
        <v/>
      </c>
      <c r="C9" s="522" t="str">
        <f>IF(Basisdaten!E40="","",Basisdaten!E40)</f>
        <v/>
      </c>
      <c r="D9" s="522" t="str">
        <f>IF(Basisdaten!F40="","",Basisdaten!F40)</f>
        <v/>
      </c>
      <c r="E9" s="522" t="str">
        <f>IF(Basisdaten!G40="","",Basisdaten!G40)</f>
        <v/>
      </c>
      <c r="F9" s="522" t="str">
        <f>IF(Basisdaten!H40="","",Basisdaten!H40)</f>
        <v/>
      </c>
      <c r="G9" s="522" t="str">
        <f>IF(Basisdaten!I40="","",Basisdaten!I40)</f>
        <v/>
      </c>
      <c r="H9" s="522" t="str">
        <f>IF(Basisdaten!J40="","",Basisdaten!J40)</f>
        <v/>
      </c>
      <c r="I9" s="522" t="str">
        <f>IF(Basisdaten!K40="","",Basisdaten!K40)</f>
        <v/>
      </c>
      <c r="J9" s="522" t="str">
        <f>IF(Basisdaten!L40="","",Basisdaten!L40)</f>
        <v/>
      </c>
      <c r="K9" s="522" t="str">
        <f>IF(Basisdaten!M40="","",Basisdaten!M40)</f>
        <v/>
      </c>
      <c r="L9" s="522" t="str">
        <f>IF(Basisdaten!N40="","",Basisdaten!N40)</f>
        <v/>
      </c>
      <c r="M9" s="522" t="str">
        <f>IF(Basisdaten!O40="","",Basisdaten!O40)</f>
        <v/>
      </c>
    </row>
    <row r="10" spans="1:13" ht="24" x14ac:dyDescent="0.2">
      <c r="A10" s="521" t="str">
        <f>CONCATENATE(LEFT(Basisdaten!B32,18)," - ",Basisdaten!B42)</f>
        <v>a) Primärfall-Pat. - davon Pat. mit Historie "AS/WW"</v>
      </c>
      <c r="B10" s="523"/>
      <c r="C10" s="523"/>
      <c r="D10" s="522" t="str">
        <f>IF(Basisdaten!F42="","",Basisdaten!F42)</f>
        <v/>
      </c>
      <c r="E10" s="522" t="str">
        <f>IF(Basisdaten!G42="","",Basisdaten!G42)</f>
        <v/>
      </c>
      <c r="F10" s="522" t="str">
        <f>IF(Basisdaten!H42="","",Basisdaten!H42)</f>
        <v/>
      </c>
      <c r="G10" s="522" t="str">
        <f>IF(Basisdaten!I42="","",Basisdaten!I42)</f>
        <v/>
      </c>
      <c r="H10" s="522" t="str">
        <f>IF(Basisdaten!J42="","",Basisdaten!J42)</f>
        <v/>
      </c>
      <c r="I10" s="522" t="str">
        <f>IF(Basisdaten!K42="","",Basisdaten!K42)</f>
        <v/>
      </c>
      <c r="J10" s="522" t="str">
        <f>IF(Basisdaten!L42="","",Basisdaten!L42)</f>
        <v/>
      </c>
      <c r="K10" s="522" t="str">
        <f>IF(Basisdaten!M42="","",Basisdaten!M42)</f>
        <v/>
      </c>
      <c r="L10" s="522" t="str">
        <f>IF(Basisdaten!N42="","",Basisdaten!N42)</f>
        <v/>
      </c>
      <c r="M10" s="522" t="str">
        <f>IF(Basisdaten!O42="","",Basisdaten!O42)</f>
        <v/>
      </c>
    </row>
    <row r="11" spans="1:13" ht="84" x14ac:dyDescent="0.2">
      <c r="A11" s="521" t="str">
        <f>CONCATENATE(LEFT(Basisdaten!B44,77)," - ",RIGHT(Basisdaten!B45,35))</f>
        <v>b) Pat. mit neuaufgetretenem Rezidiv und/oder Fernmetastasen im Kalenderjahr  -   Pat. mit neuaufgetretenem Rezidiv</v>
      </c>
      <c r="B11" s="719"/>
      <c r="C11" s="522" t="str">
        <f>IF(Basisdaten!E45="","",Basisdaten!E45)</f>
        <v/>
      </c>
      <c r="D11" s="522" t="str">
        <f>IF(Basisdaten!F45="","",Basisdaten!F45)</f>
        <v/>
      </c>
      <c r="E11" s="522" t="str">
        <f>IF(Basisdaten!G45="","",Basisdaten!G45)</f>
        <v/>
      </c>
      <c r="F11" s="522" t="str">
        <f>IF(Basisdaten!H45="","",Basisdaten!H45)</f>
        <v/>
      </c>
      <c r="G11" s="522" t="str">
        <f>IF(Basisdaten!I45="","",Basisdaten!I45)</f>
        <v/>
      </c>
      <c r="H11" s="522" t="str">
        <f>IF(Basisdaten!J45="","",Basisdaten!J45)</f>
        <v/>
      </c>
      <c r="I11" s="522" t="str">
        <f>IF(Basisdaten!K45="","",Basisdaten!K45)</f>
        <v/>
      </c>
      <c r="J11" s="522" t="str">
        <f>IF(Basisdaten!L45="","",Basisdaten!L45)</f>
        <v/>
      </c>
      <c r="K11" s="522" t="str">
        <f>IF(Basisdaten!M45="","",Basisdaten!M45)</f>
        <v/>
      </c>
      <c r="L11" s="522" t="str">
        <f>IF(Basisdaten!N45="","",Basisdaten!N45)</f>
        <v/>
      </c>
      <c r="M11" s="522" t="str">
        <f>IF(Basisdaten!O45="","",Basisdaten!O45)</f>
        <v/>
      </c>
    </row>
    <row r="12" spans="1:13" ht="84" x14ac:dyDescent="0.2">
      <c r="A12" s="521" t="str">
        <f>CONCATENATE(LEFT(Basisdaten!B44,77)," - ",RIGHT(Basisdaten!B46,40))</f>
        <v>b) Pat. mit neuaufgetretenem Rezidiv und/oder Fernmetastasen im Kalenderjahr  -  Pat. mit neuaufgetretener Fernmetastase</v>
      </c>
      <c r="B12" s="719"/>
      <c r="C12" s="522" t="str">
        <f>IF(Basisdaten!E46="","",Basisdaten!E46)</f>
        <v/>
      </c>
      <c r="D12" s="522" t="str">
        <f>IF(Basisdaten!F46="","",Basisdaten!F46)</f>
        <v/>
      </c>
      <c r="E12" s="522" t="str">
        <f>IF(Basisdaten!G46="","",Basisdaten!G46)</f>
        <v/>
      </c>
      <c r="F12" s="522" t="str">
        <f>IF(Basisdaten!H46="","",Basisdaten!H46)</f>
        <v/>
      </c>
      <c r="G12" s="522" t="str">
        <f>IF(Basisdaten!I46="","",Basisdaten!I46)</f>
        <v/>
      </c>
      <c r="H12" s="522" t="str">
        <f>IF(Basisdaten!J46="","",Basisdaten!J46)</f>
        <v/>
      </c>
      <c r="I12" s="522" t="str">
        <f>IF(Basisdaten!K46="","",Basisdaten!K46)</f>
        <v/>
      </c>
      <c r="J12" s="522" t="str">
        <f>IF(Basisdaten!L46="","",Basisdaten!L46)</f>
        <v/>
      </c>
      <c r="K12" s="522" t="str">
        <f>IF(Basisdaten!M46="","",Basisdaten!M46)</f>
        <v/>
      </c>
      <c r="L12" s="522" t="str">
        <f>IF(Basisdaten!N46="","",Basisdaten!N46)</f>
        <v/>
      </c>
      <c r="M12" s="522" t="str">
        <f>IF(Basisdaten!O46="","",Basisdaten!O46)</f>
        <v/>
      </c>
    </row>
    <row r="13" spans="1:13" ht="84" x14ac:dyDescent="0.2">
      <c r="A13" s="521" t="str">
        <f>CONCATENATE(LEFT(Basisdaten!B44,76)," - ",Basisdaten!B47)</f>
        <v>b) Pat. mit neuaufgetretenem Rezidiv und/oder Fernmetastasen im Kalenderjahr - Pat. gesamt (ohne Mehrfachnennung)</v>
      </c>
      <c r="B13" s="719"/>
      <c r="C13" s="522" t="str">
        <f>IF(Basisdaten!E47="","",Basisdaten!E47)</f>
        <v/>
      </c>
      <c r="D13" s="522" t="str">
        <f>IF(Basisdaten!F47="","",Basisdaten!F47)</f>
        <v/>
      </c>
      <c r="E13" s="522" t="str">
        <f>IF(Basisdaten!G47="","",Basisdaten!G47)</f>
        <v/>
      </c>
      <c r="F13" s="522" t="str">
        <f>IF(Basisdaten!H47="","",Basisdaten!H47)</f>
        <v/>
      </c>
      <c r="G13" s="522" t="str">
        <f>IF(Basisdaten!I47="","",Basisdaten!I47)</f>
        <v/>
      </c>
      <c r="H13" s="522" t="str">
        <f>IF(Basisdaten!J47="","",Basisdaten!J47)</f>
        <v/>
      </c>
      <c r="I13" s="522" t="str">
        <f>IF(Basisdaten!K47="","",Basisdaten!K47)</f>
        <v/>
      </c>
      <c r="J13" s="522" t="str">
        <f>IF(Basisdaten!L47="","",Basisdaten!L47)</f>
        <v/>
      </c>
      <c r="K13" s="522" t="str">
        <f>IF(Basisdaten!M47="","",Basisdaten!M47)</f>
        <v/>
      </c>
      <c r="L13" s="522" t="str">
        <f>IF(Basisdaten!N47="","",Basisdaten!N47)</f>
        <v/>
      </c>
      <c r="M13" s="522" t="str">
        <f>IF(Basisdaten!O47="","",Basisdaten!O47)</f>
        <v/>
      </c>
    </row>
    <row r="14" spans="1:13" ht="84" x14ac:dyDescent="0.2">
      <c r="A14" s="521" t="str">
        <f>CONCATENATE(LEFT(Basisdaten!B44,77)," - ",Basisdaten!B49)</f>
        <v>b) Pat. mit neuaufgetretenem Rezidiv und/oder Fernmetastasen im Kalenderjahr  - davon Pat. parallel Status Primärfall-Pat.</v>
      </c>
      <c r="B14" s="719"/>
      <c r="C14" s="522" t="str">
        <f>IF(Basisdaten!E49="","",Basisdaten!E49)</f>
        <v/>
      </c>
      <c r="D14" s="522" t="str">
        <f>IF(Basisdaten!F49="","",Basisdaten!F49)</f>
        <v/>
      </c>
      <c r="E14" s="522" t="str">
        <f>IF(Basisdaten!G49="","",Basisdaten!G49)</f>
        <v/>
      </c>
      <c r="F14" s="522" t="str">
        <f>IF(Basisdaten!H49="","",Basisdaten!H49)</f>
        <v/>
      </c>
      <c r="G14" s="522" t="str">
        <f>IF(Basisdaten!I49="","",Basisdaten!I49)</f>
        <v/>
      </c>
      <c r="H14" s="522" t="str">
        <f>IF(Basisdaten!J49="","",Basisdaten!J49)</f>
        <v/>
      </c>
      <c r="I14" s="522" t="str">
        <f>IF(Basisdaten!K49="","",Basisdaten!K49)</f>
        <v/>
      </c>
      <c r="J14" s="522" t="str">
        <f>IF(Basisdaten!L49="","",Basisdaten!L49)</f>
        <v/>
      </c>
      <c r="K14" s="522" t="str">
        <f>IF(Basisdaten!M49="","",Basisdaten!M49)</f>
        <v/>
      </c>
      <c r="L14" s="522" t="str">
        <f>IF(Basisdaten!N49="","",Basisdaten!N49)</f>
        <v/>
      </c>
      <c r="M14" s="522" t="str">
        <f>IF(Basisdaten!O49="","",Basisdaten!O49)</f>
        <v/>
      </c>
    </row>
    <row r="15" spans="1:13" x14ac:dyDescent="0.2">
      <c r="A15" s="521" t="str">
        <f>LEFT(Basisdaten!B51,20)</f>
        <v xml:space="preserve">Zentrumspat. GESAMT </v>
      </c>
      <c r="B15" s="522" t="str">
        <f>IF(Basisdaten!D51="","",Basisdaten!D51)</f>
        <v/>
      </c>
      <c r="C15" s="522" t="str">
        <f>IF(Basisdaten!E51="","",Basisdaten!E51)</f>
        <v/>
      </c>
      <c r="D15" s="522" t="str">
        <f>IF(Basisdaten!F51="","",Basisdaten!F51)</f>
        <v/>
      </c>
      <c r="E15" s="522" t="str">
        <f>IF(Basisdaten!G51="","",Basisdaten!G51)</f>
        <v/>
      </c>
      <c r="F15" s="522" t="str">
        <f>IF(Basisdaten!H51="","",Basisdaten!H51)</f>
        <v/>
      </c>
      <c r="G15" s="522" t="str">
        <f>IF(Basisdaten!I51="","",Basisdaten!I51)</f>
        <v/>
      </c>
      <c r="H15" s="522" t="str">
        <f>IF(Basisdaten!J51="","",Basisdaten!J51)</f>
        <v/>
      </c>
      <c r="I15" s="522" t="str">
        <f>IF(Basisdaten!K51="","",Basisdaten!K51)</f>
        <v/>
      </c>
      <c r="J15" s="522" t="str">
        <f>IF(Basisdaten!L51="","",Basisdaten!L51)</f>
        <v/>
      </c>
      <c r="K15" s="522" t="str">
        <f>IF(Basisdaten!M51="","",Basisdaten!M51)</f>
        <v/>
      </c>
      <c r="L15" s="522" t="str">
        <f>IF(Basisdaten!N51="","",Basisdaten!N51)</f>
        <v/>
      </c>
      <c r="M15" s="522" t="str">
        <f>IF(Basisdaten!O51="","",Basisdaten!O51)</f>
        <v/>
      </c>
    </row>
    <row r="16" spans="1:13" ht="24" x14ac:dyDescent="0.2">
      <c r="A16" s="521" t="str">
        <f>CONCATENATE(LEFT(Basisdaten!B53,19)," - ",LEFT(Basisdaten!D53,3))</f>
        <v>Operative Expertise - RPE</v>
      </c>
      <c r="B16" s="523"/>
      <c r="C16" s="523"/>
      <c r="D16" s="523"/>
      <c r="E16" s="523"/>
      <c r="F16" s="523"/>
      <c r="G16" s="523"/>
      <c r="H16" s="523"/>
      <c r="I16" s="523"/>
      <c r="J16" s="523"/>
      <c r="K16" s="523"/>
      <c r="L16" s="522" t="str">
        <f>IF(Basisdaten!N53="","",Basisdaten!N53)</f>
        <v/>
      </c>
      <c r="M16" s="523"/>
    </row>
    <row r="17" spans="1:13" s="518" customFormat="1" ht="24" x14ac:dyDescent="0.2">
      <c r="A17" s="521" t="str">
        <f>CONCATENATE(LEFT(Basisdaten!B53,19)," - ",LEFT(Basisdaten!D54,20))</f>
        <v>Operative Expertise - RZE aufgrund von PCa</v>
      </c>
      <c r="B17" s="524"/>
      <c r="C17" s="524"/>
      <c r="D17" s="524"/>
      <c r="E17" s="524"/>
      <c r="F17" s="524"/>
      <c r="G17" s="524"/>
      <c r="H17" s="524"/>
      <c r="I17" s="524"/>
      <c r="J17" s="524"/>
      <c r="K17" s="524"/>
      <c r="L17" s="522" t="str">
        <f>IF(Basisdaten!N54="","",Basisdaten!N54)</f>
        <v/>
      </c>
      <c r="M17" s="524"/>
    </row>
    <row r="18" spans="1:13" s="518" customFormat="1" ht="24" x14ac:dyDescent="0.2">
      <c r="A18" s="521" t="str">
        <f>CONCATENATE(LEFT(Basisdaten!B53,19)," - ",LEFT(Basisdaten!D55,22))</f>
        <v>Operative Expertise - Zufallsbefund nach RZE</v>
      </c>
      <c r="B18" s="524"/>
      <c r="C18" s="524"/>
      <c r="D18" s="524"/>
      <c r="E18" s="524"/>
      <c r="F18" s="524"/>
      <c r="G18" s="524"/>
      <c r="H18" s="524"/>
      <c r="I18" s="524"/>
      <c r="J18" s="524"/>
      <c r="K18" s="524"/>
      <c r="L18" s="522" t="str">
        <f>IF(Basisdaten!N55="","",Basisdaten!N55)</f>
        <v/>
      </c>
      <c r="M18" s="524"/>
    </row>
    <row r="19" spans="1:13" x14ac:dyDescent="0.2">
      <c r="A19" s="521" t="str">
        <f>LEFT(Basisdaten!B53,19)</f>
        <v>Operative Expertise</v>
      </c>
      <c r="B19" s="523"/>
      <c r="C19" s="523"/>
      <c r="D19" s="523"/>
      <c r="E19" s="523"/>
      <c r="F19" s="523"/>
      <c r="G19" s="523"/>
      <c r="H19" s="523"/>
      <c r="I19" s="523"/>
      <c r="J19" s="523"/>
      <c r="K19" s="523"/>
      <c r="L19" s="523"/>
      <c r="M19" s="522" t="str">
        <f>IF(Basisdaten!O53="","",Basisdaten!O53)</f>
        <v/>
      </c>
    </row>
  </sheetData>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D6"/>
  <sheetViews>
    <sheetView workbookViewId="0">
      <selection activeCell="B3" sqref="B3"/>
    </sheetView>
  </sheetViews>
  <sheetFormatPr baseColWidth="10" defaultColWidth="11.42578125" defaultRowHeight="15" x14ac:dyDescent="0.25"/>
  <cols>
    <col min="1" max="1" width="32.28515625" customWidth="1"/>
    <col min="2" max="2" width="38.42578125" customWidth="1"/>
    <col min="3" max="3" width="39.140625" customWidth="1"/>
    <col min="4" max="4" width="26.42578125" customWidth="1"/>
    <col min="5" max="5" width="46.7109375" customWidth="1"/>
    <col min="6" max="6" width="38.2851562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4" s="220" customFormat="1" x14ac:dyDescent="0.25">
      <c r="A1" s="204" t="s">
        <v>478</v>
      </c>
      <c r="B1" s="229" t="str">
        <f>IF(Basisdaten!C12=0,"",Basisdaten!C12)</f>
        <v/>
      </c>
    </row>
    <row r="2" spans="1:4" s="220" customFormat="1" x14ac:dyDescent="0.25">
      <c r="A2" s="204" t="s">
        <v>82</v>
      </c>
      <c r="B2" s="248" t="str">
        <f>IF(Basisdaten!M12=0,"",Basisdaten!M12)</f>
        <v/>
      </c>
    </row>
    <row r="3" spans="1:4" s="220" customFormat="1" x14ac:dyDescent="0.25">
      <c r="A3" s="204" t="s">
        <v>599</v>
      </c>
      <c r="B3" s="248" t="str">
        <f>IF(Basisdaten!M14=0,"",Basisdaten!M14)</f>
        <v/>
      </c>
    </row>
    <row r="4" spans="1:4" s="220" customFormat="1" x14ac:dyDescent="0.25"/>
    <row r="5" spans="1:4" x14ac:dyDescent="0.25">
      <c r="A5" s="222" t="s">
        <v>19</v>
      </c>
      <c r="B5" s="222" t="s">
        <v>24</v>
      </c>
      <c r="C5" s="223" t="s">
        <v>706</v>
      </c>
      <c r="D5" s="223" t="s">
        <v>705</v>
      </c>
    </row>
    <row r="6" spans="1:4" ht="38.25" customHeight="1" x14ac:dyDescent="0.25">
      <c r="A6" s="224" t="str">
        <f>IF(Basisdaten!B22=0,"",Basisdaten!B22)</f>
        <v/>
      </c>
      <c r="B6" s="224" t="str">
        <f>IF(Basisdaten!B25=0,"",Basisdaten!B25)</f>
        <v/>
      </c>
      <c r="C6" s="225" t="str">
        <f>IF(Basisdaten!H22=0,"",Basisdaten!H22)</f>
        <v/>
      </c>
      <c r="D6" s="225" t="str">
        <f>IF(Basisdaten!H25=0,"",Basisdaten!H25)</f>
        <v>Nein</v>
      </c>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41"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AA448"/>
  <sheetViews>
    <sheetView zoomScale="90" zoomScaleNormal="90" workbookViewId="0">
      <selection activeCell="A107" sqref="A107"/>
    </sheetView>
  </sheetViews>
  <sheetFormatPr baseColWidth="10" defaultColWidth="11.42578125" defaultRowHeight="15" x14ac:dyDescent="0.25"/>
  <cols>
    <col min="1" max="1" width="32" customWidth="1"/>
    <col min="2" max="2" width="70.85546875" customWidth="1"/>
    <col min="3" max="3" width="71.85546875" bestFit="1" customWidth="1"/>
    <col min="4" max="4" width="15.85546875" style="126" customWidth="1"/>
    <col min="5" max="5" width="37.42578125" style="126" customWidth="1"/>
    <col min="6" max="6" width="37" customWidth="1"/>
    <col min="7" max="7" width="36.28515625" customWidth="1"/>
    <col min="8" max="8" width="36.7109375" customWidth="1"/>
    <col min="9" max="9" width="37.85546875" customWidth="1"/>
    <col min="10" max="10" width="36.85546875" customWidth="1"/>
    <col min="11" max="11" width="36.7109375" customWidth="1"/>
    <col min="12" max="12" width="32.140625" customWidth="1"/>
    <col min="13" max="13" width="37.5703125" customWidth="1"/>
    <col min="14" max="15" width="36.85546875" customWidth="1"/>
    <col min="16" max="16" width="11.28515625" customWidth="1"/>
    <col min="17" max="17" width="37.28515625" customWidth="1"/>
    <col min="18" max="18" width="36.5703125" customWidth="1"/>
    <col min="19" max="19" width="18.7109375" customWidth="1"/>
    <col min="20" max="20" width="38.140625" customWidth="1"/>
    <col min="21" max="21" width="36" customWidth="1"/>
    <col min="22" max="22" width="17.85546875" customWidth="1"/>
    <col min="23" max="23" width="18.5703125" customWidth="1"/>
    <col min="24" max="24" width="17.28515625" customWidth="1"/>
    <col min="25" max="26" width="9.140625" customWidth="1"/>
    <col min="27" max="27" width="11.42578125" customWidth="1"/>
    <col min="28" max="31" width="9.140625" customWidth="1"/>
    <col min="32" max="32" width="13.5703125" customWidth="1"/>
    <col min="33" max="44" width="9.140625" customWidth="1"/>
    <col min="45" max="45" width="16.140625" customWidth="1"/>
    <col min="46" max="46" width="13.85546875" customWidth="1"/>
    <col min="47" max="47" width="9.140625" customWidth="1"/>
    <col min="48" max="48" width="15" customWidth="1"/>
    <col min="49" max="49" width="19.7109375" customWidth="1"/>
    <col min="50" max="50" width="15.7109375" customWidth="1"/>
    <col min="51" max="104" width="9.140625" customWidth="1"/>
    <col min="105" max="106" width="16.5703125" customWidth="1"/>
    <col min="107" max="107" width="15.5703125" customWidth="1"/>
    <col min="108" max="108" width="19" customWidth="1"/>
  </cols>
  <sheetData>
    <row r="1" spans="1:7" x14ac:dyDescent="0.25">
      <c r="B1" s="4"/>
      <c r="G1" s="5"/>
    </row>
    <row r="2" spans="1:7" x14ac:dyDescent="0.25">
      <c r="A2" s="112" t="s">
        <v>24</v>
      </c>
      <c r="B2" s="475" t="s">
        <v>79</v>
      </c>
      <c r="C2" s="669" t="s">
        <v>79</v>
      </c>
      <c r="D2" s="670"/>
      <c r="E2" s="127"/>
    </row>
    <row r="3" spans="1:7" x14ac:dyDescent="0.25">
      <c r="A3" s="476" t="s">
        <v>1089</v>
      </c>
      <c r="B3" s="475" t="s">
        <v>480</v>
      </c>
      <c r="C3" s="669" t="s">
        <v>480</v>
      </c>
      <c r="D3" s="671"/>
      <c r="E3" s="127"/>
    </row>
    <row r="4" spans="1:7" x14ac:dyDescent="0.25">
      <c r="A4" s="90"/>
      <c r="B4" s="475" t="s">
        <v>481</v>
      </c>
      <c r="C4" s="669" t="s">
        <v>481</v>
      </c>
      <c r="D4" s="671"/>
      <c r="E4" s="127"/>
    </row>
    <row r="5" spans="1:7" x14ac:dyDescent="0.25">
      <c r="A5" s="90"/>
      <c r="B5" s="475" t="s">
        <v>837</v>
      </c>
      <c r="C5" s="669" t="s">
        <v>837</v>
      </c>
      <c r="D5" s="671"/>
      <c r="E5" s="127"/>
    </row>
    <row r="6" spans="1:7" x14ac:dyDescent="0.25">
      <c r="A6" s="90"/>
      <c r="B6" s="475" t="s">
        <v>568</v>
      </c>
      <c r="C6" s="669" t="s">
        <v>482</v>
      </c>
      <c r="D6" s="671" t="s">
        <v>960</v>
      </c>
      <c r="E6" s="127"/>
    </row>
    <row r="7" spans="1:7" x14ac:dyDescent="0.25">
      <c r="A7" s="90"/>
      <c r="B7" s="475" t="s">
        <v>483</v>
      </c>
      <c r="C7" s="669" t="s">
        <v>568</v>
      </c>
      <c r="D7" s="671"/>
      <c r="E7" s="127"/>
    </row>
    <row r="8" spans="1:7" x14ac:dyDescent="0.25">
      <c r="A8" s="90"/>
      <c r="B8" s="475" t="s">
        <v>838</v>
      </c>
      <c r="C8" s="669" t="s">
        <v>483</v>
      </c>
      <c r="D8" s="671"/>
      <c r="E8" s="127"/>
    </row>
    <row r="9" spans="1:7" s="382" customFormat="1" x14ac:dyDescent="0.25">
      <c r="A9" s="90"/>
      <c r="B9" s="475" t="s">
        <v>839</v>
      </c>
      <c r="C9" s="669" t="s">
        <v>838</v>
      </c>
      <c r="D9" s="671"/>
      <c r="E9" s="127"/>
    </row>
    <row r="10" spans="1:7" s="382" customFormat="1" x14ac:dyDescent="0.25">
      <c r="A10" s="90"/>
      <c r="B10" s="475" t="s">
        <v>484</v>
      </c>
      <c r="C10" s="669" t="s">
        <v>839</v>
      </c>
      <c r="D10" s="671"/>
      <c r="E10" s="127"/>
    </row>
    <row r="11" spans="1:7" s="382" customFormat="1" x14ac:dyDescent="0.25">
      <c r="A11" s="90"/>
      <c r="B11" s="662" t="s">
        <v>868</v>
      </c>
      <c r="C11" s="669" t="s">
        <v>484</v>
      </c>
      <c r="D11" s="671"/>
      <c r="E11" s="127"/>
    </row>
    <row r="12" spans="1:7" x14ac:dyDescent="0.25">
      <c r="A12" s="90"/>
      <c r="B12" s="475" t="s">
        <v>840</v>
      </c>
      <c r="C12" s="662" t="s">
        <v>868</v>
      </c>
      <c r="D12" s="671" t="s">
        <v>869</v>
      </c>
      <c r="E12" s="127"/>
    </row>
    <row r="13" spans="1:7" x14ac:dyDescent="0.25">
      <c r="A13" s="90"/>
      <c r="B13" s="475" t="s">
        <v>485</v>
      </c>
      <c r="C13" s="669" t="s">
        <v>840</v>
      </c>
      <c r="D13" s="671"/>
      <c r="E13" s="127"/>
    </row>
    <row r="14" spans="1:7" x14ac:dyDescent="0.25">
      <c r="A14" s="90"/>
      <c r="B14" s="475" t="s">
        <v>569</v>
      </c>
      <c r="C14" s="669" t="s">
        <v>485</v>
      </c>
      <c r="D14" s="671"/>
      <c r="E14" s="127"/>
    </row>
    <row r="15" spans="1:7" s="382" customFormat="1" x14ac:dyDescent="0.25">
      <c r="A15" s="90"/>
      <c r="B15" s="475" t="s">
        <v>570</v>
      </c>
      <c r="C15" s="661" t="s">
        <v>845</v>
      </c>
      <c r="D15" s="671" t="s">
        <v>870</v>
      </c>
      <c r="E15" s="127"/>
    </row>
    <row r="16" spans="1:7" x14ac:dyDescent="0.25">
      <c r="A16" s="90"/>
      <c r="B16" s="475" t="s">
        <v>22</v>
      </c>
      <c r="C16" s="669" t="s">
        <v>569</v>
      </c>
      <c r="D16" s="671"/>
      <c r="E16" s="127"/>
    </row>
    <row r="17" spans="1:5" x14ac:dyDescent="0.25">
      <c r="A17" s="90"/>
      <c r="B17" s="475" t="s">
        <v>486</v>
      </c>
      <c r="C17" s="669" t="s">
        <v>570</v>
      </c>
      <c r="D17" s="671"/>
      <c r="E17" s="127"/>
    </row>
    <row r="18" spans="1:5" s="263" customFormat="1" x14ac:dyDescent="0.25">
      <c r="A18" s="90"/>
      <c r="B18" s="475" t="s">
        <v>538</v>
      </c>
      <c r="C18" s="669" t="s">
        <v>22</v>
      </c>
      <c r="D18" s="671"/>
      <c r="E18" s="127"/>
    </row>
    <row r="19" spans="1:5" x14ac:dyDescent="0.25">
      <c r="A19" s="90"/>
      <c r="B19" s="475" t="s">
        <v>487</v>
      </c>
      <c r="C19" s="669" t="s">
        <v>486</v>
      </c>
      <c r="D19" s="671"/>
      <c r="E19" s="127"/>
    </row>
    <row r="20" spans="1:5" x14ac:dyDescent="0.25">
      <c r="A20" s="90"/>
      <c r="B20" s="475" t="s">
        <v>549</v>
      </c>
      <c r="C20" s="669" t="s">
        <v>538</v>
      </c>
      <c r="D20" s="671"/>
      <c r="E20" s="127"/>
    </row>
    <row r="21" spans="1:5" s="220" customFormat="1" x14ac:dyDescent="0.25">
      <c r="A21" s="90"/>
      <c r="B21" s="513" t="s">
        <v>25</v>
      </c>
      <c r="C21" s="669" t="s">
        <v>487</v>
      </c>
      <c r="D21" s="672"/>
      <c r="E21" s="127"/>
    </row>
    <row r="22" spans="1:5" s="220" customFormat="1" x14ac:dyDescent="0.25">
      <c r="A22" s="90"/>
      <c r="B22" s="475" t="s">
        <v>631</v>
      </c>
      <c r="C22" s="669" t="s">
        <v>549</v>
      </c>
      <c r="D22" s="671"/>
      <c r="E22" s="127"/>
    </row>
    <row r="23" spans="1:5" s="382" customFormat="1" x14ac:dyDescent="0.25">
      <c r="A23" s="90"/>
      <c r="B23" s="475" t="s">
        <v>80</v>
      </c>
      <c r="C23" s="669" t="s">
        <v>25</v>
      </c>
      <c r="D23" s="671"/>
      <c r="E23" s="127"/>
    </row>
    <row r="24" spans="1:5" s="220" customFormat="1" x14ac:dyDescent="0.25">
      <c r="A24" s="90"/>
      <c r="B24" s="475" t="s">
        <v>793</v>
      </c>
      <c r="C24" s="673" t="s">
        <v>488</v>
      </c>
      <c r="D24" s="671" t="s">
        <v>870</v>
      </c>
      <c r="E24" s="127"/>
    </row>
    <row r="25" spans="1:5" s="220" customFormat="1" x14ac:dyDescent="0.25">
      <c r="A25" s="90"/>
      <c r="B25" s="662" t="s">
        <v>841</v>
      </c>
      <c r="C25" s="661" t="s">
        <v>633</v>
      </c>
      <c r="D25" s="671" t="s">
        <v>870</v>
      </c>
      <c r="E25" s="127"/>
    </row>
    <row r="26" spans="1:5" s="220" customFormat="1" x14ac:dyDescent="0.25">
      <c r="A26" s="90"/>
      <c r="B26" s="475" t="s">
        <v>489</v>
      </c>
      <c r="C26" s="669" t="s">
        <v>631</v>
      </c>
      <c r="D26" s="671"/>
      <c r="E26" s="127"/>
    </row>
    <row r="27" spans="1:5" s="220" customFormat="1" x14ac:dyDescent="0.25">
      <c r="A27" s="90"/>
      <c r="B27" s="475" t="s">
        <v>490</v>
      </c>
      <c r="C27" s="669" t="s">
        <v>80</v>
      </c>
      <c r="D27" s="671"/>
      <c r="E27" s="127"/>
    </row>
    <row r="28" spans="1:5" s="220" customFormat="1" x14ac:dyDescent="0.25">
      <c r="A28" s="90"/>
      <c r="B28" s="475" t="s">
        <v>166</v>
      </c>
      <c r="C28" s="660" t="s">
        <v>632</v>
      </c>
      <c r="D28" s="671" t="s">
        <v>871</v>
      </c>
      <c r="E28" s="127"/>
    </row>
    <row r="29" spans="1:5" s="220" customFormat="1" x14ac:dyDescent="0.25">
      <c r="A29" s="90"/>
      <c r="B29" s="475" t="s">
        <v>842</v>
      </c>
      <c r="C29" s="669" t="s">
        <v>793</v>
      </c>
      <c r="D29" s="671"/>
      <c r="E29" s="127"/>
    </row>
    <row r="30" spans="1:5" s="220" customFormat="1" x14ac:dyDescent="0.25">
      <c r="A30" s="90"/>
      <c r="B30" s="475" t="s">
        <v>573</v>
      </c>
      <c r="C30" s="662" t="s">
        <v>841</v>
      </c>
      <c r="D30" s="671" t="s">
        <v>869</v>
      </c>
      <c r="E30" s="127"/>
    </row>
    <row r="31" spans="1:5" s="220" customFormat="1" x14ac:dyDescent="0.25">
      <c r="A31" s="90"/>
      <c r="B31" s="662" t="s">
        <v>843</v>
      </c>
      <c r="C31" s="669" t="s">
        <v>489</v>
      </c>
      <c r="D31" s="671"/>
      <c r="E31" s="127"/>
    </row>
    <row r="32" spans="1:5" s="220" customFormat="1" x14ac:dyDescent="0.25">
      <c r="A32" s="90"/>
      <c r="B32" s="475" t="s">
        <v>491</v>
      </c>
      <c r="C32" s="661" t="s">
        <v>571</v>
      </c>
      <c r="D32" s="671" t="s">
        <v>870</v>
      </c>
      <c r="E32" s="127"/>
    </row>
    <row r="33" spans="1:5" s="220" customFormat="1" x14ac:dyDescent="0.25">
      <c r="A33" s="90"/>
      <c r="B33" s="475" t="s">
        <v>575</v>
      </c>
      <c r="C33" s="669" t="s">
        <v>490</v>
      </c>
      <c r="D33" s="671"/>
      <c r="E33" s="127"/>
    </row>
    <row r="34" spans="1:5" s="220" customFormat="1" x14ac:dyDescent="0.25">
      <c r="A34" s="90"/>
      <c r="B34" s="475" t="s">
        <v>492</v>
      </c>
      <c r="C34" s="669" t="s">
        <v>166</v>
      </c>
      <c r="D34" s="671"/>
      <c r="E34" s="127"/>
    </row>
    <row r="35" spans="1:5" s="220" customFormat="1" x14ac:dyDescent="0.25">
      <c r="A35" s="90"/>
      <c r="B35" s="475" t="s">
        <v>493</v>
      </c>
      <c r="C35" s="669" t="s">
        <v>842</v>
      </c>
      <c r="D35" s="671"/>
      <c r="E35" s="127"/>
    </row>
    <row r="36" spans="1:5" s="220" customFormat="1" x14ac:dyDescent="0.25">
      <c r="A36" s="90"/>
      <c r="B36" s="475" t="s">
        <v>494</v>
      </c>
      <c r="C36" s="669" t="s">
        <v>573</v>
      </c>
      <c r="D36" s="671"/>
      <c r="E36" s="127"/>
    </row>
    <row r="37" spans="1:5" s="220" customFormat="1" x14ac:dyDescent="0.25">
      <c r="A37" s="90"/>
      <c r="B37" s="475" t="s">
        <v>165</v>
      </c>
      <c r="C37" s="662" t="s">
        <v>843</v>
      </c>
      <c r="D37" s="671" t="s">
        <v>869</v>
      </c>
      <c r="E37" s="127"/>
    </row>
    <row r="38" spans="1:5" s="220" customFormat="1" x14ac:dyDescent="0.25">
      <c r="A38" s="90"/>
      <c r="B38" s="475" t="s">
        <v>574</v>
      </c>
      <c r="C38" s="669" t="s">
        <v>491</v>
      </c>
      <c r="D38" s="671"/>
      <c r="E38" s="127"/>
    </row>
    <row r="39" spans="1:5" s="220" customFormat="1" x14ac:dyDescent="0.25">
      <c r="A39" s="90"/>
      <c r="B39" s="475" t="s">
        <v>495</v>
      </c>
      <c r="C39" s="669" t="s">
        <v>575</v>
      </c>
      <c r="D39" s="671"/>
      <c r="E39" s="127"/>
    </row>
    <row r="40" spans="1:5" s="220" customFormat="1" x14ac:dyDescent="0.25">
      <c r="A40" s="90"/>
      <c r="B40" s="475" t="s">
        <v>572</v>
      </c>
      <c r="C40" s="669" t="s">
        <v>492</v>
      </c>
      <c r="D40" s="671"/>
      <c r="E40" s="127"/>
    </row>
    <row r="41" spans="1:5" s="220" customFormat="1" x14ac:dyDescent="0.25">
      <c r="A41" s="90"/>
      <c r="B41" s="662" t="s">
        <v>634</v>
      </c>
      <c r="C41" s="669" t="s">
        <v>493</v>
      </c>
      <c r="D41" s="671"/>
      <c r="E41" s="127"/>
    </row>
    <row r="42" spans="1:5" s="220" customFormat="1" x14ac:dyDescent="0.25">
      <c r="A42" s="90"/>
      <c r="B42" s="662" t="s">
        <v>546</v>
      </c>
      <c r="C42" s="669" t="s">
        <v>494</v>
      </c>
      <c r="D42" s="671"/>
      <c r="E42" s="127"/>
    </row>
    <row r="43" spans="1:5" s="220" customFormat="1" x14ac:dyDescent="0.25">
      <c r="A43" s="90"/>
      <c r="B43" s="475" t="s">
        <v>547</v>
      </c>
      <c r="C43" s="669" t="s">
        <v>165</v>
      </c>
      <c r="D43" s="671"/>
      <c r="E43" s="127"/>
    </row>
    <row r="44" spans="1:5" s="220" customFormat="1" x14ac:dyDescent="0.25">
      <c r="A44" s="90"/>
      <c r="B44" s="513" t="s">
        <v>577</v>
      </c>
      <c r="C44" s="669" t="s">
        <v>574</v>
      </c>
      <c r="D44" s="671"/>
      <c r="E44" s="127"/>
    </row>
    <row r="45" spans="1:5" s="382" customFormat="1" x14ac:dyDescent="0.25">
      <c r="A45" s="90"/>
      <c r="B45" s="662" t="s">
        <v>874</v>
      </c>
      <c r="C45" s="669" t="s">
        <v>495</v>
      </c>
      <c r="D45" s="671"/>
      <c r="E45" s="127"/>
    </row>
    <row r="46" spans="1:5" s="382" customFormat="1" x14ac:dyDescent="0.25">
      <c r="A46" s="90"/>
      <c r="B46" s="475" t="s">
        <v>496</v>
      </c>
      <c r="C46" s="669" t="s">
        <v>572</v>
      </c>
      <c r="D46" s="671"/>
      <c r="E46" s="127"/>
    </row>
    <row r="47" spans="1:5" s="382" customFormat="1" x14ac:dyDescent="0.25">
      <c r="A47" s="90"/>
      <c r="B47" s="475" t="s">
        <v>579</v>
      </c>
      <c r="C47" s="662" t="s">
        <v>634</v>
      </c>
      <c r="D47" s="671" t="s">
        <v>869</v>
      </c>
      <c r="E47" s="127"/>
    </row>
    <row r="48" spans="1:5" s="382" customFormat="1" x14ac:dyDescent="0.25">
      <c r="A48" s="90"/>
      <c r="B48" s="475" t="s">
        <v>844</v>
      </c>
      <c r="C48" s="662" t="s">
        <v>546</v>
      </c>
      <c r="D48" s="671" t="s">
        <v>869</v>
      </c>
      <c r="E48" s="127"/>
    </row>
    <row r="49" spans="1:5" s="382" customFormat="1" x14ac:dyDescent="0.25">
      <c r="A49" s="90"/>
      <c r="B49" s="475" t="s">
        <v>640</v>
      </c>
      <c r="C49" s="669" t="s">
        <v>547</v>
      </c>
      <c r="D49" s="674"/>
      <c r="E49" s="127"/>
    </row>
    <row r="50" spans="1:5" s="382" customFormat="1" x14ac:dyDescent="0.25">
      <c r="A50" s="90"/>
      <c r="B50" s="662" t="s">
        <v>548</v>
      </c>
      <c r="C50" s="661" t="s">
        <v>576</v>
      </c>
      <c r="D50" s="671" t="s">
        <v>870</v>
      </c>
      <c r="E50" s="127"/>
    </row>
    <row r="51" spans="1:5" s="382" customFormat="1" x14ac:dyDescent="0.25">
      <c r="A51" s="90"/>
      <c r="B51" s="662" t="s">
        <v>707</v>
      </c>
      <c r="C51" s="675" t="s">
        <v>872</v>
      </c>
      <c r="D51" s="676" t="s">
        <v>870</v>
      </c>
      <c r="E51" s="127"/>
    </row>
    <row r="52" spans="1:5" x14ac:dyDescent="0.25">
      <c r="A52" s="90"/>
      <c r="B52" s="475" t="s">
        <v>369</v>
      </c>
      <c r="C52" s="669" t="s">
        <v>577</v>
      </c>
      <c r="D52" s="671"/>
      <c r="E52" s="127"/>
    </row>
    <row r="53" spans="1:5" x14ac:dyDescent="0.25">
      <c r="A53" s="90"/>
      <c r="B53" s="475" t="s">
        <v>370</v>
      </c>
      <c r="C53" s="661" t="s">
        <v>578</v>
      </c>
      <c r="D53" s="671" t="s">
        <v>873</v>
      </c>
      <c r="E53" s="128"/>
    </row>
    <row r="54" spans="1:5" s="485" customFormat="1" x14ac:dyDescent="0.25">
      <c r="A54" s="90"/>
      <c r="C54" s="662" t="s">
        <v>874</v>
      </c>
      <c r="D54" s="671" t="s">
        <v>869</v>
      </c>
      <c r="E54" s="128"/>
    </row>
    <row r="55" spans="1:5" s="485" customFormat="1" x14ac:dyDescent="0.25">
      <c r="A55" s="90"/>
      <c r="C55" s="680" t="s">
        <v>496</v>
      </c>
      <c r="D55" s="671"/>
      <c r="E55" s="128"/>
    </row>
    <row r="56" spans="1:5" s="485" customFormat="1" x14ac:dyDescent="0.25">
      <c r="A56" s="90"/>
      <c r="C56" s="677" t="s">
        <v>579</v>
      </c>
      <c r="D56" s="678"/>
      <c r="E56" s="128"/>
    </row>
    <row r="57" spans="1:5" s="485" customFormat="1" x14ac:dyDescent="0.25">
      <c r="A57" s="90"/>
      <c r="B57" s="659"/>
      <c r="C57" s="677" t="s">
        <v>844</v>
      </c>
      <c r="D57" s="678"/>
      <c r="E57" s="128"/>
    </row>
    <row r="58" spans="1:5" s="485" customFormat="1" x14ac:dyDescent="0.25">
      <c r="A58" s="90"/>
      <c r="B58" s="659"/>
      <c r="C58" s="677" t="s">
        <v>640</v>
      </c>
      <c r="D58" s="678"/>
      <c r="E58" s="128"/>
    </row>
    <row r="59" spans="1:5" s="485" customFormat="1" x14ac:dyDescent="0.25">
      <c r="A59" s="90"/>
      <c r="B59" s="659"/>
      <c r="C59" s="679" t="s">
        <v>548</v>
      </c>
      <c r="D59" s="678" t="s">
        <v>869</v>
      </c>
      <c r="E59" s="128"/>
    </row>
    <row r="60" spans="1:5" s="485" customFormat="1" x14ac:dyDescent="0.25">
      <c r="A60" s="90"/>
      <c r="B60" s="659"/>
      <c r="C60" s="679" t="s">
        <v>707</v>
      </c>
      <c r="D60" s="678" t="s">
        <v>869</v>
      </c>
      <c r="E60" s="128"/>
    </row>
    <row r="61" spans="1:5" s="485" customFormat="1" x14ac:dyDescent="0.25">
      <c r="A61" s="90"/>
      <c r="B61" s="659"/>
      <c r="C61" s="673" t="s">
        <v>497</v>
      </c>
      <c r="D61" s="671" t="s">
        <v>870</v>
      </c>
      <c r="E61" s="128"/>
    </row>
    <row r="62" spans="1:5" s="485" customFormat="1" x14ac:dyDescent="0.25">
      <c r="A62" s="90"/>
      <c r="B62" s="659"/>
      <c r="C62" s="677" t="s">
        <v>369</v>
      </c>
      <c r="D62" s="678"/>
      <c r="E62" s="128"/>
    </row>
    <row r="63" spans="1:5" s="485" customFormat="1" x14ac:dyDescent="0.25">
      <c r="A63" s="90"/>
      <c r="B63" s="659"/>
      <c r="C63" s="677" t="s">
        <v>370</v>
      </c>
      <c r="D63" s="678"/>
      <c r="E63" s="128"/>
    </row>
    <row r="64" spans="1:5" s="485" customFormat="1" x14ac:dyDescent="0.25">
      <c r="A64" s="90"/>
      <c r="B64" s="659"/>
      <c r="E64" s="128"/>
    </row>
    <row r="65" spans="1:23" s="663" customFormat="1" x14ac:dyDescent="0.25">
      <c r="A65" s="90"/>
      <c r="B65" s="659"/>
      <c r="E65" s="128"/>
    </row>
    <row r="66" spans="1:23" s="663" customFormat="1" x14ac:dyDescent="0.25">
      <c r="A66" s="90"/>
      <c r="B66" s="659"/>
      <c r="C66" s="659"/>
      <c r="E66" s="128"/>
    </row>
    <row r="67" spans="1:23" s="208" customFormat="1" x14ac:dyDescent="0.25">
      <c r="A67" s="90"/>
      <c r="B67" s="90"/>
      <c r="D67" s="209"/>
      <c r="E67" s="128"/>
    </row>
    <row r="68" spans="1:23" s="195" customFormat="1" x14ac:dyDescent="0.25">
      <c r="A68" s="363" t="s">
        <v>45</v>
      </c>
      <c r="B68" s="207" t="s">
        <v>46</v>
      </c>
      <c r="C68" s="207" t="s">
        <v>47</v>
      </c>
      <c r="D68" s="364" t="s">
        <v>48</v>
      </c>
      <c r="E68" s="362" t="s">
        <v>49</v>
      </c>
      <c r="F68" s="365" t="s">
        <v>50</v>
      </c>
      <c r="G68" s="365" t="s">
        <v>51</v>
      </c>
      <c r="H68" s="362" t="s">
        <v>52</v>
      </c>
      <c r="I68" s="362" t="s">
        <v>53</v>
      </c>
      <c r="J68" s="362" t="s">
        <v>54</v>
      </c>
      <c r="K68" s="362" t="s">
        <v>55</v>
      </c>
      <c r="L68" s="362" t="s">
        <v>56</v>
      </c>
      <c r="M68" s="362" t="s">
        <v>57</v>
      </c>
      <c r="N68" s="362" t="s">
        <v>58</v>
      </c>
      <c r="O68" s="362" t="s">
        <v>59</v>
      </c>
      <c r="P68" s="362" t="s">
        <v>21</v>
      </c>
      <c r="Q68" s="362" t="s">
        <v>60</v>
      </c>
      <c r="R68" s="362" t="s">
        <v>535</v>
      </c>
      <c r="S68" s="362" t="s">
        <v>77</v>
      </c>
      <c r="T68" s="362"/>
      <c r="U68" s="362"/>
      <c r="V68" s="365"/>
      <c r="W68" s="362"/>
    </row>
    <row r="69" spans="1:23" s="195" customFormat="1" x14ac:dyDescent="0.25">
      <c r="A69" s="367" t="s">
        <v>372</v>
      </c>
      <c r="B69" s="368" t="s">
        <v>373</v>
      </c>
      <c r="C69" s="368" t="s">
        <v>374</v>
      </c>
      <c r="D69" s="369" t="s">
        <v>375</v>
      </c>
      <c r="E69" s="370" t="s">
        <v>376</v>
      </c>
      <c r="F69" s="371" t="s">
        <v>377</v>
      </c>
      <c r="G69" s="371" t="s">
        <v>378</v>
      </c>
      <c r="H69" s="370" t="s">
        <v>379</v>
      </c>
      <c r="I69" s="370" t="s">
        <v>380</v>
      </c>
      <c r="J69" s="370" t="s">
        <v>381</v>
      </c>
      <c r="K69" s="370" t="s">
        <v>382</v>
      </c>
      <c r="L69" s="370" t="s">
        <v>383</v>
      </c>
      <c r="M69" s="370" t="s">
        <v>384</v>
      </c>
      <c r="N69" s="370" t="s">
        <v>385</v>
      </c>
      <c r="O69" s="370" t="s">
        <v>386</v>
      </c>
      <c r="P69" s="370" t="s">
        <v>387</v>
      </c>
      <c r="Q69" s="477" t="s">
        <v>611</v>
      </c>
      <c r="R69" s="370" t="s">
        <v>612</v>
      </c>
      <c r="S69" s="484" t="s">
        <v>630</v>
      </c>
      <c r="T69" s="362"/>
      <c r="U69" s="365"/>
      <c r="V69" s="362"/>
      <c r="W69" s="365"/>
    </row>
    <row r="70" spans="1:23" s="195" customFormat="1" x14ac:dyDescent="0.25">
      <c r="A70" s="367" t="s">
        <v>26</v>
      </c>
      <c r="B70" s="368" t="s">
        <v>33</v>
      </c>
      <c r="C70" s="368" t="s">
        <v>375</v>
      </c>
      <c r="D70" s="369" t="s">
        <v>388</v>
      </c>
      <c r="E70" s="370" t="s">
        <v>389</v>
      </c>
      <c r="F70" s="371" t="s">
        <v>389</v>
      </c>
      <c r="G70" s="371" t="s">
        <v>390</v>
      </c>
      <c r="H70" s="370" t="s">
        <v>391</v>
      </c>
      <c r="I70" s="370" t="s">
        <v>28</v>
      </c>
      <c r="J70" s="370" t="s">
        <v>392</v>
      </c>
      <c r="K70" s="370" t="s">
        <v>393</v>
      </c>
      <c r="L70" s="370" t="s">
        <v>394</v>
      </c>
      <c r="M70" s="370" t="s">
        <v>395</v>
      </c>
      <c r="N70" s="370" t="s">
        <v>36</v>
      </c>
      <c r="O70" s="370" t="s">
        <v>396</v>
      </c>
      <c r="P70" s="370" t="s">
        <v>23</v>
      </c>
      <c r="Q70" s="370" t="s">
        <v>369</v>
      </c>
      <c r="R70" s="370" t="s">
        <v>369</v>
      </c>
      <c r="S70" s="370" t="s">
        <v>369</v>
      </c>
      <c r="T70" s="362"/>
      <c r="U70" s="366"/>
      <c r="V70" s="362"/>
      <c r="W70" s="366"/>
    </row>
    <row r="71" spans="1:23" s="195" customFormat="1" x14ac:dyDescent="0.25">
      <c r="A71" s="367" t="s">
        <v>27</v>
      </c>
      <c r="B71" s="368" t="s">
        <v>34</v>
      </c>
      <c r="C71" s="368" t="s">
        <v>397</v>
      </c>
      <c r="D71" s="372" t="s">
        <v>398</v>
      </c>
      <c r="E71" s="370" t="s">
        <v>369</v>
      </c>
      <c r="F71" s="371" t="s">
        <v>369</v>
      </c>
      <c r="G71" s="371" t="s">
        <v>399</v>
      </c>
      <c r="H71" s="370" t="s">
        <v>400</v>
      </c>
      <c r="I71" s="370" t="s">
        <v>401</v>
      </c>
      <c r="J71" s="370" t="s">
        <v>402</v>
      </c>
      <c r="K71" s="370" t="s">
        <v>43</v>
      </c>
      <c r="L71" s="370" t="s">
        <v>389</v>
      </c>
      <c r="M71" s="370" t="s">
        <v>38</v>
      </c>
      <c r="N71" s="370" t="s">
        <v>39</v>
      </c>
      <c r="O71" s="370" t="s">
        <v>403</v>
      </c>
      <c r="P71" s="370" t="s">
        <v>35</v>
      </c>
      <c r="Q71" s="370"/>
      <c r="R71" s="370"/>
      <c r="S71" s="370"/>
      <c r="T71" s="362"/>
      <c r="U71" s="366"/>
      <c r="V71" s="366"/>
      <c r="W71" s="366"/>
    </row>
    <row r="72" spans="1:23" s="195" customFormat="1" x14ac:dyDescent="0.25">
      <c r="A72" s="367" t="s">
        <v>404</v>
      </c>
      <c r="B72" s="368" t="s">
        <v>41</v>
      </c>
      <c r="C72" s="368" t="s">
        <v>405</v>
      </c>
      <c r="D72" s="372" t="s">
        <v>389</v>
      </c>
      <c r="E72" s="370" t="s">
        <v>370</v>
      </c>
      <c r="F72" s="371" t="s">
        <v>370</v>
      </c>
      <c r="G72" s="371" t="s">
        <v>406</v>
      </c>
      <c r="H72" s="370" t="s">
        <v>407</v>
      </c>
      <c r="I72" s="371" t="s">
        <v>408</v>
      </c>
      <c r="J72" s="371" t="s">
        <v>409</v>
      </c>
      <c r="K72" s="370" t="s">
        <v>389</v>
      </c>
      <c r="L72" s="370" t="s">
        <v>369</v>
      </c>
      <c r="M72" s="370" t="s">
        <v>500</v>
      </c>
      <c r="N72" s="370" t="s">
        <v>398</v>
      </c>
      <c r="O72" s="370" t="s">
        <v>389</v>
      </c>
      <c r="P72" s="370" t="s">
        <v>37</v>
      </c>
      <c r="Q72" s="370"/>
      <c r="R72" s="370"/>
      <c r="S72" s="370"/>
      <c r="T72" s="362"/>
      <c r="U72" s="366"/>
      <c r="V72" s="366"/>
      <c r="W72" s="366"/>
    </row>
    <row r="73" spans="1:23" s="195" customFormat="1" x14ac:dyDescent="0.25">
      <c r="A73" s="367" t="s">
        <v>411</v>
      </c>
      <c r="B73" s="368" t="s">
        <v>412</v>
      </c>
      <c r="C73" s="368" t="s">
        <v>413</v>
      </c>
      <c r="D73" s="372" t="s">
        <v>369</v>
      </c>
      <c r="E73" s="370"/>
      <c r="F73" s="371"/>
      <c r="G73" s="371" t="s">
        <v>40</v>
      </c>
      <c r="H73" s="370" t="s">
        <v>398</v>
      </c>
      <c r="I73" s="371" t="s">
        <v>414</v>
      </c>
      <c r="J73" s="371" t="s">
        <v>415</v>
      </c>
      <c r="K73" s="370" t="s">
        <v>369</v>
      </c>
      <c r="L73" s="370" t="s">
        <v>370</v>
      </c>
      <c r="M73" s="370" t="s">
        <v>76</v>
      </c>
      <c r="N73" s="370" t="s">
        <v>389</v>
      </c>
      <c r="O73" s="370" t="s">
        <v>369</v>
      </c>
      <c r="P73" s="371" t="s">
        <v>416</v>
      </c>
      <c r="Q73" s="370"/>
      <c r="R73" s="370"/>
      <c r="S73" s="370"/>
      <c r="T73" s="362"/>
      <c r="U73" s="366"/>
      <c r="V73" s="366"/>
      <c r="W73" s="366"/>
    </row>
    <row r="74" spans="1:23" s="195" customFormat="1" x14ac:dyDescent="0.25">
      <c r="A74" s="367" t="s">
        <v>417</v>
      </c>
      <c r="B74" s="368" t="s">
        <v>42</v>
      </c>
      <c r="C74" s="368" t="s">
        <v>418</v>
      </c>
      <c r="D74" s="372" t="s">
        <v>370</v>
      </c>
      <c r="E74" s="370"/>
      <c r="F74" s="371"/>
      <c r="G74" s="370" t="s">
        <v>389</v>
      </c>
      <c r="H74" s="371" t="s">
        <v>389</v>
      </c>
      <c r="I74" s="371" t="s">
        <v>501</v>
      </c>
      <c r="J74" s="371" t="s">
        <v>419</v>
      </c>
      <c r="K74" s="370" t="s">
        <v>370</v>
      </c>
      <c r="L74" s="370"/>
      <c r="M74" s="370" t="s">
        <v>398</v>
      </c>
      <c r="N74" s="370" t="s">
        <v>369</v>
      </c>
      <c r="O74" s="371" t="s">
        <v>370</v>
      </c>
      <c r="P74" s="373" t="s">
        <v>410</v>
      </c>
      <c r="Q74" s="370"/>
      <c r="R74" s="370"/>
      <c r="S74" s="371"/>
      <c r="T74" s="362"/>
      <c r="U74" s="366"/>
      <c r="V74" s="366"/>
      <c r="W74" s="366"/>
    </row>
    <row r="75" spans="1:23" s="195" customFormat="1" x14ac:dyDescent="0.25">
      <c r="A75" s="367" t="s">
        <v>420</v>
      </c>
      <c r="B75" s="368" t="s">
        <v>421</v>
      </c>
      <c r="C75" s="368" t="s">
        <v>398</v>
      </c>
      <c r="D75" s="372"/>
      <c r="E75" s="370"/>
      <c r="F75" s="370"/>
      <c r="G75" s="370" t="s">
        <v>369</v>
      </c>
      <c r="H75" s="371" t="s">
        <v>369</v>
      </c>
      <c r="I75" s="371" t="s">
        <v>389</v>
      </c>
      <c r="J75" s="371" t="s">
        <v>389</v>
      </c>
      <c r="K75" s="370"/>
      <c r="L75" s="370"/>
      <c r="M75" s="370" t="s">
        <v>389</v>
      </c>
      <c r="N75" s="370" t="s">
        <v>370</v>
      </c>
      <c r="O75" s="373"/>
      <c r="P75" s="373" t="s">
        <v>398</v>
      </c>
      <c r="Q75" s="370"/>
      <c r="R75" s="370"/>
      <c r="S75" s="373"/>
      <c r="T75" s="362"/>
      <c r="U75" s="366"/>
      <c r="V75" s="366"/>
      <c r="W75" s="366"/>
    </row>
    <row r="76" spans="1:23" s="195" customFormat="1" x14ac:dyDescent="0.25">
      <c r="A76" s="367" t="s">
        <v>29</v>
      </c>
      <c r="B76" s="368" t="s">
        <v>389</v>
      </c>
      <c r="C76" s="368" t="s">
        <v>389</v>
      </c>
      <c r="D76" s="372"/>
      <c r="E76" s="370"/>
      <c r="F76" s="370"/>
      <c r="G76" s="370" t="s">
        <v>370</v>
      </c>
      <c r="H76" s="371" t="s">
        <v>370</v>
      </c>
      <c r="I76" s="371" t="s">
        <v>369</v>
      </c>
      <c r="J76" s="371" t="s">
        <v>369</v>
      </c>
      <c r="K76" s="371"/>
      <c r="L76" s="371"/>
      <c r="M76" s="370" t="s">
        <v>369</v>
      </c>
      <c r="N76" s="370"/>
      <c r="O76" s="373"/>
      <c r="P76" s="373" t="s">
        <v>389</v>
      </c>
      <c r="Q76" s="370"/>
      <c r="R76" s="371"/>
      <c r="S76" s="370"/>
      <c r="T76" s="362"/>
      <c r="U76" s="366"/>
      <c r="V76" s="366"/>
      <c r="W76" s="366"/>
    </row>
    <row r="77" spans="1:23" s="195" customFormat="1" x14ac:dyDescent="0.25">
      <c r="A77" s="367" t="s">
        <v>422</v>
      </c>
      <c r="B77" s="368" t="s">
        <v>369</v>
      </c>
      <c r="C77" s="368" t="s">
        <v>369</v>
      </c>
      <c r="D77" s="372"/>
      <c r="E77" s="370"/>
      <c r="F77" s="370"/>
      <c r="G77" s="370"/>
      <c r="H77" s="371"/>
      <c r="I77" s="371" t="s">
        <v>370</v>
      </c>
      <c r="J77" s="371" t="s">
        <v>370</v>
      </c>
      <c r="K77" s="371"/>
      <c r="L77" s="371"/>
      <c r="M77" s="371" t="s">
        <v>370</v>
      </c>
      <c r="N77" s="371"/>
      <c r="O77" s="373"/>
      <c r="P77" s="373" t="s">
        <v>369</v>
      </c>
      <c r="Q77" s="373"/>
      <c r="R77" s="373"/>
      <c r="S77" s="373"/>
      <c r="T77" s="365"/>
      <c r="U77" s="366"/>
      <c r="V77" s="366"/>
      <c r="W77" s="366"/>
    </row>
    <row r="78" spans="1:23" s="195" customFormat="1" x14ac:dyDescent="0.25">
      <c r="A78" s="367" t="s">
        <v>423</v>
      </c>
      <c r="B78" s="368" t="s">
        <v>370</v>
      </c>
      <c r="C78" s="368" t="s">
        <v>370</v>
      </c>
      <c r="D78" s="372"/>
      <c r="E78" s="370"/>
      <c r="F78" s="371"/>
      <c r="G78" s="371"/>
      <c r="H78" s="371"/>
      <c r="I78" s="371"/>
      <c r="J78" s="371"/>
      <c r="K78" s="371"/>
      <c r="L78" s="371"/>
      <c r="M78" s="371"/>
      <c r="N78" s="373"/>
      <c r="O78" s="373"/>
      <c r="P78" s="373" t="s">
        <v>370</v>
      </c>
      <c r="Q78" s="373"/>
      <c r="R78" s="373"/>
      <c r="S78" s="373"/>
      <c r="T78" s="366"/>
      <c r="U78" s="366"/>
      <c r="V78" s="366"/>
      <c r="W78" s="366"/>
    </row>
    <row r="79" spans="1:23" s="195" customFormat="1" x14ac:dyDescent="0.25">
      <c r="A79" s="367" t="s">
        <v>424</v>
      </c>
      <c r="B79" s="368"/>
      <c r="C79" s="368"/>
      <c r="D79" s="372"/>
      <c r="E79" s="370"/>
      <c r="F79" s="371"/>
      <c r="G79" s="371"/>
      <c r="H79" s="371"/>
      <c r="I79" s="371"/>
      <c r="J79" s="371"/>
      <c r="K79" s="371"/>
      <c r="L79" s="371"/>
      <c r="M79" s="371"/>
      <c r="N79" s="373"/>
      <c r="O79" s="373"/>
      <c r="P79" s="373"/>
      <c r="Q79" s="373"/>
      <c r="R79" s="373"/>
      <c r="S79" s="373"/>
      <c r="T79" s="366"/>
      <c r="U79" s="366"/>
      <c r="V79" s="366"/>
      <c r="W79" s="366"/>
    </row>
    <row r="80" spans="1:23" s="195" customFormat="1" x14ac:dyDescent="0.25">
      <c r="A80" s="367" t="s">
        <v>425</v>
      </c>
      <c r="B80" s="368"/>
      <c r="C80" s="368"/>
      <c r="D80" s="372"/>
      <c r="E80" s="370"/>
      <c r="F80" s="371"/>
      <c r="G80" s="371"/>
      <c r="H80" s="371"/>
      <c r="I80" s="371"/>
      <c r="J80" s="371"/>
      <c r="K80" s="371"/>
      <c r="L80" s="371"/>
      <c r="M80" s="371"/>
      <c r="N80" s="373"/>
      <c r="O80" s="373"/>
      <c r="P80" s="373"/>
      <c r="Q80" s="373"/>
      <c r="R80" s="373"/>
      <c r="S80" s="373"/>
      <c r="T80" s="366"/>
      <c r="U80" s="366"/>
      <c r="V80" s="366"/>
      <c r="W80" s="366"/>
    </row>
    <row r="81" spans="1:27" s="195" customFormat="1" x14ac:dyDescent="0.25">
      <c r="A81" s="367" t="s">
        <v>30</v>
      </c>
      <c r="B81" s="368"/>
      <c r="C81" s="368"/>
      <c r="D81" s="372"/>
      <c r="E81" s="370"/>
      <c r="F81" s="371"/>
      <c r="G81" s="371"/>
      <c r="H81" s="371"/>
      <c r="I81" s="371"/>
      <c r="J81" s="371"/>
      <c r="K81" s="371"/>
      <c r="L81" s="371"/>
      <c r="M81" s="371"/>
      <c r="N81" s="373"/>
      <c r="O81" s="373"/>
      <c r="P81" s="373"/>
      <c r="Q81" s="373"/>
      <c r="R81" s="373"/>
      <c r="S81" s="373"/>
      <c r="T81" s="366"/>
      <c r="U81" s="366"/>
      <c r="V81" s="366"/>
      <c r="W81" s="366"/>
    </row>
    <row r="82" spans="1:27" s="195" customFormat="1" x14ac:dyDescent="0.25">
      <c r="A82" s="367" t="s">
        <v>426</v>
      </c>
      <c r="B82" s="368"/>
      <c r="C82" s="368"/>
      <c r="D82" s="372"/>
      <c r="E82" s="370"/>
      <c r="F82" s="371"/>
      <c r="G82" s="371"/>
      <c r="H82" s="371"/>
      <c r="I82" s="371"/>
      <c r="J82" s="371"/>
      <c r="K82" s="371"/>
      <c r="L82" s="371"/>
      <c r="M82" s="371"/>
      <c r="N82" s="373"/>
      <c r="O82" s="373"/>
      <c r="P82" s="373"/>
      <c r="Q82" s="373"/>
      <c r="R82" s="373"/>
      <c r="S82" s="373"/>
      <c r="T82" s="366"/>
      <c r="U82" s="366"/>
      <c r="V82" s="366"/>
      <c r="W82" s="366"/>
    </row>
    <row r="83" spans="1:27" s="195" customFormat="1" x14ac:dyDescent="0.25">
      <c r="A83" s="367" t="s">
        <v>31</v>
      </c>
      <c r="B83" s="368"/>
      <c r="C83" s="368"/>
      <c r="D83" s="372"/>
      <c r="E83" s="370"/>
      <c r="F83" s="371"/>
      <c r="G83" s="371"/>
      <c r="H83" s="371"/>
      <c r="I83" s="371"/>
      <c r="J83" s="371"/>
      <c r="K83" s="371"/>
      <c r="L83" s="371"/>
      <c r="M83" s="371"/>
      <c r="N83" s="373"/>
      <c r="O83" s="373"/>
      <c r="P83" s="373"/>
      <c r="Q83" s="373"/>
      <c r="R83" s="373"/>
      <c r="S83" s="373"/>
      <c r="T83" s="366"/>
      <c r="U83" s="366"/>
      <c r="V83" s="366"/>
      <c r="W83" s="366"/>
    </row>
    <row r="84" spans="1:27" s="195" customFormat="1" x14ac:dyDescent="0.25">
      <c r="A84" s="367" t="s">
        <v>427</v>
      </c>
      <c r="B84" s="368"/>
      <c r="C84" s="368"/>
      <c r="D84" s="372"/>
      <c r="E84" s="370"/>
      <c r="F84" s="371"/>
      <c r="G84" s="371"/>
      <c r="H84" s="371"/>
      <c r="I84" s="371"/>
      <c r="J84" s="371"/>
      <c r="K84" s="371"/>
      <c r="L84" s="371"/>
      <c r="M84" s="371"/>
      <c r="N84" s="373"/>
      <c r="O84" s="373"/>
      <c r="P84" s="373"/>
      <c r="Q84" s="373"/>
      <c r="R84" s="373"/>
      <c r="S84" s="373"/>
      <c r="T84" s="366"/>
      <c r="U84" s="366"/>
      <c r="V84" s="366"/>
      <c r="W84" s="366"/>
    </row>
    <row r="85" spans="1:27" s="195" customFormat="1" x14ac:dyDescent="0.25">
      <c r="A85" s="367" t="s">
        <v>428</v>
      </c>
      <c r="B85" s="368"/>
      <c r="C85" s="368"/>
      <c r="D85" s="372"/>
      <c r="E85" s="370"/>
      <c r="F85" s="371"/>
      <c r="G85" s="371"/>
      <c r="H85" s="371"/>
      <c r="I85" s="371"/>
      <c r="J85" s="371"/>
      <c r="K85" s="371"/>
      <c r="L85" s="371"/>
      <c r="M85" s="371"/>
      <c r="N85" s="373"/>
      <c r="O85" s="373"/>
      <c r="P85" s="373"/>
      <c r="Q85" s="373"/>
      <c r="R85" s="373"/>
      <c r="S85" s="373"/>
      <c r="T85" s="366"/>
      <c r="U85" s="366"/>
      <c r="V85" s="366"/>
      <c r="W85" s="366"/>
    </row>
    <row r="86" spans="1:27" s="195" customFormat="1" x14ac:dyDescent="0.25">
      <c r="A86" s="367" t="s">
        <v>32</v>
      </c>
      <c r="B86" s="368"/>
      <c r="C86" s="368"/>
      <c r="D86" s="372"/>
      <c r="E86" s="370"/>
      <c r="F86" s="371"/>
      <c r="G86" s="371"/>
      <c r="H86" s="371"/>
      <c r="I86" s="371"/>
      <c r="J86" s="371"/>
      <c r="K86" s="371"/>
      <c r="L86" s="371"/>
      <c r="M86" s="371"/>
      <c r="N86" s="373"/>
      <c r="O86" s="373"/>
      <c r="P86" s="373"/>
      <c r="Q86" s="373"/>
      <c r="R86" s="373"/>
      <c r="S86" s="373"/>
      <c r="T86" s="366"/>
      <c r="U86" s="366"/>
      <c r="V86" s="366"/>
      <c r="W86" s="366"/>
    </row>
    <row r="87" spans="1:27" s="195" customFormat="1" x14ac:dyDescent="0.25">
      <c r="A87" s="367" t="s">
        <v>389</v>
      </c>
      <c r="B87" s="368"/>
      <c r="C87" s="368"/>
      <c r="D87" s="372"/>
      <c r="E87" s="370"/>
      <c r="F87" s="371"/>
      <c r="G87" s="371"/>
      <c r="H87" s="371"/>
      <c r="I87" s="371"/>
      <c r="J87" s="371"/>
      <c r="K87" s="371"/>
      <c r="L87" s="371"/>
      <c r="M87" s="371"/>
      <c r="N87" s="373"/>
      <c r="O87" s="373"/>
      <c r="P87" s="373"/>
      <c r="Q87" s="373"/>
      <c r="R87" s="373"/>
      <c r="S87" s="373"/>
      <c r="T87" s="366"/>
      <c r="U87" s="366"/>
      <c r="V87" s="366"/>
      <c r="W87" s="366"/>
    </row>
    <row r="88" spans="1:27" s="195" customFormat="1" x14ac:dyDescent="0.25">
      <c r="A88" s="367" t="s">
        <v>369</v>
      </c>
      <c r="B88" s="368"/>
      <c r="C88" s="368"/>
      <c r="D88" s="372"/>
      <c r="E88" s="370"/>
      <c r="F88" s="371"/>
      <c r="G88" s="371"/>
      <c r="H88" s="371"/>
      <c r="I88" s="371"/>
      <c r="J88" s="371"/>
      <c r="K88" s="371"/>
      <c r="L88" s="371"/>
      <c r="M88" s="371"/>
      <c r="N88" s="371"/>
      <c r="O88" s="371"/>
      <c r="P88" s="371"/>
      <c r="Q88" s="371"/>
      <c r="R88" s="371"/>
      <c r="S88" s="371"/>
      <c r="T88" s="365"/>
      <c r="U88" s="365"/>
      <c r="V88" s="365"/>
      <c r="W88" s="365"/>
    </row>
    <row r="89" spans="1:27" x14ac:dyDescent="0.25">
      <c r="A89" s="374" t="s">
        <v>370</v>
      </c>
      <c r="B89" s="375"/>
      <c r="C89" s="375"/>
      <c r="D89" s="376"/>
      <c r="E89" s="376"/>
      <c r="F89" s="375"/>
      <c r="G89" s="377"/>
      <c r="H89" s="378"/>
      <c r="I89" s="375"/>
      <c r="J89" s="375"/>
      <c r="K89" s="375"/>
      <c r="L89" s="378"/>
      <c r="M89" s="378"/>
      <c r="N89" s="378"/>
      <c r="O89" s="378"/>
      <c r="P89" s="378"/>
      <c r="Q89" s="378"/>
      <c r="R89" s="375"/>
      <c r="S89" s="378"/>
      <c r="T89" s="92"/>
      <c r="U89" s="92"/>
      <c r="V89" s="92"/>
      <c r="W89" s="92"/>
      <c r="X89" s="92"/>
      <c r="Y89" s="92"/>
      <c r="Z89" s="92"/>
      <c r="AA89" s="92"/>
    </row>
    <row r="90" spans="1:27" s="197" customFormat="1" x14ac:dyDescent="0.25">
      <c r="A90" s="90"/>
      <c r="B90" s="91"/>
      <c r="C90" s="27"/>
      <c r="D90" s="128"/>
      <c r="E90" s="128"/>
      <c r="F90" s="27"/>
      <c r="H90" s="92"/>
      <c r="I90" s="91"/>
      <c r="J90" s="91"/>
      <c r="K90" s="91"/>
      <c r="L90" s="92"/>
      <c r="M90" s="92"/>
      <c r="N90" s="92"/>
      <c r="O90" s="92"/>
      <c r="P90" s="92"/>
      <c r="Q90" s="92"/>
      <c r="R90" s="91"/>
      <c r="S90" s="92"/>
      <c r="T90" s="92"/>
      <c r="U90" s="92"/>
      <c r="V90" s="92"/>
      <c r="W90" s="92"/>
      <c r="X90" s="92"/>
      <c r="Y90" s="92"/>
      <c r="Z90" s="92"/>
      <c r="AA90" s="92"/>
    </row>
    <row r="91" spans="1:27" x14ac:dyDescent="0.25">
      <c r="A91" s="90"/>
      <c r="B91" s="91"/>
      <c r="C91" s="27"/>
      <c r="D91" s="128"/>
      <c r="E91" s="128"/>
      <c r="F91" s="27"/>
      <c r="H91" s="92"/>
      <c r="I91" s="91"/>
      <c r="J91" s="91"/>
      <c r="K91" s="92"/>
      <c r="L91" s="92"/>
      <c r="M91" s="92"/>
      <c r="N91" s="92"/>
      <c r="O91" s="92"/>
      <c r="P91" s="92"/>
      <c r="Q91" s="92"/>
      <c r="R91" s="92"/>
      <c r="S91" s="92"/>
      <c r="T91" s="92"/>
      <c r="U91" s="92"/>
      <c r="V91" s="92"/>
      <c r="W91" s="92"/>
      <c r="X91" s="92"/>
      <c r="Y91" s="92"/>
      <c r="Z91" s="92"/>
      <c r="AA91" s="92"/>
    </row>
    <row r="92" spans="1:27" x14ac:dyDescent="0.25">
      <c r="A92" s="90"/>
      <c r="B92" s="90"/>
    </row>
    <row r="93" spans="1:27" x14ac:dyDescent="0.25">
      <c r="A93" s="112" t="s">
        <v>20</v>
      </c>
      <c r="B93" s="111" t="s">
        <v>44</v>
      </c>
    </row>
    <row r="94" spans="1:27" x14ac:dyDescent="0.25">
      <c r="A94" s="90"/>
      <c r="B94" s="111" t="s">
        <v>313</v>
      </c>
    </row>
    <row r="95" spans="1:27" x14ac:dyDescent="0.25">
      <c r="A95" s="90"/>
      <c r="B95" s="92"/>
    </row>
    <row r="96" spans="1:27" x14ac:dyDescent="0.25">
      <c r="A96" s="92"/>
      <c r="B96" s="92"/>
    </row>
    <row r="97" spans="1:12" x14ac:dyDescent="0.25">
      <c r="A97" s="92"/>
      <c r="B97" s="93"/>
    </row>
    <row r="98" spans="1:12" x14ac:dyDescent="0.25">
      <c r="A98" s="119" t="s">
        <v>75</v>
      </c>
      <c r="B98" s="118" t="s">
        <v>363</v>
      </c>
    </row>
    <row r="99" spans="1:12" ht="14.25" customHeight="1" x14ac:dyDescent="0.25">
      <c r="A99" s="92"/>
      <c r="B99" s="118" t="s">
        <v>364</v>
      </c>
    </row>
    <row r="100" spans="1:12" x14ac:dyDescent="0.25">
      <c r="A100" s="92"/>
      <c r="B100" s="118" t="s">
        <v>365</v>
      </c>
    </row>
    <row r="101" spans="1:12" ht="15" customHeight="1" x14ac:dyDescent="0.25">
      <c r="A101" s="92"/>
      <c r="B101" s="118" t="s">
        <v>358</v>
      </c>
    </row>
    <row r="102" spans="1:12" x14ac:dyDescent="0.25">
      <c r="B102" s="118" t="s">
        <v>966</v>
      </c>
    </row>
    <row r="103" spans="1:12" s="208" customFormat="1" ht="9.9499999999999993" customHeight="1" x14ac:dyDescent="0.25">
      <c r="D103" s="209"/>
      <c r="E103" s="209"/>
    </row>
    <row r="104" spans="1:12" s="208" customFormat="1" ht="9.9499999999999993" customHeight="1" x14ac:dyDescent="0.25">
      <c r="D104" s="209"/>
      <c r="E104" s="209"/>
    </row>
    <row r="105" spans="1:12" s="208" customFormat="1" ht="9.9499999999999993" customHeight="1" x14ac:dyDescent="0.25">
      <c r="D105" s="209"/>
      <c r="E105" s="209"/>
    </row>
    <row r="106" spans="1:12" ht="15.75" customHeight="1" x14ac:dyDescent="0.25">
      <c r="A106" s="681" t="s">
        <v>1090</v>
      </c>
      <c r="B106" s="690" t="s">
        <v>1084</v>
      </c>
    </row>
    <row r="107" spans="1:12" ht="9.9499999999999993" customHeight="1" thickBot="1" x14ac:dyDescent="0.3"/>
    <row r="108" spans="1:12" s="131" customFormat="1" ht="15" customHeight="1" thickBot="1" x14ac:dyDescent="0.3">
      <c r="A108" s="133" t="s">
        <v>18</v>
      </c>
      <c r="B108" s="133" t="s">
        <v>140</v>
      </c>
      <c r="C108" s="133" t="s">
        <v>143</v>
      </c>
      <c r="D108" s="134" t="s">
        <v>144</v>
      </c>
      <c r="E108" s="134" t="s">
        <v>145</v>
      </c>
      <c r="F108" s="133" t="s">
        <v>19</v>
      </c>
      <c r="G108" s="133" t="s">
        <v>86</v>
      </c>
      <c r="H108" s="133" t="s">
        <v>146</v>
      </c>
      <c r="I108" s="133" t="s">
        <v>147</v>
      </c>
      <c r="J108" s="133" t="s">
        <v>148</v>
      </c>
      <c r="K108" s="135" t="s">
        <v>149</v>
      </c>
      <c r="L108" s="135" t="s">
        <v>154</v>
      </c>
    </row>
    <row r="109" spans="1:12" s="131" customFormat="1" ht="15" customHeight="1" thickBot="1" x14ac:dyDescent="0.3">
      <c r="A109" s="136" t="str">
        <f>IF(Basisdaten!C6="","",Basisdaten!C6)</f>
        <v/>
      </c>
      <c r="B109" s="137" t="str">
        <f>IF($A$109="","",VLOOKUP($A$109,$A$112:$J$257,2,FALSE))</f>
        <v/>
      </c>
      <c r="C109" s="137" t="str">
        <f>IF($A$109="","",VLOOKUP($A$109,$A$112:$J$257,3,FALSE))</f>
        <v/>
      </c>
      <c r="D109" s="138" t="str">
        <f>IF($A$109="","",VLOOKUP($A$109,$A$112:$J$257,4,FALSE))</f>
        <v/>
      </c>
      <c r="E109" s="138" t="str">
        <f>IF($A$109="","",VLOOKUP($A$109,$A$112:$J$257,5,FALSE))</f>
        <v/>
      </c>
      <c r="F109" s="137" t="str">
        <f>IF($A$109="","",VLOOKUP($A$109,$A$112:$J$257,6,FALSE))</f>
        <v/>
      </c>
      <c r="G109" s="139" t="str">
        <f>IF($A$109="","",VLOOKUP($A$109,$A$112:$J$257,7,FALSE))</f>
        <v/>
      </c>
      <c r="H109" s="137" t="str">
        <f>IF($A$109="","",VLOOKUP($A$109,$A$112:$J$257,8,FALSE))</f>
        <v/>
      </c>
      <c r="I109" s="137" t="str">
        <f>IF($A$109="","",VLOOKUP($A$109,$A$112:$J$257,9,FALSE))</f>
        <v/>
      </c>
      <c r="J109" s="139" t="str">
        <f>IF($A$109="","",VLOOKUP($A$109,$A$112:$J$257,10,FALSE))</f>
        <v/>
      </c>
      <c r="K109" s="139"/>
      <c r="L109" s="137"/>
    </row>
    <row r="111" spans="1:12" s="131" customFormat="1" x14ac:dyDescent="0.25">
      <c r="A111" s="231" t="s">
        <v>18</v>
      </c>
      <c r="B111" s="231" t="s">
        <v>140</v>
      </c>
      <c r="C111" s="231" t="s">
        <v>143</v>
      </c>
      <c r="D111" s="232" t="s">
        <v>144</v>
      </c>
      <c r="E111" s="232" t="s">
        <v>145</v>
      </c>
      <c r="F111" s="231" t="s">
        <v>19</v>
      </c>
      <c r="G111" s="231" t="s">
        <v>86</v>
      </c>
      <c r="H111" s="132" t="s">
        <v>146</v>
      </c>
      <c r="I111" s="132" t="s">
        <v>153</v>
      </c>
      <c r="J111" s="132" t="s">
        <v>148</v>
      </c>
      <c r="K111" s="132"/>
      <c r="L111" s="132"/>
    </row>
    <row r="112" spans="1:12" s="3" customFormat="1" ht="12.95" customHeight="1" x14ac:dyDescent="0.25">
      <c r="A112" s="234" t="s">
        <v>1013</v>
      </c>
      <c r="B112" s="235" t="s">
        <v>1014</v>
      </c>
      <c r="C112" s="235" t="s">
        <v>155</v>
      </c>
      <c r="D112" s="236"/>
      <c r="E112" s="236" t="s">
        <v>150</v>
      </c>
      <c r="F112" s="236" t="s">
        <v>57</v>
      </c>
      <c r="G112" s="233">
        <v>39423</v>
      </c>
      <c r="H112" s="107"/>
      <c r="I112" s="107"/>
      <c r="J112" s="107"/>
      <c r="K112" s="107"/>
      <c r="L112" s="107"/>
    </row>
    <row r="113" spans="1:12" s="3" customFormat="1" ht="12.95" customHeight="1" x14ac:dyDescent="0.25">
      <c r="A113" s="234" t="s">
        <v>167</v>
      </c>
      <c r="B113" s="235" t="s">
        <v>168</v>
      </c>
      <c r="C113" s="235" t="s">
        <v>169</v>
      </c>
      <c r="D113" s="236"/>
      <c r="E113" s="236" t="s">
        <v>150</v>
      </c>
      <c r="F113" s="236" t="s">
        <v>57</v>
      </c>
      <c r="G113" s="233">
        <v>39413</v>
      </c>
      <c r="H113" s="107"/>
      <c r="I113" s="107"/>
      <c r="J113" s="107"/>
      <c r="K113" s="107"/>
      <c r="L113" s="107"/>
    </row>
    <row r="114" spans="1:12" s="3" customFormat="1" ht="12.95" customHeight="1" x14ac:dyDescent="0.25">
      <c r="A114" s="234" t="s">
        <v>1015</v>
      </c>
      <c r="B114" s="235" t="s">
        <v>665</v>
      </c>
      <c r="C114" s="235" t="s">
        <v>170</v>
      </c>
      <c r="D114" s="236"/>
      <c r="E114" s="236" t="s">
        <v>150</v>
      </c>
      <c r="F114" s="236" t="s">
        <v>54</v>
      </c>
      <c r="G114" s="233">
        <v>39420</v>
      </c>
      <c r="H114" s="107"/>
      <c r="I114" s="107"/>
      <c r="J114" s="107"/>
      <c r="K114" s="107"/>
      <c r="L114" s="107"/>
    </row>
    <row r="115" spans="1:12" s="198" customFormat="1" ht="12.95" customHeight="1" x14ac:dyDescent="0.25">
      <c r="A115" s="234" t="s">
        <v>171</v>
      </c>
      <c r="B115" s="235" t="s">
        <v>666</v>
      </c>
      <c r="C115" s="235" t="s">
        <v>667</v>
      </c>
      <c r="D115" s="236"/>
      <c r="E115" s="236" t="s">
        <v>150</v>
      </c>
      <c r="F115" s="236" t="s">
        <v>54</v>
      </c>
      <c r="G115" s="233">
        <v>39421</v>
      </c>
      <c r="H115" s="107"/>
      <c r="I115" s="107"/>
      <c r="J115" s="107"/>
      <c r="K115" s="107"/>
      <c r="L115" s="107"/>
    </row>
    <row r="116" spans="1:12" s="198" customFormat="1" ht="12.95" customHeight="1" x14ac:dyDescent="0.25">
      <c r="A116" s="234" t="s">
        <v>172</v>
      </c>
      <c r="B116" s="235" t="s">
        <v>668</v>
      </c>
      <c r="C116" s="235" t="s">
        <v>152</v>
      </c>
      <c r="D116" s="236"/>
      <c r="E116" s="236" t="s">
        <v>150</v>
      </c>
      <c r="F116" s="236" t="s">
        <v>54</v>
      </c>
      <c r="G116" s="233">
        <v>39423</v>
      </c>
      <c r="H116" s="107"/>
      <c r="I116" s="107"/>
      <c r="J116" s="107"/>
      <c r="K116" s="107"/>
      <c r="L116" s="107"/>
    </row>
    <row r="117" spans="1:12" s="198" customFormat="1" ht="12.95" customHeight="1" x14ac:dyDescent="0.25">
      <c r="A117" s="234" t="s">
        <v>173</v>
      </c>
      <c r="B117" s="235" t="s">
        <v>174</v>
      </c>
      <c r="C117" s="235" t="s">
        <v>669</v>
      </c>
      <c r="D117" s="236"/>
      <c r="E117" s="236" t="s">
        <v>150</v>
      </c>
      <c r="F117" s="236" t="s">
        <v>51</v>
      </c>
      <c r="G117" s="233">
        <v>39423</v>
      </c>
      <c r="H117" s="107"/>
      <c r="I117" s="107"/>
      <c r="J117" s="107"/>
      <c r="K117" s="107"/>
      <c r="L117" s="107"/>
    </row>
    <row r="118" spans="1:12" s="198" customFormat="1" ht="12.95" customHeight="1" x14ac:dyDescent="0.25">
      <c r="A118" s="234" t="s">
        <v>1016</v>
      </c>
      <c r="B118" s="235" t="s">
        <v>175</v>
      </c>
      <c r="C118" s="235" t="s">
        <v>744</v>
      </c>
      <c r="D118" s="236"/>
      <c r="E118" s="236" t="s">
        <v>150</v>
      </c>
      <c r="F118" s="236" t="s">
        <v>50</v>
      </c>
      <c r="G118" s="233">
        <v>39423</v>
      </c>
      <c r="H118" s="107"/>
      <c r="I118" s="107"/>
      <c r="J118" s="107"/>
      <c r="K118" s="107"/>
      <c r="L118" s="107"/>
    </row>
    <row r="119" spans="1:12" s="198" customFormat="1" ht="12.95" customHeight="1" x14ac:dyDescent="0.25">
      <c r="A119" s="234" t="s">
        <v>176</v>
      </c>
      <c r="B119" s="235" t="s">
        <v>177</v>
      </c>
      <c r="C119" s="235" t="s">
        <v>875</v>
      </c>
      <c r="D119" s="236"/>
      <c r="E119" s="236" t="s">
        <v>150</v>
      </c>
      <c r="F119" s="236" t="s">
        <v>45</v>
      </c>
      <c r="G119" s="233">
        <v>39423</v>
      </c>
      <c r="H119" s="107"/>
      <c r="I119" s="107"/>
      <c r="J119" s="107"/>
      <c r="K119" s="107"/>
      <c r="L119" s="107"/>
    </row>
    <row r="120" spans="1:12" s="198" customFormat="1" ht="12.95" customHeight="1" x14ac:dyDescent="0.25">
      <c r="A120" s="234" t="s">
        <v>178</v>
      </c>
      <c r="B120" s="235" t="s">
        <v>179</v>
      </c>
      <c r="C120" s="235" t="s">
        <v>716</v>
      </c>
      <c r="D120" s="236"/>
      <c r="E120" s="236" t="s">
        <v>150</v>
      </c>
      <c r="F120" s="236" t="s">
        <v>46</v>
      </c>
      <c r="G120" s="233">
        <v>39420</v>
      </c>
      <c r="H120" s="107"/>
      <c r="I120" s="107"/>
      <c r="J120" s="107"/>
      <c r="K120" s="107"/>
      <c r="L120" s="107"/>
    </row>
    <row r="121" spans="1:12" s="198" customFormat="1" ht="12.95" customHeight="1" x14ac:dyDescent="0.25">
      <c r="A121" s="234" t="s">
        <v>180</v>
      </c>
      <c r="B121" s="235" t="s">
        <v>181</v>
      </c>
      <c r="C121" s="235" t="s">
        <v>182</v>
      </c>
      <c r="D121" s="236"/>
      <c r="E121" s="236" t="s">
        <v>150</v>
      </c>
      <c r="F121" s="236" t="s">
        <v>46</v>
      </c>
      <c r="G121" s="233">
        <v>39597</v>
      </c>
      <c r="H121" s="107"/>
      <c r="I121" s="107"/>
      <c r="J121" s="107"/>
      <c r="K121" s="107"/>
      <c r="L121" s="107"/>
    </row>
    <row r="122" spans="1:12" s="198" customFormat="1" ht="12.95" customHeight="1" x14ac:dyDescent="0.25">
      <c r="A122" s="234" t="s">
        <v>183</v>
      </c>
      <c r="B122" s="235" t="s">
        <v>184</v>
      </c>
      <c r="C122" s="235" t="s">
        <v>717</v>
      </c>
      <c r="D122" s="236"/>
      <c r="E122" s="236" t="s">
        <v>150</v>
      </c>
      <c r="F122" s="236" t="s">
        <v>55</v>
      </c>
      <c r="G122" s="233">
        <v>39514</v>
      </c>
      <c r="H122" s="107"/>
      <c r="I122" s="107"/>
      <c r="J122" s="107"/>
      <c r="K122" s="107"/>
      <c r="L122" s="107"/>
    </row>
    <row r="123" spans="1:12" s="198" customFormat="1" ht="12.95" customHeight="1" x14ac:dyDescent="0.25">
      <c r="A123" s="234" t="s">
        <v>1017</v>
      </c>
      <c r="B123" s="235" t="s">
        <v>185</v>
      </c>
      <c r="C123" s="235" t="s">
        <v>160</v>
      </c>
      <c r="D123" s="236"/>
      <c r="E123" s="236" t="s">
        <v>150</v>
      </c>
      <c r="F123" s="236" t="s">
        <v>51</v>
      </c>
      <c r="G123" s="233">
        <v>39612</v>
      </c>
      <c r="H123" s="107"/>
      <c r="I123" s="107"/>
      <c r="J123" s="107"/>
      <c r="K123" s="107"/>
      <c r="L123" s="107"/>
    </row>
    <row r="124" spans="1:12" s="198" customFormat="1" ht="12.95" customHeight="1" x14ac:dyDescent="0.25">
      <c r="A124" s="234" t="s">
        <v>186</v>
      </c>
      <c r="B124" s="235" t="s">
        <v>187</v>
      </c>
      <c r="C124" s="235" t="s">
        <v>670</v>
      </c>
      <c r="D124" s="236"/>
      <c r="E124" s="236" t="s">
        <v>150</v>
      </c>
      <c r="F124" s="236" t="s">
        <v>21</v>
      </c>
      <c r="G124" s="233">
        <v>39576</v>
      </c>
      <c r="H124" s="107"/>
      <c r="I124" s="107"/>
      <c r="J124" s="107"/>
      <c r="K124" s="107"/>
      <c r="L124" s="107"/>
    </row>
    <row r="125" spans="1:12" s="198" customFormat="1" ht="12.95" customHeight="1" x14ac:dyDescent="0.25">
      <c r="A125" s="234" t="s">
        <v>188</v>
      </c>
      <c r="B125" s="235" t="s">
        <v>671</v>
      </c>
      <c r="C125" s="235" t="s">
        <v>189</v>
      </c>
      <c r="D125" s="236"/>
      <c r="E125" s="236" t="s">
        <v>150</v>
      </c>
      <c r="F125" s="236" t="s">
        <v>47</v>
      </c>
      <c r="G125" s="233">
        <v>39504</v>
      </c>
      <c r="H125" s="107"/>
      <c r="I125" s="107"/>
      <c r="J125" s="107"/>
      <c r="K125" s="107"/>
      <c r="L125" s="107"/>
    </row>
    <row r="126" spans="1:12" s="198" customFormat="1" ht="12.95" customHeight="1" x14ac:dyDescent="0.25">
      <c r="A126" s="234" t="s">
        <v>899</v>
      </c>
      <c r="B126" s="235" t="s">
        <v>671</v>
      </c>
      <c r="C126" s="235" t="s">
        <v>900</v>
      </c>
      <c r="D126" s="236"/>
      <c r="E126" s="236" t="s">
        <v>150</v>
      </c>
      <c r="F126" s="236" t="s">
        <v>47</v>
      </c>
      <c r="G126" s="233">
        <v>39504</v>
      </c>
      <c r="H126" s="107"/>
      <c r="I126" s="107"/>
      <c r="J126" s="107"/>
      <c r="K126" s="107"/>
      <c r="L126" s="107"/>
    </row>
    <row r="127" spans="1:12" s="198" customFormat="1" ht="12.95" customHeight="1" x14ac:dyDescent="0.25">
      <c r="A127" s="234" t="s">
        <v>190</v>
      </c>
      <c r="B127" s="235" t="s">
        <v>672</v>
      </c>
      <c r="C127" s="235" t="s">
        <v>673</v>
      </c>
      <c r="D127" s="236"/>
      <c r="E127" s="236" t="s">
        <v>150</v>
      </c>
      <c r="F127" s="236" t="s">
        <v>58</v>
      </c>
      <c r="G127" s="233">
        <v>39626</v>
      </c>
      <c r="H127" s="107"/>
      <c r="I127" s="107"/>
      <c r="J127" s="107"/>
      <c r="K127" s="107"/>
      <c r="L127" s="107"/>
    </row>
    <row r="128" spans="1:12" s="198" customFormat="1" ht="12.95" customHeight="1" x14ac:dyDescent="0.25">
      <c r="A128" s="234" t="s">
        <v>925</v>
      </c>
      <c r="B128" s="235" t="s">
        <v>191</v>
      </c>
      <c r="C128" s="235" t="s">
        <v>674</v>
      </c>
      <c r="D128" s="236"/>
      <c r="E128" s="236" t="s">
        <v>150</v>
      </c>
      <c r="F128" s="236" t="s">
        <v>45</v>
      </c>
      <c r="G128" s="233">
        <v>39626</v>
      </c>
      <c r="H128" s="107"/>
      <c r="I128" s="107"/>
      <c r="J128" s="107"/>
      <c r="K128" s="107"/>
      <c r="L128" s="107"/>
    </row>
    <row r="129" spans="1:12" s="198" customFormat="1" ht="12.95" customHeight="1" x14ac:dyDescent="0.25">
      <c r="A129" s="234" t="s">
        <v>532</v>
      </c>
      <c r="B129" s="235" t="s">
        <v>533</v>
      </c>
      <c r="C129" s="235" t="s">
        <v>745</v>
      </c>
      <c r="D129" s="236"/>
      <c r="E129" s="236" t="s">
        <v>150</v>
      </c>
      <c r="F129" s="236" t="s">
        <v>46</v>
      </c>
      <c r="G129" s="233">
        <v>41565</v>
      </c>
      <c r="H129" s="107"/>
      <c r="I129" s="107"/>
      <c r="J129" s="107"/>
      <c r="K129" s="107"/>
      <c r="L129" s="107"/>
    </row>
    <row r="130" spans="1:12" s="198" customFormat="1" ht="12.95" customHeight="1" x14ac:dyDescent="0.25">
      <c r="A130" s="234" t="s">
        <v>192</v>
      </c>
      <c r="B130" s="235" t="s">
        <v>193</v>
      </c>
      <c r="C130" s="235" t="s">
        <v>194</v>
      </c>
      <c r="D130" s="236"/>
      <c r="E130" s="236" t="s">
        <v>150</v>
      </c>
      <c r="F130" s="236" t="s">
        <v>45</v>
      </c>
      <c r="G130" s="233">
        <v>39595</v>
      </c>
      <c r="H130" s="107"/>
      <c r="I130" s="107"/>
      <c r="J130" s="107"/>
      <c r="K130" s="107"/>
      <c r="L130" s="107"/>
    </row>
    <row r="131" spans="1:12" s="198" customFormat="1" ht="12.95" customHeight="1" x14ac:dyDescent="0.25">
      <c r="A131" s="234" t="s">
        <v>195</v>
      </c>
      <c r="B131" s="235" t="s">
        <v>196</v>
      </c>
      <c r="C131" s="235" t="s">
        <v>801</v>
      </c>
      <c r="D131" s="236"/>
      <c r="E131" s="236" t="s">
        <v>150</v>
      </c>
      <c r="F131" s="236" t="s">
        <v>53</v>
      </c>
      <c r="G131" s="233">
        <v>39787</v>
      </c>
      <c r="H131" s="107"/>
      <c r="I131" s="107"/>
      <c r="J131" s="107"/>
      <c r="K131" s="107"/>
      <c r="L131" s="107"/>
    </row>
    <row r="132" spans="1:12" s="198" customFormat="1" ht="12.95" customHeight="1" x14ac:dyDescent="0.25">
      <c r="A132" s="234" t="s">
        <v>876</v>
      </c>
      <c r="B132" s="235" t="s">
        <v>877</v>
      </c>
      <c r="C132" s="235" t="s">
        <v>878</v>
      </c>
      <c r="D132" s="236"/>
      <c r="E132" s="236" t="s">
        <v>150</v>
      </c>
      <c r="F132" s="236" t="s">
        <v>45</v>
      </c>
      <c r="G132" s="233">
        <v>39969</v>
      </c>
      <c r="H132" s="107"/>
      <c r="I132" s="107"/>
      <c r="J132" s="107"/>
      <c r="K132" s="107"/>
      <c r="L132" s="107"/>
    </row>
    <row r="133" spans="1:12" s="198" customFormat="1" ht="12.95" customHeight="1" x14ac:dyDescent="0.25">
      <c r="A133" s="234" t="s">
        <v>197</v>
      </c>
      <c r="B133" s="235" t="s">
        <v>198</v>
      </c>
      <c r="C133" s="235" t="s">
        <v>199</v>
      </c>
      <c r="D133" s="236"/>
      <c r="E133" s="236" t="s">
        <v>150</v>
      </c>
      <c r="F133" s="236" t="s">
        <v>45</v>
      </c>
      <c r="G133" s="233">
        <v>39682</v>
      </c>
      <c r="H133" s="107"/>
      <c r="I133" s="107"/>
      <c r="J133" s="107"/>
      <c r="K133" s="107"/>
      <c r="L133" s="107"/>
    </row>
    <row r="134" spans="1:12" s="198" customFormat="1" ht="12.95" customHeight="1" x14ac:dyDescent="0.25">
      <c r="A134" s="234" t="s">
        <v>200</v>
      </c>
      <c r="B134" s="235" t="s">
        <v>846</v>
      </c>
      <c r="C134" s="655" t="s">
        <v>847</v>
      </c>
      <c r="D134" s="656"/>
      <c r="E134" s="236" t="s">
        <v>150</v>
      </c>
      <c r="F134" s="236" t="s">
        <v>45</v>
      </c>
      <c r="G134" s="233">
        <v>39707</v>
      </c>
      <c r="H134" s="107"/>
      <c r="I134" s="107"/>
      <c r="J134" s="107"/>
      <c r="K134" s="107"/>
      <c r="L134" s="107"/>
    </row>
    <row r="135" spans="1:12" s="198" customFormat="1" ht="12.95" customHeight="1" x14ac:dyDescent="0.25">
      <c r="A135" s="234" t="s">
        <v>201</v>
      </c>
      <c r="B135" s="235" t="s">
        <v>202</v>
      </c>
      <c r="C135" s="655" t="s">
        <v>203</v>
      </c>
      <c r="D135" s="656"/>
      <c r="E135" s="236" t="s">
        <v>150</v>
      </c>
      <c r="F135" s="236" t="s">
        <v>54</v>
      </c>
      <c r="G135" s="233">
        <v>39787</v>
      </c>
      <c r="H135" s="107"/>
      <c r="I135" s="107"/>
      <c r="J135" s="107"/>
      <c r="K135" s="107"/>
      <c r="L135" s="107"/>
    </row>
    <row r="136" spans="1:12" s="198" customFormat="1" ht="12.95" customHeight="1" x14ac:dyDescent="0.25">
      <c r="A136" s="234" t="s">
        <v>204</v>
      </c>
      <c r="B136" s="235" t="s">
        <v>205</v>
      </c>
      <c r="C136" s="235" t="s">
        <v>206</v>
      </c>
      <c r="D136" s="236"/>
      <c r="E136" s="236" t="s">
        <v>150</v>
      </c>
      <c r="F136" s="236" t="s">
        <v>51</v>
      </c>
      <c r="G136" s="233">
        <v>39709</v>
      </c>
      <c r="H136" s="107"/>
      <c r="I136" s="107"/>
      <c r="J136" s="107"/>
      <c r="K136" s="107"/>
      <c r="L136" s="107"/>
    </row>
    <row r="137" spans="1:12" s="198" customFormat="1" ht="12.95" customHeight="1" x14ac:dyDescent="0.25">
      <c r="A137" s="234" t="s">
        <v>207</v>
      </c>
      <c r="B137" s="235" t="s">
        <v>208</v>
      </c>
      <c r="C137" s="235" t="s">
        <v>157</v>
      </c>
      <c r="D137" s="236"/>
      <c r="E137" s="236" t="s">
        <v>150</v>
      </c>
      <c r="F137" s="236" t="s">
        <v>46</v>
      </c>
      <c r="G137" s="233">
        <v>39773</v>
      </c>
      <c r="H137" s="107"/>
      <c r="I137" s="107"/>
      <c r="J137" s="107"/>
      <c r="K137" s="107"/>
      <c r="L137" s="107"/>
    </row>
    <row r="138" spans="1:12" s="198" customFormat="1" ht="12.95" customHeight="1" x14ac:dyDescent="0.25">
      <c r="A138" s="234" t="s">
        <v>1018</v>
      </c>
      <c r="B138" s="235" t="s">
        <v>209</v>
      </c>
      <c r="C138" s="235" t="s">
        <v>161</v>
      </c>
      <c r="D138" s="236"/>
      <c r="E138" s="236" t="s">
        <v>150</v>
      </c>
      <c r="F138" s="236" t="s">
        <v>45</v>
      </c>
      <c r="G138" s="233">
        <v>39791</v>
      </c>
      <c r="H138" s="107"/>
      <c r="I138" s="107"/>
      <c r="J138" s="107"/>
      <c r="K138" s="107"/>
      <c r="L138" s="107"/>
    </row>
    <row r="139" spans="1:12" s="198" customFormat="1" ht="12.95" customHeight="1" x14ac:dyDescent="0.25">
      <c r="A139" s="234" t="s">
        <v>210</v>
      </c>
      <c r="B139" s="235" t="s">
        <v>211</v>
      </c>
      <c r="C139" s="235" t="s">
        <v>212</v>
      </c>
      <c r="D139" s="236"/>
      <c r="E139" s="236" t="s">
        <v>150</v>
      </c>
      <c r="F139" s="236" t="s">
        <v>54</v>
      </c>
      <c r="G139" s="233">
        <v>39791</v>
      </c>
      <c r="H139" s="107"/>
      <c r="I139" s="107"/>
      <c r="J139" s="107"/>
      <c r="K139" s="107"/>
      <c r="L139" s="107"/>
    </row>
    <row r="140" spans="1:12" s="198" customFormat="1" ht="12.95" customHeight="1" x14ac:dyDescent="0.25">
      <c r="A140" s="234" t="s">
        <v>213</v>
      </c>
      <c r="B140" s="235" t="s">
        <v>214</v>
      </c>
      <c r="C140" s="235" t="s">
        <v>675</v>
      </c>
      <c r="D140" s="236"/>
      <c r="E140" s="236" t="s">
        <v>150</v>
      </c>
      <c r="F140" s="236" t="s">
        <v>58</v>
      </c>
      <c r="G140" s="233">
        <v>39749</v>
      </c>
      <c r="H140" s="107"/>
      <c r="I140" s="107"/>
      <c r="J140" s="107"/>
      <c r="K140" s="107"/>
      <c r="L140" s="107"/>
    </row>
    <row r="141" spans="1:12" s="198" customFormat="1" ht="12.95" customHeight="1" x14ac:dyDescent="0.25">
      <c r="A141" s="234" t="s">
        <v>215</v>
      </c>
      <c r="B141" s="235" t="s">
        <v>216</v>
      </c>
      <c r="C141" s="235" t="s">
        <v>746</v>
      </c>
      <c r="D141" s="236"/>
      <c r="E141" s="236" t="s">
        <v>150</v>
      </c>
      <c r="F141" s="236" t="s">
        <v>53</v>
      </c>
      <c r="G141" s="233">
        <v>39875</v>
      </c>
      <c r="H141" s="107"/>
      <c r="I141" s="107"/>
      <c r="J141" s="107"/>
      <c r="K141" s="107"/>
      <c r="L141" s="107"/>
    </row>
    <row r="142" spans="1:12" s="198" customFormat="1" ht="12.95" customHeight="1" x14ac:dyDescent="0.25">
      <c r="A142" s="234" t="s">
        <v>217</v>
      </c>
      <c r="B142" s="235" t="s">
        <v>718</v>
      </c>
      <c r="C142" s="235" t="s">
        <v>218</v>
      </c>
      <c r="D142" s="236"/>
      <c r="E142" s="236" t="s">
        <v>150</v>
      </c>
      <c r="F142" s="236" t="s">
        <v>59</v>
      </c>
      <c r="G142" s="233">
        <v>41201</v>
      </c>
      <c r="H142" s="107"/>
      <c r="I142" s="107"/>
      <c r="J142" s="107"/>
      <c r="K142" s="107"/>
      <c r="L142" s="107"/>
    </row>
    <row r="143" spans="1:12" s="198" customFormat="1" ht="12.95" customHeight="1" x14ac:dyDescent="0.25">
      <c r="A143" s="234" t="s">
        <v>926</v>
      </c>
      <c r="B143" s="235" t="s">
        <v>747</v>
      </c>
      <c r="C143" s="235" t="s">
        <v>162</v>
      </c>
      <c r="D143" s="236"/>
      <c r="E143" s="236" t="s">
        <v>60</v>
      </c>
      <c r="F143" s="236" t="s">
        <v>60</v>
      </c>
      <c r="G143" s="233">
        <v>39990</v>
      </c>
      <c r="H143" s="107"/>
      <c r="I143" s="107"/>
      <c r="J143" s="107"/>
      <c r="K143" s="107"/>
      <c r="L143" s="107"/>
    </row>
    <row r="144" spans="1:12" s="198" customFormat="1" ht="12.95" customHeight="1" x14ac:dyDescent="0.25">
      <c r="A144" s="234" t="s">
        <v>219</v>
      </c>
      <c r="B144" s="235" t="s">
        <v>220</v>
      </c>
      <c r="C144" s="655" t="s">
        <v>676</v>
      </c>
      <c r="D144" s="656"/>
      <c r="E144" s="236" t="s">
        <v>150</v>
      </c>
      <c r="F144" s="236" t="s">
        <v>54</v>
      </c>
      <c r="G144" s="233">
        <v>39974</v>
      </c>
      <c r="H144" s="107"/>
      <c r="I144" s="107"/>
      <c r="J144" s="107"/>
      <c r="K144" s="107"/>
      <c r="L144" s="107"/>
    </row>
    <row r="145" spans="1:12" s="198" customFormat="1" ht="12.95" customHeight="1" x14ac:dyDescent="0.25">
      <c r="A145" s="234" t="s">
        <v>221</v>
      </c>
      <c r="B145" s="235" t="s">
        <v>222</v>
      </c>
      <c r="C145" s="655" t="s">
        <v>677</v>
      </c>
      <c r="D145" s="656"/>
      <c r="E145" s="236" t="s">
        <v>150</v>
      </c>
      <c r="F145" s="236" t="s">
        <v>45</v>
      </c>
      <c r="G145" s="233">
        <v>39941</v>
      </c>
      <c r="H145" s="107"/>
      <c r="I145" s="107"/>
      <c r="J145" s="107"/>
      <c r="K145" s="107"/>
      <c r="L145" s="107"/>
    </row>
    <row r="146" spans="1:12" s="198" customFormat="1" ht="12.95" customHeight="1" x14ac:dyDescent="0.25">
      <c r="A146" s="234" t="s">
        <v>223</v>
      </c>
      <c r="B146" s="235" t="s">
        <v>719</v>
      </c>
      <c r="C146" s="655" t="s">
        <v>748</v>
      </c>
      <c r="D146" s="656"/>
      <c r="E146" s="236" t="s">
        <v>150</v>
      </c>
      <c r="F146" s="236" t="s">
        <v>45</v>
      </c>
      <c r="G146" s="233">
        <v>40015</v>
      </c>
      <c r="H146" s="107"/>
      <c r="I146" s="107"/>
      <c r="J146" s="107"/>
      <c r="K146" s="107"/>
      <c r="L146" s="107"/>
    </row>
    <row r="147" spans="1:12" s="198" customFormat="1" ht="12.95" customHeight="1" x14ac:dyDescent="0.25">
      <c r="A147" s="234" t="s">
        <v>1019</v>
      </c>
      <c r="B147" s="235" t="s">
        <v>224</v>
      </c>
      <c r="C147" s="655" t="s">
        <v>802</v>
      </c>
      <c r="D147" s="656"/>
      <c r="E147" s="236" t="s">
        <v>150</v>
      </c>
      <c r="F147" s="236" t="s">
        <v>46</v>
      </c>
      <c r="G147" s="233">
        <v>39947</v>
      </c>
      <c r="H147" s="107"/>
      <c r="I147" s="107"/>
      <c r="J147" s="107"/>
      <c r="K147" s="107"/>
      <c r="L147" s="107"/>
    </row>
    <row r="148" spans="1:12" s="198" customFormat="1" ht="12.95" customHeight="1" x14ac:dyDescent="0.25">
      <c r="A148" s="234" t="s">
        <v>225</v>
      </c>
      <c r="B148" s="235" t="s">
        <v>226</v>
      </c>
      <c r="C148" s="235" t="s">
        <v>749</v>
      </c>
      <c r="D148" s="236"/>
      <c r="E148" s="236" t="s">
        <v>150</v>
      </c>
      <c r="F148" s="236" t="s">
        <v>57</v>
      </c>
      <c r="G148" s="233">
        <v>40158</v>
      </c>
      <c r="H148" s="107"/>
      <c r="I148" s="107"/>
      <c r="J148" s="107"/>
      <c r="K148" s="107"/>
      <c r="L148" s="107"/>
    </row>
    <row r="149" spans="1:12" s="198" customFormat="1" ht="12.95" customHeight="1" x14ac:dyDescent="0.25">
      <c r="A149" s="234" t="s">
        <v>227</v>
      </c>
      <c r="B149" s="235" t="s">
        <v>228</v>
      </c>
      <c r="C149" s="235" t="s">
        <v>229</v>
      </c>
      <c r="D149" s="236"/>
      <c r="E149" s="236" t="s">
        <v>150</v>
      </c>
      <c r="F149" s="236" t="s">
        <v>45</v>
      </c>
      <c r="G149" s="233">
        <v>40015</v>
      </c>
      <c r="H149" s="107"/>
      <c r="I149" s="107"/>
      <c r="J149" s="107"/>
      <c r="K149" s="107"/>
      <c r="L149" s="107"/>
    </row>
    <row r="150" spans="1:12" s="198" customFormat="1" ht="12.95" customHeight="1" x14ac:dyDescent="0.25">
      <c r="A150" s="234" t="s">
        <v>230</v>
      </c>
      <c r="B150" s="235" t="s">
        <v>879</v>
      </c>
      <c r="C150" s="235" t="s">
        <v>678</v>
      </c>
      <c r="D150" s="236"/>
      <c r="E150" s="236" t="s">
        <v>150</v>
      </c>
      <c r="F150" s="236" t="s">
        <v>21</v>
      </c>
      <c r="G150" s="233">
        <v>40066</v>
      </c>
      <c r="H150" s="107"/>
      <c r="I150" s="107"/>
      <c r="J150" s="107"/>
      <c r="K150" s="107"/>
      <c r="L150" s="107"/>
    </row>
    <row r="151" spans="1:12" s="198" customFormat="1" ht="12.95" customHeight="1" x14ac:dyDescent="0.25">
      <c r="A151" s="234" t="s">
        <v>231</v>
      </c>
      <c r="B151" s="235" t="s">
        <v>232</v>
      </c>
      <c r="C151" s="235" t="s">
        <v>679</v>
      </c>
      <c r="D151" s="236"/>
      <c r="E151" s="236" t="s">
        <v>150</v>
      </c>
      <c r="F151" s="236" t="s">
        <v>55</v>
      </c>
      <c r="G151" s="233">
        <v>39981</v>
      </c>
      <c r="H151" s="107"/>
      <c r="I151" s="107"/>
      <c r="J151" s="107"/>
      <c r="K151" s="107"/>
      <c r="L151" s="107"/>
    </row>
    <row r="152" spans="1:12" s="198" customFormat="1" ht="12.95" customHeight="1" x14ac:dyDescent="0.25">
      <c r="A152" s="234" t="s">
        <v>927</v>
      </c>
      <c r="B152" s="235" t="s">
        <v>880</v>
      </c>
      <c r="C152" s="235" t="s">
        <v>720</v>
      </c>
      <c r="D152" s="236"/>
      <c r="E152" s="236" t="s">
        <v>150</v>
      </c>
      <c r="F152" s="236" t="s">
        <v>54</v>
      </c>
      <c r="G152" s="233">
        <v>39973</v>
      </c>
      <c r="H152" s="107"/>
      <c r="I152" s="107"/>
      <c r="J152" s="107"/>
      <c r="K152" s="107"/>
      <c r="L152" s="107"/>
    </row>
    <row r="153" spans="1:12" s="3" customFormat="1" ht="12.95" customHeight="1" x14ac:dyDescent="0.25">
      <c r="A153" s="234" t="s">
        <v>1020</v>
      </c>
      <c r="B153" s="235" t="s">
        <v>1021</v>
      </c>
      <c r="C153" s="235" t="s">
        <v>721</v>
      </c>
      <c r="D153" s="236"/>
      <c r="E153" s="236" t="s">
        <v>150</v>
      </c>
      <c r="F153" s="236" t="s">
        <v>53</v>
      </c>
      <c r="G153" s="233">
        <v>40039</v>
      </c>
      <c r="H153" s="107"/>
      <c r="I153" s="107"/>
      <c r="J153" s="107"/>
      <c r="K153" s="107"/>
      <c r="L153" s="107"/>
    </row>
    <row r="154" spans="1:12" s="3" customFormat="1" ht="12.95" customHeight="1" x14ac:dyDescent="0.25">
      <c r="A154" s="234" t="s">
        <v>233</v>
      </c>
      <c r="B154" s="235" t="s">
        <v>234</v>
      </c>
      <c r="C154" s="235" t="s">
        <v>680</v>
      </c>
      <c r="D154" s="236"/>
      <c r="E154" s="236" t="s">
        <v>150</v>
      </c>
      <c r="F154" s="236" t="s">
        <v>54</v>
      </c>
      <c r="G154" s="233">
        <v>40004</v>
      </c>
      <c r="H154" s="107"/>
      <c r="I154" s="107"/>
      <c r="J154" s="107"/>
      <c r="K154" s="107"/>
      <c r="L154" s="107"/>
    </row>
    <row r="155" spans="1:12" s="3" customFormat="1" ht="12.95" customHeight="1" x14ac:dyDescent="0.25">
      <c r="A155" s="234" t="s">
        <v>235</v>
      </c>
      <c r="B155" s="235" t="s">
        <v>236</v>
      </c>
      <c r="C155" s="235" t="s">
        <v>722</v>
      </c>
      <c r="D155" s="236"/>
      <c r="E155" s="236" t="s">
        <v>150</v>
      </c>
      <c r="F155" s="236" t="s">
        <v>54</v>
      </c>
      <c r="G155" s="233">
        <v>40023</v>
      </c>
      <c r="H155" s="107"/>
      <c r="I155" s="107"/>
      <c r="J155" s="107"/>
      <c r="K155" s="107"/>
      <c r="L155" s="107"/>
    </row>
    <row r="156" spans="1:12" s="3" customFormat="1" ht="12.95" customHeight="1" x14ac:dyDescent="0.25">
      <c r="A156" s="234" t="s">
        <v>237</v>
      </c>
      <c r="B156" s="235" t="s">
        <v>238</v>
      </c>
      <c r="C156" s="235" t="s">
        <v>723</v>
      </c>
      <c r="D156" s="236"/>
      <c r="E156" s="236" t="s">
        <v>150</v>
      </c>
      <c r="F156" s="236" t="s">
        <v>46</v>
      </c>
      <c r="G156" s="233">
        <v>40127</v>
      </c>
      <c r="H156" s="107"/>
      <c r="I156" s="107"/>
      <c r="J156" s="107"/>
      <c r="K156" s="107"/>
      <c r="L156" s="107"/>
    </row>
    <row r="157" spans="1:12" s="3" customFormat="1" ht="12.95" customHeight="1" x14ac:dyDescent="0.25">
      <c r="A157" s="234" t="s">
        <v>239</v>
      </c>
      <c r="B157" s="235" t="s">
        <v>240</v>
      </c>
      <c r="C157" s="235" t="s">
        <v>241</v>
      </c>
      <c r="D157" s="236"/>
      <c r="E157" s="236" t="s">
        <v>150</v>
      </c>
      <c r="F157" s="236" t="s">
        <v>55</v>
      </c>
      <c r="G157" s="233">
        <v>40088</v>
      </c>
      <c r="H157" s="107"/>
      <c r="I157" s="107"/>
      <c r="J157" s="107"/>
      <c r="K157" s="107"/>
      <c r="L157" s="107"/>
    </row>
    <row r="158" spans="1:12" s="3" customFormat="1" ht="12.95" customHeight="1" x14ac:dyDescent="0.25">
      <c r="A158" s="234" t="s">
        <v>750</v>
      </c>
      <c r="B158" s="235" t="s">
        <v>751</v>
      </c>
      <c r="C158" s="235" t="s">
        <v>752</v>
      </c>
      <c r="D158" s="236"/>
      <c r="E158" s="236" t="s">
        <v>150</v>
      </c>
      <c r="F158" s="236" t="s">
        <v>46</v>
      </c>
      <c r="G158" s="233">
        <v>42850</v>
      </c>
      <c r="H158" s="107"/>
      <c r="I158" s="107"/>
      <c r="J158" s="107"/>
      <c r="K158" s="107"/>
      <c r="L158" s="107"/>
    </row>
    <row r="159" spans="1:12" s="3" customFormat="1" ht="12.95" customHeight="1" x14ac:dyDescent="0.25">
      <c r="A159" s="234" t="s">
        <v>242</v>
      </c>
      <c r="B159" s="235" t="s">
        <v>243</v>
      </c>
      <c r="C159" s="235" t="s">
        <v>158</v>
      </c>
      <c r="D159" s="236"/>
      <c r="E159" s="236" t="s">
        <v>150</v>
      </c>
      <c r="F159" s="236" t="s">
        <v>45</v>
      </c>
      <c r="G159" s="233">
        <v>40158</v>
      </c>
      <c r="H159" s="107"/>
      <c r="I159" s="107"/>
      <c r="J159" s="107"/>
      <c r="K159" s="107"/>
      <c r="L159" s="107"/>
    </row>
    <row r="160" spans="1:12" s="3" customFormat="1" ht="12.95" customHeight="1" x14ac:dyDescent="0.25">
      <c r="A160" s="234" t="s">
        <v>1022</v>
      </c>
      <c r="B160" s="235" t="s">
        <v>244</v>
      </c>
      <c r="C160" s="235" t="s">
        <v>565</v>
      </c>
      <c r="D160" s="236"/>
      <c r="E160" s="236" t="s">
        <v>150</v>
      </c>
      <c r="F160" s="236" t="s">
        <v>46</v>
      </c>
      <c r="G160" s="233">
        <v>40162</v>
      </c>
      <c r="H160" s="107"/>
      <c r="I160" s="107"/>
      <c r="J160" s="107"/>
      <c r="K160" s="107"/>
      <c r="L160" s="107"/>
    </row>
    <row r="161" spans="1:12" s="3" customFormat="1" ht="12.95" customHeight="1" x14ac:dyDescent="0.25">
      <c r="A161" s="234" t="s">
        <v>245</v>
      </c>
      <c r="B161" s="235" t="s">
        <v>246</v>
      </c>
      <c r="C161" s="235" t="s">
        <v>681</v>
      </c>
      <c r="D161" s="236"/>
      <c r="E161" s="236" t="s">
        <v>150</v>
      </c>
      <c r="F161" s="236" t="s">
        <v>45</v>
      </c>
      <c r="G161" s="233">
        <v>40163</v>
      </c>
      <c r="H161" s="107"/>
      <c r="I161" s="107"/>
      <c r="J161" s="107"/>
      <c r="K161" s="107"/>
      <c r="L161" s="107"/>
    </row>
    <row r="162" spans="1:12" s="3" customFormat="1" ht="12.95" customHeight="1" x14ac:dyDescent="0.25">
      <c r="A162" s="234" t="s">
        <v>247</v>
      </c>
      <c r="B162" s="235" t="s">
        <v>248</v>
      </c>
      <c r="C162" s="235" t="s">
        <v>682</v>
      </c>
      <c r="D162" s="236"/>
      <c r="E162" s="236" t="s">
        <v>150</v>
      </c>
      <c r="F162" s="236" t="s">
        <v>53</v>
      </c>
      <c r="G162" s="233">
        <v>40249</v>
      </c>
      <c r="H162" s="107"/>
      <c r="I162" s="107"/>
      <c r="J162" s="107"/>
      <c r="K162" s="107"/>
      <c r="L162" s="107"/>
    </row>
    <row r="163" spans="1:12" s="3" customFormat="1" ht="12.95" customHeight="1" x14ac:dyDescent="0.25">
      <c r="A163" s="234" t="s">
        <v>249</v>
      </c>
      <c r="B163" s="235" t="s">
        <v>803</v>
      </c>
      <c r="C163" s="235" t="s">
        <v>928</v>
      </c>
      <c r="D163" s="236"/>
      <c r="E163" s="236" t="s">
        <v>150</v>
      </c>
      <c r="F163" s="236" t="s">
        <v>46</v>
      </c>
      <c r="G163" s="233">
        <v>40235</v>
      </c>
      <c r="H163" s="107"/>
      <c r="I163" s="107"/>
      <c r="J163" s="107"/>
      <c r="K163" s="107"/>
      <c r="L163" s="107"/>
    </row>
    <row r="164" spans="1:12" s="3" customFormat="1" ht="12.95" customHeight="1" x14ac:dyDescent="0.25">
      <c r="A164" s="234" t="s">
        <v>881</v>
      </c>
      <c r="B164" s="235" t="s">
        <v>882</v>
      </c>
      <c r="C164" s="235" t="s">
        <v>883</v>
      </c>
      <c r="D164" s="236"/>
      <c r="E164" s="236" t="s">
        <v>150</v>
      </c>
      <c r="F164" s="236" t="s">
        <v>21</v>
      </c>
      <c r="G164" s="233">
        <v>40246</v>
      </c>
      <c r="H164" s="107"/>
      <c r="I164" s="107"/>
      <c r="J164" s="107"/>
      <c r="K164" s="107"/>
      <c r="L164" s="107"/>
    </row>
    <row r="165" spans="1:12" s="3" customFormat="1" ht="12.95" customHeight="1" x14ac:dyDescent="0.25">
      <c r="A165" s="234" t="s">
        <v>250</v>
      </c>
      <c r="B165" s="235" t="s">
        <v>804</v>
      </c>
      <c r="C165" s="235" t="s">
        <v>251</v>
      </c>
      <c r="D165" s="236"/>
      <c r="E165" s="236" t="s">
        <v>150</v>
      </c>
      <c r="F165" s="236" t="s">
        <v>54</v>
      </c>
      <c r="G165" s="233">
        <v>40309</v>
      </c>
      <c r="H165" s="107"/>
      <c r="I165" s="107"/>
      <c r="J165" s="107"/>
      <c r="K165" s="107"/>
      <c r="L165" s="107"/>
    </row>
    <row r="166" spans="1:12" s="198" customFormat="1" ht="12.95" customHeight="1" x14ac:dyDescent="0.25">
      <c r="A166" s="234" t="s">
        <v>805</v>
      </c>
      <c r="B166" s="235" t="s">
        <v>806</v>
      </c>
      <c r="C166" s="235" t="s">
        <v>807</v>
      </c>
      <c r="D166" s="236"/>
      <c r="E166" s="236" t="s">
        <v>150</v>
      </c>
      <c r="F166" s="236" t="s">
        <v>53</v>
      </c>
      <c r="G166" s="237">
        <v>40885</v>
      </c>
      <c r="H166" s="107"/>
      <c r="I166" s="107"/>
      <c r="J166" s="107"/>
      <c r="K166" s="107"/>
      <c r="L166" s="107"/>
    </row>
    <row r="167" spans="1:12" s="3" customFormat="1" ht="12.95" customHeight="1" x14ac:dyDescent="0.25">
      <c r="A167" s="234" t="s">
        <v>901</v>
      </c>
      <c r="B167" s="235" t="s">
        <v>902</v>
      </c>
      <c r="C167" s="235" t="s">
        <v>903</v>
      </c>
      <c r="D167" s="236"/>
      <c r="E167" s="236" t="s">
        <v>150</v>
      </c>
      <c r="F167" s="236" t="s">
        <v>45</v>
      </c>
      <c r="G167" s="233">
        <v>40353</v>
      </c>
      <c r="H167" s="107"/>
      <c r="I167" s="107"/>
      <c r="J167" s="107"/>
      <c r="K167" s="107"/>
      <c r="L167" s="107"/>
    </row>
    <row r="168" spans="1:12" s="198" customFormat="1" ht="12.95" customHeight="1" x14ac:dyDescent="0.25">
      <c r="A168" s="234" t="s">
        <v>252</v>
      </c>
      <c r="B168" s="235" t="s">
        <v>253</v>
      </c>
      <c r="C168" s="235" t="s">
        <v>566</v>
      </c>
      <c r="E168" s="236" t="s">
        <v>150</v>
      </c>
      <c r="F168" s="236" t="s">
        <v>53</v>
      </c>
      <c r="G168" s="233">
        <v>40431</v>
      </c>
      <c r="H168" s="107"/>
      <c r="I168" s="107"/>
      <c r="J168" s="107"/>
      <c r="K168" s="107"/>
      <c r="L168" s="107"/>
    </row>
    <row r="169" spans="1:12" s="3" customFormat="1" ht="12.95" customHeight="1" x14ac:dyDescent="0.25">
      <c r="A169" s="234" t="s">
        <v>254</v>
      </c>
      <c r="B169" s="235" t="s">
        <v>255</v>
      </c>
      <c r="C169" s="235" t="s">
        <v>884</v>
      </c>
      <c r="D169" s="236"/>
      <c r="E169" s="236" t="s">
        <v>150</v>
      </c>
      <c r="F169" s="236" t="s">
        <v>48</v>
      </c>
      <c r="G169" s="233">
        <v>40359</v>
      </c>
      <c r="H169" s="107"/>
      <c r="I169" s="107"/>
      <c r="J169" s="107"/>
      <c r="K169" s="107"/>
      <c r="L169" s="107"/>
    </row>
    <row r="170" spans="1:12" s="3" customFormat="1" ht="12.95" customHeight="1" x14ac:dyDescent="0.25">
      <c r="A170" s="234" t="s">
        <v>929</v>
      </c>
      <c r="B170" s="235" t="s">
        <v>256</v>
      </c>
      <c r="C170" s="235" t="s">
        <v>151</v>
      </c>
      <c r="D170" s="236"/>
      <c r="E170" s="236" t="s">
        <v>150</v>
      </c>
      <c r="F170" s="236" t="s">
        <v>45</v>
      </c>
      <c r="G170" s="233">
        <v>40368</v>
      </c>
      <c r="H170" s="107"/>
      <c r="I170" s="107"/>
      <c r="J170" s="107"/>
      <c r="K170" s="107"/>
      <c r="L170" s="107"/>
    </row>
    <row r="171" spans="1:12" s="3" customFormat="1" ht="12.95" customHeight="1" x14ac:dyDescent="0.25">
      <c r="A171" s="234" t="s">
        <v>930</v>
      </c>
      <c r="B171" s="235" t="s">
        <v>1023</v>
      </c>
      <c r="C171" s="235" t="s">
        <v>257</v>
      </c>
      <c r="D171" s="236"/>
      <c r="E171" s="236" t="s">
        <v>150</v>
      </c>
      <c r="F171" s="236" t="s">
        <v>46</v>
      </c>
      <c r="G171" s="233">
        <v>40499</v>
      </c>
      <c r="H171" s="107"/>
      <c r="I171" s="107"/>
      <c r="J171" s="107"/>
      <c r="K171" s="107"/>
      <c r="L171" s="107"/>
    </row>
    <row r="172" spans="1:12" s="3" customFormat="1" ht="12.95" customHeight="1" x14ac:dyDescent="0.25">
      <c r="A172" s="234" t="s">
        <v>1024</v>
      </c>
      <c r="B172" s="235" t="s">
        <v>724</v>
      </c>
      <c r="C172" s="235" t="s">
        <v>258</v>
      </c>
      <c r="D172" s="236"/>
      <c r="E172" s="236" t="s">
        <v>150</v>
      </c>
      <c r="F172" s="236" t="s">
        <v>21</v>
      </c>
      <c r="G172" s="233">
        <v>40676</v>
      </c>
      <c r="H172" s="107"/>
      <c r="I172" s="107"/>
      <c r="J172" s="107"/>
      <c r="K172" s="107"/>
      <c r="L172" s="107"/>
    </row>
    <row r="173" spans="1:12" s="3" customFormat="1" ht="12.95" customHeight="1" x14ac:dyDescent="0.25">
      <c r="A173" s="234" t="s">
        <v>1025</v>
      </c>
      <c r="B173" s="235" t="s">
        <v>725</v>
      </c>
      <c r="C173" s="235" t="s">
        <v>753</v>
      </c>
      <c r="D173" s="236"/>
      <c r="E173" s="236" t="s">
        <v>150</v>
      </c>
      <c r="F173" s="236" t="s">
        <v>46</v>
      </c>
      <c r="G173" s="233">
        <v>42503</v>
      </c>
      <c r="H173" s="107"/>
      <c r="I173" s="107"/>
      <c r="J173" s="107"/>
      <c r="K173" s="107"/>
      <c r="L173" s="107"/>
    </row>
    <row r="174" spans="1:12" s="3" customFormat="1" ht="12.95" customHeight="1" x14ac:dyDescent="0.25">
      <c r="A174" s="234" t="s">
        <v>904</v>
      </c>
      <c r="B174" s="235" t="s">
        <v>905</v>
      </c>
      <c r="C174" s="235" t="s">
        <v>906</v>
      </c>
      <c r="D174" s="236"/>
      <c r="E174" s="236" t="s">
        <v>150</v>
      </c>
      <c r="F174" s="236" t="s">
        <v>54</v>
      </c>
      <c r="G174" s="233">
        <v>40571</v>
      </c>
      <c r="H174" s="107"/>
      <c r="I174" s="107"/>
      <c r="J174" s="107"/>
      <c r="K174" s="107"/>
      <c r="L174" s="107"/>
    </row>
    <row r="175" spans="1:12" s="198" customFormat="1" ht="12.95" customHeight="1" x14ac:dyDescent="0.25">
      <c r="A175" s="234" t="s">
        <v>259</v>
      </c>
      <c r="B175" s="235" t="s">
        <v>260</v>
      </c>
      <c r="C175" s="235" t="s">
        <v>156</v>
      </c>
      <c r="E175" s="236" t="s">
        <v>150</v>
      </c>
      <c r="F175" s="236" t="s">
        <v>59</v>
      </c>
      <c r="G175" s="233">
        <v>40568</v>
      </c>
      <c r="H175" s="107"/>
      <c r="I175" s="107"/>
      <c r="J175" s="107"/>
      <c r="K175" s="107"/>
      <c r="L175" s="107"/>
    </row>
    <row r="176" spans="1:12" s="3" customFormat="1" ht="12.95" customHeight="1" x14ac:dyDescent="0.25">
      <c r="A176" s="234" t="s">
        <v>1026</v>
      </c>
      <c r="B176" s="235" t="s">
        <v>261</v>
      </c>
      <c r="C176" s="235" t="s">
        <v>262</v>
      </c>
      <c r="D176" s="236"/>
      <c r="E176" s="236" t="s">
        <v>150</v>
      </c>
      <c r="F176" s="236" t="s">
        <v>53</v>
      </c>
      <c r="G176" s="233">
        <v>40626</v>
      </c>
      <c r="H176" s="107"/>
      <c r="I176" s="107"/>
      <c r="J176" s="107"/>
      <c r="K176" s="107"/>
      <c r="L176" s="107"/>
    </row>
    <row r="177" spans="1:12" s="3" customFormat="1" ht="12.95" customHeight="1" x14ac:dyDescent="0.25">
      <c r="A177" s="234" t="s">
        <v>263</v>
      </c>
      <c r="B177" s="235" t="s">
        <v>264</v>
      </c>
      <c r="C177" s="235" t="s">
        <v>265</v>
      </c>
      <c r="D177" s="236"/>
      <c r="E177" s="236" t="s">
        <v>150</v>
      </c>
      <c r="F177" s="236" t="s">
        <v>48</v>
      </c>
      <c r="G177" s="233">
        <v>40620</v>
      </c>
      <c r="H177" s="107"/>
      <c r="I177" s="107"/>
      <c r="J177" s="107"/>
      <c r="K177" s="107"/>
      <c r="L177" s="107"/>
    </row>
    <row r="178" spans="1:12" s="3" customFormat="1" ht="12.95" customHeight="1" x14ac:dyDescent="0.25">
      <c r="A178" s="234" t="s">
        <v>322</v>
      </c>
      <c r="B178" s="235" t="s">
        <v>323</v>
      </c>
      <c r="C178" s="235" t="s">
        <v>324</v>
      </c>
      <c r="D178" s="236"/>
      <c r="E178" s="236" t="s">
        <v>150</v>
      </c>
      <c r="F178" s="236" t="s">
        <v>54</v>
      </c>
      <c r="G178" s="233">
        <v>40634</v>
      </c>
      <c r="H178" s="107"/>
      <c r="I178" s="107"/>
      <c r="J178" s="107"/>
      <c r="K178" s="107"/>
      <c r="L178" s="107"/>
    </row>
    <row r="179" spans="1:12" s="3" customFormat="1" ht="12.95" customHeight="1" x14ac:dyDescent="0.25">
      <c r="A179" s="234" t="s">
        <v>963</v>
      </c>
      <c r="B179" s="235" t="s">
        <v>931</v>
      </c>
      <c r="C179" s="235" t="s">
        <v>754</v>
      </c>
      <c r="D179" s="236"/>
      <c r="E179" s="236" t="s">
        <v>150</v>
      </c>
      <c r="F179" s="236" t="s">
        <v>53</v>
      </c>
      <c r="G179" s="233">
        <v>40626</v>
      </c>
      <c r="H179" s="107"/>
      <c r="I179" s="107"/>
      <c r="J179" s="107"/>
      <c r="K179" s="107"/>
      <c r="L179" s="107"/>
    </row>
    <row r="180" spans="1:12" s="3" customFormat="1" ht="12.95" customHeight="1" x14ac:dyDescent="0.25">
      <c r="A180" s="234" t="s">
        <v>266</v>
      </c>
      <c r="B180" s="235" t="s">
        <v>267</v>
      </c>
      <c r="C180" s="235" t="s">
        <v>159</v>
      </c>
      <c r="D180" s="236"/>
      <c r="E180" s="236" t="s">
        <v>150</v>
      </c>
      <c r="F180" s="236" t="s">
        <v>21</v>
      </c>
      <c r="G180" s="233">
        <v>40724</v>
      </c>
      <c r="H180" s="107"/>
      <c r="I180" s="107"/>
      <c r="J180" s="107"/>
      <c r="K180" s="107"/>
      <c r="L180" s="107"/>
    </row>
    <row r="181" spans="1:12" s="198" customFormat="1" ht="12.95" customHeight="1" x14ac:dyDescent="0.25">
      <c r="A181" s="234" t="s">
        <v>268</v>
      </c>
      <c r="B181" s="235" t="s">
        <v>683</v>
      </c>
      <c r="C181" s="235" t="s">
        <v>269</v>
      </c>
      <c r="D181" s="236"/>
      <c r="E181" s="236" t="s">
        <v>150</v>
      </c>
      <c r="F181" s="236" t="s">
        <v>57</v>
      </c>
      <c r="G181" s="233">
        <v>40778</v>
      </c>
      <c r="H181" s="105"/>
      <c r="I181" s="105"/>
      <c r="J181" s="105"/>
      <c r="K181" s="105"/>
      <c r="L181" s="105"/>
    </row>
    <row r="182" spans="1:12" s="3" customFormat="1" ht="12.95" customHeight="1" x14ac:dyDescent="0.25">
      <c r="A182" s="234" t="s">
        <v>270</v>
      </c>
      <c r="B182" s="235" t="s">
        <v>271</v>
      </c>
      <c r="C182" s="235" t="s">
        <v>272</v>
      </c>
      <c r="D182" s="236"/>
      <c r="E182" s="236" t="s">
        <v>150</v>
      </c>
      <c r="F182" s="236" t="s">
        <v>53</v>
      </c>
      <c r="G182" s="233">
        <v>40806</v>
      </c>
      <c r="H182" s="107"/>
      <c r="I182" s="105"/>
      <c r="J182" s="106"/>
      <c r="K182" s="106"/>
      <c r="L182" s="105"/>
    </row>
    <row r="183" spans="1:12" s="3" customFormat="1" ht="12.95" customHeight="1" x14ac:dyDescent="0.25">
      <c r="A183" s="234" t="s">
        <v>273</v>
      </c>
      <c r="B183" s="235" t="s">
        <v>684</v>
      </c>
      <c r="C183" s="235" t="s">
        <v>685</v>
      </c>
      <c r="D183" s="236"/>
      <c r="E183" s="236" t="s">
        <v>150</v>
      </c>
      <c r="F183" s="236" t="s">
        <v>49</v>
      </c>
      <c r="G183" s="233">
        <v>40935</v>
      </c>
      <c r="H183" s="107"/>
      <c r="I183" s="105"/>
      <c r="J183" s="106"/>
      <c r="K183" s="106"/>
      <c r="L183" s="105"/>
    </row>
    <row r="184" spans="1:12" s="3" customFormat="1" ht="12.95" customHeight="1" x14ac:dyDescent="0.25">
      <c r="A184" s="234" t="s">
        <v>274</v>
      </c>
      <c r="B184" s="235" t="s">
        <v>275</v>
      </c>
      <c r="C184" s="235" t="s">
        <v>686</v>
      </c>
      <c r="D184" s="236"/>
      <c r="E184" s="236" t="s">
        <v>150</v>
      </c>
      <c r="F184" s="236" t="s">
        <v>52</v>
      </c>
      <c r="G184" s="233">
        <v>40850</v>
      </c>
      <c r="H184" s="107"/>
      <c r="I184" s="105"/>
      <c r="J184" s="106"/>
      <c r="K184" s="106"/>
      <c r="L184" s="105"/>
    </row>
    <row r="185" spans="1:12" s="3" customFormat="1" ht="12.95" customHeight="1" x14ac:dyDescent="0.25">
      <c r="A185" s="234" t="s">
        <v>885</v>
      </c>
      <c r="B185" s="235" t="s">
        <v>276</v>
      </c>
      <c r="C185" s="235" t="s">
        <v>687</v>
      </c>
      <c r="D185" s="236"/>
      <c r="E185" s="236" t="s">
        <v>150</v>
      </c>
      <c r="F185" s="236" t="s">
        <v>45</v>
      </c>
      <c r="G185" s="233">
        <v>40806</v>
      </c>
      <c r="H185" s="107"/>
      <c r="I185" s="105"/>
      <c r="J185" s="106"/>
      <c r="K185" s="106"/>
      <c r="L185" s="105"/>
    </row>
    <row r="186" spans="1:12" s="3" customFormat="1" ht="12.95" customHeight="1" x14ac:dyDescent="0.25">
      <c r="A186" s="234" t="s">
        <v>932</v>
      </c>
      <c r="B186" s="235" t="s">
        <v>933</v>
      </c>
      <c r="C186" s="235" t="s">
        <v>1027</v>
      </c>
      <c r="D186" s="236"/>
      <c r="E186" s="236" t="s">
        <v>150</v>
      </c>
      <c r="F186" s="236" t="s">
        <v>51</v>
      </c>
      <c r="G186" s="233">
        <v>40996</v>
      </c>
      <c r="H186" s="107"/>
      <c r="I186" s="105"/>
      <c r="J186" s="106"/>
      <c r="K186" s="106"/>
      <c r="L186" s="105"/>
    </row>
    <row r="187" spans="1:12" s="3" customFormat="1" ht="12.95" customHeight="1" x14ac:dyDescent="0.25">
      <c r="A187" s="234" t="s">
        <v>277</v>
      </c>
      <c r="B187" s="235" t="s">
        <v>278</v>
      </c>
      <c r="C187" s="235" t="s">
        <v>279</v>
      </c>
      <c r="D187" s="236"/>
      <c r="E187" s="236" t="s">
        <v>150</v>
      </c>
      <c r="F187" s="236" t="s">
        <v>46</v>
      </c>
      <c r="G187" s="233">
        <v>40844</v>
      </c>
      <c r="H187" s="107"/>
      <c r="I187" s="105"/>
      <c r="J187" s="106"/>
      <c r="K187" s="106"/>
      <c r="L187" s="105"/>
    </row>
    <row r="188" spans="1:12" s="3" customFormat="1" ht="12.95" customHeight="1" x14ac:dyDescent="0.25">
      <c r="A188" s="234" t="s">
        <v>934</v>
      </c>
      <c r="B188" s="235" t="s">
        <v>907</v>
      </c>
      <c r="C188" s="655" t="s">
        <v>908</v>
      </c>
      <c r="D188" s="656"/>
      <c r="E188" s="236" t="s">
        <v>150</v>
      </c>
      <c r="F188" s="236" t="s">
        <v>54</v>
      </c>
      <c r="G188" s="233">
        <v>40891</v>
      </c>
      <c r="H188" s="107"/>
      <c r="I188" s="105"/>
      <c r="J188" s="106"/>
      <c r="K188" s="106"/>
      <c r="L188" s="105"/>
    </row>
    <row r="189" spans="1:12" s="198" customFormat="1" ht="12.95" customHeight="1" x14ac:dyDescent="0.25">
      <c r="A189" s="234" t="s">
        <v>280</v>
      </c>
      <c r="B189" s="235" t="s">
        <v>281</v>
      </c>
      <c r="C189" s="655" t="s">
        <v>808</v>
      </c>
      <c r="D189" s="656"/>
      <c r="E189" s="236" t="s">
        <v>150</v>
      </c>
      <c r="F189" s="236" t="s">
        <v>53</v>
      </c>
      <c r="G189" s="233">
        <v>40968</v>
      </c>
      <c r="H189" s="107"/>
      <c r="I189" s="105"/>
      <c r="J189" s="106"/>
      <c r="K189" s="106"/>
      <c r="L189" s="105"/>
    </row>
    <row r="190" spans="1:12" s="3" customFormat="1" ht="12.95" customHeight="1" x14ac:dyDescent="0.25">
      <c r="A190" s="234" t="s">
        <v>282</v>
      </c>
      <c r="B190" s="235" t="s">
        <v>283</v>
      </c>
      <c r="C190" s="235" t="s">
        <v>284</v>
      </c>
      <c r="D190" s="236"/>
      <c r="E190" s="236" t="s">
        <v>150</v>
      </c>
      <c r="F190" s="236" t="s">
        <v>55</v>
      </c>
      <c r="G190" s="233">
        <v>41023</v>
      </c>
      <c r="H190" s="107"/>
      <c r="I190" s="105"/>
      <c r="J190" s="106"/>
      <c r="K190" s="106"/>
      <c r="L190" s="105"/>
    </row>
    <row r="191" spans="1:12" s="3" customFormat="1" ht="12.95" customHeight="1" x14ac:dyDescent="0.25">
      <c r="A191" s="234" t="s">
        <v>325</v>
      </c>
      <c r="B191" s="235" t="s">
        <v>326</v>
      </c>
      <c r="C191" s="235" t="s">
        <v>1028</v>
      </c>
      <c r="D191" s="236"/>
      <c r="E191" s="236" t="s">
        <v>150</v>
      </c>
      <c r="F191" s="236" t="s">
        <v>54</v>
      </c>
      <c r="G191" s="233">
        <v>41044</v>
      </c>
      <c r="H191" s="107"/>
      <c r="I191" s="105"/>
      <c r="J191" s="106"/>
      <c r="K191" s="106"/>
      <c r="L191" s="105"/>
    </row>
    <row r="192" spans="1:12" s="3" customFormat="1" ht="12.95" customHeight="1" x14ac:dyDescent="0.25">
      <c r="A192" s="234" t="s">
        <v>285</v>
      </c>
      <c r="B192" s="235" t="s">
        <v>688</v>
      </c>
      <c r="C192" s="235" t="s">
        <v>286</v>
      </c>
      <c r="D192" s="236"/>
      <c r="E192" s="236" t="s">
        <v>150</v>
      </c>
      <c r="F192" s="236" t="s">
        <v>54</v>
      </c>
      <c r="G192" s="233">
        <v>41033</v>
      </c>
      <c r="H192" s="107"/>
      <c r="I192" s="105"/>
      <c r="J192" s="106"/>
      <c r="K192" s="106"/>
      <c r="L192" s="105"/>
    </row>
    <row r="193" spans="1:12" s="3" customFormat="1" ht="12.95" customHeight="1" x14ac:dyDescent="0.25">
      <c r="A193" s="234" t="s">
        <v>327</v>
      </c>
      <c r="B193" s="235" t="s">
        <v>689</v>
      </c>
      <c r="C193" s="235" t="s">
        <v>809</v>
      </c>
      <c r="D193" s="236"/>
      <c r="E193" s="236" t="s">
        <v>150</v>
      </c>
      <c r="F193" s="236" t="s">
        <v>54</v>
      </c>
      <c r="G193" s="233">
        <v>41229</v>
      </c>
      <c r="H193" s="107"/>
      <c r="I193" s="105"/>
      <c r="J193" s="106"/>
      <c r="K193" s="106"/>
      <c r="L193" s="105"/>
    </row>
    <row r="194" spans="1:12" s="3" customFormat="1" ht="12.95" customHeight="1" x14ac:dyDescent="0.25">
      <c r="A194" s="234" t="s">
        <v>935</v>
      </c>
      <c r="B194" s="235" t="s">
        <v>287</v>
      </c>
      <c r="C194" s="235" t="s">
        <v>288</v>
      </c>
      <c r="D194" s="236"/>
      <c r="E194" s="236" t="s">
        <v>150</v>
      </c>
      <c r="F194" s="236" t="s">
        <v>52</v>
      </c>
      <c r="G194" s="233">
        <v>41250</v>
      </c>
      <c r="H194" s="107"/>
      <c r="I194" s="105"/>
      <c r="J194" s="106"/>
      <c r="K194" s="106"/>
      <c r="L194" s="105"/>
    </row>
    <row r="195" spans="1:12" s="3" customFormat="1" ht="12.95" customHeight="1" x14ac:dyDescent="0.25">
      <c r="A195" s="234" t="s">
        <v>328</v>
      </c>
      <c r="B195" s="235" t="s">
        <v>564</v>
      </c>
      <c r="C195" s="235" t="s">
        <v>567</v>
      </c>
      <c r="D195" s="236"/>
      <c r="E195" s="236" t="s">
        <v>150</v>
      </c>
      <c r="F195" s="236" t="s">
        <v>46</v>
      </c>
      <c r="G195" s="233">
        <v>41247</v>
      </c>
      <c r="H195" s="107"/>
      <c r="I195" s="105"/>
      <c r="J195" s="106"/>
      <c r="K195" s="106"/>
      <c r="L195" s="105"/>
    </row>
    <row r="196" spans="1:12" s="3" customFormat="1" ht="12.95" customHeight="1" x14ac:dyDescent="0.25">
      <c r="A196" s="234" t="s">
        <v>502</v>
      </c>
      <c r="B196" s="235" t="s">
        <v>503</v>
      </c>
      <c r="C196" s="235" t="s">
        <v>504</v>
      </c>
      <c r="D196" s="236"/>
      <c r="E196" s="236" t="s">
        <v>150</v>
      </c>
      <c r="F196" s="236" t="s">
        <v>57</v>
      </c>
      <c r="G196" s="233">
        <v>41359</v>
      </c>
      <c r="H196" s="107"/>
      <c r="I196" s="105"/>
      <c r="J196" s="106"/>
      <c r="K196" s="106"/>
      <c r="L196" s="105"/>
    </row>
    <row r="197" spans="1:12" s="3" customFormat="1" ht="12.95" customHeight="1" x14ac:dyDescent="0.25">
      <c r="A197" s="234" t="s">
        <v>534</v>
      </c>
      <c r="B197" s="235" t="s">
        <v>936</v>
      </c>
      <c r="C197" s="235" t="s">
        <v>886</v>
      </c>
      <c r="D197" s="236"/>
      <c r="E197" s="236" t="s">
        <v>535</v>
      </c>
      <c r="F197" s="236" t="s">
        <v>535</v>
      </c>
      <c r="G197" s="233">
        <v>41597</v>
      </c>
      <c r="H197" s="107"/>
      <c r="I197" s="105"/>
      <c r="J197" s="106"/>
      <c r="K197" s="106"/>
      <c r="L197" s="105"/>
    </row>
    <row r="198" spans="1:12" s="3" customFormat="1" ht="12.95" customHeight="1" x14ac:dyDescent="0.25">
      <c r="A198" s="234" t="s">
        <v>909</v>
      </c>
      <c r="B198" s="235" t="s">
        <v>910</v>
      </c>
      <c r="C198" s="235" t="s">
        <v>911</v>
      </c>
      <c r="D198" s="236"/>
      <c r="E198" s="236" t="s">
        <v>150</v>
      </c>
      <c r="F198" s="236" t="s">
        <v>46</v>
      </c>
      <c r="G198" s="233">
        <v>41968</v>
      </c>
      <c r="H198" s="107"/>
      <c r="I198" s="105"/>
      <c r="J198" s="106"/>
      <c r="K198" s="106"/>
      <c r="L198" s="105"/>
    </row>
    <row r="199" spans="1:12" s="198" customFormat="1" ht="12.95" customHeight="1" x14ac:dyDescent="0.25">
      <c r="A199" s="234" t="s">
        <v>937</v>
      </c>
      <c r="B199" s="235" t="s">
        <v>726</v>
      </c>
      <c r="C199" s="235" t="s">
        <v>536</v>
      </c>
      <c r="D199" s="236"/>
      <c r="E199" s="236" t="s">
        <v>60</v>
      </c>
      <c r="F199" s="236" t="s">
        <v>60</v>
      </c>
      <c r="G199" s="233">
        <v>41604</v>
      </c>
      <c r="H199" s="107"/>
      <c r="I199" s="105"/>
      <c r="J199" s="106"/>
      <c r="K199" s="106"/>
      <c r="L199" s="105"/>
    </row>
    <row r="200" spans="1:12" s="3" customFormat="1" ht="12.95" customHeight="1" x14ac:dyDescent="0.25">
      <c r="A200" s="234" t="s">
        <v>553</v>
      </c>
      <c r="B200" s="235" t="s">
        <v>554</v>
      </c>
      <c r="C200" s="235" t="s">
        <v>555</v>
      </c>
      <c r="D200" s="236"/>
      <c r="E200" s="236" t="s">
        <v>150</v>
      </c>
      <c r="F200" s="236" t="s">
        <v>54</v>
      </c>
      <c r="G200" s="233">
        <v>41689</v>
      </c>
      <c r="H200" s="107"/>
      <c r="I200" s="105"/>
      <c r="J200" s="106"/>
      <c r="K200" s="106"/>
      <c r="L200" s="105"/>
    </row>
    <row r="201" spans="1:12" s="3" customFormat="1" ht="12.95" customHeight="1" x14ac:dyDescent="0.25">
      <c r="A201" s="234" t="s">
        <v>557</v>
      </c>
      <c r="B201" s="235" t="s">
        <v>556</v>
      </c>
      <c r="C201" s="235" t="s">
        <v>558</v>
      </c>
      <c r="D201" s="236"/>
      <c r="E201" s="236" t="s">
        <v>150</v>
      </c>
      <c r="F201" s="236" t="s">
        <v>46</v>
      </c>
      <c r="G201" s="233">
        <v>41983</v>
      </c>
      <c r="H201" s="107"/>
      <c r="I201" s="105"/>
      <c r="J201" s="106"/>
      <c r="K201" s="106"/>
      <c r="L201" s="105"/>
    </row>
    <row r="202" spans="1:12" s="3" customFormat="1" ht="12.95" customHeight="1" x14ac:dyDescent="0.25">
      <c r="A202" s="234" t="s">
        <v>559</v>
      </c>
      <c r="B202" s="235" t="s">
        <v>560</v>
      </c>
      <c r="C202" s="235" t="s">
        <v>938</v>
      </c>
      <c r="D202" s="236"/>
      <c r="E202" s="236" t="s">
        <v>150</v>
      </c>
      <c r="F202" s="236" t="s">
        <v>53</v>
      </c>
      <c r="G202" s="233">
        <v>41802</v>
      </c>
      <c r="H202" s="107"/>
      <c r="I202" s="105"/>
      <c r="J202" s="106"/>
      <c r="K202" s="106"/>
      <c r="L202" s="105"/>
    </row>
    <row r="203" spans="1:12" s="3" customFormat="1" ht="12.95" customHeight="1" x14ac:dyDescent="0.25">
      <c r="A203" s="234" t="s">
        <v>561</v>
      </c>
      <c r="B203" s="235" t="s">
        <v>562</v>
      </c>
      <c r="C203" s="235" t="s">
        <v>563</v>
      </c>
      <c r="D203" s="236"/>
      <c r="E203" s="236" t="s">
        <v>60</v>
      </c>
      <c r="F203" s="236" t="s">
        <v>60</v>
      </c>
      <c r="G203" s="233">
        <v>41912</v>
      </c>
      <c r="H203" s="107"/>
      <c r="I203" s="105"/>
      <c r="J203" s="106"/>
      <c r="K203" s="106"/>
      <c r="L203" s="105"/>
    </row>
    <row r="204" spans="1:12" s="3" customFormat="1" ht="12.95" customHeight="1" x14ac:dyDescent="0.25">
      <c r="A204" s="234" t="s">
        <v>580</v>
      </c>
      <c r="B204" s="235" t="s">
        <v>582</v>
      </c>
      <c r="C204" s="235" t="s">
        <v>755</v>
      </c>
      <c r="D204" s="236"/>
      <c r="E204" s="236" t="s">
        <v>150</v>
      </c>
      <c r="F204" s="236" t="s">
        <v>54</v>
      </c>
      <c r="G204" s="233">
        <v>42992</v>
      </c>
      <c r="H204" s="107"/>
      <c r="I204" s="105"/>
      <c r="J204" s="106"/>
      <c r="K204" s="106"/>
      <c r="L204" s="105"/>
    </row>
    <row r="205" spans="1:12" s="3" customFormat="1" ht="12.95" customHeight="1" x14ac:dyDescent="0.25">
      <c r="A205" s="234" t="s">
        <v>581</v>
      </c>
      <c r="B205" s="235" t="s">
        <v>583</v>
      </c>
      <c r="C205" s="655" t="s">
        <v>584</v>
      </c>
      <c r="D205" s="656"/>
      <c r="E205" s="236" t="s">
        <v>150</v>
      </c>
      <c r="F205" s="236" t="s">
        <v>45</v>
      </c>
      <c r="G205" s="233">
        <v>42118</v>
      </c>
      <c r="H205" s="107"/>
      <c r="I205" s="105"/>
      <c r="J205" s="106"/>
      <c r="K205" s="106"/>
      <c r="L205" s="105"/>
    </row>
    <row r="206" spans="1:12" s="3" customFormat="1" ht="12.95" customHeight="1" x14ac:dyDescent="0.25">
      <c r="A206" s="234" t="s">
        <v>810</v>
      </c>
      <c r="B206" s="235" t="s">
        <v>811</v>
      </c>
      <c r="C206" s="235" t="s">
        <v>812</v>
      </c>
      <c r="D206" s="236"/>
      <c r="E206" s="236" t="s">
        <v>150</v>
      </c>
      <c r="F206" s="236" t="s">
        <v>45</v>
      </c>
      <c r="G206" s="233">
        <v>43070</v>
      </c>
      <c r="H206" s="107"/>
      <c r="I206" s="105"/>
      <c r="J206" s="106"/>
      <c r="K206" s="106"/>
      <c r="L206" s="105"/>
    </row>
    <row r="207" spans="1:12" s="3" customFormat="1" ht="12.95" customHeight="1" x14ac:dyDescent="0.25">
      <c r="A207" s="234" t="s">
        <v>662</v>
      </c>
      <c r="B207" s="235" t="s">
        <v>690</v>
      </c>
      <c r="C207" s="235" t="s">
        <v>691</v>
      </c>
      <c r="D207" s="236"/>
      <c r="E207" s="236" t="s">
        <v>60</v>
      </c>
      <c r="F207" s="236" t="s">
        <v>60</v>
      </c>
      <c r="G207" s="233">
        <v>42178</v>
      </c>
      <c r="H207" s="107"/>
      <c r="I207" s="105"/>
      <c r="J207" s="106"/>
      <c r="K207" s="106"/>
      <c r="L207" s="105"/>
    </row>
    <row r="208" spans="1:12" s="3" customFormat="1" ht="12.95" customHeight="1" x14ac:dyDescent="0.25">
      <c r="A208" s="234" t="s">
        <v>663</v>
      </c>
      <c r="B208" s="235" t="s">
        <v>692</v>
      </c>
      <c r="C208" s="235" t="s">
        <v>693</v>
      </c>
      <c r="D208" s="236"/>
      <c r="E208" s="236" t="s">
        <v>150</v>
      </c>
      <c r="F208" s="236" t="s">
        <v>46</v>
      </c>
      <c r="G208" s="233">
        <v>42290</v>
      </c>
      <c r="H208" s="107"/>
      <c r="I208" s="105"/>
      <c r="J208" s="106"/>
      <c r="K208" s="106"/>
      <c r="L208" s="105"/>
    </row>
    <row r="209" spans="1:12" s="3" customFormat="1" ht="12.95" customHeight="1" x14ac:dyDescent="0.25">
      <c r="A209" s="234" t="s">
        <v>939</v>
      </c>
      <c r="B209" s="235" t="s">
        <v>912</v>
      </c>
      <c r="C209" s="655" t="s">
        <v>913</v>
      </c>
      <c r="D209" s="656"/>
      <c r="E209" s="236" t="s">
        <v>150</v>
      </c>
      <c r="F209" s="236" t="s">
        <v>54</v>
      </c>
      <c r="G209" s="233">
        <v>42356</v>
      </c>
      <c r="H209" s="107"/>
      <c r="I209" s="105"/>
      <c r="J209" s="106"/>
      <c r="K209" s="106"/>
      <c r="L209" s="105"/>
    </row>
    <row r="210" spans="1:12" s="3" customFormat="1" ht="12.95" customHeight="1" x14ac:dyDescent="0.25">
      <c r="A210" s="234" t="s">
        <v>664</v>
      </c>
      <c r="B210" s="235" t="s">
        <v>1029</v>
      </c>
      <c r="C210" s="655" t="s">
        <v>940</v>
      </c>
      <c r="D210" s="656"/>
      <c r="E210" s="236" t="s">
        <v>150</v>
      </c>
      <c r="F210" s="236" t="s">
        <v>54</v>
      </c>
      <c r="G210" s="233">
        <v>42551</v>
      </c>
      <c r="H210" s="107"/>
      <c r="I210" s="105"/>
      <c r="J210" s="106"/>
      <c r="K210" s="106"/>
      <c r="L210" s="105"/>
    </row>
    <row r="211" spans="1:12" s="198" customFormat="1" ht="12.95" customHeight="1" x14ac:dyDescent="0.25">
      <c r="A211" s="234" t="s">
        <v>727</v>
      </c>
      <c r="B211" s="235" t="s">
        <v>728</v>
      </c>
      <c r="C211" s="235" t="s">
        <v>729</v>
      </c>
      <c r="D211" s="236"/>
      <c r="E211" s="236" t="s">
        <v>60</v>
      </c>
      <c r="F211" s="236" t="s">
        <v>60</v>
      </c>
      <c r="G211" s="233">
        <v>42486</v>
      </c>
      <c r="H211" s="107"/>
      <c r="I211" s="105"/>
      <c r="J211" s="106"/>
      <c r="K211" s="106"/>
      <c r="L211" s="105"/>
    </row>
    <row r="212" spans="1:12" s="3" customFormat="1" ht="12.95" customHeight="1" x14ac:dyDescent="0.25">
      <c r="A212" s="234" t="s">
        <v>941</v>
      </c>
      <c r="B212" s="235" t="s">
        <v>730</v>
      </c>
      <c r="C212" s="655" t="s">
        <v>813</v>
      </c>
      <c r="D212" s="656"/>
      <c r="E212" s="236" t="s">
        <v>150</v>
      </c>
      <c r="F212" s="236" t="s">
        <v>46</v>
      </c>
      <c r="G212" s="233">
        <v>42577</v>
      </c>
      <c r="H212" s="107"/>
      <c r="I212" s="105"/>
      <c r="J212" s="106"/>
      <c r="K212" s="106"/>
      <c r="L212" s="105"/>
    </row>
    <row r="213" spans="1:12" s="3" customFormat="1" ht="12.95" customHeight="1" x14ac:dyDescent="0.25">
      <c r="A213" s="234" t="s">
        <v>731</v>
      </c>
      <c r="B213" s="235" t="s">
        <v>732</v>
      </c>
      <c r="C213" s="235" t="s">
        <v>733</v>
      </c>
      <c r="D213" s="236"/>
      <c r="E213" s="236" t="s">
        <v>150</v>
      </c>
      <c r="F213" s="236" t="s">
        <v>59</v>
      </c>
      <c r="G213" s="233">
        <v>42542</v>
      </c>
      <c r="H213" s="107"/>
      <c r="I213" s="105"/>
      <c r="J213" s="106"/>
      <c r="K213" s="106"/>
      <c r="L213" s="105"/>
    </row>
    <row r="214" spans="1:12" s="3" customFormat="1" ht="12.95" customHeight="1" x14ac:dyDescent="0.25">
      <c r="A214" s="234" t="s">
        <v>734</v>
      </c>
      <c r="B214" s="235" t="s">
        <v>735</v>
      </c>
      <c r="C214" s="235" t="s">
        <v>736</v>
      </c>
      <c r="D214" s="236"/>
      <c r="E214" s="236" t="s">
        <v>150</v>
      </c>
      <c r="F214" s="236" t="s">
        <v>54</v>
      </c>
      <c r="G214" s="233">
        <v>42599</v>
      </c>
      <c r="H214" s="107"/>
      <c r="I214" s="105"/>
      <c r="J214" s="106"/>
      <c r="K214" s="106"/>
      <c r="L214" s="105"/>
    </row>
    <row r="215" spans="1:12" s="3" customFormat="1" ht="12.95" customHeight="1" x14ac:dyDescent="0.25">
      <c r="A215" s="234" t="s">
        <v>737</v>
      </c>
      <c r="B215" s="235" t="s">
        <v>738</v>
      </c>
      <c r="C215" s="235" t="s">
        <v>739</v>
      </c>
      <c r="D215" s="236"/>
      <c r="E215" s="236" t="s">
        <v>60</v>
      </c>
      <c r="F215" s="236" t="s">
        <v>60</v>
      </c>
      <c r="G215" s="233">
        <v>42607</v>
      </c>
      <c r="H215" s="107"/>
      <c r="I215" s="105"/>
      <c r="J215" s="106"/>
      <c r="K215" s="106"/>
      <c r="L215" s="105"/>
    </row>
    <row r="216" spans="1:12" s="3" customFormat="1" ht="12.95" customHeight="1" x14ac:dyDescent="0.25">
      <c r="A216" s="234" t="s">
        <v>942</v>
      </c>
      <c r="B216" s="235" t="s">
        <v>756</v>
      </c>
      <c r="C216" s="235" t="s">
        <v>757</v>
      </c>
      <c r="D216" s="236"/>
      <c r="E216" s="236" t="s">
        <v>150</v>
      </c>
      <c r="F216" s="236" t="s">
        <v>55</v>
      </c>
      <c r="G216" s="233">
        <v>42696</v>
      </c>
      <c r="H216" s="107"/>
      <c r="I216" s="105"/>
      <c r="J216" s="106"/>
      <c r="K216" s="106"/>
      <c r="L216" s="105"/>
    </row>
    <row r="217" spans="1:12" s="3" customFormat="1" ht="12.95" customHeight="1" x14ac:dyDescent="0.25">
      <c r="A217" s="234" t="s">
        <v>943</v>
      </c>
      <c r="B217" s="235" t="s">
        <v>914</v>
      </c>
      <c r="C217" s="655" t="s">
        <v>915</v>
      </c>
      <c r="D217" s="656"/>
      <c r="E217" s="236" t="s">
        <v>150</v>
      </c>
      <c r="F217" s="236" t="s">
        <v>54</v>
      </c>
      <c r="G217" s="233">
        <v>42668</v>
      </c>
      <c r="H217" s="107"/>
      <c r="I217" s="105"/>
      <c r="J217" s="106"/>
      <c r="K217" s="106"/>
      <c r="L217" s="105"/>
    </row>
    <row r="218" spans="1:12" s="3" customFormat="1" ht="12.95" customHeight="1" x14ac:dyDescent="0.25">
      <c r="A218" s="234" t="s">
        <v>887</v>
      </c>
      <c r="B218" s="235" t="s">
        <v>758</v>
      </c>
      <c r="C218" s="655" t="s">
        <v>759</v>
      </c>
      <c r="D218" s="656"/>
      <c r="E218" s="236" t="s">
        <v>150</v>
      </c>
      <c r="F218" s="236" t="s">
        <v>54</v>
      </c>
      <c r="G218" s="233">
        <v>42690</v>
      </c>
      <c r="H218" s="107"/>
      <c r="I218" s="105"/>
      <c r="J218" s="106"/>
      <c r="K218" s="106"/>
      <c r="L218" s="105"/>
    </row>
    <row r="219" spans="1:12" s="198" customFormat="1" ht="12.95" customHeight="1" x14ac:dyDescent="0.25">
      <c r="A219" s="234" t="s">
        <v>760</v>
      </c>
      <c r="B219" s="235" t="s">
        <v>761</v>
      </c>
      <c r="C219" s="655" t="s">
        <v>1030</v>
      </c>
      <c r="D219" s="656"/>
      <c r="E219" s="236" t="s">
        <v>150</v>
      </c>
      <c r="F219" s="236" t="s">
        <v>54</v>
      </c>
      <c r="G219" s="233">
        <v>42977</v>
      </c>
      <c r="H219" s="107"/>
      <c r="I219" s="105"/>
      <c r="J219" s="106"/>
      <c r="K219" s="106"/>
      <c r="L219" s="105"/>
    </row>
    <row r="220" spans="1:12" s="3" customFormat="1" ht="12.95" customHeight="1" x14ac:dyDescent="0.25">
      <c r="A220" s="234" t="s">
        <v>762</v>
      </c>
      <c r="B220" s="235" t="s">
        <v>763</v>
      </c>
      <c r="C220" s="235" t="s">
        <v>764</v>
      </c>
      <c r="D220" s="236"/>
      <c r="E220" s="236" t="s">
        <v>150</v>
      </c>
      <c r="F220" s="236" t="s">
        <v>58</v>
      </c>
      <c r="G220" s="233">
        <v>42724</v>
      </c>
      <c r="H220" s="107"/>
      <c r="I220" s="105"/>
      <c r="J220" s="106"/>
      <c r="K220" s="106"/>
      <c r="L220" s="105"/>
    </row>
    <row r="221" spans="1:12" s="3" customFormat="1" ht="12.95" customHeight="1" x14ac:dyDescent="0.25">
      <c r="A221" s="234" t="s">
        <v>765</v>
      </c>
      <c r="B221" s="235" t="s">
        <v>814</v>
      </c>
      <c r="C221" s="235" t="s">
        <v>766</v>
      </c>
      <c r="D221" s="236"/>
      <c r="E221" s="236" t="s">
        <v>60</v>
      </c>
      <c r="F221" s="236" t="s">
        <v>60</v>
      </c>
      <c r="G221" s="233">
        <v>42923</v>
      </c>
      <c r="H221" s="107"/>
      <c r="I221" s="105"/>
      <c r="J221" s="106"/>
      <c r="K221" s="106"/>
      <c r="L221" s="105"/>
    </row>
    <row r="222" spans="1:12" s="3" customFormat="1" ht="12.95" customHeight="1" x14ac:dyDescent="0.25">
      <c r="A222" s="234" t="s">
        <v>767</v>
      </c>
      <c r="B222" s="235" t="s">
        <v>768</v>
      </c>
      <c r="C222" s="235" t="s">
        <v>888</v>
      </c>
      <c r="D222" s="236"/>
      <c r="E222" s="236" t="s">
        <v>150</v>
      </c>
      <c r="F222" s="236" t="s">
        <v>45</v>
      </c>
      <c r="G222" s="233">
        <v>42915</v>
      </c>
      <c r="H222" s="107"/>
      <c r="I222" s="105"/>
      <c r="J222" s="106"/>
      <c r="K222" s="106"/>
      <c r="L222" s="105"/>
    </row>
    <row r="223" spans="1:12" s="3" customFormat="1" ht="12.95" customHeight="1" x14ac:dyDescent="0.25">
      <c r="A223" s="234" t="s">
        <v>769</v>
      </c>
      <c r="B223" s="235" t="s">
        <v>815</v>
      </c>
      <c r="C223" s="655" t="s">
        <v>770</v>
      </c>
      <c r="D223" s="656"/>
      <c r="E223" s="236" t="s">
        <v>60</v>
      </c>
      <c r="F223" s="236" t="s">
        <v>60</v>
      </c>
      <c r="G223" s="233">
        <v>42993</v>
      </c>
      <c r="H223" s="107"/>
      <c r="I223" s="105"/>
      <c r="J223" s="106"/>
      <c r="K223" s="106"/>
      <c r="L223" s="105"/>
    </row>
    <row r="224" spans="1:12" s="3" customFormat="1" ht="12.95" customHeight="1" x14ac:dyDescent="0.25">
      <c r="A224" s="234" t="s">
        <v>1031</v>
      </c>
      <c r="B224" s="235" t="s">
        <v>1032</v>
      </c>
      <c r="C224" s="235" t="s">
        <v>1033</v>
      </c>
      <c r="D224" s="236"/>
      <c r="E224" s="236" t="s">
        <v>150</v>
      </c>
      <c r="F224" s="236" t="s">
        <v>54</v>
      </c>
      <c r="G224" s="233">
        <v>44223</v>
      </c>
      <c r="H224" s="107"/>
      <c r="I224" s="105"/>
      <c r="J224" s="106"/>
      <c r="K224" s="106"/>
      <c r="L224" s="105"/>
    </row>
    <row r="225" spans="1:12" s="3" customFormat="1" ht="12.95" customHeight="1" x14ac:dyDescent="0.25">
      <c r="A225" s="234" t="s">
        <v>889</v>
      </c>
      <c r="B225" s="235" t="s">
        <v>890</v>
      </c>
      <c r="C225" s="235" t="s">
        <v>891</v>
      </c>
      <c r="D225" s="236"/>
      <c r="E225" s="236" t="s">
        <v>150</v>
      </c>
      <c r="F225" s="236" t="s">
        <v>48</v>
      </c>
      <c r="G225" s="233">
        <v>43362</v>
      </c>
      <c r="H225" s="107"/>
      <c r="I225" s="105"/>
      <c r="J225" s="106"/>
      <c r="K225" s="106"/>
      <c r="L225" s="105"/>
    </row>
    <row r="226" spans="1:12" s="3" customFormat="1" ht="12.95" customHeight="1" x14ac:dyDescent="0.25">
      <c r="A226" s="234" t="s">
        <v>816</v>
      </c>
      <c r="B226" s="235" t="s">
        <v>817</v>
      </c>
      <c r="C226" s="235" t="s">
        <v>818</v>
      </c>
      <c r="D226" s="236"/>
      <c r="E226" s="236" t="s">
        <v>150</v>
      </c>
      <c r="F226" s="236" t="s">
        <v>54</v>
      </c>
      <c r="G226" s="233">
        <v>43207</v>
      </c>
      <c r="H226" s="107"/>
      <c r="I226" s="105"/>
      <c r="J226" s="106"/>
      <c r="K226" s="106"/>
      <c r="L226" s="105"/>
    </row>
    <row r="227" spans="1:12" s="198" customFormat="1" ht="12.95" customHeight="1" x14ac:dyDescent="0.25">
      <c r="A227" s="234" t="s">
        <v>819</v>
      </c>
      <c r="B227" s="235" t="s">
        <v>820</v>
      </c>
      <c r="C227" s="235" t="s">
        <v>821</v>
      </c>
      <c r="D227" s="236"/>
      <c r="E227" s="236" t="s">
        <v>822</v>
      </c>
      <c r="F227" s="236" t="s">
        <v>822</v>
      </c>
      <c r="G227" s="233">
        <v>43070</v>
      </c>
      <c r="H227" s="105"/>
      <c r="I227" s="105"/>
      <c r="J227" s="106"/>
      <c r="K227" s="106"/>
      <c r="L227" s="105"/>
    </row>
    <row r="228" spans="1:12" s="198" customFormat="1" ht="12.95" customHeight="1" x14ac:dyDescent="0.25">
      <c r="A228" s="234" t="s">
        <v>944</v>
      </c>
      <c r="B228" s="235" t="s">
        <v>771</v>
      </c>
      <c r="C228" s="235" t="s">
        <v>772</v>
      </c>
      <c r="D228" s="236"/>
      <c r="E228" s="236" t="s">
        <v>150</v>
      </c>
      <c r="F228" s="236" t="s">
        <v>58</v>
      </c>
      <c r="G228" s="233">
        <v>43427</v>
      </c>
      <c r="H228" s="105"/>
      <c r="I228" s="105"/>
      <c r="J228" s="106"/>
      <c r="K228" s="106"/>
      <c r="L228" s="105"/>
    </row>
    <row r="229" spans="1:12" s="198" customFormat="1" ht="12.95" customHeight="1" x14ac:dyDescent="0.25">
      <c r="A229" s="234" t="s">
        <v>773</v>
      </c>
      <c r="B229" s="235" t="s">
        <v>823</v>
      </c>
      <c r="C229" s="655" t="s">
        <v>774</v>
      </c>
      <c r="D229" s="656"/>
      <c r="E229" s="236" t="s">
        <v>150</v>
      </c>
      <c r="F229" s="236" t="s">
        <v>53</v>
      </c>
      <c r="G229" s="233">
        <v>43063</v>
      </c>
      <c r="H229" s="105"/>
      <c r="I229" s="105"/>
      <c r="J229" s="106"/>
      <c r="K229" s="106"/>
      <c r="L229" s="105"/>
    </row>
    <row r="230" spans="1:12" s="198" customFormat="1" ht="12.95" customHeight="1" x14ac:dyDescent="0.25">
      <c r="A230" s="234" t="s">
        <v>1034</v>
      </c>
      <c r="B230" s="235" t="s">
        <v>824</v>
      </c>
      <c r="C230" s="235" t="s">
        <v>825</v>
      </c>
      <c r="D230" s="236"/>
      <c r="E230" s="236" t="s">
        <v>60</v>
      </c>
      <c r="F230" s="236" t="s">
        <v>60</v>
      </c>
      <c r="G230" s="233">
        <v>43235</v>
      </c>
      <c r="H230" s="105"/>
      <c r="I230" s="105"/>
      <c r="J230" s="106"/>
      <c r="K230" s="106"/>
      <c r="L230" s="105"/>
    </row>
    <row r="231" spans="1:12" s="198" customFormat="1" ht="12.95" customHeight="1" x14ac:dyDescent="0.25">
      <c r="A231" s="234" t="s">
        <v>826</v>
      </c>
      <c r="B231" s="235" t="s">
        <v>827</v>
      </c>
      <c r="C231" s="235" t="s">
        <v>828</v>
      </c>
      <c r="D231" s="236"/>
      <c r="E231" s="236" t="s">
        <v>150</v>
      </c>
      <c r="F231" s="236" t="s">
        <v>47</v>
      </c>
      <c r="G231" s="233">
        <v>43235</v>
      </c>
      <c r="H231" s="105"/>
      <c r="I231" s="105"/>
      <c r="J231" s="105"/>
      <c r="K231" s="105"/>
      <c r="L231" s="105"/>
    </row>
    <row r="232" spans="1:12" s="198" customFormat="1" ht="12.95" customHeight="1" x14ac:dyDescent="0.25">
      <c r="A232" s="234" t="s">
        <v>1035</v>
      </c>
      <c r="B232" s="235" t="s">
        <v>829</v>
      </c>
      <c r="C232" s="235" t="s">
        <v>830</v>
      </c>
      <c r="D232" s="236"/>
      <c r="E232" s="236" t="s">
        <v>60</v>
      </c>
      <c r="F232" s="236" t="s">
        <v>60</v>
      </c>
      <c r="G232" s="237">
        <v>43248</v>
      </c>
      <c r="H232" s="105"/>
      <c r="I232" s="105"/>
      <c r="J232" s="105"/>
      <c r="K232" s="105"/>
      <c r="L232" s="105"/>
    </row>
    <row r="233" spans="1:12" s="198" customFormat="1" ht="12.95" customHeight="1" x14ac:dyDescent="0.25">
      <c r="A233" s="234" t="s">
        <v>831</v>
      </c>
      <c r="B233" s="235" t="s">
        <v>832</v>
      </c>
      <c r="C233" s="235" t="s">
        <v>833</v>
      </c>
      <c r="D233" s="236"/>
      <c r="E233" s="236" t="s">
        <v>150</v>
      </c>
      <c r="F233" s="236" t="s">
        <v>57</v>
      </c>
      <c r="G233" s="233">
        <v>43258</v>
      </c>
      <c r="H233" s="105"/>
      <c r="I233" s="105"/>
      <c r="J233" s="105"/>
      <c r="K233" s="105"/>
      <c r="L233" s="105"/>
    </row>
    <row r="234" spans="1:12" s="198" customFormat="1" ht="12.95" customHeight="1" x14ac:dyDescent="0.25">
      <c r="A234" s="234" t="s">
        <v>834</v>
      </c>
      <c r="B234" s="235" t="s">
        <v>835</v>
      </c>
      <c r="C234" s="235" t="s">
        <v>836</v>
      </c>
      <c r="D234" s="236"/>
      <c r="E234" s="236" t="s">
        <v>150</v>
      </c>
      <c r="F234" s="236" t="s">
        <v>52</v>
      </c>
      <c r="G234" s="233">
        <v>43425</v>
      </c>
      <c r="H234" s="105"/>
      <c r="I234" s="105"/>
      <c r="J234" s="105"/>
      <c r="K234" s="105"/>
      <c r="L234" s="105"/>
    </row>
    <row r="235" spans="1:12" s="198" customFormat="1" ht="12.95" customHeight="1" x14ac:dyDescent="0.25">
      <c r="A235" s="234" t="s">
        <v>892</v>
      </c>
      <c r="B235" s="235" t="s">
        <v>893</v>
      </c>
      <c r="C235" s="235" t="s">
        <v>894</v>
      </c>
      <c r="D235" s="236"/>
      <c r="E235" s="236" t="s">
        <v>60</v>
      </c>
      <c r="F235" s="236" t="s">
        <v>60</v>
      </c>
      <c r="G235" s="233">
        <v>43641</v>
      </c>
      <c r="H235" s="105"/>
      <c r="I235" s="105"/>
      <c r="J235" s="105"/>
      <c r="K235" s="105"/>
      <c r="L235" s="105"/>
    </row>
    <row r="236" spans="1:12" s="198" customFormat="1" ht="12.95" customHeight="1" x14ac:dyDescent="0.25">
      <c r="A236" s="234" t="s">
        <v>945</v>
      </c>
      <c r="B236" s="235" t="s">
        <v>946</v>
      </c>
      <c r="C236" s="235" t="s">
        <v>947</v>
      </c>
      <c r="D236" s="236"/>
      <c r="E236" s="236" t="s">
        <v>150</v>
      </c>
      <c r="F236" s="236" t="s">
        <v>57</v>
      </c>
      <c r="G236" s="233">
        <v>43791</v>
      </c>
      <c r="H236" s="105"/>
      <c r="I236" s="105"/>
      <c r="J236" s="105"/>
      <c r="K236" s="105"/>
      <c r="L236" s="105"/>
    </row>
    <row r="237" spans="1:12" s="198" customFormat="1" ht="12.95" customHeight="1" x14ac:dyDescent="0.25">
      <c r="A237" s="234" t="s">
        <v>948</v>
      </c>
      <c r="B237" s="235" t="s">
        <v>949</v>
      </c>
      <c r="C237" s="235" t="s">
        <v>950</v>
      </c>
      <c r="D237" s="236"/>
      <c r="E237" s="236" t="s">
        <v>150</v>
      </c>
      <c r="F237" s="236" t="s">
        <v>46</v>
      </c>
      <c r="G237" s="233">
        <v>43756</v>
      </c>
      <c r="H237" s="105"/>
      <c r="I237" s="105"/>
      <c r="J237" s="105"/>
      <c r="K237" s="105"/>
      <c r="L237" s="105"/>
    </row>
    <row r="238" spans="1:12" s="198" customFormat="1" ht="12.95" customHeight="1" x14ac:dyDescent="0.25">
      <c r="A238" s="234" t="s">
        <v>951</v>
      </c>
      <c r="B238" s="235" t="s">
        <v>952</v>
      </c>
      <c r="C238" s="235" t="s">
        <v>953</v>
      </c>
      <c r="D238" s="236"/>
      <c r="E238" s="236" t="s">
        <v>150</v>
      </c>
      <c r="F238" s="236" t="s">
        <v>46</v>
      </c>
      <c r="G238" s="233">
        <v>43749</v>
      </c>
      <c r="H238" s="105"/>
      <c r="I238" s="105"/>
      <c r="J238" s="105"/>
      <c r="K238" s="105"/>
      <c r="L238" s="105"/>
    </row>
    <row r="239" spans="1:12" s="198" customFormat="1" ht="12.95" customHeight="1" x14ac:dyDescent="0.25">
      <c r="A239" s="234" t="s">
        <v>954</v>
      </c>
      <c r="B239" s="235" t="s">
        <v>955</v>
      </c>
      <c r="C239" s="235" t="s">
        <v>956</v>
      </c>
      <c r="D239" s="236"/>
      <c r="E239" s="236" t="s">
        <v>60</v>
      </c>
      <c r="F239" s="236" t="s">
        <v>60</v>
      </c>
      <c r="G239" s="233">
        <v>43756</v>
      </c>
      <c r="H239" s="105"/>
      <c r="I239" s="105"/>
      <c r="J239" s="105"/>
      <c r="K239" s="105"/>
      <c r="L239" s="105"/>
    </row>
    <row r="240" spans="1:12" s="198" customFormat="1" ht="12.95" customHeight="1" x14ac:dyDescent="0.25">
      <c r="A240" s="234" t="s">
        <v>957</v>
      </c>
      <c r="B240" s="235" t="s">
        <v>958</v>
      </c>
      <c r="C240" s="235" t="s">
        <v>959</v>
      </c>
      <c r="D240" s="236"/>
      <c r="E240" s="236" t="s">
        <v>535</v>
      </c>
      <c r="F240" s="236" t="s">
        <v>535</v>
      </c>
      <c r="G240" s="233">
        <v>43802</v>
      </c>
      <c r="H240" s="105"/>
      <c r="I240" s="105"/>
      <c r="J240" s="105"/>
      <c r="K240" s="105"/>
      <c r="L240" s="105"/>
    </row>
    <row r="241" spans="1:12" s="198" customFormat="1" ht="12.95" customHeight="1" x14ac:dyDescent="0.25">
      <c r="A241" s="234" t="s">
        <v>1036</v>
      </c>
      <c r="B241" s="235" t="s">
        <v>1037</v>
      </c>
      <c r="C241" s="235" t="s">
        <v>1038</v>
      </c>
      <c r="D241" s="236"/>
      <c r="E241" s="236" t="s">
        <v>150</v>
      </c>
      <c r="F241" s="236" t="s">
        <v>45</v>
      </c>
      <c r="G241" s="233">
        <v>44162</v>
      </c>
      <c r="H241" s="105"/>
      <c r="I241" s="105"/>
      <c r="J241" s="105"/>
      <c r="K241" s="105"/>
      <c r="L241" s="105"/>
    </row>
    <row r="242" spans="1:12" s="198" customFormat="1" ht="12.95" customHeight="1" x14ac:dyDescent="0.25">
      <c r="A242" s="234" t="s">
        <v>1039</v>
      </c>
      <c r="B242" s="235" t="s">
        <v>1040</v>
      </c>
      <c r="C242" s="235" t="s">
        <v>1041</v>
      </c>
      <c r="D242" s="236"/>
      <c r="E242" s="236" t="s">
        <v>150</v>
      </c>
      <c r="F242" s="236" t="s">
        <v>45</v>
      </c>
      <c r="G242" s="233">
        <v>44154</v>
      </c>
      <c r="H242" s="105"/>
      <c r="I242" s="105"/>
      <c r="J242" s="105"/>
      <c r="K242" s="105"/>
      <c r="L242" s="105"/>
    </row>
    <row r="243" spans="1:12" s="198" customFormat="1" ht="12.95" customHeight="1" x14ac:dyDescent="0.25">
      <c r="A243" s="234" t="s">
        <v>1042</v>
      </c>
      <c r="B243" s="235" t="s">
        <v>1043</v>
      </c>
      <c r="C243" s="235" t="s">
        <v>1044</v>
      </c>
      <c r="D243" s="236"/>
      <c r="E243" s="236" t="s">
        <v>150</v>
      </c>
      <c r="F243" s="236" t="s">
        <v>58</v>
      </c>
      <c r="G243" s="233">
        <v>43992</v>
      </c>
      <c r="H243" s="105"/>
      <c r="I243" s="105"/>
      <c r="J243" s="105"/>
      <c r="K243" s="105"/>
      <c r="L243" s="105"/>
    </row>
    <row r="244" spans="1:12" s="198" customFormat="1" ht="12.95" customHeight="1" x14ac:dyDescent="0.25">
      <c r="A244" s="234" t="s">
        <v>1045</v>
      </c>
      <c r="B244" s="235" t="s">
        <v>1046</v>
      </c>
      <c r="C244" s="235" t="s">
        <v>1047</v>
      </c>
      <c r="D244" s="236"/>
      <c r="E244" s="236" t="s">
        <v>150</v>
      </c>
      <c r="F244" s="236" t="s">
        <v>46</v>
      </c>
      <c r="G244" s="233">
        <v>44036</v>
      </c>
      <c r="H244" s="105"/>
      <c r="I244" s="105"/>
      <c r="J244" s="105"/>
      <c r="K244" s="105"/>
      <c r="L244" s="105"/>
    </row>
    <row r="245" spans="1:12" s="198" customFormat="1" ht="12.95" customHeight="1" x14ac:dyDescent="0.25">
      <c r="A245" s="234" t="s">
        <v>1048</v>
      </c>
      <c r="B245" s="235" t="s">
        <v>1049</v>
      </c>
      <c r="C245" s="235" t="s">
        <v>1050</v>
      </c>
      <c r="D245" s="236"/>
      <c r="E245" s="236" t="s">
        <v>150</v>
      </c>
      <c r="F245" s="236" t="s">
        <v>54</v>
      </c>
      <c r="G245" s="233">
        <v>44085</v>
      </c>
      <c r="H245" s="105"/>
      <c r="I245" s="105"/>
      <c r="J245" s="105"/>
      <c r="K245" s="105"/>
      <c r="L245" s="105"/>
    </row>
    <row r="246" spans="1:12" s="198" customFormat="1" ht="12.95" customHeight="1" x14ac:dyDescent="0.25">
      <c r="A246" s="234" t="s">
        <v>1051</v>
      </c>
      <c r="B246" s="235" t="s">
        <v>1052</v>
      </c>
      <c r="C246" s="235" t="s">
        <v>1053</v>
      </c>
      <c r="D246" s="236"/>
      <c r="E246" s="236" t="s">
        <v>150</v>
      </c>
      <c r="F246" s="236" t="s">
        <v>54</v>
      </c>
      <c r="G246" s="233">
        <v>44218</v>
      </c>
      <c r="H246" s="105"/>
      <c r="I246" s="105"/>
      <c r="J246" s="105"/>
      <c r="K246" s="105"/>
      <c r="L246" s="105"/>
    </row>
    <row r="247" spans="1:12" s="198" customFormat="1" ht="12.95" customHeight="1" x14ac:dyDescent="0.25">
      <c r="A247" s="234" t="s">
        <v>1054</v>
      </c>
      <c r="B247" s="235" t="s">
        <v>1055</v>
      </c>
      <c r="C247" s="235" t="s">
        <v>1056</v>
      </c>
      <c r="D247" s="236"/>
      <c r="E247" s="236" t="s">
        <v>60</v>
      </c>
      <c r="F247" s="236" t="s">
        <v>60</v>
      </c>
      <c r="G247" s="233">
        <v>44089</v>
      </c>
      <c r="H247" s="105"/>
      <c r="I247" s="105"/>
      <c r="J247" s="105"/>
      <c r="K247" s="105"/>
      <c r="L247" s="105"/>
    </row>
    <row r="248" spans="1:12" s="198" customFormat="1" ht="12.95" customHeight="1" x14ac:dyDescent="0.25">
      <c r="A248" s="234" t="s">
        <v>1057</v>
      </c>
      <c r="B248" s="235" t="s">
        <v>1058</v>
      </c>
      <c r="C248" s="235" t="s">
        <v>1059</v>
      </c>
      <c r="D248" s="236"/>
      <c r="E248" s="236" t="s">
        <v>150</v>
      </c>
      <c r="F248" s="236" t="s">
        <v>46</v>
      </c>
      <c r="G248" s="233">
        <v>44092</v>
      </c>
      <c r="H248" s="105"/>
      <c r="I248" s="105"/>
      <c r="J248" s="105"/>
      <c r="K248" s="105"/>
      <c r="L248" s="105"/>
    </row>
    <row r="249" spans="1:12" s="198" customFormat="1" ht="12.95" customHeight="1" x14ac:dyDescent="0.25">
      <c r="A249" s="234" t="s">
        <v>1060</v>
      </c>
      <c r="B249" s="235" t="s">
        <v>1061</v>
      </c>
      <c r="C249" s="235" t="s">
        <v>1062</v>
      </c>
      <c r="D249" s="236"/>
      <c r="E249" s="236" t="s">
        <v>150</v>
      </c>
      <c r="F249" s="236" t="s">
        <v>47</v>
      </c>
      <c r="G249" s="233">
        <v>44180</v>
      </c>
      <c r="H249" s="105"/>
      <c r="I249" s="105"/>
      <c r="J249" s="105"/>
      <c r="K249" s="105"/>
      <c r="L249" s="105"/>
    </row>
    <row r="250" spans="1:12" s="198" customFormat="1" ht="12.95" customHeight="1" x14ac:dyDescent="0.25">
      <c r="A250" s="234" t="s">
        <v>1063</v>
      </c>
      <c r="B250" s="235" t="s">
        <v>1064</v>
      </c>
      <c r="C250" s="235" t="s">
        <v>1065</v>
      </c>
      <c r="D250" s="236"/>
      <c r="E250" s="236" t="s">
        <v>150</v>
      </c>
      <c r="F250" s="236" t="s">
        <v>56</v>
      </c>
      <c r="G250" s="233">
        <v>44174</v>
      </c>
      <c r="H250" s="105"/>
      <c r="I250" s="105"/>
      <c r="J250" s="105"/>
      <c r="K250" s="105"/>
      <c r="L250" s="105"/>
    </row>
    <row r="251" spans="1:12" s="198" customFormat="1" ht="12.95" customHeight="1" x14ac:dyDescent="0.25">
      <c r="A251" s="234" t="s">
        <v>1066</v>
      </c>
      <c r="B251" s="235" t="s">
        <v>1067</v>
      </c>
      <c r="C251" s="235" t="s">
        <v>1068</v>
      </c>
      <c r="D251" s="236"/>
      <c r="E251" s="236" t="s">
        <v>150</v>
      </c>
      <c r="F251" s="236" t="s">
        <v>47</v>
      </c>
      <c r="G251" s="233">
        <v>44320</v>
      </c>
      <c r="H251" s="105"/>
      <c r="I251" s="105"/>
      <c r="J251" s="105"/>
      <c r="K251" s="105"/>
      <c r="L251" s="105"/>
    </row>
    <row r="252" spans="1:12" s="198" customFormat="1" ht="12.95" customHeight="1" x14ac:dyDescent="0.25">
      <c r="A252" s="234" t="s">
        <v>1069</v>
      </c>
      <c r="B252" s="235" t="s">
        <v>1070</v>
      </c>
      <c r="C252" s="235" t="s">
        <v>1071</v>
      </c>
      <c r="D252" s="236"/>
      <c r="E252" s="236" t="s">
        <v>150</v>
      </c>
      <c r="F252" s="236" t="s">
        <v>51</v>
      </c>
      <c r="G252" s="233">
        <v>44215</v>
      </c>
      <c r="H252" s="105"/>
      <c r="I252" s="105"/>
      <c r="J252" s="105"/>
      <c r="K252" s="105"/>
      <c r="L252" s="105"/>
    </row>
    <row r="253" spans="1:12" s="198" customFormat="1" ht="12.95" customHeight="1" x14ac:dyDescent="0.25">
      <c r="A253" s="234" t="s">
        <v>1072</v>
      </c>
      <c r="B253" s="235" t="s">
        <v>1073</v>
      </c>
      <c r="C253" s="235" t="s">
        <v>1074</v>
      </c>
      <c r="D253" s="236"/>
      <c r="E253" s="236" t="s">
        <v>150</v>
      </c>
      <c r="F253" s="236" t="s">
        <v>57</v>
      </c>
      <c r="G253" s="233">
        <v>44153</v>
      </c>
      <c r="H253" s="105"/>
      <c r="I253" s="105"/>
      <c r="J253" s="105"/>
      <c r="K253" s="105"/>
      <c r="L253" s="105"/>
    </row>
    <row r="254" spans="1:12" s="198" customFormat="1" ht="12.95" customHeight="1" x14ac:dyDescent="0.25">
      <c r="A254" s="234" t="s">
        <v>1075</v>
      </c>
      <c r="B254" s="235" t="s">
        <v>1076</v>
      </c>
      <c r="C254" s="235" t="s">
        <v>1077</v>
      </c>
      <c r="D254" s="236"/>
      <c r="E254" s="236" t="s">
        <v>150</v>
      </c>
      <c r="F254" s="236" t="s">
        <v>55</v>
      </c>
      <c r="G254" s="233">
        <v>44176</v>
      </c>
      <c r="H254" s="105"/>
      <c r="I254" s="105"/>
      <c r="J254" s="105"/>
      <c r="K254" s="105"/>
      <c r="L254" s="105"/>
    </row>
    <row r="255" spans="1:12" s="198" customFormat="1" ht="12.95" customHeight="1" x14ac:dyDescent="0.25">
      <c r="A255" s="234" t="s">
        <v>1078</v>
      </c>
      <c r="B255" s="235" t="s">
        <v>1079</v>
      </c>
      <c r="C255" s="235" t="s">
        <v>1080</v>
      </c>
      <c r="D255" s="236"/>
      <c r="E255" s="236" t="s">
        <v>150</v>
      </c>
      <c r="F255" s="236" t="s">
        <v>46</v>
      </c>
      <c r="G255" s="233">
        <v>44279</v>
      </c>
      <c r="H255" s="105"/>
      <c r="I255" s="105"/>
      <c r="J255" s="105"/>
      <c r="K255" s="105"/>
      <c r="L255" s="105"/>
    </row>
    <row r="256" spans="1:12" s="198" customFormat="1" ht="12.95" customHeight="1" x14ac:dyDescent="0.25">
      <c r="A256" s="234" t="s">
        <v>1081</v>
      </c>
      <c r="B256" s="235" t="s">
        <v>1082</v>
      </c>
      <c r="C256" s="235" t="s">
        <v>1083</v>
      </c>
      <c r="D256" s="236"/>
      <c r="E256" s="236" t="s">
        <v>150</v>
      </c>
      <c r="F256" s="236" t="s">
        <v>57</v>
      </c>
      <c r="G256" s="233">
        <v>44267</v>
      </c>
      <c r="H256" s="105"/>
      <c r="I256" s="105"/>
      <c r="J256" s="105"/>
      <c r="K256" s="105"/>
      <c r="L256" s="105"/>
    </row>
    <row r="257" spans="1:12" s="3" customFormat="1" ht="12.95" customHeight="1" x14ac:dyDescent="0.25">
      <c r="A257" s="238" t="s">
        <v>369</v>
      </c>
      <c r="B257" s="239" t="s">
        <v>429</v>
      </c>
      <c r="C257" s="239" t="s">
        <v>429</v>
      </c>
      <c r="D257" s="240" t="s">
        <v>429</v>
      </c>
      <c r="E257" s="240" t="s">
        <v>429</v>
      </c>
      <c r="F257" s="240" t="s">
        <v>429</v>
      </c>
      <c r="G257" s="237" t="s">
        <v>429</v>
      </c>
      <c r="H257" s="62"/>
      <c r="I257" s="54"/>
      <c r="J257" s="62"/>
      <c r="K257" s="62"/>
      <c r="L257" s="54"/>
    </row>
    <row r="258" spans="1:12" s="3" customFormat="1" ht="9.9499999999999993" customHeight="1" x14ac:dyDescent="0.25">
      <c r="A258" s="54"/>
      <c r="B258" s="54"/>
      <c r="C258" s="54"/>
      <c r="D258" s="129"/>
      <c r="E258" s="129"/>
      <c r="F258" s="54"/>
      <c r="G258" s="62"/>
      <c r="H258" s="62"/>
      <c r="I258" s="54"/>
      <c r="J258" s="62"/>
      <c r="K258" s="62"/>
      <c r="L258" s="54"/>
    </row>
    <row r="259" spans="1:12" s="3" customFormat="1" ht="9.9499999999999993" customHeight="1" x14ac:dyDescent="0.25">
      <c r="A259" s="54"/>
      <c r="B259" s="54"/>
      <c r="C259" s="54"/>
      <c r="D259" s="129"/>
      <c r="E259" s="129"/>
      <c r="F259" s="54"/>
      <c r="G259" s="62"/>
      <c r="H259" s="62"/>
      <c r="I259" s="54"/>
      <c r="J259" s="62"/>
      <c r="K259" s="62"/>
      <c r="L259" s="54"/>
    </row>
    <row r="260" spans="1:12" s="3" customFormat="1" ht="9.9499999999999993" customHeight="1" x14ac:dyDescent="0.25">
      <c r="A260" s="54"/>
      <c r="B260" s="54"/>
      <c r="C260" s="54"/>
      <c r="D260" s="129"/>
      <c r="E260" s="129"/>
      <c r="F260" s="54"/>
      <c r="G260" s="62"/>
      <c r="H260" s="62"/>
      <c r="I260" s="54"/>
      <c r="J260" s="62"/>
      <c r="K260" s="62"/>
      <c r="L260" s="54"/>
    </row>
    <row r="261" spans="1:12" s="3" customFormat="1" ht="9.9499999999999993" customHeight="1" x14ac:dyDescent="0.25">
      <c r="A261" s="54"/>
      <c r="B261" s="54"/>
      <c r="C261" s="54"/>
      <c r="D261" s="129"/>
      <c r="E261" s="129"/>
      <c r="F261" s="54"/>
      <c r="G261" s="62"/>
      <c r="H261" s="62"/>
      <c r="I261" s="54"/>
      <c r="J261" s="62"/>
      <c r="K261" s="62"/>
      <c r="L261" s="54"/>
    </row>
    <row r="262" spans="1:12" s="3" customFormat="1" ht="9.9499999999999993" customHeight="1" x14ac:dyDescent="0.25">
      <c r="A262" s="54"/>
      <c r="B262" s="54"/>
      <c r="C262" s="54"/>
      <c r="D262" s="129"/>
      <c r="E262" s="129"/>
      <c r="F262" s="54"/>
      <c r="G262" s="62"/>
      <c r="H262" s="62"/>
      <c r="I262" s="54"/>
      <c r="J262" s="62"/>
      <c r="K262" s="62"/>
      <c r="L262" s="54"/>
    </row>
    <row r="263" spans="1:12" s="3" customFormat="1" ht="9.9499999999999993" customHeight="1" x14ac:dyDescent="0.25">
      <c r="A263" s="54"/>
      <c r="B263" s="54"/>
      <c r="C263" s="54"/>
      <c r="D263" s="129"/>
      <c r="E263" s="129"/>
      <c r="F263" s="54"/>
      <c r="G263" s="62"/>
      <c r="H263" s="62"/>
      <c r="I263" s="54"/>
      <c r="J263" s="62"/>
      <c r="K263" s="62"/>
      <c r="L263" s="54"/>
    </row>
    <row r="264" spans="1:12" s="3" customFormat="1" ht="9.9499999999999993" customHeight="1" x14ac:dyDescent="0.25">
      <c r="A264" s="54"/>
      <c r="B264" s="54"/>
      <c r="C264" s="54"/>
      <c r="D264" s="129"/>
      <c r="E264" s="129"/>
      <c r="F264" s="54"/>
      <c r="G264" s="62"/>
      <c r="H264" s="62"/>
      <c r="I264" s="54"/>
      <c r="J264" s="62"/>
      <c r="K264" s="62"/>
      <c r="L264" s="54"/>
    </row>
    <row r="265" spans="1:12" ht="9.9499999999999993" customHeight="1" x14ac:dyDescent="0.25"/>
    <row r="266" spans="1:12" ht="9.9499999999999993" customHeight="1" x14ac:dyDescent="0.25"/>
    <row r="267" spans="1:12" ht="9.9499999999999993" customHeight="1" x14ac:dyDescent="0.25"/>
    <row r="268" spans="1:12" ht="9.9499999999999993" customHeight="1" x14ac:dyDescent="0.25"/>
    <row r="269" spans="1:12" ht="9.9499999999999993" customHeight="1" x14ac:dyDescent="0.25"/>
    <row r="270" spans="1:12" ht="9.9499999999999993" customHeight="1" x14ac:dyDescent="0.25"/>
    <row r="271" spans="1:12" ht="9.9499999999999993" customHeight="1" x14ac:dyDescent="0.25"/>
    <row r="272" spans="1:12" ht="9.9499999999999993" customHeight="1" x14ac:dyDescent="0.25"/>
    <row r="273" spans="1:12" ht="9.9499999999999993" customHeight="1" x14ac:dyDescent="0.25"/>
    <row r="274" spans="1:12" ht="9.9499999999999993" customHeight="1" x14ac:dyDescent="0.25"/>
    <row r="275" spans="1:12" ht="9.9499999999999993" customHeight="1" x14ac:dyDescent="0.25"/>
    <row r="276" spans="1:12" ht="9.9499999999999993" customHeight="1" x14ac:dyDescent="0.25"/>
    <row r="277" spans="1:12" ht="9.9499999999999993" customHeight="1" x14ac:dyDescent="0.25"/>
    <row r="278" spans="1:12" ht="9.9499999999999993" customHeight="1" x14ac:dyDescent="0.25"/>
    <row r="279" spans="1:12" ht="9.9499999999999993" customHeight="1" x14ac:dyDescent="0.25"/>
    <row r="280" spans="1:12" ht="9.9499999999999993" customHeight="1" x14ac:dyDescent="0.25"/>
    <row r="281" spans="1:12" s="3" customFormat="1" ht="9.9499999999999993" customHeight="1" x14ac:dyDescent="0.25">
      <c r="A281" s="54"/>
      <c r="B281" s="54"/>
      <c r="C281" s="54"/>
      <c r="D281" s="129"/>
      <c r="E281" s="129"/>
      <c r="F281" s="54"/>
      <c r="G281" s="62"/>
      <c r="H281" s="62"/>
      <c r="I281" s="54"/>
      <c r="J281" s="62"/>
      <c r="K281" s="62"/>
      <c r="L281" s="54"/>
    </row>
    <row r="282" spans="1:12" s="3" customFormat="1" ht="9.9499999999999993" customHeight="1" x14ac:dyDescent="0.25">
      <c r="A282" s="54"/>
      <c r="B282" s="54"/>
      <c r="C282" s="54"/>
      <c r="D282" s="129"/>
      <c r="E282" s="129"/>
      <c r="F282" s="54"/>
      <c r="G282" s="62"/>
      <c r="H282" s="62"/>
      <c r="I282" s="54"/>
      <c r="J282" s="62"/>
      <c r="K282" s="62"/>
      <c r="L282" s="54"/>
    </row>
    <row r="283" spans="1:12" s="3" customFormat="1" ht="9.9499999999999993" customHeight="1" x14ac:dyDescent="0.25">
      <c r="A283" s="54"/>
      <c r="B283" s="54"/>
      <c r="C283" s="54"/>
      <c r="D283" s="129"/>
      <c r="E283" s="129"/>
      <c r="F283" s="54"/>
      <c r="G283" s="62"/>
      <c r="H283" s="62"/>
      <c r="I283" s="54"/>
      <c r="J283" s="62"/>
      <c r="K283" s="62"/>
      <c r="L283" s="54"/>
    </row>
    <row r="284" spans="1:12" s="3" customFormat="1" ht="9.9499999999999993" customHeight="1" x14ac:dyDescent="0.25">
      <c r="A284" s="54"/>
      <c r="B284" s="54"/>
      <c r="C284" s="54"/>
      <c r="D284" s="129"/>
      <c r="E284" s="129"/>
      <c r="F284" s="54"/>
      <c r="G284" s="62"/>
      <c r="H284" s="62"/>
      <c r="I284" s="54"/>
      <c r="J284" s="62"/>
      <c r="K284" s="62"/>
      <c r="L284" s="54"/>
    </row>
    <row r="285" spans="1:12" s="3" customFormat="1" ht="9.9499999999999993" customHeight="1" x14ac:dyDescent="0.25">
      <c r="A285" s="54"/>
      <c r="B285" s="54"/>
      <c r="C285" s="54"/>
      <c r="D285" s="129"/>
      <c r="E285" s="129"/>
      <c r="F285" s="54"/>
      <c r="G285" s="62"/>
      <c r="H285" s="62"/>
      <c r="I285" s="54"/>
      <c r="J285" s="62"/>
      <c r="K285" s="62"/>
      <c r="L285" s="54"/>
    </row>
    <row r="286" spans="1:12" s="3" customFormat="1" ht="9.9499999999999993" customHeight="1" x14ac:dyDescent="0.25">
      <c r="A286" s="54"/>
      <c r="B286" s="54"/>
      <c r="C286" s="54"/>
      <c r="D286" s="129"/>
      <c r="E286" s="129"/>
      <c r="F286" s="54"/>
      <c r="G286" s="62"/>
      <c r="H286" s="62"/>
      <c r="I286" s="54"/>
      <c r="J286" s="62"/>
      <c r="K286" s="62"/>
      <c r="L286" s="54"/>
    </row>
    <row r="287" spans="1:12" s="3" customFormat="1" ht="9.9499999999999993" customHeight="1" x14ac:dyDescent="0.25">
      <c r="A287" s="54"/>
      <c r="B287" s="54"/>
      <c r="C287" s="54"/>
      <c r="D287" s="129"/>
      <c r="E287" s="129"/>
      <c r="F287" s="54"/>
      <c r="G287" s="62"/>
      <c r="H287" s="62"/>
      <c r="I287" s="54"/>
      <c r="J287" s="62"/>
      <c r="K287" s="62"/>
      <c r="L287" s="54"/>
    </row>
    <row r="288" spans="1:12" s="3" customFormat="1" ht="9.9499999999999993" customHeight="1" x14ac:dyDescent="0.25">
      <c r="A288" s="54"/>
      <c r="B288" s="54"/>
      <c r="C288" s="54"/>
      <c r="D288" s="129"/>
      <c r="E288" s="129"/>
      <c r="F288" s="54"/>
      <c r="G288" s="62"/>
      <c r="H288" s="62"/>
      <c r="I288" s="54"/>
      <c r="J288" s="62"/>
      <c r="K288" s="62"/>
      <c r="L288" s="54"/>
    </row>
    <row r="289" spans="1:12" s="3" customFormat="1" ht="9.9499999999999993" customHeight="1" x14ac:dyDescent="0.25">
      <c r="A289" s="54"/>
      <c r="B289" s="54"/>
      <c r="C289" s="54"/>
      <c r="D289" s="129"/>
      <c r="E289" s="129"/>
      <c r="F289" s="54"/>
      <c r="G289" s="62"/>
      <c r="H289" s="62"/>
      <c r="I289" s="54"/>
      <c r="J289" s="62"/>
      <c r="K289" s="62"/>
      <c r="L289" s="54"/>
    </row>
    <row r="290" spans="1:12" s="3" customFormat="1" ht="9.9499999999999993" customHeight="1" x14ac:dyDescent="0.25">
      <c r="A290" s="54"/>
      <c r="B290" s="54"/>
      <c r="C290" s="54"/>
      <c r="D290" s="129"/>
      <c r="E290" s="129"/>
      <c r="F290" s="54"/>
      <c r="G290" s="62"/>
      <c r="H290" s="62"/>
      <c r="I290" s="54"/>
      <c r="J290" s="62"/>
      <c r="K290" s="62"/>
      <c r="L290" s="54"/>
    </row>
    <row r="291" spans="1:12" s="3" customFormat="1" ht="9.9499999999999993" customHeight="1" x14ac:dyDescent="0.25">
      <c r="A291" s="54"/>
      <c r="B291" s="54"/>
      <c r="C291" s="54"/>
      <c r="D291" s="129"/>
      <c r="E291" s="129"/>
      <c r="F291" s="54"/>
      <c r="G291" s="62"/>
      <c r="H291" s="62"/>
      <c r="I291" s="54"/>
      <c r="J291" s="62"/>
      <c r="K291" s="62"/>
      <c r="L291" s="54"/>
    </row>
    <row r="292" spans="1:12" s="3" customFormat="1" ht="9.9499999999999993" customHeight="1" x14ac:dyDescent="0.25">
      <c r="A292" s="54"/>
      <c r="B292" s="54"/>
      <c r="C292" s="54"/>
      <c r="D292" s="129"/>
      <c r="E292" s="129"/>
      <c r="F292" s="54"/>
      <c r="G292" s="62"/>
      <c r="H292" s="62"/>
      <c r="I292" s="54"/>
      <c r="J292" s="62"/>
      <c r="K292" s="62"/>
      <c r="L292" s="54"/>
    </row>
    <row r="293" spans="1:12" s="3" customFormat="1" ht="9.9499999999999993" customHeight="1" x14ac:dyDescent="0.25">
      <c r="A293" s="54"/>
      <c r="B293" s="54"/>
      <c r="C293" s="54"/>
      <c r="D293" s="129"/>
      <c r="E293" s="129"/>
      <c r="F293" s="54"/>
      <c r="G293" s="62"/>
      <c r="H293" s="62"/>
      <c r="I293" s="54"/>
      <c r="J293" s="62"/>
      <c r="K293" s="62"/>
      <c r="L293" s="54"/>
    </row>
    <row r="294" spans="1:12" s="3" customFormat="1" ht="9.9499999999999993" customHeight="1" x14ac:dyDescent="0.25">
      <c r="A294" s="54"/>
      <c r="B294" s="54"/>
      <c r="C294" s="54"/>
      <c r="D294" s="129"/>
      <c r="E294" s="129"/>
      <c r="F294" s="54"/>
      <c r="G294" s="62"/>
      <c r="H294" s="62"/>
      <c r="I294" s="54"/>
      <c r="J294" s="62"/>
      <c r="K294" s="62"/>
      <c r="L294" s="54"/>
    </row>
    <row r="295" spans="1:12" s="3" customFormat="1" ht="9.9499999999999993" customHeight="1" x14ac:dyDescent="0.25">
      <c r="A295" s="54"/>
      <c r="B295" s="54"/>
      <c r="C295" s="54"/>
      <c r="D295" s="129"/>
      <c r="E295" s="129"/>
      <c r="F295" s="54"/>
      <c r="G295" s="62"/>
      <c r="H295" s="62"/>
      <c r="I295" s="54"/>
      <c r="J295" s="62"/>
      <c r="K295" s="62"/>
      <c r="L295" s="54"/>
    </row>
    <row r="296" spans="1:12" s="3" customFormat="1" ht="9.9499999999999993" customHeight="1" x14ac:dyDescent="0.25">
      <c r="A296" s="54"/>
      <c r="B296" s="54"/>
      <c r="C296" s="54"/>
      <c r="D296" s="129"/>
      <c r="E296" s="129"/>
      <c r="F296" s="54"/>
      <c r="G296" s="62"/>
      <c r="H296" s="62"/>
      <c r="I296" s="54"/>
      <c r="J296" s="62"/>
      <c r="K296" s="62"/>
      <c r="L296" s="54"/>
    </row>
    <row r="297" spans="1:12" s="3" customFormat="1" ht="9.9499999999999993" customHeight="1" x14ac:dyDescent="0.25">
      <c r="A297" s="54"/>
      <c r="B297" s="54"/>
      <c r="C297" s="54"/>
      <c r="D297" s="129"/>
      <c r="E297" s="129"/>
      <c r="F297" s="54"/>
      <c r="G297" s="62"/>
      <c r="H297" s="62"/>
      <c r="I297" s="54"/>
      <c r="J297" s="62"/>
      <c r="K297" s="62"/>
      <c r="L297" s="54"/>
    </row>
    <row r="298" spans="1:12" s="3" customFormat="1" ht="9.9499999999999993" customHeight="1" x14ac:dyDescent="0.25">
      <c r="A298" s="54"/>
      <c r="B298" s="54"/>
      <c r="C298" s="54"/>
      <c r="D298" s="129"/>
      <c r="E298" s="129"/>
      <c r="F298" s="54"/>
      <c r="G298" s="62"/>
      <c r="H298" s="62"/>
      <c r="I298" s="54"/>
      <c r="J298" s="62"/>
      <c r="K298" s="62"/>
      <c r="L298" s="54"/>
    </row>
    <row r="299" spans="1:12" s="3" customFormat="1" ht="9.9499999999999993" customHeight="1" x14ac:dyDescent="0.25">
      <c r="A299" s="54"/>
      <c r="B299" s="54"/>
      <c r="C299" s="54"/>
      <c r="D299" s="129"/>
      <c r="E299" s="129"/>
      <c r="F299" s="54"/>
      <c r="G299" s="62"/>
      <c r="H299" s="62"/>
      <c r="I299" s="54"/>
      <c r="J299" s="62"/>
      <c r="K299" s="62"/>
      <c r="L299" s="54"/>
    </row>
    <row r="300" spans="1:12" s="3" customFormat="1" ht="9.9499999999999993" customHeight="1" x14ac:dyDescent="0.25">
      <c r="A300" s="54"/>
      <c r="B300" s="54"/>
      <c r="C300" s="54"/>
      <c r="D300" s="129"/>
      <c r="E300" s="129"/>
      <c r="F300" s="54"/>
      <c r="G300" s="62"/>
      <c r="H300" s="62"/>
      <c r="I300" s="54"/>
      <c r="J300" s="62"/>
      <c r="K300" s="62"/>
      <c r="L300" s="54"/>
    </row>
    <row r="301" spans="1:12" s="3" customFormat="1" ht="9.9499999999999993" customHeight="1" x14ac:dyDescent="0.25">
      <c r="A301" s="54"/>
      <c r="B301" s="54"/>
      <c r="C301" s="54"/>
      <c r="D301" s="129"/>
      <c r="E301" s="129"/>
      <c r="F301" s="54"/>
      <c r="G301" s="62"/>
      <c r="H301" s="62"/>
      <c r="I301" s="54"/>
      <c r="J301" s="62"/>
      <c r="K301" s="62"/>
      <c r="L301" s="54"/>
    </row>
    <row r="302" spans="1:12" s="3" customFormat="1" ht="9.9499999999999993" customHeight="1" x14ac:dyDescent="0.25">
      <c r="A302" s="54"/>
      <c r="B302" s="54"/>
      <c r="C302" s="54"/>
      <c r="D302" s="129"/>
      <c r="E302" s="129"/>
      <c r="F302" s="54"/>
      <c r="G302" s="62"/>
      <c r="H302" s="62"/>
      <c r="I302" s="54"/>
      <c r="J302" s="62"/>
      <c r="K302" s="62"/>
      <c r="L302" s="54"/>
    </row>
    <row r="303" spans="1:12" s="3" customFormat="1" ht="9.9499999999999993" customHeight="1" x14ac:dyDescent="0.25">
      <c r="A303" s="54"/>
      <c r="B303" s="54"/>
      <c r="C303" s="54"/>
      <c r="D303" s="129"/>
      <c r="E303" s="129"/>
      <c r="F303" s="54"/>
      <c r="G303" s="62"/>
      <c r="H303" s="62"/>
      <c r="I303" s="54"/>
      <c r="J303" s="62"/>
      <c r="K303" s="62"/>
      <c r="L303" s="54"/>
    </row>
    <row r="304" spans="1:12" s="3" customFormat="1" ht="9.9499999999999993" customHeight="1" x14ac:dyDescent="0.25">
      <c r="A304" s="54"/>
      <c r="B304" s="54"/>
      <c r="C304" s="54"/>
      <c r="D304" s="129"/>
      <c r="E304" s="129"/>
      <c r="F304" s="54"/>
      <c r="G304" s="62"/>
      <c r="H304" s="62"/>
      <c r="I304" s="54"/>
      <c r="J304" s="62"/>
      <c r="K304" s="62"/>
      <c r="L304" s="54"/>
    </row>
    <row r="305" spans="1:12" s="3" customFormat="1" ht="9.9499999999999993" customHeight="1" x14ac:dyDescent="0.25">
      <c r="A305" s="54"/>
      <c r="B305" s="54"/>
      <c r="C305" s="54"/>
      <c r="D305" s="129"/>
      <c r="E305" s="129"/>
      <c r="F305" s="54"/>
      <c r="G305" s="62"/>
      <c r="H305" s="62"/>
      <c r="I305" s="54"/>
      <c r="J305" s="62"/>
      <c r="K305" s="62"/>
      <c r="L305" s="54"/>
    </row>
    <row r="306" spans="1:12" s="3" customFormat="1" ht="9.9499999999999993" customHeight="1" x14ac:dyDescent="0.25">
      <c r="A306" s="54"/>
      <c r="B306" s="54"/>
      <c r="C306" s="54"/>
      <c r="D306" s="129"/>
      <c r="E306" s="129"/>
      <c r="F306" s="54"/>
      <c r="G306" s="62"/>
      <c r="H306" s="62"/>
      <c r="I306" s="54"/>
      <c r="J306" s="62"/>
      <c r="K306" s="62"/>
      <c r="L306" s="54"/>
    </row>
    <row r="307" spans="1:12" s="3" customFormat="1" ht="9.9499999999999993" customHeight="1" x14ac:dyDescent="0.25">
      <c r="A307" s="54"/>
      <c r="B307" s="54"/>
      <c r="C307" s="54"/>
      <c r="D307" s="129"/>
      <c r="E307" s="129"/>
      <c r="F307" s="54"/>
      <c r="G307" s="62"/>
      <c r="H307" s="62"/>
      <c r="I307" s="54"/>
      <c r="J307" s="62"/>
      <c r="K307" s="62"/>
      <c r="L307" s="54"/>
    </row>
    <row r="308" spans="1:12" s="3" customFormat="1" ht="9.9499999999999993" customHeight="1" x14ac:dyDescent="0.25">
      <c r="A308" s="54"/>
      <c r="B308" s="54"/>
      <c r="C308" s="54"/>
      <c r="D308" s="129"/>
      <c r="E308" s="129"/>
      <c r="F308" s="54"/>
      <c r="G308" s="62"/>
      <c r="H308" s="62"/>
      <c r="I308" s="54"/>
      <c r="J308" s="62"/>
      <c r="K308" s="62"/>
      <c r="L308" s="54"/>
    </row>
    <row r="309" spans="1:12" s="3" customFormat="1" ht="9.9499999999999993" customHeight="1" x14ac:dyDescent="0.25">
      <c r="A309" s="54"/>
      <c r="B309" s="54"/>
      <c r="C309" s="54"/>
      <c r="D309" s="129"/>
      <c r="E309" s="129"/>
      <c r="F309" s="54"/>
      <c r="G309" s="62"/>
      <c r="H309" s="62"/>
      <c r="I309" s="54"/>
      <c r="J309" s="62"/>
      <c r="K309" s="62"/>
      <c r="L309" s="54"/>
    </row>
    <row r="310" spans="1:12" s="3" customFormat="1" ht="9.9499999999999993" customHeight="1" x14ac:dyDescent="0.25">
      <c r="A310" s="54"/>
      <c r="B310" s="54"/>
      <c r="C310" s="54"/>
      <c r="D310" s="129"/>
      <c r="E310" s="129"/>
      <c r="F310" s="54"/>
      <c r="G310" s="62"/>
      <c r="H310" s="62"/>
      <c r="I310" s="54"/>
      <c r="J310" s="62"/>
      <c r="K310" s="62"/>
      <c r="L310" s="54"/>
    </row>
    <row r="311" spans="1:12" s="3" customFormat="1" ht="9.9499999999999993" customHeight="1" x14ac:dyDescent="0.25">
      <c r="A311" s="54"/>
      <c r="B311" s="54"/>
      <c r="C311" s="54"/>
      <c r="D311" s="129"/>
      <c r="E311" s="129"/>
      <c r="F311" s="54"/>
      <c r="G311" s="62"/>
      <c r="H311" s="62"/>
      <c r="I311" s="54"/>
      <c r="J311" s="62"/>
      <c r="K311" s="62"/>
      <c r="L311" s="54"/>
    </row>
    <row r="312" spans="1:12" s="3" customFormat="1" ht="9.9499999999999993" customHeight="1" x14ac:dyDescent="0.25">
      <c r="A312" s="54"/>
      <c r="B312" s="54"/>
      <c r="C312" s="54"/>
      <c r="D312" s="129"/>
      <c r="E312" s="129"/>
      <c r="F312" s="54"/>
      <c r="G312" s="62"/>
      <c r="H312" s="62"/>
      <c r="I312" s="54"/>
      <c r="J312" s="62"/>
      <c r="K312" s="62"/>
      <c r="L312" s="54"/>
    </row>
    <row r="313" spans="1:12" s="3" customFormat="1" ht="9.9499999999999993" customHeight="1" x14ac:dyDescent="0.25">
      <c r="A313" s="54"/>
      <c r="B313" s="54"/>
      <c r="C313" s="54"/>
      <c r="D313" s="129"/>
      <c r="E313" s="129"/>
      <c r="F313" s="54"/>
      <c r="G313" s="62"/>
      <c r="H313" s="62"/>
      <c r="I313" s="54"/>
      <c r="J313" s="62"/>
      <c r="K313" s="62"/>
      <c r="L313" s="54"/>
    </row>
    <row r="314" spans="1:12" s="3" customFormat="1" ht="9.9499999999999993" customHeight="1" x14ac:dyDescent="0.25">
      <c r="A314" s="54"/>
      <c r="B314" s="54"/>
      <c r="C314" s="54"/>
      <c r="D314" s="129"/>
      <c r="E314" s="129"/>
      <c r="F314" s="54"/>
      <c r="G314" s="62"/>
      <c r="H314" s="62"/>
      <c r="I314" s="54"/>
      <c r="J314" s="62"/>
      <c r="K314" s="62"/>
      <c r="L314" s="54"/>
    </row>
    <row r="315" spans="1:12" s="3" customFormat="1" x14ac:dyDescent="0.25">
      <c r="A315" s="54"/>
      <c r="B315" s="54"/>
      <c r="C315" s="54"/>
      <c r="D315" s="129"/>
      <c r="E315" s="129"/>
      <c r="F315" s="54"/>
      <c r="G315" s="62"/>
      <c r="H315" s="62"/>
      <c r="I315" s="54"/>
      <c r="J315" s="62"/>
      <c r="K315" s="62"/>
      <c r="L315" s="54"/>
    </row>
    <row r="316" spans="1:12" s="3" customFormat="1" x14ac:dyDescent="0.25">
      <c r="A316" s="54"/>
      <c r="B316" s="54"/>
      <c r="C316" s="54"/>
      <c r="D316" s="129"/>
      <c r="E316" s="129"/>
      <c r="F316" s="54"/>
      <c r="G316" s="62"/>
      <c r="H316" s="62"/>
      <c r="I316" s="54"/>
      <c r="J316" s="62"/>
      <c r="K316" s="62"/>
      <c r="L316" s="54"/>
    </row>
    <row r="317" spans="1:12" s="3" customFormat="1" x14ac:dyDescent="0.25">
      <c r="A317" s="54"/>
      <c r="B317" s="54"/>
      <c r="C317" s="54"/>
      <c r="D317" s="129"/>
      <c r="E317" s="129"/>
      <c r="F317" s="54"/>
      <c r="G317" s="62"/>
      <c r="H317" s="62"/>
      <c r="I317" s="54"/>
      <c r="J317" s="62"/>
      <c r="K317" s="62"/>
      <c r="L317" s="54"/>
    </row>
    <row r="318" spans="1:12" s="3" customFormat="1" x14ac:dyDescent="0.25">
      <c r="A318" s="54"/>
      <c r="B318" s="54"/>
      <c r="C318" s="54"/>
      <c r="D318" s="129"/>
      <c r="E318" s="129"/>
      <c r="F318" s="54"/>
      <c r="G318" s="62"/>
      <c r="H318" s="62"/>
      <c r="I318" s="54"/>
      <c r="J318" s="62"/>
      <c r="K318" s="62"/>
      <c r="L318" s="54"/>
    </row>
    <row r="319" spans="1:12" s="3" customFormat="1" x14ac:dyDescent="0.25">
      <c r="A319" s="54"/>
      <c r="B319" s="54"/>
      <c r="C319" s="54"/>
      <c r="D319" s="129"/>
      <c r="E319" s="129"/>
      <c r="F319" s="54"/>
      <c r="G319" s="62"/>
      <c r="H319" s="62"/>
      <c r="I319" s="54"/>
      <c r="J319" s="62"/>
      <c r="K319" s="62"/>
      <c r="L319" s="54"/>
    </row>
    <row r="320" spans="1:12" s="3" customFormat="1" x14ac:dyDescent="0.25">
      <c r="A320" s="54"/>
      <c r="B320" s="54"/>
      <c r="C320" s="54"/>
      <c r="D320" s="129"/>
      <c r="E320" s="129"/>
      <c r="F320" s="54"/>
      <c r="G320" s="62"/>
      <c r="H320" s="62"/>
      <c r="I320" s="54"/>
      <c r="J320" s="62"/>
      <c r="K320" s="62"/>
      <c r="L320" s="54"/>
    </row>
    <row r="321" spans="1:12" s="3" customFormat="1" x14ac:dyDescent="0.25">
      <c r="A321" s="54"/>
      <c r="B321" s="54"/>
      <c r="C321" s="54"/>
      <c r="D321" s="129"/>
      <c r="E321" s="129"/>
      <c r="F321" s="54"/>
      <c r="G321" s="62"/>
      <c r="H321" s="62"/>
      <c r="I321" s="54"/>
      <c r="J321" s="62"/>
      <c r="K321" s="62"/>
      <c r="L321" s="54"/>
    </row>
    <row r="322" spans="1:12" s="3" customFormat="1" x14ac:dyDescent="0.25">
      <c r="A322" s="54"/>
      <c r="B322" s="54"/>
      <c r="C322" s="54"/>
      <c r="D322" s="129"/>
      <c r="E322" s="129"/>
      <c r="F322" s="54"/>
      <c r="G322" s="62"/>
      <c r="H322" s="62"/>
      <c r="I322" s="54"/>
      <c r="J322" s="62"/>
      <c r="K322" s="62"/>
      <c r="L322" s="54"/>
    </row>
    <row r="323" spans="1:12" s="3" customFormat="1" x14ac:dyDescent="0.25">
      <c r="A323" s="54"/>
      <c r="B323" s="54"/>
      <c r="C323" s="54"/>
      <c r="D323" s="129"/>
      <c r="E323" s="129"/>
      <c r="F323" s="54"/>
      <c r="G323" s="62"/>
      <c r="H323" s="62"/>
      <c r="I323" s="54"/>
      <c r="J323" s="62"/>
      <c r="K323" s="62"/>
      <c r="L323" s="54"/>
    </row>
    <row r="324" spans="1:12" s="3" customFormat="1" x14ac:dyDescent="0.25">
      <c r="A324" s="54"/>
      <c r="B324" s="54"/>
      <c r="C324" s="54"/>
      <c r="D324" s="129"/>
      <c r="E324" s="129"/>
      <c r="F324" s="54"/>
      <c r="G324" s="62"/>
      <c r="H324" s="62"/>
      <c r="I324" s="54"/>
      <c r="J324" s="62"/>
      <c r="K324" s="62"/>
      <c r="L324" s="54"/>
    </row>
    <row r="325" spans="1:12" s="3" customFormat="1" x14ac:dyDescent="0.25">
      <c r="A325" s="54"/>
      <c r="B325" s="54"/>
      <c r="C325" s="54"/>
      <c r="D325" s="129"/>
      <c r="E325" s="129"/>
      <c r="F325" s="54"/>
      <c r="G325" s="62"/>
      <c r="H325" s="62"/>
      <c r="I325" s="54"/>
      <c r="J325" s="62"/>
      <c r="K325" s="62"/>
      <c r="L325" s="54"/>
    </row>
    <row r="326" spans="1:12" s="3" customFormat="1" x14ac:dyDescent="0.25">
      <c r="A326" s="54"/>
      <c r="B326" s="54"/>
      <c r="C326" s="54"/>
      <c r="D326" s="129"/>
      <c r="E326" s="129"/>
      <c r="F326" s="54"/>
      <c r="G326" s="62"/>
      <c r="H326" s="62"/>
      <c r="I326" s="54"/>
      <c r="J326" s="62"/>
      <c r="K326" s="62"/>
      <c r="L326" s="54"/>
    </row>
    <row r="327" spans="1:12" s="3" customFormat="1" x14ac:dyDescent="0.25">
      <c r="A327" s="54"/>
      <c r="B327" s="54"/>
      <c r="C327" s="54"/>
      <c r="D327" s="129"/>
      <c r="E327" s="129"/>
      <c r="F327" s="54"/>
      <c r="G327" s="62"/>
      <c r="H327" s="62"/>
      <c r="I327" s="54"/>
      <c r="J327" s="62"/>
      <c r="K327" s="62"/>
      <c r="L327" s="54"/>
    </row>
    <row r="328" spans="1:12" s="3" customFormat="1" x14ac:dyDescent="0.25">
      <c r="A328" s="54"/>
      <c r="B328" s="54"/>
      <c r="C328" s="54"/>
      <c r="D328" s="129"/>
      <c r="E328" s="129"/>
      <c r="F328" s="54"/>
      <c r="G328" s="62"/>
      <c r="H328" s="62"/>
      <c r="I328" s="54"/>
      <c r="J328" s="62"/>
      <c r="K328" s="62"/>
      <c r="L328" s="54"/>
    </row>
    <row r="329" spans="1:12" s="3" customFormat="1" x14ac:dyDescent="0.25">
      <c r="A329" s="54"/>
      <c r="B329" s="54"/>
      <c r="C329" s="54"/>
      <c r="D329" s="129"/>
      <c r="E329" s="129"/>
      <c r="F329" s="54"/>
      <c r="G329" s="62"/>
      <c r="H329" s="62"/>
      <c r="I329" s="54"/>
      <c r="J329" s="62"/>
      <c r="K329" s="62"/>
      <c r="L329" s="54"/>
    </row>
    <row r="330" spans="1:12" s="3" customFormat="1" x14ac:dyDescent="0.25">
      <c r="A330" s="54"/>
      <c r="B330" s="54"/>
      <c r="C330" s="54"/>
      <c r="D330" s="129"/>
      <c r="E330" s="129"/>
      <c r="F330" s="54"/>
      <c r="G330" s="62"/>
      <c r="H330" s="62"/>
      <c r="I330" s="54"/>
      <c r="J330" s="62"/>
      <c r="K330" s="62"/>
      <c r="L330" s="54"/>
    </row>
    <row r="331" spans="1:12" s="3" customFormat="1" x14ac:dyDescent="0.25">
      <c r="A331" s="54"/>
      <c r="B331" s="54"/>
      <c r="C331" s="54"/>
      <c r="D331" s="129"/>
      <c r="E331" s="129"/>
      <c r="F331" s="54"/>
      <c r="G331" s="62"/>
      <c r="H331" s="62"/>
      <c r="I331" s="54"/>
      <c r="J331" s="62"/>
      <c r="K331" s="62"/>
      <c r="L331" s="54"/>
    </row>
    <row r="332" spans="1:12" s="3" customFormat="1" x14ac:dyDescent="0.25">
      <c r="A332" s="54"/>
      <c r="B332" s="54"/>
      <c r="C332" s="54"/>
      <c r="D332" s="129"/>
      <c r="E332" s="129"/>
      <c r="F332" s="54"/>
      <c r="G332" s="62"/>
      <c r="H332" s="62"/>
      <c r="I332" s="54"/>
      <c r="J332" s="62"/>
      <c r="K332" s="62"/>
      <c r="L332" s="54"/>
    </row>
    <row r="333" spans="1:12" s="3" customFormat="1" x14ac:dyDescent="0.25">
      <c r="A333" s="54"/>
      <c r="B333" s="54"/>
      <c r="C333" s="54"/>
      <c r="D333" s="129"/>
      <c r="E333" s="129"/>
      <c r="F333" s="54"/>
      <c r="G333" s="62"/>
      <c r="H333" s="62"/>
      <c r="I333" s="54"/>
      <c r="J333" s="62"/>
      <c r="K333" s="62"/>
      <c r="L333" s="54"/>
    </row>
    <row r="334" spans="1:12" s="3" customFormat="1" x14ac:dyDescent="0.25">
      <c r="A334" s="54"/>
      <c r="B334" s="54"/>
      <c r="C334" s="54"/>
      <c r="D334" s="129"/>
      <c r="E334" s="129"/>
      <c r="F334" s="54"/>
      <c r="G334" s="62"/>
      <c r="H334" s="62"/>
      <c r="I334" s="54"/>
      <c r="J334" s="62"/>
      <c r="K334" s="62"/>
      <c r="L334" s="54"/>
    </row>
    <row r="335" spans="1:12" s="3" customFormat="1" x14ac:dyDescent="0.25">
      <c r="A335" s="54"/>
      <c r="B335" s="54"/>
      <c r="C335" s="54"/>
      <c r="D335" s="129"/>
      <c r="E335" s="129"/>
      <c r="F335" s="54"/>
      <c r="G335" s="62"/>
      <c r="H335" s="62"/>
      <c r="I335" s="54"/>
      <c r="J335" s="62"/>
      <c r="K335" s="62"/>
      <c r="L335" s="54"/>
    </row>
    <row r="336" spans="1:12" s="3" customFormat="1" x14ac:dyDescent="0.25">
      <c r="A336" s="54"/>
      <c r="B336" s="54"/>
      <c r="C336" s="54"/>
      <c r="D336" s="129"/>
      <c r="E336" s="129"/>
      <c r="F336" s="54"/>
      <c r="G336" s="62"/>
      <c r="H336" s="62"/>
      <c r="I336" s="54"/>
      <c r="J336" s="62"/>
      <c r="K336" s="62"/>
      <c r="L336" s="54"/>
    </row>
    <row r="337" spans="1:12" s="3" customFormat="1" x14ac:dyDescent="0.25">
      <c r="A337" s="54"/>
      <c r="B337" s="54"/>
      <c r="C337" s="54"/>
      <c r="D337" s="129"/>
      <c r="E337" s="129"/>
      <c r="F337" s="54"/>
      <c r="G337" s="62"/>
      <c r="H337" s="62"/>
      <c r="I337" s="54"/>
      <c r="J337" s="62"/>
      <c r="K337" s="62"/>
      <c r="L337" s="54"/>
    </row>
    <row r="338" spans="1:12" s="3" customFormat="1" x14ac:dyDescent="0.25">
      <c r="A338" s="54"/>
      <c r="B338" s="54"/>
      <c r="C338" s="54"/>
      <c r="D338" s="129"/>
      <c r="E338" s="129"/>
      <c r="F338" s="54"/>
      <c r="G338" s="62"/>
      <c r="H338" s="62"/>
      <c r="I338" s="54"/>
      <c r="J338" s="62"/>
      <c r="K338" s="62"/>
      <c r="L338" s="54"/>
    </row>
    <row r="339" spans="1:12" s="3" customFormat="1" x14ac:dyDescent="0.25">
      <c r="A339" s="54"/>
      <c r="B339" s="54"/>
      <c r="C339" s="54"/>
      <c r="D339" s="129"/>
      <c r="E339" s="129"/>
      <c r="F339" s="54"/>
      <c r="G339" s="62"/>
      <c r="H339" s="62"/>
      <c r="I339" s="54"/>
      <c r="J339" s="62"/>
      <c r="K339" s="62"/>
      <c r="L339" s="54"/>
    </row>
    <row r="340" spans="1:12" s="3" customFormat="1" x14ac:dyDescent="0.25">
      <c r="A340" s="54"/>
      <c r="B340" s="54"/>
      <c r="C340" s="54"/>
      <c r="D340" s="129"/>
      <c r="E340" s="129"/>
      <c r="F340" s="54"/>
      <c r="G340" s="62"/>
      <c r="H340" s="62"/>
      <c r="I340" s="54"/>
      <c r="J340" s="62"/>
      <c r="K340" s="62"/>
      <c r="L340" s="54"/>
    </row>
    <row r="341" spans="1:12" s="3" customFormat="1" x14ac:dyDescent="0.25">
      <c r="A341" s="54"/>
      <c r="B341" s="54"/>
      <c r="C341" s="54"/>
      <c r="D341" s="129"/>
      <c r="E341" s="129"/>
      <c r="F341" s="54"/>
      <c r="G341" s="62"/>
      <c r="H341" s="62"/>
      <c r="I341" s="54"/>
      <c r="J341" s="62"/>
      <c r="K341" s="62"/>
      <c r="L341" s="54"/>
    </row>
    <row r="342" spans="1:12" s="3" customFormat="1" x14ac:dyDescent="0.25">
      <c r="A342" s="54"/>
      <c r="B342" s="54"/>
      <c r="C342" s="54"/>
      <c r="D342" s="129"/>
      <c r="E342" s="129"/>
      <c r="F342" s="54"/>
      <c r="G342" s="62"/>
      <c r="H342" s="62"/>
      <c r="I342" s="54"/>
      <c r="J342" s="62"/>
      <c r="K342" s="62"/>
      <c r="L342" s="54"/>
    </row>
    <row r="343" spans="1:12" s="3" customFormat="1" x14ac:dyDescent="0.25">
      <c r="A343" s="54"/>
      <c r="B343" s="54"/>
      <c r="C343" s="54"/>
      <c r="D343" s="129"/>
      <c r="E343" s="129"/>
      <c r="F343" s="54"/>
      <c r="G343" s="62"/>
      <c r="H343" s="62"/>
      <c r="I343" s="54"/>
      <c r="J343" s="62"/>
      <c r="K343" s="62"/>
      <c r="L343" s="54"/>
    </row>
    <row r="344" spans="1:12" s="3" customFormat="1" x14ac:dyDescent="0.25">
      <c r="A344" s="54"/>
      <c r="B344" s="54"/>
      <c r="C344" s="54"/>
      <c r="D344" s="129"/>
      <c r="E344" s="129"/>
      <c r="F344" s="54"/>
      <c r="G344" s="62"/>
      <c r="H344" s="62"/>
      <c r="I344" s="54"/>
      <c r="J344" s="62"/>
      <c r="K344" s="62"/>
      <c r="L344" s="54"/>
    </row>
    <row r="345" spans="1:12" s="3" customFormat="1" x14ac:dyDescent="0.25">
      <c r="A345" s="54"/>
      <c r="B345" s="54"/>
      <c r="C345" s="54"/>
      <c r="D345" s="129"/>
      <c r="E345" s="129"/>
      <c r="F345" s="54"/>
      <c r="G345" s="62"/>
      <c r="H345" s="62"/>
      <c r="I345" s="54"/>
      <c r="J345" s="62"/>
      <c r="K345" s="62"/>
      <c r="L345" s="54"/>
    </row>
    <row r="346" spans="1:12" s="3" customFormat="1" x14ac:dyDescent="0.25">
      <c r="A346" s="54"/>
      <c r="B346" s="54"/>
      <c r="C346" s="54"/>
      <c r="D346" s="129"/>
      <c r="E346" s="129"/>
      <c r="F346" s="54"/>
      <c r="G346" s="62"/>
      <c r="H346" s="62"/>
      <c r="I346" s="54"/>
      <c r="J346" s="62"/>
      <c r="K346" s="62"/>
      <c r="L346" s="54"/>
    </row>
    <row r="347" spans="1:12" s="3" customFormat="1" x14ac:dyDescent="0.25">
      <c r="A347" s="54"/>
      <c r="B347" s="54"/>
      <c r="C347" s="54"/>
      <c r="D347" s="129"/>
      <c r="E347" s="129"/>
      <c r="F347" s="54"/>
      <c r="G347" s="62"/>
      <c r="H347" s="62"/>
      <c r="I347" s="54"/>
      <c r="J347" s="62"/>
      <c r="K347" s="62"/>
      <c r="L347" s="54"/>
    </row>
    <row r="348" spans="1:12" s="3" customFormat="1" x14ac:dyDescent="0.25">
      <c r="A348" s="54"/>
      <c r="B348" s="54"/>
      <c r="C348" s="54"/>
      <c r="D348" s="129"/>
      <c r="E348" s="129"/>
      <c r="F348" s="54"/>
      <c r="G348" s="62"/>
      <c r="H348" s="62"/>
      <c r="I348" s="54"/>
      <c r="J348" s="62"/>
      <c r="K348" s="62"/>
      <c r="L348" s="54"/>
    </row>
    <row r="349" spans="1:12" s="3" customFormat="1" x14ac:dyDescent="0.25">
      <c r="A349" s="54"/>
      <c r="B349" s="54"/>
      <c r="C349" s="54"/>
      <c r="D349" s="129"/>
      <c r="E349" s="129"/>
      <c r="F349" s="54"/>
      <c r="G349" s="62"/>
      <c r="H349" s="62"/>
      <c r="I349" s="54"/>
      <c r="J349" s="62"/>
      <c r="K349" s="62"/>
      <c r="L349" s="54"/>
    </row>
    <row r="350" spans="1:12" s="3" customFormat="1" x14ac:dyDescent="0.25">
      <c r="A350" s="54"/>
      <c r="B350" s="54"/>
      <c r="C350" s="54"/>
      <c r="D350" s="129"/>
      <c r="E350" s="129"/>
      <c r="F350" s="54"/>
      <c r="G350" s="62"/>
      <c r="H350" s="62"/>
      <c r="I350" s="54"/>
      <c r="J350" s="62"/>
      <c r="K350" s="62"/>
      <c r="L350" s="54"/>
    </row>
    <row r="351" spans="1:12" s="3" customFormat="1" x14ac:dyDescent="0.25">
      <c r="A351" s="54"/>
      <c r="B351" s="54"/>
      <c r="C351" s="54"/>
      <c r="D351" s="129"/>
      <c r="E351" s="129"/>
      <c r="F351" s="54"/>
      <c r="G351" s="62"/>
      <c r="H351" s="62"/>
      <c r="I351" s="54"/>
      <c r="J351" s="62"/>
      <c r="K351" s="62"/>
      <c r="L351" s="54"/>
    </row>
    <row r="352" spans="1:12" s="3" customFormat="1" x14ac:dyDescent="0.25">
      <c r="A352" s="54"/>
      <c r="B352" s="54"/>
      <c r="C352" s="54"/>
      <c r="D352" s="129"/>
      <c r="E352" s="129"/>
      <c r="F352" s="54"/>
      <c r="G352" s="62"/>
      <c r="H352" s="62"/>
      <c r="I352" s="54"/>
      <c r="J352" s="62"/>
      <c r="K352" s="62"/>
      <c r="L352" s="54"/>
    </row>
    <row r="353" spans="1:12" s="3" customFormat="1" x14ac:dyDescent="0.25">
      <c r="A353" s="54"/>
      <c r="B353" s="54"/>
      <c r="C353" s="54"/>
      <c r="D353" s="129"/>
      <c r="E353" s="129"/>
      <c r="F353" s="54"/>
      <c r="G353" s="62"/>
      <c r="H353" s="62"/>
      <c r="I353" s="54"/>
      <c r="J353" s="62"/>
      <c r="K353" s="62"/>
      <c r="L353" s="54"/>
    </row>
    <row r="354" spans="1:12" s="3" customFormat="1" x14ac:dyDescent="0.25">
      <c r="A354" s="54"/>
      <c r="B354" s="54"/>
      <c r="C354" s="54"/>
      <c r="D354" s="129"/>
      <c r="E354" s="129"/>
      <c r="F354" s="54"/>
      <c r="G354" s="62"/>
      <c r="H354" s="62"/>
      <c r="I354" s="54"/>
      <c r="J354" s="62"/>
      <c r="K354" s="62"/>
      <c r="L354" s="54"/>
    </row>
    <row r="355" spans="1:12" s="3" customFormat="1" x14ac:dyDescent="0.25">
      <c r="A355" s="54"/>
      <c r="B355" s="54"/>
      <c r="C355" s="54"/>
      <c r="D355" s="129"/>
      <c r="E355" s="129"/>
      <c r="F355" s="54"/>
      <c r="G355" s="62"/>
      <c r="H355" s="62"/>
      <c r="I355" s="54"/>
      <c r="J355" s="62"/>
      <c r="K355" s="62"/>
      <c r="L355" s="54"/>
    </row>
    <row r="356" spans="1:12" s="3" customFormat="1" x14ac:dyDescent="0.25">
      <c r="A356" s="54"/>
      <c r="B356" s="54"/>
      <c r="C356" s="54"/>
      <c r="D356" s="129"/>
      <c r="E356" s="129"/>
      <c r="F356" s="54"/>
      <c r="G356" s="62"/>
      <c r="H356" s="62"/>
      <c r="I356" s="54"/>
      <c r="J356" s="62"/>
      <c r="K356" s="62"/>
      <c r="L356" s="54"/>
    </row>
    <row r="357" spans="1:12" s="3" customFormat="1" x14ac:dyDescent="0.25">
      <c r="A357" s="54"/>
      <c r="B357" s="54"/>
      <c r="C357" s="54"/>
      <c r="D357" s="129"/>
      <c r="E357" s="129"/>
      <c r="F357" s="54"/>
      <c r="G357" s="62"/>
      <c r="H357" s="62"/>
      <c r="I357" s="54"/>
      <c r="J357" s="62"/>
      <c r="K357" s="62"/>
      <c r="L357" s="54"/>
    </row>
    <row r="358" spans="1:12" s="3" customFormat="1" x14ac:dyDescent="0.25">
      <c r="A358" s="54"/>
      <c r="B358" s="54"/>
      <c r="C358" s="54"/>
      <c r="D358" s="129"/>
      <c r="E358" s="129"/>
      <c r="F358" s="54"/>
      <c r="G358" s="62"/>
      <c r="H358" s="62"/>
      <c r="I358" s="54"/>
      <c r="J358" s="62"/>
      <c r="K358" s="62"/>
      <c r="L358" s="54"/>
    </row>
    <row r="359" spans="1:12" s="3" customFormat="1" x14ac:dyDescent="0.25">
      <c r="A359" s="54"/>
      <c r="B359" s="54"/>
      <c r="C359" s="54"/>
      <c r="D359" s="129"/>
      <c r="E359" s="129"/>
      <c r="F359" s="54"/>
      <c r="G359" s="62"/>
      <c r="H359" s="62"/>
      <c r="I359" s="54"/>
      <c r="J359" s="62"/>
      <c r="K359" s="62"/>
      <c r="L359" s="54"/>
    </row>
    <row r="360" spans="1:12" s="3" customFormat="1" x14ac:dyDescent="0.25">
      <c r="A360" s="54"/>
      <c r="B360" s="54"/>
      <c r="C360" s="54"/>
      <c r="D360" s="129"/>
      <c r="E360" s="129"/>
      <c r="F360" s="54"/>
      <c r="G360" s="62"/>
      <c r="H360" s="62"/>
      <c r="I360" s="54"/>
      <c r="J360" s="62"/>
      <c r="K360" s="62"/>
      <c r="L360" s="54"/>
    </row>
    <row r="361" spans="1:12" s="3" customFormat="1" x14ac:dyDescent="0.25">
      <c r="A361" s="54"/>
      <c r="B361" s="54"/>
      <c r="C361" s="54"/>
      <c r="D361" s="129"/>
      <c r="E361" s="129"/>
      <c r="F361" s="54"/>
      <c r="G361" s="62"/>
      <c r="H361" s="62"/>
      <c r="I361" s="54"/>
      <c r="J361" s="62"/>
      <c r="K361" s="62"/>
      <c r="L361" s="54"/>
    </row>
    <row r="362" spans="1:12" s="3" customFormat="1" x14ac:dyDescent="0.25">
      <c r="A362" s="54"/>
      <c r="B362" s="54"/>
      <c r="C362" s="54"/>
      <c r="D362" s="129"/>
      <c r="E362" s="129"/>
      <c r="F362" s="54"/>
      <c r="G362" s="62"/>
      <c r="H362" s="62"/>
      <c r="I362" s="54"/>
      <c r="J362" s="62"/>
      <c r="K362" s="62"/>
      <c r="L362" s="54"/>
    </row>
    <row r="363" spans="1:12" s="3" customFormat="1" x14ac:dyDescent="0.25">
      <c r="A363" s="54"/>
      <c r="B363" s="54"/>
      <c r="C363" s="54"/>
      <c r="D363" s="129"/>
      <c r="E363" s="129"/>
      <c r="F363" s="54"/>
      <c r="G363" s="62"/>
      <c r="H363" s="62"/>
      <c r="I363" s="54"/>
      <c r="J363" s="62"/>
      <c r="K363" s="62"/>
      <c r="L363" s="54"/>
    </row>
    <row r="364" spans="1:12" s="3" customFormat="1" x14ac:dyDescent="0.25">
      <c r="A364" s="54"/>
      <c r="B364" s="54"/>
      <c r="C364" s="54"/>
      <c r="D364" s="129"/>
      <c r="E364" s="129"/>
      <c r="F364" s="54"/>
      <c r="G364" s="62"/>
      <c r="H364" s="62"/>
      <c r="I364" s="54"/>
      <c r="J364" s="62"/>
      <c r="K364" s="62"/>
      <c r="L364" s="54"/>
    </row>
    <row r="365" spans="1:12" s="3" customFormat="1" x14ac:dyDescent="0.25">
      <c r="A365" s="54"/>
      <c r="B365" s="54"/>
      <c r="C365" s="54"/>
      <c r="D365" s="129"/>
      <c r="E365" s="129"/>
      <c r="F365" s="54"/>
      <c r="G365" s="62"/>
      <c r="H365" s="62"/>
      <c r="I365" s="54"/>
      <c r="J365" s="62"/>
      <c r="K365" s="62"/>
      <c r="L365" s="54"/>
    </row>
    <row r="366" spans="1:12" s="3" customFormat="1" x14ac:dyDescent="0.25">
      <c r="A366" s="54"/>
      <c r="B366" s="54"/>
      <c r="C366" s="54"/>
      <c r="D366" s="129"/>
      <c r="E366" s="129"/>
      <c r="F366" s="54"/>
      <c r="G366" s="62"/>
      <c r="H366" s="62"/>
      <c r="I366" s="54"/>
      <c r="J366" s="62"/>
      <c r="K366" s="62"/>
      <c r="L366" s="54"/>
    </row>
    <row r="367" spans="1:12" s="3" customFormat="1" x14ac:dyDescent="0.25">
      <c r="A367" s="54"/>
      <c r="B367" s="54"/>
      <c r="C367" s="54"/>
      <c r="D367" s="129"/>
      <c r="E367" s="129"/>
      <c r="F367" s="54"/>
      <c r="G367" s="62"/>
      <c r="H367" s="62"/>
      <c r="I367" s="54"/>
      <c r="J367" s="62"/>
      <c r="K367" s="62"/>
      <c r="L367" s="54"/>
    </row>
    <row r="368" spans="1:12" s="3" customFormat="1" x14ac:dyDescent="0.25">
      <c r="A368" s="54"/>
      <c r="B368" s="54"/>
      <c r="C368" s="54"/>
      <c r="D368" s="129"/>
      <c r="E368" s="129"/>
      <c r="F368" s="54"/>
      <c r="G368" s="62"/>
      <c r="H368" s="62"/>
      <c r="I368" s="54"/>
      <c r="J368" s="62"/>
      <c r="K368" s="62"/>
      <c r="L368" s="54"/>
    </row>
    <row r="369" spans="1:12" s="3" customFormat="1" x14ac:dyDescent="0.25">
      <c r="A369" s="54"/>
      <c r="B369" s="54"/>
      <c r="C369" s="54"/>
      <c r="D369" s="129"/>
      <c r="E369" s="129"/>
      <c r="F369" s="54"/>
      <c r="G369" s="62"/>
      <c r="H369" s="62"/>
      <c r="I369" s="54"/>
      <c r="J369" s="62"/>
      <c r="K369" s="62"/>
      <c r="L369" s="54"/>
    </row>
    <row r="370" spans="1:12" s="3" customFormat="1" x14ac:dyDescent="0.25">
      <c r="A370" s="54"/>
      <c r="B370" s="54"/>
      <c r="C370" s="54"/>
      <c r="D370" s="129"/>
      <c r="E370" s="129"/>
      <c r="F370" s="54"/>
      <c r="G370" s="62"/>
      <c r="H370" s="62"/>
      <c r="I370" s="54"/>
      <c r="J370" s="62"/>
      <c r="K370" s="62"/>
      <c r="L370" s="54"/>
    </row>
    <row r="371" spans="1:12" s="3" customFormat="1" x14ac:dyDescent="0.25">
      <c r="A371" s="54"/>
      <c r="B371" s="54"/>
      <c r="C371" s="54"/>
      <c r="D371" s="129"/>
      <c r="E371" s="129"/>
      <c r="F371" s="54"/>
      <c r="G371" s="62"/>
      <c r="H371" s="62"/>
      <c r="I371" s="54"/>
      <c r="J371" s="62"/>
      <c r="K371" s="62"/>
      <c r="L371" s="54"/>
    </row>
    <row r="372" spans="1:12" s="3" customFormat="1" x14ac:dyDescent="0.25">
      <c r="A372" s="54"/>
      <c r="B372" s="54"/>
      <c r="C372" s="54"/>
      <c r="D372" s="129"/>
      <c r="E372" s="129"/>
      <c r="F372" s="54"/>
      <c r="G372" s="62"/>
      <c r="H372" s="62"/>
      <c r="I372" s="54"/>
      <c r="J372" s="62"/>
      <c r="K372" s="62"/>
      <c r="L372" s="54"/>
    </row>
    <row r="373" spans="1:12" s="3" customFormat="1" x14ac:dyDescent="0.25">
      <c r="A373" s="54"/>
      <c r="B373" s="54"/>
      <c r="C373" s="54"/>
      <c r="D373" s="129"/>
      <c r="E373" s="129"/>
      <c r="F373" s="54"/>
      <c r="G373" s="62"/>
      <c r="H373" s="62"/>
      <c r="I373" s="54"/>
      <c r="J373" s="62"/>
      <c r="K373" s="62"/>
      <c r="L373" s="54"/>
    </row>
    <row r="374" spans="1:12" s="3" customFormat="1" x14ac:dyDescent="0.25">
      <c r="A374" s="54"/>
      <c r="B374" s="54"/>
      <c r="C374" s="54"/>
      <c r="D374" s="129"/>
      <c r="E374" s="129"/>
      <c r="F374" s="54"/>
      <c r="G374" s="62"/>
      <c r="H374" s="62"/>
      <c r="I374" s="54"/>
      <c r="J374" s="62"/>
      <c r="K374" s="62"/>
      <c r="L374" s="54"/>
    </row>
    <row r="375" spans="1:12" s="3" customFormat="1" x14ac:dyDescent="0.25">
      <c r="A375" s="54"/>
      <c r="B375" s="54"/>
      <c r="C375" s="54"/>
      <c r="D375" s="129"/>
      <c r="E375" s="129"/>
      <c r="F375" s="54"/>
      <c r="G375" s="62"/>
      <c r="H375" s="62"/>
      <c r="I375" s="54"/>
      <c r="J375" s="62"/>
      <c r="K375" s="62"/>
      <c r="L375" s="54"/>
    </row>
    <row r="376" spans="1:12" s="3" customFormat="1" x14ac:dyDescent="0.25">
      <c r="A376" s="54"/>
      <c r="B376" s="54"/>
      <c r="C376" s="54"/>
      <c r="D376" s="129"/>
      <c r="E376" s="129"/>
      <c r="F376" s="54"/>
      <c r="G376" s="62"/>
      <c r="H376" s="62"/>
      <c r="I376" s="54"/>
      <c r="J376" s="62"/>
      <c r="K376" s="62"/>
      <c r="L376" s="54"/>
    </row>
    <row r="377" spans="1:12" s="3" customFormat="1" x14ac:dyDescent="0.25">
      <c r="A377" s="54"/>
      <c r="B377" s="54"/>
      <c r="C377" s="54"/>
      <c r="D377" s="129"/>
      <c r="E377" s="129"/>
      <c r="F377" s="54"/>
      <c r="G377" s="62"/>
      <c r="H377" s="62"/>
      <c r="I377" s="54"/>
      <c r="J377" s="62"/>
      <c r="K377" s="62"/>
      <c r="L377" s="54"/>
    </row>
    <row r="378" spans="1:12" s="3" customFormat="1" x14ac:dyDescent="0.25">
      <c r="A378" s="54"/>
      <c r="B378" s="54"/>
      <c r="C378" s="54"/>
      <c r="D378" s="129"/>
      <c r="E378" s="129"/>
      <c r="F378" s="54"/>
      <c r="G378" s="62"/>
      <c r="H378" s="62"/>
      <c r="I378" s="54"/>
      <c r="J378" s="62"/>
      <c r="K378" s="62"/>
      <c r="L378" s="54"/>
    </row>
    <row r="379" spans="1:12" s="3" customFormat="1" x14ac:dyDescent="0.25">
      <c r="A379" s="54"/>
      <c r="B379" s="54"/>
      <c r="C379" s="54"/>
      <c r="D379" s="129"/>
      <c r="E379" s="129"/>
      <c r="F379" s="54"/>
      <c r="G379" s="62"/>
      <c r="H379" s="62"/>
      <c r="I379" s="54"/>
      <c r="J379" s="62"/>
      <c r="K379" s="62"/>
      <c r="L379" s="54"/>
    </row>
    <row r="380" spans="1:12" s="3" customFormat="1" x14ac:dyDescent="0.25">
      <c r="A380" s="54"/>
      <c r="B380" s="54"/>
      <c r="C380" s="54"/>
      <c r="D380" s="129"/>
      <c r="E380" s="129"/>
      <c r="F380" s="54"/>
      <c r="G380" s="62"/>
      <c r="H380" s="62"/>
      <c r="I380" s="54"/>
      <c r="J380" s="62"/>
      <c r="K380" s="62"/>
      <c r="L380" s="54"/>
    </row>
    <row r="381" spans="1:12" s="3" customFormat="1" x14ac:dyDescent="0.25">
      <c r="A381" s="54"/>
      <c r="B381" s="54"/>
      <c r="C381" s="54"/>
      <c r="D381" s="129"/>
      <c r="E381" s="129"/>
      <c r="F381" s="54"/>
      <c r="G381" s="62"/>
      <c r="H381" s="62"/>
      <c r="I381" s="54"/>
      <c r="J381" s="62"/>
      <c r="K381" s="62"/>
      <c r="L381" s="54"/>
    </row>
    <row r="382" spans="1:12" s="3" customFormat="1" x14ac:dyDescent="0.25">
      <c r="A382" s="54"/>
      <c r="B382" s="54"/>
      <c r="C382" s="54"/>
      <c r="D382" s="129"/>
      <c r="E382" s="129"/>
      <c r="F382" s="54"/>
      <c r="G382" s="62"/>
      <c r="H382" s="62"/>
      <c r="I382" s="54"/>
      <c r="J382" s="62"/>
      <c r="K382" s="62"/>
      <c r="L382" s="54"/>
    </row>
    <row r="383" spans="1:12" s="3" customFormat="1" x14ac:dyDescent="0.25">
      <c r="A383" s="54"/>
      <c r="B383" s="54"/>
      <c r="C383" s="54"/>
      <c r="D383" s="129"/>
      <c r="E383" s="129"/>
      <c r="F383" s="54"/>
      <c r="G383" s="62"/>
      <c r="H383" s="62"/>
      <c r="I383" s="54"/>
      <c r="J383" s="62"/>
      <c r="K383" s="62"/>
      <c r="L383" s="54"/>
    </row>
    <row r="384" spans="1:12" s="3" customFormat="1" x14ac:dyDescent="0.25">
      <c r="A384" s="54"/>
      <c r="B384" s="54"/>
      <c r="C384" s="54"/>
      <c r="D384" s="129"/>
      <c r="E384" s="129"/>
      <c r="F384" s="54"/>
      <c r="G384" s="62"/>
      <c r="H384" s="62"/>
      <c r="I384" s="54"/>
      <c r="J384" s="62"/>
      <c r="K384" s="62"/>
      <c r="L384" s="54"/>
    </row>
    <row r="385" spans="1:12" s="3" customFormat="1" x14ac:dyDescent="0.25">
      <c r="A385" s="54"/>
      <c r="B385" s="54"/>
      <c r="C385" s="54"/>
      <c r="D385" s="129"/>
      <c r="E385" s="129"/>
      <c r="F385" s="54"/>
      <c r="G385" s="62"/>
      <c r="H385" s="62"/>
      <c r="I385" s="54"/>
      <c r="J385" s="62"/>
      <c r="K385" s="62"/>
      <c r="L385" s="54"/>
    </row>
    <row r="386" spans="1:12" s="3" customFormat="1" x14ac:dyDescent="0.25">
      <c r="A386" s="54"/>
      <c r="B386" s="54"/>
      <c r="C386" s="54"/>
      <c r="D386" s="129"/>
      <c r="E386" s="129"/>
      <c r="F386" s="54"/>
      <c r="G386" s="62"/>
      <c r="H386" s="62"/>
      <c r="I386" s="54"/>
      <c r="J386" s="62"/>
      <c r="K386" s="62"/>
      <c r="L386" s="54"/>
    </row>
    <row r="387" spans="1:12" s="3" customFormat="1" x14ac:dyDescent="0.25">
      <c r="A387" s="54"/>
      <c r="B387" s="54"/>
      <c r="C387" s="54"/>
      <c r="D387" s="129"/>
      <c r="E387" s="129"/>
      <c r="F387" s="54"/>
      <c r="G387" s="62"/>
      <c r="H387" s="62"/>
      <c r="I387" s="54"/>
      <c r="J387" s="62"/>
      <c r="K387" s="62"/>
      <c r="L387" s="54"/>
    </row>
    <row r="388" spans="1:12" s="3" customFormat="1" x14ac:dyDescent="0.25">
      <c r="A388" s="54"/>
      <c r="B388" s="54"/>
      <c r="C388" s="54"/>
      <c r="D388" s="129"/>
      <c r="E388" s="129"/>
      <c r="F388" s="54"/>
      <c r="G388" s="62"/>
      <c r="H388" s="62"/>
      <c r="I388" s="54"/>
      <c r="J388" s="62"/>
      <c r="K388" s="62"/>
      <c r="L388" s="54"/>
    </row>
    <row r="389" spans="1:12" s="3" customFormat="1" x14ac:dyDescent="0.25">
      <c r="A389" s="54"/>
      <c r="B389" s="54"/>
      <c r="C389" s="54"/>
      <c r="D389" s="129"/>
      <c r="E389" s="129"/>
      <c r="F389" s="54"/>
      <c r="G389" s="62"/>
      <c r="H389" s="62"/>
      <c r="I389" s="54"/>
      <c r="J389" s="62"/>
      <c r="K389" s="62"/>
      <c r="L389" s="54"/>
    </row>
    <row r="390" spans="1:12" s="3" customFormat="1" x14ac:dyDescent="0.25">
      <c r="A390" s="54"/>
      <c r="B390" s="54"/>
      <c r="C390" s="54"/>
      <c r="D390" s="129"/>
      <c r="E390" s="129"/>
      <c r="F390" s="54"/>
      <c r="G390" s="62"/>
      <c r="H390" s="62"/>
      <c r="I390" s="54"/>
      <c r="J390" s="62"/>
      <c r="K390" s="62"/>
      <c r="L390" s="54"/>
    </row>
    <row r="391" spans="1:12" s="3" customFormat="1" x14ac:dyDescent="0.25">
      <c r="A391" s="54"/>
      <c r="B391" s="54"/>
      <c r="C391" s="54"/>
      <c r="D391" s="129"/>
      <c r="E391" s="129"/>
      <c r="F391" s="54"/>
      <c r="G391" s="62"/>
      <c r="H391" s="62"/>
      <c r="I391" s="54"/>
      <c r="J391" s="62"/>
      <c r="K391" s="62"/>
      <c r="L391" s="54"/>
    </row>
    <row r="392" spans="1:12" s="3" customFormat="1" x14ac:dyDescent="0.25">
      <c r="A392" s="54"/>
      <c r="B392" s="54"/>
      <c r="C392" s="54"/>
      <c r="D392" s="129"/>
      <c r="E392" s="129"/>
      <c r="F392" s="54"/>
      <c r="G392" s="62"/>
      <c r="H392" s="62"/>
      <c r="I392" s="54"/>
      <c r="J392" s="62"/>
      <c r="K392" s="62"/>
      <c r="L392" s="54"/>
    </row>
    <row r="393" spans="1:12" s="3" customFormat="1" x14ac:dyDescent="0.25">
      <c r="A393" s="54"/>
      <c r="B393" s="54"/>
      <c r="C393" s="54"/>
      <c r="D393" s="129"/>
      <c r="E393" s="129"/>
      <c r="F393" s="54"/>
      <c r="G393" s="62"/>
      <c r="H393" s="62"/>
      <c r="I393" s="54"/>
      <c r="J393" s="62"/>
      <c r="K393" s="62"/>
      <c r="L393" s="54"/>
    </row>
    <row r="394" spans="1:12" s="3" customFormat="1" x14ac:dyDescent="0.25">
      <c r="A394" s="54"/>
      <c r="B394" s="54"/>
      <c r="C394" s="54"/>
      <c r="D394" s="129"/>
      <c r="E394" s="129"/>
      <c r="F394" s="54"/>
      <c r="G394" s="62"/>
      <c r="H394" s="62"/>
      <c r="I394" s="54"/>
      <c r="J394" s="62"/>
      <c r="K394" s="62"/>
      <c r="L394" s="54"/>
    </row>
    <row r="395" spans="1:12" s="3" customFormat="1" x14ac:dyDescent="0.25">
      <c r="A395" s="54"/>
      <c r="B395" s="54"/>
      <c r="C395" s="54"/>
      <c r="D395" s="129"/>
      <c r="E395" s="129"/>
      <c r="F395" s="54"/>
      <c r="G395" s="62"/>
      <c r="H395" s="62"/>
      <c r="I395" s="54"/>
      <c r="J395" s="62"/>
      <c r="K395" s="62"/>
      <c r="L395" s="54"/>
    </row>
    <row r="396" spans="1:12" s="3" customFormat="1" x14ac:dyDescent="0.25">
      <c r="A396" s="54"/>
      <c r="B396" s="54"/>
      <c r="C396" s="54"/>
      <c r="D396" s="129"/>
      <c r="E396" s="129"/>
      <c r="F396" s="54"/>
      <c r="G396" s="62"/>
      <c r="H396" s="62"/>
      <c r="I396" s="54"/>
      <c r="J396" s="62"/>
      <c r="K396" s="62"/>
      <c r="L396" s="54"/>
    </row>
    <row r="397" spans="1:12" s="3" customFormat="1" x14ac:dyDescent="0.25">
      <c r="A397" s="54"/>
      <c r="B397" s="54"/>
      <c r="C397" s="54"/>
      <c r="D397" s="129"/>
      <c r="E397" s="129"/>
      <c r="F397" s="54"/>
      <c r="G397" s="62"/>
      <c r="H397" s="62"/>
      <c r="I397" s="54"/>
      <c r="J397" s="62"/>
      <c r="K397" s="62"/>
      <c r="L397" s="54"/>
    </row>
    <row r="398" spans="1:12" s="3" customFormat="1" x14ac:dyDescent="0.25">
      <c r="A398" s="54"/>
      <c r="B398" s="54"/>
      <c r="C398" s="54"/>
      <c r="D398" s="129"/>
      <c r="E398" s="129"/>
      <c r="F398" s="54"/>
      <c r="G398" s="62"/>
      <c r="H398" s="62"/>
      <c r="I398" s="54"/>
      <c r="J398" s="62"/>
      <c r="K398" s="62"/>
      <c r="L398" s="54"/>
    </row>
    <row r="399" spans="1:12" s="3" customFormat="1" x14ac:dyDescent="0.25">
      <c r="A399" s="54"/>
      <c r="B399" s="54"/>
      <c r="C399" s="54"/>
      <c r="D399" s="129"/>
      <c r="E399" s="129"/>
      <c r="F399" s="54"/>
      <c r="G399" s="62"/>
      <c r="H399" s="62"/>
      <c r="I399" s="54"/>
      <c r="J399" s="62"/>
      <c r="K399" s="62"/>
      <c r="L399" s="54"/>
    </row>
    <row r="400" spans="1:12" s="3" customFormat="1" x14ac:dyDescent="0.25">
      <c r="A400" s="54"/>
      <c r="B400" s="54"/>
      <c r="C400" s="54"/>
      <c r="D400" s="129"/>
      <c r="E400" s="129"/>
      <c r="F400" s="54"/>
      <c r="G400" s="62"/>
      <c r="H400" s="62"/>
      <c r="I400" s="54"/>
      <c r="J400" s="62"/>
      <c r="K400" s="62"/>
      <c r="L400" s="54"/>
    </row>
    <row r="401" spans="1:12" s="3" customFormat="1" x14ac:dyDescent="0.25">
      <c r="A401" s="54"/>
      <c r="B401" s="54"/>
      <c r="C401" s="54"/>
      <c r="D401" s="129"/>
      <c r="E401" s="129"/>
      <c r="F401" s="54"/>
      <c r="G401" s="62"/>
      <c r="H401" s="62"/>
      <c r="I401" s="54"/>
      <c r="J401" s="62"/>
      <c r="K401" s="62"/>
      <c r="L401" s="54"/>
    </row>
    <row r="402" spans="1:12" s="3" customFormat="1" x14ac:dyDescent="0.25">
      <c r="A402" s="54"/>
      <c r="B402" s="54"/>
      <c r="C402" s="54"/>
      <c r="D402" s="129"/>
      <c r="E402" s="129"/>
      <c r="F402" s="54"/>
      <c r="G402" s="62"/>
      <c r="H402" s="62"/>
      <c r="I402" s="54"/>
      <c r="J402" s="62"/>
      <c r="K402" s="62"/>
      <c r="L402" s="54"/>
    </row>
    <row r="403" spans="1:12" s="3" customFormat="1" x14ac:dyDescent="0.25">
      <c r="A403" s="54"/>
      <c r="B403" s="54"/>
      <c r="C403" s="54"/>
      <c r="D403" s="129"/>
      <c r="E403" s="129"/>
      <c r="F403" s="54"/>
      <c r="G403" s="62"/>
      <c r="H403" s="62"/>
      <c r="I403" s="54"/>
      <c r="J403" s="62"/>
      <c r="K403" s="62"/>
      <c r="L403" s="54"/>
    </row>
    <row r="404" spans="1:12" s="3" customFormat="1" x14ac:dyDescent="0.25">
      <c r="A404" s="54"/>
      <c r="B404" s="54"/>
      <c r="C404" s="54"/>
      <c r="D404" s="129"/>
      <c r="E404" s="129"/>
      <c r="F404" s="54"/>
      <c r="G404" s="62"/>
      <c r="H404" s="62"/>
      <c r="I404" s="54"/>
      <c r="J404" s="62"/>
      <c r="K404" s="62"/>
      <c r="L404" s="54"/>
    </row>
    <row r="405" spans="1:12" s="3" customFormat="1" x14ac:dyDescent="0.25">
      <c r="A405" s="54"/>
      <c r="B405" s="54"/>
      <c r="C405" s="54"/>
      <c r="D405" s="129"/>
      <c r="E405" s="129"/>
      <c r="F405" s="54"/>
      <c r="G405" s="62"/>
      <c r="H405" s="62"/>
      <c r="I405" s="54"/>
      <c r="J405" s="62"/>
      <c r="K405" s="62"/>
      <c r="L405" s="54"/>
    </row>
    <row r="406" spans="1:12" s="3" customFormat="1" x14ac:dyDescent="0.25">
      <c r="A406" s="54"/>
      <c r="B406" s="54"/>
      <c r="C406" s="54"/>
      <c r="D406" s="129"/>
      <c r="E406" s="129"/>
      <c r="F406" s="54"/>
      <c r="G406" s="62"/>
      <c r="H406" s="62"/>
      <c r="I406" s="54"/>
      <c r="J406" s="62"/>
      <c r="K406" s="62"/>
      <c r="L406" s="54"/>
    </row>
    <row r="407" spans="1:12" s="3" customFormat="1" x14ac:dyDescent="0.25">
      <c r="A407" s="54"/>
      <c r="B407" s="54"/>
      <c r="C407" s="54"/>
      <c r="D407" s="129"/>
      <c r="E407" s="129"/>
      <c r="F407" s="54"/>
      <c r="G407" s="62"/>
      <c r="H407" s="62"/>
      <c r="I407" s="54"/>
      <c r="J407" s="62"/>
      <c r="K407" s="62"/>
      <c r="L407" s="54"/>
    </row>
    <row r="408" spans="1:12" s="3" customFormat="1" x14ac:dyDescent="0.25">
      <c r="A408" s="54"/>
      <c r="B408" s="54"/>
      <c r="C408" s="54"/>
      <c r="D408" s="129"/>
      <c r="E408" s="129"/>
      <c r="F408" s="54"/>
      <c r="G408" s="62"/>
      <c r="H408" s="62"/>
      <c r="I408" s="54"/>
      <c r="J408" s="62"/>
      <c r="K408" s="62"/>
      <c r="L408" s="54"/>
    </row>
    <row r="409" spans="1:12" s="3" customFormat="1" x14ac:dyDescent="0.25">
      <c r="A409" s="54"/>
      <c r="B409" s="54"/>
      <c r="C409" s="54"/>
      <c r="D409" s="129"/>
      <c r="E409" s="129"/>
      <c r="F409" s="54"/>
      <c r="G409" s="62"/>
      <c r="H409" s="62"/>
      <c r="I409" s="54"/>
      <c r="J409" s="62"/>
      <c r="K409" s="62"/>
      <c r="L409" s="54"/>
    </row>
    <row r="410" spans="1:12" s="3" customFormat="1" x14ac:dyDescent="0.25">
      <c r="A410" s="54"/>
      <c r="B410" s="54"/>
      <c r="C410" s="54"/>
      <c r="D410" s="129"/>
      <c r="E410" s="129"/>
      <c r="F410" s="54"/>
      <c r="G410" s="62"/>
      <c r="H410" s="62"/>
      <c r="I410" s="54"/>
      <c r="J410" s="62"/>
      <c r="K410" s="62"/>
      <c r="L410" s="54"/>
    </row>
    <row r="411" spans="1:12" s="3" customFormat="1" x14ac:dyDescent="0.25">
      <c r="A411" s="54"/>
      <c r="B411" s="54"/>
      <c r="C411" s="54"/>
      <c r="D411" s="129"/>
      <c r="E411" s="129"/>
      <c r="F411" s="54"/>
      <c r="G411" s="62"/>
      <c r="H411" s="62"/>
      <c r="I411" s="54"/>
      <c r="J411" s="62"/>
      <c r="K411" s="62"/>
      <c r="L411" s="54"/>
    </row>
    <row r="412" spans="1:12" s="3" customFormat="1" x14ac:dyDescent="0.25">
      <c r="A412" s="54"/>
      <c r="B412" s="54"/>
      <c r="C412" s="54"/>
      <c r="D412" s="129"/>
      <c r="E412" s="129"/>
      <c r="F412" s="54"/>
      <c r="G412" s="62"/>
      <c r="H412" s="62"/>
      <c r="I412" s="54"/>
      <c r="J412" s="62"/>
      <c r="K412" s="62"/>
      <c r="L412" s="54"/>
    </row>
    <row r="413" spans="1:12" s="3" customFormat="1" x14ac:dyDescent="0.25">
      <c r="A413" s="54"/>
      <c r="B413" s="54"/>
      <c r="C413" s="54"/>
      <c r="D413" s="129"/>
      <c r="E413" s="129"/>
      <c r="F413" s="54"/>
      <c r="G413" s="62"/>
      <c r="H413" s="62"/>
      <c r="I413" s="54"/>
      <c r="J413" s="62"/>
      <c r="K413" s="62"/>
      <c r="L413" s="54"/>
    </row>
    <row r="414" spans="1:12" s="3" customFormat="1" x14ac:dyDescent="0.25">
      <c r="A414" s="54"/>
      <c r="B414" s="54"/>
      <c r="C414" s="54"/>
      <c r="D414" s="129"/>
      <c r="E414" s="129"/>
      <c r="F414" s="54"/>
      <c r="G414" s="62"/>
      <c r="H414" s="62"/>
      <c r="I414" s="54"/>
      <c r="J414" s="62"/>
      <c r="K414" s="62"/>
      <c r="L414" s="54"/>
    </row>
    <row r="415" spans="1:12" s="3" customFormat="1" x14ac:dyDescent="0.25">
      <c r="A415" s="54"/>
      <c r="B415" s="54"/>
      <c r="C415" s="54"/>
      <c r="D415" s="129"/>
      <c r="E415" s="129"/>
      <c r="F415" s="54"/>
      <c r="G415" s="62"/>
      <c r="H415" s="62"/>
      <c r="I415" s="54"/>
      <c r="J415" s="62"/>
      <c r="K415" s="62"/>
      <c r="L415" s="54"/>
    </row>
    <row r="416" spans="1:12" s="3" customFormat="1" x14ac:dyDescent="0.25">
      <c r="A416" s="54"/>
      <c r="B416" s="54"/>
      <c r="C416" s="54"/>
      <c r="D416" s="129"/>
      <c r="E416" s="129"/>
      <c r="F416" s="54"/>
      <c r="G416" s="62"/>
      <c r="H416" s="62"/>
      <c r="I416" s="54"/>
      <c r="J416" s="62"/>
      <c r="K416" s="62"/>
      <c r="L416" s="54"/>
    </row>
    <row r="417" spans="1:12" s="3" customFormat="1" x14ac:dyDescent="0.25">
      <c r="A417" s="54"/>
      <c r="B417" s="54"/>
      <c r="C417" s="54"/>
      <c r="D417" s="129"/>
      <c r="E417" s="129"/>
      <c r="F417" s="54"/>
      <c r="G417" s="62"/>
      <c r="H417" s="62"/>
      <c r="I417" s="54"/>
      <c r="J417" s="62"/>
      <c r="K417" s="62"/>
      <c r="L417" s="54"/>
    </row>
    <row r="418" spans="1:12" s="3" customFormat="1" x14ac:dyDescent="0.25">
      <c r="A418" s="54"/>
      <c r="B418" s="54"/>
      <c r="C418" s="54"/>
      <c r="D418" s="129"/>
      <c r="E418" s="129"/>
      <c r="F418" s="54"/>
      <c r="G418" s="62"/>
      <c r="H418" s="62"/>
      <c r="I418" s="54"/>
      <c r="J418" s="62"/>
      <c r="K418" s="62"/>
      <c r="L418" s="54"/>
    </row>
    <row r="419" spans="1:12" s="3" customFormat="1" x14ac:dyDescent="0.25">
      <c r="A419" s="54"/>
      <c r="B419" s="54"/>
      <c r="C419" s="54"/>
      <c r="D419" s="129"/>
      <c r="E419" s="129"/>
      <c r="F419" s="54"/>
      <c r="G419" s="62"/>
      <c r="H419" s="62"/>
      <c r="I419" s="54"/>
      <c r="J419" s="62"/>
      <c r="K419" s="62"/>
      <c r="L419" s="54"/>
    </row>
    <row r="420" spans="1:12" s="3" customFormat="1" x14ac:dyDescent="0.25">
      <c r="A420" s="54"/>
      <c r="B420" s="54"/>
      <c r="C420" s="54"/>
      <c r="D420" s="129"/>
      <c r="E420" s="129"/>
      <c r="F420" s="54"/>
      <c r="G420" s="62"/>
      <c r="H420" s="62"/>
      <c r="I420" s="54"/>
      <c r="J420" s="62"/>
      <c r="K420" s="62"/>
      <c r="L420" s="54"/>
    </row>
    <row r="421" spans="1:12" s="3" customFormat="1" x14ac:dyDescent="0.25">
      <c r="A421" s="54"/>
      <c r="B421" s="54"/>
      <c r="C421" s="54"/>
      <c r="D421" s="129"/>
      <c r="E421" s="129"/>
      <c r="F421" s="54"/>
      <c r="G421" s="62"/>
      <c r="H421" s="62"/>
      <c r="I421" s="54"/>
      <c r="J421" s="62"/>
      <c r="K421" s="62"/>
      <c r="L421" s="54"/>
    </row>
    <row r="422" spans="1:12" s="3" customFormat="1" x14ac:dyDescent="0.25">
      <c r="A422" s="54"/>
      <c r="B422" s="54"/>
      <c r="C422" s="54"/>
      <c r="D422" s="129"/>
      <c r="E422" s="129"/>
      <c r="F422" s="54"/>
      <c r="G422" s="62"/>
      <c r="H422" s="62"/>
      <c r="I422" s="54"/>
      <c r="J422" s="62"/>
      <c r="K422" s="62"/>
      <c r="L422" s="54"/>
    </row>
    <row r="423" spans="1:12" s="3" customFormat="1" x14ac:dyDescent="0.25">
      <c r="A423" s="54"/>
      <c r="B423" s="54"/>
      <c r="C423" s="54"/>
      <c r="D423" s="129"/>
      <c r="E423" s="129"/>
      <c r="F423" s="54"/>
      <c r="G423" s="62"/>
      <c r="H423" s="62"/>
      <c r="I423" s="54"/>
      <c r="J423" s="62"/>
      <c r="K423" s="62"/>
      <c r="L423" s="54"/>
    </row>
    <row r="424" spans="1:12" s="3" customFormat="1" x14ac:dyDescent="0.25">
      <c r="A424" s="54"/>
      <c r="B424" s="54"/>
      <c r="C424" s="54"/>
      <c r="D424" s="129"/>
      <c r="E424" s="129"/>
      <c r="F424" s="54"/>
      <c r="G424" s="62"/>
      <c r="H424" s="62"/>
      <c r="I424" s="54"/>
      <c r="J424" s="62"/>
      <c r="K424" s="62"/>
      <c r="L424" s="54"/>
    </row>
    <row r="425" spans="1:12" s="3" customFormat="1" x14ac:dyDescent="0.25">
      <c r="A425" s="54"/>
      <c r="B425" s="54"/>
      <c r="C425" s="54"/>
      <c r="D425" s="129"/>
      <c r="E425" s="129"/>
      <c r="F425" s="54"/>
      <c r="G425" s="62"/>
      <c r="H425" s="62"/>
      <c r="I425" s="54"/>
      <c r="J425" s="62"/>
      <c r="K425" s="62"/>
      <c r="L425" s="54"/>
    </row>
    <row r="426" spans="1:12" s="3" customFormat="1" x14ac:dyDescent="0.25">
      <c r="A426" s="54"/>
      <c r="B426" s="54"/>
      <c r="C426" s="54"/>
      <c r="D426" s="129"/>
      <c r="E426" s="129"/>
      <c r="F426" s="54"/>
      <c r="G426" s="62"/>
      <c r="H426" s="62"/>
      <c r="I426" s="54"/>
      <c r="J426" s="62"/>
      <c r="K426" s="62"/>
      <c r="L426" s="54"/>
    </row>
    <row r="427" spans="1:12" s="3" customFormat="1" x14ac:dyDescent="0.25">
      <c r="A427" s="54"/>
      <c r="B427" s="54"/>
      <c r="C427" s="54"/>
      <c r="D427" s="129"/>
      <c r="E427" s="129"/>
      <c r="F427" s="54"/>
      <c r="G427" s="62"/>
      <c r="H427" s="62"/>
      <c r="I427" s="54"/>
      <c r="J427" s="62"/>
      <c r="K427" s="62"/>
      <c r="L427" s="54"/>
    </row>
    <row r="428" spans="1:12" s="3" customFormat="1" x14ac:dyDescent="0.25">
      <c r="A428" s="54"/>
      <c r="B428" s="54"/>
      <c r="C428" s="54"/>
      <c r="D428" s="129"/>
      <c r="E428" s="129"/>
      <c r="F428" s="54"/>
      <c r="G428" s="62"/>
      <c r="H428" s="62"/>
      <c r="I428" s="54"/>
      <c r="J428" s="62"/>
      <c r="K428" s="62"/>
      <c r="L428" s="54"/>
    </row>
    <row r="429" spans="1:12" s="3" customFormat="1" x14ac:dyDescent="0.25">
      <c r="A429" s="54"/>
      <c r="B429" s="54"/>
      <c r="C429" s="54"/>
      <c r="D429" s="129"/>
      <c r="E429" s="129"/>
      <c r="F429" s="54"/>
      <c r="G429" s="62"/>
      <c r="H429" s="62"/>
      <c r="I429" s="54"/>
      <c r="J429" s="62"/>
      <c r="K429" s="62"/>
      <c r="L429" s="54"/>
    </row>
    <row r="430" spans="1:12" s="3" customFormat="1" x14ac:dyDescent="0.25">
      <c r="A430" s="54"/>
      <c r="B430" s="54"/>
      <c r="C430" s="54"/>
      <c r="D430" s="129"/>
      <c r="E430" s="129"/>
      <c r="F430" s="54"/>
      <c r="G430" s="62"/>
      <c r="H430" s="62"/>
      <c r="I430" s="54"/>
      <c r="J430" s="62"/>
      <c r="K430" s="62"/>
      <c r="L430" s="54"/>
    </row>
    <row r="431" spans="1:12" s="3" customFormat="1" x14ac:dyDescent="0.25">
      <c r="A431" s="54"/>
      <c r="B431" s="54"/>
      <c r="C431" s="54"/>
      <c r="D431" s="129"/>
      <c r="E431" s="129"/>
      <c r="F431" s="54"/>
      <c r="G431" s="62"/>
      <c r="H431" s="62"/>
      <c r="I431" s="54"/>
      <c r="J431" s="62"/>
      <c r="K431" s="62"/>
      <c r="L431" s="54"/>
    </row>
    <row r="432" spans="1:12" s="3" customFormat="1" x14ac:dyDescent="0.25">
      <c r="A432" s="54"/>
      <c r="B432" s="54"/>
      <c r="C432" s="54"/>
      <c r="D432" s="129"/>
      <c r="E432" s="129"/>
      <c r="F432" s="54"/>
      <c r="G432" s="54"/>
      <c r="H432" s="54"/>
      <c r="I432" s="54"/>
      <c r="J432" s="62"/>
      <c r="K432" s="62"/>
      <c r="L432" s="54"/>
    </row>
    <row r="433" spans="1:12" s="3" customFormat="1" x14ac:dyDescent="0.25">
      <c r="A433" s="54"/>
      <c r="B433" s="54"/>
      <c r="C433" s="54"/>
      <c r="D433" s="129"/>
      <c r="E433" s="129"/>
      <c r="F433" s="54"/>
      <c r="G433" s="62"/>
      <c r="H433" s="62"/>
      <c r="I433" s="54"/>
      <c r="J433" s="62"/>
      <c r="K433" s="62"/>
      <c r="L433" s="54"/>
    </row>
    <row r="434" spans="1:12" s="3" customFormat="1" x14ac:dyDescent="0.25">
      <c r="A434" s="54"/>
      <c r="B434" s="54"/>
      <c r="C434" s="54"/>
      <c r="D434" s="129"/>
      <c r="E434" s="129"/>
      <c r="F434" s="54"/>
      <c r="G434" s="62"/>
      <c r="H434" s="62"/>
      <c r="I434" s="54"/>
      <c r="J434" s="62"/>
      <c r="K434" s="62"/>
      <c r="L434" s="54"/>
    </row>
    <row r="435" spans="1:12" s="3" customFormat="1" x14ac:dyDescent="0.25">
      <c r="A435" s="54"/>
      <c r="B435" s="54"/>
      <c r="C435" s="54"/>
      <c r="D435" s="129"/>
      <c r="E435" s="129"/>
      <c r="F435" s="54"/>
      <c r="G435" s="62"/>
      <c r="H435" s="62"/>
      <c r="I435" s="54"/>
      <c r="J435" s="62"/>
      <c r="K435" s="62"/>
      <c r="L435" s="54"/>
    </row>
    <row r="436" spans="1:12" s="3" customFormat="1" x14ac:dyDescent="0.25">
      <c r="A436" s="54"/>
      <c r="B436" s="54"/>
      <c r="C436" s="54"/>
      <c r="D436" s="129"/>
      <c r="E436" s="129"/>
      <c r="F436" s="54"/>
      <c r="G436" s="62"/>
      <c r="H436" s="62"/>
      <c r="I436" s="54"/>
      <c r="J436" s="62"/>
      <c r="K436" s="62"/>
      <c r="L436" s="54"/>
    </row>
    <row r="437" spans="1:12" s="3" customFormat="1" x14ac:dyDescent="0.25">
      <c r="A437" s="54"/>
      <c r="B437" s="54"/>
      <c r="C437" s="54"/>
      <c r="D437" s="129"/>
      <c r="E437" s="129"/>
      <c r="F437" s="54"/>
      <c r="G437" s="62"/>
      <c r="H437" s="62"/>
      <c r="I437" s="54"/>
      <c r="J437" s="62"/>
      <c r="K437" s="62"/>
      <c r="L437" s="54"/>
    </row>
    <row r="438" spans="1:12" s="3" customFormat="1" x14ac:dyDescent="0.25">
      <c r="A438" s="54"/>
      <c r="B438" s="54"/>
      <c r="C438" s="54"/>
      <c r="D438" s="129"/>
      <c r="E438" s="129"/>
      <c r="F438" s="54"/>
      <c r="G438" s="62"/>
      <c r="H438" s="62"/>
      <c r="I438" s="54"/>
      <c r="J438" s="62"/>
      <c r="K438" s="62"/>
      <c r="L438" s="54"/>
    </row>
    <row r="439" spans="1:12" s="3" customFormat="1" x14ac:dyDescent="0.25">
      <c r="A439" s="54"/>
      <c r="B439" s="54"/>
      <c r="C439" s="54"/>
      <c r="D439" s="129"/>
      <c r="E439" s="129"/>
      <c r="F439" s="54"/>
      <c r="G439" s="54"/>
      <c r="H439" s="54"/>
      <c r="I439" s="54"/>
      <c r="J439" s="62"/>
      <c r="K439" s="62"/>
      <c r="L439" s="54"/>
    </row>
    <row r="440" spans="1:12" s="3" customFormat="1" x14ac:dyDescent="0.25">
      <c r="A440" s="54"/>
      <c r="B440" s="54"/>
      <c r="C440" s="54"/>
      <c r="D440" s="129"/>
      <c r="E440" s="129"/>
      <c r="F440" s="54"/>
      <c r="G440" s="54"/>
      <c r="H440" s="54"/>
      <c r="I440" s="54"/>
      <c r="J440" s="62"/>
      <c r="K440" s="62"/>
      <c r="L440" s="54"/>
    </row>
    <row r="441" spans="1:12" s="3" customFormat="1" x14ac:dyDescent="0.25">
      <c r="A441" s="54"/>
      <c r="B441" s="54"/>
      <c r="C441" s="54"/>
      <c r="D441" s="129"/>
      <c r="E441" s="129"/>
      <c r="F441" s="54"/>
      <c r="G441" s="54"/>
      <c r="H441" s="54"/>
      <c r="I441" s="54"/>
      <c r="J441" s="62"/>
      <c r="K441" s="62"/>
      <c r="L441" s="54"/>
    </row>
    <row r="442" spans="1:12" s="3" customFormat="1" x14ac:dyDescent="0.25">
      <c r="A442" s="54"/>
      <c r="B442" s="54"/>
      <c r="C442" s="54"/>
      <c r="D442" s="129"/>
      <c r="E442" s="129"/>
      <c r="F442" s="54"/>
      <c r="G442" s="54"/>
      <c r="H442" s="54"/>
      <c r="I442" s="54"/>
      <c r="J442" s="62"/>
      <c r="K442" s="62"/>
      <c r="L442" s="54"/>
    </row>
    <row r="443" spans="1:12" s="3" customFormat="1" x14ac:dyDescent="0.25">
      <c r="A443" s="54"/>
      <c r="B443" s="54"/>
      <c r="C443" s="54"/>
      <c r="D443" s="129"/>
      <c r="E443" s="129"/>
      <c r="F443" s="54"/>
      <c r="G443" s="54"/>
      <c r="H443" s="54"/>
      <c r="I443" s="54"/>
      <c r="J443" s="62"/>
      <c r="K443" s="62"/>
      <c r="L443" s="54"/>
    </row>
    <row r="444" spans="1:12" s="3" customFormat="1" x14ac:dyDescent="0.25">
      <c r="A444" s="54"/>
      <c r="B444" s="54"/>
      <c r="C444" s="54"/>
      <c r="D444" s="129"/>
      <c r="E444" s="129"/>
      <c r="F444" s="54"/>
      <c r="G444" s="62"/>
      <c r="H444" s="62"/>
      <c r="I444" s="54"/>
      <c r="J444" s="62"/>
      <c r="K444" s="62"/>
      <c r="L444" s="54"/>
    </row>
    <row r="445" spans="1:12" s="3" customFormat="1" x14ac:dyDescent="0.25">
      <c r="A445" s="54"/>
      <c r="B445" s="54"/>
      <c r="C445" s="54"/>
      <c r="D445" s="129"/>
      <c r="E445" s="129"/>
      <c r="F445" s="54"/>
      <c r="G445" s="54"/>
      <c r="H445" s="54"/>
      <c r="I445" s="54"/>
      <c r="J445" s="62"/>
      <c r="K445" s="62"/>
      <c r="L445" s="54"/>
    </row>
    <row r="446" spans="1:12" s="3" customFormat="1" x14ac:dyDescent="0.25">
      <c r="A446" s="54"/>
      <c r="B446" s="54"/>
      <c r="C446" s="54"/>
      <c r="D446" s="129"/>
      <c r="E446" s="129"/>
      <c r="F446" s="54"/>
      <c r="G446" s="54"/>
      <c r="H446" s="54"/>
      <c r="I446" s="54"/>
      <c r="J446" s="62"/>
      <c r="K446" s="62"/>
      <c r="L446" s="54"/>
    </row>
    <row r="447" spans="1:12" s="3" customFormat="1" x14ac:dyDescent="0.25">
      <c r="A447" s="54"/>
      <c r="B447" s="54"/>
      <c r="C447" s="54"/>
      <c r="D447" s="129"/>
      <c r="E447" s="129"/>
      <c r="F447" s="54"/>
      <c r="G447" s="54"/>
      <c r="H447" s="54"/>
      <c r="I447" s="54"/>
      <c r="J447" s="62"/>
      <c r="K447" s="62"/>
      <c r="L447" s="54"/>
    </row>
    <row r="448" spans="1:12" s="3" customFormat="1" x14ac:dyDescent="0.25">
      <c r="D448" s="130"/>
      <c r="E448" s="130"/>
    </row>
  </sheetData>
  <autoFilter ref="A111:AA257"/>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1" type="noConversion"/>
  <pageMargins left="0.7" right="0.7" top="0.78740157499999996" bottom="0.78740157499999996" header="0.3" footer="0.3"/>
  <pageSetup paperSize="9" orientation="portrait"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dimension ref="A1:U110"/>
  <sheetViews>
    <sheetView showGridLines="0" zoomScaleNormal="100" zoomScaleSheetLayoutView="100" workbookViewId="0">
      <pane xSplit="1" ySplit="11" topLeftCell="B12" activePane="bottomRight" state="frozen"/>
      <selection pane="topRight" activeCell="B1" sqref="B1"/>
      <selection pane="bottomLeft" activeCell="A12" sqref="A12"/>
      <selection pane="bottomRight" activeCell="S12" sqref="S12:S14"/>
    </sheetView>
  </sheetViews>
  <sheetFormatPr baseColWidth="10" defaultColWidth="11.42578125" defaultRowHeight="14.25" x14ac:dyDescent="0.2"/>
  <cols>
    <col min="1" max="1" width="0.85546875" style="6" customWidth="1"/>
    <col min="2" max="2" width="3.42578125" style="6" customWidth="1"/>
    <col min="3" max="3" width="2.7109375" style="17" customWidth="1"/>
    <col min="4" max="4" width="5.140625" style="6" customWidth="1"/>
    <col min="5" max="5" width="15.140625" style="6" customWidth="1"/>
    <col min="6" max="6" width="13.140625" style="6" customWidth="1"/>
    <col min="7" max="7" width="10.28515625" style="6" customWidth="1"/>
    <col min="8" max="8" width="12.7109375" style="6" customWidth="1"/>
    <col min="9" max="9" width="10.28515625" style="6" customWidth="1"/>
    <col min="10" max="10" width="14.5703125" style="6" customWidth="1"/>
    <col min="11" max="11" width="9.7109375" style="6" customWidth="1"/>
    <col min="12" max="12" width="5.85546875" style="6" customWidth="1"/>
    <col min="13" max="13" width="4.7109375" style="6" customWidth="1"/>
    <col min="14" max="14" width="3.85546875" style="6" customWidth="1"/>
    <col min="15" max="15" width="6.7109375" style="6" customWidth="1"/>
    <col min="16" max="16" width="6" style="6" customWidth="1"/>
    <col min="17" max="17" width="7.85546875" style="79" customWidth="1"/>
    <col min="18" max="18" width="8.7109375" style="6" customWidth="1"/>
    <col min="19" max="20" width="70.85546875" style="6" customWidth="1"/>
    <col min="21" max="21" width="9.140625" style="6" hidden="1" customWidth="1"/>
    <col min="22" max="16384" width="11.42578125" style="6"/>
  </cols>
  <sheetData>
    <row r="1" spans="1:20" ht="9.9499999999999993" customHeight="1" x14ac:dyDescent="0.25">
      <c r="A1" s="9"/>
      <c r="Q1" s="6"/>
    </row>
    <row r="2" spans="1:20" s="10" customFormat="1" ht="12.95" customHeight="1" x14ac:dyDescent="0.2">
      <c r="A2" s="14"/>
      <c r="B2" s="658" t="s">
        <v>964</v>
      </c>
      <c r="C2" s="212"/>
      <c r="D2" s="213"/>
      <c r="E2" s="213"/>
      <c r="F2" s="213"/>
      <c r="G2" s="213"/>
      <c r="H2" s="213"/>
      <c r="I2" s="213"/>
      <c r="J2" s="213"/>
      <c r="P2" s="6"/>
    </row>
    <row r="3" spans="1:20" ht="16.5" x14ac:dyDescent="0.25">
      <c r="A3" s="56"/>
      <c r="B3" s="23" t="s">
        <v>438</v>
      </c>
      <c r="P3" s="30"/>
      <c r="Q3" s="6"/>
    </row>
    <row r="4" spans="1:20" ht="9" customHeight="1" x14ac:dyDescent="0.25">
      <c r="A4" s="56"/>
      <c r="P4" s="30"/>
      <c r="Q4" s="6"/>
    </row>
    <row r="5" spans="1:20" ht="9.75" customHeight="1" x14ac:dyDescent="0.2">
      <c r="F5" s="15"/>
      <c r="G5" s="15"/>
      <c r="H5" s="15"/>
      <c r="I5" s="15"/>
      <c r="J5" s="15"/>
      <c r="K5" s="15"/>
      <c r="L5" s="15"/>
      <c r="M5" s="15"/>
      <c r="N5" s="15"/>
      <c r="O5" s="15"/>
      <c r="P5" s="30"/>
      <c r="Q5" s="6"/>
    </row>
    <row r="6" spans="1:20" s="32" customFormat="1" ht="15" customHeight="1" x14ac:dyDescent="0.25">
      <c r="B6" s="35" t="s">
        <v>140</v>
      </c>
      <c r="C6" s="68"/>
      <c r="D6" s="35"/>
      <c r="F6" s="998" t="str">
        <f>IF(Basisdaten!C8=0,"",Basisdaten!C8)</f>
        <v/>
      </c>
      <c r="G6" s="999"/>
      <c r="H6" s="1000"/>
      <c r="I6" s="1000"/>
      <c r="J6" s="1000"/>
      <c r="K6" s="1000"/>
      <c r="L6" s="1000"/>
      <c r="M6" s="1000"/>
      <c r="N6" s="1001"/>
      <c r="O6" s="384"/>
      <c r="P6" s="30"/>
      <c r="Q6" s="30"/>
      <c r="R6" s="30"/>
      <c r="S6" s="30"/>
    </row>
    <row r="7" spans="1:20" s="32" customFormat="1" ht="4.5" customHeight="1" x14ac:dyDescent="0.2">
      <c r="B7" s="8"/>
      <c r="C7" s="165"/>
      <c r="D7" s="8"/>
      <c r="E7" s="31"/>
      <c r="F7" s="15"/>
      <c r="G7" s="15"/>
      <c r="H7" s="15"/>
      <c r="I7" s="15"/>
      <c r="J7" s="15"/>
      <c r="K7" s="15"/>
      <c r="L7" s="15"/>
      <c r="M7" s="15"/>
      <c r="N7" s="15"/>
      <c r="O7" s="15"/>
      <c r="P7" s="30"/>
      <c r="Q7" s="30"/>
      <c r="R7" s="30"/>
      <c r="S7" s="30"/>
    </row>
    <row r="8" spans="1:20" s="32" customFormat="1" ht="15" customHeight="1" x14ac:dyDescent="0.2">
      <c r="B8" s="35" t="s">
        <v>85</v>
      </c>
      <c r="C8" s="68"/>
      <c r="D8" s="35"/>
      <c r="E8" s="34"/>
      <c r="F8" s="998" t="str">
        <f>IF(Basisdaten!C6=0,"",Basisdaten!C6)</f>
        <v/>
      </c>
      <c r="G8" s="1002"/>
      <c r="H8" s="30"/>
      <c r="I8" s="1018" t="s">
        <v>82</v>
      </c>
      <c r="J8" s="1019"/>
      <c r="K8" s="1003" t="str">
        <f>IF(Basisdaten!M12=0,"",Basisdaten!M12)</f>
        <v/>
      </c>
      <c r="L8" s="1003"/>
      <c r="M8" s="1003"/>
      <c r="N8" s="1003"/>
      <c r="O8" s="85"/>
      <c r="P8" s="30"/>
      <c r="Q8" s="30"/>
      <c r="R8" s="30"/>
      <c r="S8" s="30"/>
    </row>
    <row r="9" spans="1:20" ht="9" customHeight="1" thickBot="1" x14ac:dyDescent="0.25">
      <c r="F9" s="15"/>
      <c r="G9" s="15"/>
      <c r="H9" s="15"/>
      <c r="I9" s="15"/>
      <c r="J9" s="15"/>
      <c r="K9" s="15"/>
      <c r="L9" s="15"/>
      <c r="M9" s="15"/>
      <c r="N9" s="15"/>
      <c r="O9" s="15"/>
      <c r="P9" s="30"/>
      <c r="Q9" s="6"/>
    </row>
    <row r="10" spans="1:20" s="12" customFormat="1" ht="16.5" customHeight="1" thickBot="1" x14ac:dyDescent="0.3">
      <c r="B10" s="1020" t="s">
        <v>552</v>
      </c>
      <c r="C10" s="1021"/>
      <c r="D10" s="1026" t="s">
        <v>918</v>
      </c>
      <c r="E10" s="1004" t="s">
        <v>361</v>
      </c>
      <c r="F10" s="1004" t="s">
        <v>1</v>
      </c>
      <c r="G10" s="1005"/>
      <c r="H10" s="1004" t="s">
        <v>2</v>
      </c>
      <c r="I10" s="1005"/>
      <c r="J10" s="1004" t="s">
        <v>88</v>
      </c>
      <c r="K10" s="1005"/>
      <c r="L10" s="1024" t="s">
        <v>499</v>
      </c>
      <c r="M10" s="1028" t="s">
        <v>3</v>
      </c>
      <c r="N10" s="1029"/>
      <c r="O10" s="1024" t="s">
        <v>499</v>
      </c>
      <c r="P10" s="1020" t="s">
        <v>698</v>
      </c>
      <c r="Q10" s="1082"/>
      <c r="R10" s="1068" t="s">
        <v>498</v>
      </c>
      <c r="S10" s="1063" t="s">
        <v>84</v>
      </c>
      <c r="T10" s="1064"/>
    </row>
    <row r="11" spans="1:20" s="12" customFormat="1" ht="23.25" customHeight="1" thickBot="1" x14ac:dyDescent="0.3">
      <c r="B11" s="1022"/>
      <c r="C11" s="1023"/>
      <c r="D11" s="1027"/>
      <c r="E11" s="1006"/>
      <c r="F11" s="1006"/>
      <c r="G11" s="1005"/>
      <c r="H11" s="1006"/>
      <c r="I11" s="1005"/>
      <c r="J11" s="1006"/>
      <c r="K11" s="1005"/>
      <c r="L11" s="1025"/>
      <c r="M11" s="1028"/>
      <c r="N11" s="1029"/>
      <c r="O11" s="1025"/>
      <c r="P11" s="1083"/>
      <c r="Q11" s="1084"/>
      <c r="R11" s="1069"/>
      <c r="S11" s="386" t="s">
        <v>598</v>
      </c>
      <c r="T11" s="386" t="s">
        <v>540</v>
      </c>
    </row>
    <row r="12" spans="1:20" ht="28.5" customHeight="1" thickBot="1" x14ac:dyDescent="0.25">
      <c r="B12" s="1042" t="s">
        <v>920</v>
      </c>
      <c r="C12" s="1043"/>
      <c r="D12" s="1055" t="s">
        <v>314</v>
      </c>
      <c r="E12" s="1030" t="s">
        <v>300</v>
      </c>
      <c r="F12" s="1030" t="s">
        <v>7</v>
      </c>
      <c r="G12" s="1031"/>
      <c r="H12" s="1030" t="s">
        <v>6</v>
      </c>
      <c r="I12" s="1031"/>
      <c r="J12" s="1009" t="s">
        <v>429</v>
      </c>
      <c r="K12" s="1010"/>
      <c r="L12" s="908"/>
      <c r="M12" s="1007" t="s">
        <v>366</v>
      </c>
      <c r="N12" s="1008"/>
      <c r="O12" s="908"/>
      <c r="P12" s="1059" t="s">
        <v>8</v>
      </c>
      <c r="Q12" s="1060">
        <f>IF(Basisdaten!O40="",0,Basisdaten!O40)</f>
        <v>0</v>
      </c>
      <c r="R12" s="841" t="str">
        <f>IF(Q12="",Berechnung1!$F$4,IF(Q12=0, Berechnung1!F4,IF(OR(Q12&lt; Berechnung1!E29,Q12&gt; Berechnung1!F29),Berechnung1!$G$4,IF(OR(ROUND(Q12,4)&lt;Berechnung1!J29,ROUND(Q12,4)&gt;Berechnung1!K29),Berechnung1!$D$4,IF(OR(ROUND(Q12,4)&lt;Berechnung1!G29,ROUND(Q12,4)&gt;Berechnung1!H29),Berechnung1!$E$4,Berechnung1!$C$4)))))</f>
        <v>Unvollständig</v>
      </c>
      <c r="S12" s="844"/>
      <c r="T12" s="1065"/>
    </row>
    <row r="13" spans="1:20" ht="28.5" customHeight="1" thickBot="1" x14ac:dyDescent="0.25">
      <c r="B13" s="1044"/>
      <c r="C13" s="1045"/>
      <c r="D13" s="1056"/>
      <c r="E13" s="1030"/>
      <c r="F13" s="1030"/>
      <c r="G13" s="1031"/>
      <c r="H13" s="1030"/>
      <c r="I13" s="1031"/>
      <c r="J13" s="1011"/>
      <c r="K13" s="1012"/>
      <c r="L13" s="909"/>
      <c r="M13" s="1007"/>
      <c r="N13" s="1008"/>
      <c r="O13" s="909"/>
      <c r="P13" s="1059"/>
      <c r="Q13" s="1061"/>
      <c r="R13" s="842"/>
      <c r="S13" s="996"/>
      <c r="T13" s="1066"/>
    </row>
    <row r="14" spans="1:20" ht="28.5" customHeight="1" thickBot="1" x14ac:dyDescent="0.25">
      <c r="B14" s="1046"/>
      <c r="C14" s="1047"/>
      <c r="D14" s="1057"/>
      <c r="E14" s="1030"/>
      <c r="F14" s="1030"/>
      <c r="G14" s="1031"/>
      <c r="H14" s="1030"/>
      <c r="I14" s="1031"/>
      <c r="J14" s="1013"/>
      <c r="K14" s="1014"/>
      <c r="L14" s="910"/>
      <c r="M14" s="1007"/>
      <c r="N14" s="1008"/>
      <c r="O14" s="910"/>
      <c r="P14" s="1059"/>
      <c r="Q14" s="1062"/>
      <c r="R14" s="843"/>
      <c r="S14" s="996"/>
      <c r="T14" s="1066"/>
    </row>
    <row r="15" spans="1:20" ht="30" customHeight="1" thickBot="1" x14ac:dyDescent="0.25">
      <c r="B15" s="1038" t="s">
        <v>921</v>
      </c>
      <c r="C15" s="1048">
        <v>1</v>
      </c>
      <c r="D15" s="1035"/>
      <c r="E15" s="1030" t="s">
        <v>301</v>
      </c>
      <c r="F15" s="1015" t="s">
        <v>429</v>
      </c>
      <c r="G15" s="1010"/>
      <c r="H15" s="1030" t="s">
        <v>585</v>
      </c>
      <c r="I15" s="1031"/>
      <c r="J15" s="1009" t="s">
        <v>429</v>
      </c>
      <c r="K15" s="1010"/>
      <c r="L15" s="908"/>
      <c r="M15" s="1007" t="s">
        <v>589</v>
      </c>
      <c r="N15" s="1008"/>
      <c r="O15" s="908"/>
      <c r="P15" s="1059" t="s">
        <v>8</v>
      </c>
      <c r="Q15" s="1060">
        <f>IF(Basisdaten!O33="",0,Basisdaten!O33)</f>
        <v>0</v>
      </c>
      <c r="R15" s="841" t="str">
        <f>IF(Q15="",Berechnung1!$F$4,IF(Q15=0, Berechnung1!F4,IF(OR(Q15&lt; Berechnung1!E32,Q15&gt; Berechnung1!F32),Berechnung1!$G$4,IF(OR(ROUND(Q15,4)&lt;Berechnung1!J32,ROUND(Q15,4)&gt;Berechnung1!K32),Berechnung1!$D$4,IF(OR(ROUND(Q15,4)&lt;Berechnung1!G32,ROUND(Q15,4)&gt;Berechnung1!H32),Berechnung1!$E$4,Berechnung1!$C$4)))))</f>
        <v>Unvollständig</v>
      </c>
      <c r="S15" s="1065"/>
      <c r="T15" s="1065"/>
    </row>
    <row r="16" spans="1:20" ht="30" customHeight="1" thickBot="1" x14ac:dyDescent="0.25">
      <c r="B16" s="1033"/>
      <c r="C16" s="1049"/>
      <c r="D16" s="1036"/>
      <c r="E16" s="1030"/>
      <c r="F16" s="1016"/>
      <c r="G16" s="1012"/>
      <c r="H16" s="1030"/>
      <c r="I16" s="1031"/>
      <c r="J16" s="1011"/>
      <c r="K16" s="1012"/>
      <c r="L16" s="909"/>
      <c r="M16" s="1007"/>
      <c r="N16" s="1008"/>
      <c r="O16" s="909"/>
      <c r="P16" s="1059"/>
      <c r="Q16" s="1061"/>
      <c r="R16" s="842"/>
      <c r="S16" s="845"/>
      <c r="T16" s="1066"/>
    </row>
    <row r="17" spans="2:21" ht="30" customHeight="1" thickBot="1" x14ac:dyDescent="0.25">
      <c r="B17" s="1033"/>
      <c r="C17" s="1049"/>
      <c r="D17" s="1036"/>
      <c r="E17" s="1030"/>
      <c r="F17" s="1017"/>
      <c r="G17" s="1014"/>
      <c r="H17" s="1030"/>
      <c r="I17" s="1031"/>
      <c r="J17" s="1013"/>
      <c r="K17" s="1014"/>
      <c r="L17" s="910"/>
      <c r="M17" s="1007"/>
      <c r="N17" s="1008"/>
      <c r="O17" s="910"/>
      <c r="P17" s="1059"/>
      <c r="Q17" s="1062"/>
      <c r="R17" s="843"/>
      <c r="S17" s="846"/>
      <c r="T17" s="1066"/>
    </row>
    <row r="18" spans="2:21" ht="30" customHeight="1" thickBot="1" x14ac:dyDescent="0.25">
      <c r="B18" s="1033"/>
      <c r="C18" s="1058">
        <v>2</v>
      </c>
      <c r="D18" s="1036"/>
      <c r="E18" s="1030" t="s">
        <v>301</v>
      </c>
      <c r="F18" s="1015" t="s">
        <v>429</v>
      </c>
      <c r="G18" s="1010"/>
      <c r="H18" s="1030" t="s">
        <v>586</v>
      </c>
      <c r="I18" s="1031"/>
      <c r="J18" s="1009" t="s">
        <v>429</v>
      </c>
      <c r="K18" s="1010"/>
      <c r="L18" s="908"/>
      <c r="M18" s="1007" t="s">
        <v>589</v>
      </c>
      <c r="N18" s="1008"/>
      <c r="O18" s="908"/>
      <c r="P18" s="1059" t="s">
        <v>8</v>
      </c>
      <c r="Q18" s="1060">
        <f>IF(Basisdaten!O34="",0,Basisdaten!O34)</f>
        <v>0</v>
      </c>
      <c r="R18" s="841" t="str">
        <f>IF(Q18="",Berechnung1!$F$4,IF(Q18=0, Berechnung1!F4,IF(OR(Q18&lt; Berechnung1!E35,Q18&gt; Berechnung1!F35),Berechnung1!$G$4,IF(OR(ROUND(Q18,4)&lt;Berechnung1!J35,ROUND(Q18,4)&gt;Berechnung1!K35),Berechnung1!$D$4,IF(OR(ROUND(Q18,4)&lt;Berechnung1!G35,ROUND(Q18,4)&gt;Berechnung1!H35),Berechnung1!$E$4,Berechnung1!$C$4)))))</f>
        <v>Unvollständig</v>
      </c>
      <c r="S18" s="1065"/>
      <c r="T18" s="1065"/>
    </row>
    <row r="19" spans="2:21" ht="30" customHeight="1" thickBot="1" x14ac:dyDescent="0.25">
      <c r="B19" s="1033"/>
      <c r="C19" s="1049"/>
      <c r="D19" s="1036"/>
      <c r="E19" s="1030"/>
      <c r="F19" s="1016"/>
      <c r="G19" s="1012"/>
      <c r="H19" s="1030"/>
      <c r="I19" s="1031"/>
      <c r="J19" s="1011"/>
      <c r="K19" s="1012"/>
      <c r="L19" s="909"/>
      <c r="M19" s="1007"/>
      <c r="N19" s="1008"/>
      <c r="O19" s="909"/>
      <c r="P19" s="1059"/>
      <c r="Q19" s="1061"/>
      <c r="R19" s="842"/>
      <c r="S19" s="996"/>
      <c r="T19" s="1066"/>
    </row>
    <row r="20" spans="2:21" ht="30" customHeight="1" thickBot="1" x14ac:dyDescent="0.25">
      <c r="B20" s="1033"/>
      <c r="C20" s="1049"/>
      <c r="D20" s="1036"/>
      <c r="E20" s="1030"/>
      <c r="F20" s="1017"/>
      <c r="G20" s="1014"/>
      <c r="H20" s="1030"/>
      <c r="I20" s="1031"/>
      <c r="J20" s="1013"/>
      <c r="K20" s="1014"/>
      <c r="L20" s="910"/>
      <c r="M20" s="1007"/>
      <c r="N20" s="1008"/>
      <c r="O20" s="910"/>
      <c r="P20" s="1059"/>
      <c r="Q20" s="1062"/>
      <c r="R20" s="843"/>
      <c r="S20" s="996"/>
      <c r="T20" s="1066"/>
    </row>
    <row r="21" spans="2:21" ht="30" customHeight="1" thickBot="1" x14ac:dyDescent="0.25">
      <c r="B21" s="1033"/>
      <c r="C21" s="1058">
        <v>3</v>
      </c>
      <c r="D21" s="1036"/>
      <c r="E21" s="1030" t="s">
        <v>301</v>
      </c>
      <c r="F21" s="1015" t="s">
        <v>429</v>
      </c>
      <c r="G21" s="1010"/>
      <c r="H21" s="1030" t="s">
        <v>587</v>
      </c>
      <c r="I21" s="1031"/>
      <c r="J21" s="1009" t="s">
        <v>429</v>
      </c>
      <c r="K21" s="1010"/>
      <c r="L21" s="908"/>
      <c r="M21" s="1007" t="s">
        <v>589</v>
      </c>
      <c r="N21" s="1008"/>
      <c r="O21" s="908"/>
      <c r="P21" s="1059" t="s">
        <v>8</v>
      </c>
      <c r="Q21" s="1060">
        <f>IF(Basisdaten!O35="",0,Basisdaten!O35)</f>
        <v>0</v>
      </c>
      <c r="R21" s="841" t="str">
        <f>IF(Q21="",Berechnung1!$F$4,IF(Q21=0, Berechnung1!F4,IF(OR(Q21&lt; Berechnung1!E38,Q21&gt; Berechnung1!F38),Berechnung1!$G$4,IF(OR(ROUND(Q21,4)&lt;Berechnung1!J38,ROUND(Q21,4)&gt;Berechnung1!K38),Berechnung1!$D$4,IF(OR(ROUND(Q21,4)&lt;Berechnung1!G38,ROUND(Q21,4)&gt;Berechnung1!H38),Berechnung1!$E$4,Berechnung1!$C$4)))))</f>
        <v>Unvollständig</v>
      </c>
      <c r="S21" s="1065"/>
      <c r="T21" s="1065"/>
    </row>
    <row r="22" spans="2:21" ht="30" customHeight="1" thickBot="1" x14ac:dyDescent="0.25">
      <c r="B22" s="1033"/>
      <c r="C22" s="1049"/>
      <c r="D22" s="1036"/>
      <c r="E22" s="1030"/>
      <c r="F22" s="1016"/>
      <c r="G22" s="1012"/>
      <c r="H22" s="1030"/>
      <c r="I22" s="1031"/>
      <c r="J22" s="1011"/>
      <c r="K22" s="1012"/>
      <c r="L22" s="909"/>
      <c r="M22" s="1007"/>
      <c r="N22" s="1008"/>
      <c r="O22" s="909"/>
      <c r="P22" s="1059"/>
      <c r="Q22" s="1061"/>
      <c r="R22" s="842"/>
      <c r="S22" s="996"/>
      <c r="T22" s="1066"/>
    </row>
    <row r="23" spans="2:21" ht="30" customHeight="1" thickBot="1" x14ac:dyDescent="0.25">
      <c r="B23" s="1034"/>
      <c r="C23" s="1053"/>
      <c r="D23" s="1037"/>
      <c r="E23" s="1030"/>
      <c r="F23" s="1017"/>
      <c r="G23" s="1014"/>
      <c r="H23" s="1030"/>
      <c r="I23" s="1031"/>
      <c r="J23" s="1013"/>
      <c r="K23" s="1014"/>
      <c r="L23" s="910"/>
      <c r="M23" s="1007"/>
      <c r="N23" s="1008"/>
      <c r="O23" s="910"/>
      <c r="P23" s="1059"/>
      <c r="Q23" s="1062"/>
      <c r="R23" s="843"/>
      <c r="S23" s="996"/>
      <c r="T23" s="1066"/>
    </row>
    <row r="24" spans="2:21" ht="30" customHeight="1" thickBot="1" x14ac:dyDescent="0.25">
      <c r="B24" s="1042" t="s">
        <v>919</v>
      </c>
      <c r="C24" s="1043"/>
      <c r="D24" s="1035"/>
      <c r="E24" s="1050" t="s">
        <v>985</v>
      </c>
      <c r="F24" s="1009" t="s">
        <v>429</v>
      </c>
      <c r="G24" s="1098"/>
      <c r="H24" s="1097" t="s">
        <v>985</v>
      </c>
      <c r="I24" s="1098"/>
      <c r="J24" s="1009" t="s">
        <v>429</v>
      </c>
      <c r="K24" s="1098"/>
      <c r="L24" s="908"/>
      <c r="M24" s="1101" t="s">
        <v>589</v>
      </c>
      <c r="N24" s="1102"/>
      <c r="O24" s="908"/>
      <c r="P24" s="1118" t="s">
        <v>8</v>
      </c>
      <c r="Q24" s="1060">
        <f>IFERROR(Basisdaten!O45+Basisdaten!O46,0)</f>
        <v>0</v>
      </c>
      <c r="R24" s="1117" t="str">
        <f>IF(AND(U25="",Q24=0),Berechnung1!$F$4,IF(AND(U25=0,Q24=0),Berechnung1!$H$4,IF(OR(Q24&lt;Berechnung1!E41,Q24&gt;Berechnung1!F41),Berechnung1!$G$4,IF(OR(ROUND(Q24,4)&lt;Berechnung1!J41,ROUND(Q24,4)&gt;Berechnung1!K41),Berechnung1!$D$4,IF(OR(ROUND(Q24,4)&lt;Berechnung1!G41,ROUND(Q24,4)&gt;Berechnung1!H41),Berechnung1!$E$4,Berechnung1!$C$4)))))</f>
        <v>Unvollständig</v>
      </c>
      <c r="S24" s="1094"/>
      <c r="T24" s="1065"/>
    </row>
    <row r="25" spans="2:21" ht="30" customHeight="1" thickBot="1" x14ac:dyDescent="0.25">
      <c r="B25" s="1044"/>
      <c r="C25" s="1045"/>
      <c r="D25" s="1036"/>
      <c r="E25" s="1051"/>
      <c r="F25" s="1011"/>
      <c r="G25" s="1099"/>
      <c r="H25" s="1011"/>
      <c r="I25" s="1099"/>
      <c r="J25" s="1011"/>
      <c r="K25" s="1099"/>
      <c r="L25" s="909"/>
      <c r="M25" s="1103"/>
      <c r="N25" s="1104"/>
      <c r="O25" s="909"/>
      <c r="P25" s="1119"/>
      <c r="Q25" s="1061"/>
      <c r="R25" s="842"/>
      <c r="S25" s="1095"/>
      <c r="T25" s="1066"/>
      <c r="U25" s="6" t="str">
        <f>IF(Basisdaten!O45="","",IF(Basisdaten!O46="","",(Basisdaten!O45+Basisdaten!O46)))</f>
        <v/>
      </c>
    </row>
    <row r="26" spans="2:21" ht="30" customHeight="1" thickBot="1" x14ac:dyDescent="0.25">
      <c r="B26" s="1046"/>
      <c r="C26" s="1047"/>
      <c r="D26" s="1037"/>
      <c r="E26" s="1052"/>
      <c r="F26" s="1013"/>
      <c r="G26" s="1100"/>
      <c r="H26" s="1013"/>
      <c r="I26" s="1100"/>
      <c r="J26" s="1013"/>
      <c r="K26" s="1100"/>
      <c r="L26" s="910"/>
      <c r="M26" s="1105"/>
      <c r="N26" s="1106"/>
      <c r="O26" s="910"/>
      <c r="P26" s="1120"/>
      <c r="Q26" s="1062"/>
      <c r="R26" s="843"/>
      <c r="S26" s="1096"/>
      <c r="T26" s="1066"/>
    </row>
    <row r="27" spans="2:21" s="81" customFormat="1" ht="33.75" customHeight="1" thickBot="1" x14ac:dyDescent="0.25">
      <c r="B27" s="1032">
        <v>2</v>
      </c>
      <c r="C27" s="1054" t="s">
        <v>343</v>
      </c>
      <c r="D27" s="1035" t="s">
        <v>315</v>
      </c>
      <c r="E27" s="1050" t="s">
        <v>341</v>
      </c>
      <c r="F27" s="1070" t="s">
        <v>986</v>
      </c>
      <c r="G27" s="1071"/>
      <c r="H27" s="1076" t="s">
        <v>988</v>
      </c>
      <c r="I27" s="1077"/>
      <c r="J27" s="892" t="s">
        <v>1087</v>
      </c>
      <c r="K27" s="893"/>
      <c r="L27" s="381"/>
      <c r="M27" s="1067" t="s">
        <v>320</v>
      </c>
      <c r="N27" s="1008"/>
      <c r="O27" s="908"/>
      <c r="P27" s="78" t="s">
        <v>2</v>
      </c>
      <c r="Q27" s="108"/>
      <c r="R27" s="841" t="str">
        <f>IF(AND(Q27&lt;&gt;"",Q28&lt;&gt;"",Q27=0,Q28=0),Berechnung1!$H$4,IF(Q29="",Berechnung1!$D$4,IF(Q29=Berechnung1!D44,Berechnung1!$F$4,IF(OR(Q29&lt;Berechnung1!E44,Q29&gt;Berechnung1!F44),Berechnung1!$G$4,IF(OR(ROUND(Q29,4)&lt;Berechnung1!J44,ROUND(Q29,4)&gt;Berechnung1!K44),Berechnung1!$D$4,IF(OR(ROUND(Q29,4)&lt;Berechnung1!G44,ROUND(Q29,4)&gt;Berechnung1!H44),Berechnung1!$E$4,Berechnung1!$C$4))))))</f>
        <v>Unvollständig</v>
      </c>
      <c r="S27" s="844"/>
      <c r="T27" s="933"/>
    </row>
    <row r="28" spans="2:21" s="81" customFormat="1" ht="33.75" customHeight="1" thickBot="1" x14ac:dyDescent="0.25">
      <c r="B28" s="1033"/>
      <c r="C28" s="1049"/>
      <c r="D28" s="1036"/>
      <c r="E28" s="1051"/>
      <c r="F28" s="1072"/>
      <c r="G28" s="1073"/>
      <c r="H28" s="1078"/>
      <c r="I28" s="1079"/>
      <c r="J28" s="894"/>
      <c r="K28" s="895"/>
      <c r="L28" s="380"/>
      <c r="M28" s="1007"/>
      <c r="N28" s="1008"/>
      <c r="O28" s="909"/>
      <c r="P28" s="83" t="s">
        <v>4</v>
      </c>
      <c r="Q28" s="109"/>
      <c r="R28" s="842"/>
      <c r="S28" s="996"/>
      <c r="T28" s="848"/>
      <c r="U28" s="81">
        <f>IF(Basisdaten!O38="",0,Basisdaten!O38)</f>
        <v>0</v>
      </c>
    </row>
    <row r="29" spans="2:21" s="81" customFormat="1" ht="33.75" customHeight="1" thickBot="1" x14ac:dyDescent="0.25">
      <c r="B29" s="1033"/>
      <c r="C29" s="1049"/>
      <c r="D29" s="1036"/>
      <c r="E29" s="1051"/>
      <c r="F29" s="1072"/>
      <c r="G29" s="1073"/>
      <c r="H29" s="1078"/>
      <c r="I29" s="1079"/>
      <c r="J29" s="894"/>
      <c r="K29" s="895"/>
      <c r="L29" s="380"/>
      <c r="M29" s="1007"/>
      <c r="N29" s="1008"/>
      <c r="O29" s="910"/>
      <c r="P29" s="473" t="s">
        <v>5</v>
      </c>
      <c r="Q29" s="360" t="str">
        <f>IF(Q27="","n.d.",IF(Q28="","n.d.",IF(Q28=0,"",Q27/Q28)))</f>
        <v>n.d.</v>
      </c>
      <c r="R29" s="843"/>
      <c r="S29" s="996"/>
      <c r="T29" s="849"/>
    </row>
    <row r="30" spans="2:21" ht="33.75" customHeight="1" thickBot="1" x14ac:dyDescent="0.25">
      <c r="B30" s="1033"/>
      <c r="C30" s="1049" t="s">
        <v>344</v>
      </c>
      <c r="D30" s="1036"/>
      <c r="E30" s="1051"/>
      <c r="F30" s="1070" t="s">
        <v>987</v>
      </c>
      <c r="G30" s="1071"/>
      <c r="H30" s="1078"/>
      <c r="I30" s="1079"/>
      <c r="J30" s="894"/>
      <c r="K30" s="895"/>
      <c r="L30" s="381"/>
      <c r="M30" s="1067" t="s">
        <v>320</v>
      </c>
      <c r="N30" s="1008"/>
      <c r="O30" s="908"/>
      <c r="P30" s="83" t="s">
        <v>2</v>
      </c>
      <c r="Q30" s="108"/>
      <c r="R30" s="841" t="str">
        <f>IF(AND(Q30&lt;&gt;"",Q31&lt;&gt;"",Q30=0,Q31=0),Berechnung1!$H$4,IF(Q32="",Berechnung1!$D$4,IF(Q32=Berechnung1!D47,Berechnung1!$F$4,IF(OR(Q32&lt;Berechnung1!E47,Q32&gt;Berechnung1!F47),Berechnung1!$G$4,IF(OR(ROUND(Q32,4)&lt;Berechnung1!J47,ROUND(Q32,4)&gt;Berechnung1!K47),Berechnung1!$D$4,IF(OR(ROUND(Q32,4)&lt;Berechnung1!G47,ROUND(Q32,4)&gt;Berechnung1!H47),Berechnung1!$E$4,Berechnung1!$C$4))))))</f>
        <v>Unvollständig</v>
      </c>
      <c r="S30" s="1065"/>
      <c r="T30" s="845"/>
    </row>
    <row r="31" spans="2:21" ht="33.75" customHeight="1" thickBot="1" x14ac:dyDescent="0.25">
      <c r="B31" s="1033"/>
      <c r="C31" s="1049"/>
      <c r="D31" s="1036"/>
      <c r="E31" s="1051"/>
      <c r="F31" s="1072"/>
      <c r="G31" s="1073"/>
      <c r="H31" s="1078"/>
      <c r="I31" s="1079"/>
      <c r="J31" s="894"/>
      <c r="K31" s="895"/>
      <c r="L31" s="380"/>
      <c r="M31" s="1007"/>
      <c r="N31" s="1008"/>
      <c r="O31" s="909"/>
      <c r="P31" s="83" t="s">
        <v>4</v>
      </c>
      <c r="Q31" s="108"/>
      <c r="R31" s="842"/>
      <c r="S31" s="996"/>
      <c r="T31" s="1066"/>
    </row>
    <row r="32" spans="2:21" ht="33.75" customHeight="1" thickBot="1" x14ac:dyDescent="0.25">
      <c r="B32" s="1034"/>
      <c r="C32" s="1053"/>
      <c r="D32" s="1037"/>
      <c r="E32" s="1052"/>
      <c r="F32" s="1074"/>
      <c r="G32" s="1075"/>
      <c r="H32" s="1080"/>
      <c r="I32" s="1081"/>
      <c r="J32" s="896"/>
      <c r="K32" s="897"/>
      <c r="L32" s="379"/>
      <c r="M32" s="1007"/>
      <c r="N32" s="1008"/>
      <c r="O32" s="910"/>
      <c r="P32" s="473" t="s">
        <v>5</v>
      </c>
      <c r="Q32" s="360" t="str">
        <f>IF(Q30="","n.d.",IF(Q31="","n.d.",IF(Q31=0,"",Q30/Q31)))</f>
        <v>n.d.</v>
      </c>
      <c r="R32" s="843"/>
      <c r="S32" s="996"/>
      <c r="T32" s="1066"/>
    </row>
    <row r="33" spans="2:21" s="81" customFormat="1" ht="33.75" customHeight="1" thickBot="1" x14ac:dyDescent="0.25">
      <c r="B33" s="880">
        <v>3</v>
      </c>
      <c r="C33" s="1039" t="s">
        <v>343</v>
      </c>
      <c r="D33" s="997" t="s">
        <v>897</v>
      </c>
      <c r="E33" s="889" t="s">
        <v>740</v>
      </c>
      <c r="F33" s="892" t="s">
        <v>989</v>
      </c>
      <c r="G33" s="893"/>
      <c r="H33" s="892" t="s">
        <v>990</v>
      </c>
      <c r="I33" s="893"/>
      <c r="J33" s="985" t="s">
        <v>359</v>
      </c>
      <c r="K33" s="985"/>
      <c r="L33" s="1109"/>
      <c r="M33" s="1116">
        <v>1</v>
      </c>
      <c r="N33" s="995"/>
      <c r="O33" s="908"/>
      <c r="P33" s="83" t="s">
        <v>2</v>
      </c>
      <c r="Q33" s="108"/>
      <c r="R33" s="841" t="str">
        <f>IF(AND(Q33&lt;&gt;"",Q34&lt;&gt;"",Q33=0,Q34=0),Berechnung1!$H$4,IF(Q35="",Berechnung1!$D$4,IF(Q35=Berechnung1!D50,Berechnung1!$F$4,IF(OR(Q35&lt;Berechnung1!E50,Q35&gt;Berechnung1!F50),Berechnung1!$G$4,IF(OR(ROUND(Q35,4)&lt;Berechnung1!J50,ROUND(Q35,4)&gt;Berechnung1!K50),Berechnung1!$D$4,IF(OR(ROUND(Q35,4)&lt;Berechnung1!G50,ROUND(Q35,4)&gt;Berechnung1!H50),Berechnung1!$E$4,Berechnung1!$C$4))))))</f>
        <v>Unvollständig</v>
      </c>
      <c r="S33" s="844"/>
      <c r="T33" s="1085"/>
    </row>
    <row r="34" spans="2:21" s="81" customFormat="1" ht="33.75" customHeight="1" thickBot="1" x14ac:dyDescent="0.25">
      <c r="B34" s="882"/>
      <c r="C34" s="1040"/>
      <c r="D34" s="931"/>
      <c r="E34" s="890"/>
      <c r="F34" s="894"/>
      <c r="G34" s="895"/>
      <c r="H34" s="894"/>
      <c r="I34" s="895"/>
      <c r="J34" s="985"/>
      <c r="K34" s="985"/>
      <c r="L34" s="1110"/>
      <c r="M34" s="994"/>
      <c r="N34" s="995"/>
      <c r="O34" s="909"/>
      <c r="P34" s="83" t="s">
        <v>4</v>
      </c>
      <c r="Q34" s="109"/>
      <c r="R34" s="842"/>
      <c r="S34" s="996"/>
      <c r="T34" s="1086"/>
      <c r="U34" s="486">
        <f>IF(OR(Basisdaten!F40="",Basisdaten!G40="",Basisdaten!H40=""),0,SUM(Basisdaten!F40:'Basisdaten'!H40))</f>
        <v>0</v>
      </c>
    </row>
    <row r="35" spans="2:21" s="81" customFormat="1" ht="33.75" customHeight="1" thickBot="1" x14ac:dyDescent="0.25">
      <c r="B35" s="882"/>
      <c r="C35" s="1040"/>
      <c r="D35" s="931"/>
      <c r="E35" s="890"/>
      <c r="F35" s="894"/>
      <c r="G35" s="895"/>
      <c r="H35" s="894"/>
      <c r="I35" s="895"/>
      <c r="J35" s="985"/>
      <c r="K35" s="985"/>
      <c r="L35" s="1111"/>
      <c r="M35" s="994"/>
      <c r="N35" s="995"/>
      <c r="O35" s="910"/>
      <c r="P35" s="473" t="s">
        <v>5</v>
      </c>
      <c r="Q35" s="360" t="str">
        <f>IF(Q33="","n.d.",IF(Q34="","n.d.",IF(Q34=0,"",Q33/Q34)))</f>
        <v>n.d.</v>
      </c>
      <c r="R35" s="843"/>
      <c r="S35" s="996"/>
      <c r="T35" s="1087"/>
    </row>
    <row r="36" spans="2:21" ht="33.75" customHeight="1" thickBot="1" x14ac:dyDescent="0.25">
      <c r="B36" s="882"/>
      <c r="C36" s="1040" t="s">
        <v>344</v>
      </c>
      <c r="D36" s="931"/>
      <c r="E36" s="890"/>
      <c r="F36" s="894"/>
      <c r="G36" s="895"/>
      <c r="H36" s="894"/>
      <c r="I36" s="895"/>
      <c r="J36" s="985" t="s">
        <v>702</v>
      </c>
      <c r="K36" s="985"/>
      <c r="L36" s="1109"/>
      <c r="M36" s="1116">
        <v>1</v>
      </c>
      <c r="N36" s="995"/>
      <c r="O36" s="908"/>
      <c r="P36" s="83" t="s">
        <v>2</v>
      </c>
      <c r="Q36" s="108"/>
      <c r="R36" s="841" t="str">
        <f>IF(AND(Q36&lt;&gt;"",Q37&lt;&gt;"",Q36=0,Q37=0),Berechnung1!$H$4,IF(ISERROR(Q38),Berechnung1!$G$4,IF(Q38="",Berechnung1!$D$4,IF(Q38=Berechnung1!D53,Berechnung1!$F$4,IF(OR(Q38&lt;Berechnung1!E53,Q38&gt;Berechnung1!F53),Berechnung1!$G$4,IF(OR(ROUND(Q38,4)&lt;Berechnung1!J53,ROUND(Q38,4)&gt;Berechnung1!K53),Berechnung1!$D$4,IF(OR(ROUND(Q38,4)&lt;Berechnung1!G53,ROUND(Q38,4)&gt;Berechnung1!H53),Berechnung1!$E$4,Berechnung1!$C$4)))))))</f>
        <v>Unvollständig</v>
      </c>
      <c r="S36" s="844"/>
      <c r="T36" s="844"/>
    </row>
    <row r="37" spans="2:21" ht="33.75" customHeight="1" thickBot="1" x14ac:dyDescent="0.25">
      <c r="B37" s="882"/>
      <c r="C37" s="1040"/>
      <c r="D37" s="931"/>
      <c r="E37" s="890"/>
      <c r="F37" s="894"/>
      <c r="G37" s="895"/>
      <c r="H37" s="894"/>
      <c r="I37" s="895"/>
      <c r="J37" s="985"/>
      <c r="K37" s="985"/>
      <c r="L37" s="1110"/>
      <c r="M37" s="994"/>
      <c r="N37" s="995"/>
      <c r="O37" s="909"/>
      <c r="P37" s="83" t="s">
        <v>4</v>
      </c>
      <c r="Q37" s="108"/>
      <c r="R37" s="842"/>
      <c r="S37" s="996"/>
      <c r="T37" s="1066"/>
      <c r="U37" s="486">
        <f>IF(Basisdaten!O38="",0,Basisdaten!O38)</f>
        <v>0</v>
      </c>
    </row>
    <row r="38" spans="2:21" ht="33.75" customHeight="1" thickBot="1" x14ac:dyDescent="0.25">
      <c r="B38" s="882"/>
      <c r="C38" s="1041"/>
      <c r="D38" s="931"/>
      <c r="E38" s="890"/>
      <c r="F38" s="894"/>
      <c r="G38" s="895"/>
      <c r="H38" s="894"/>
      <c r="I38" s="895"/>
      <c r="J38" s="985"/>
      <c r="K38" s="985"/>
      <c r="L38" s="1111"/>
      <c r="M38" s="994"/>
      <c r="N38" s="995"/>
      <c r="O38" s="910"/>
      <c r="P38" s="473" t="s">
        <v>5</v>
      </c>
      <c r="Q38" s="360" t="str">
        <f>IF(Q36="","n.d.",IF(Q37="","n.d.",IF(Q37=0,"",Q36/Q37)))</f>
        <v>n.d.</v>
      </c>
      <c r="R38" s="843"/>
      <c r="S38" s="996"/>
      <c r="T38" s="1066"/>
      <c r="U38" s="486">
        <f>SUM(Basisdaten!O38:O39)</f>
        <v>0</v>
      </c>
    </row>
    <row r="39" spans="2:21" ht="33.75" customHeight="1" thickBot="1" x14ac:dyDescent="0.25">
      <c r="B39" s="882"/>
      <c r="C39" s="1040" t="s">
        <v>701</v>
      </c>
      <c r="D39" s="931"/>
      <c r="E39" s="890"/>
      <c r="F39" s="894"/>
      <c r="G39" s="895"/>
      <c r="H39" s="894"/>
      <c r="I39" s="895"/>
      <c r="J39" s="985" t="s">
        <v>991</v>
      </c>
      <c r="K39" s="985"/>
      <c r="L39" s="1109"/>
      <c r="M39" s="1116">
        <v>1</v>
      </c>
      <c r="N39" s="995"/>
      <c r="O39" s="908"/>
      <c r="P39" s="526" t="s">
        <v>2</v>
      </c>
      <c r="Q39" s="108"/>
      <c r="R39" s="841" t="str">
        <f>IF(AND(Q39&lt;&gt;"",Q40&lt;&gt;"",Q39=0,Q40=0),Berechnung1!$H$4,IF(ISERROR(Q41),Berechnung1!$G$4,IF(Q41="",Berechnung1!$D$4,IF(Q41=Berechnung1!D56,Berechnung1!$F$4,IF(OR(Q41&lt;Berechnung1!E56,Q41&gt;Berechnung1!F56),Berechnung1!$G$4,IF(OR(ROUND(Q41,4)&lt;Berechnung1!J56,ROUND(Q41,4)&gt;Berechnung1!K56),Berechnung1!$D$4,IF(OR(ROUND(Q41,4)&lt;Berechnung1!G56,ROUND(Q41,4)&gt;Berechnung1!H56),Berechnung1!$E$4,Berechnung1!$C$4)))))))</f>
        <v>Unvollständig</v>
      </c>
      <c r="S39" s="844"/>
      <c r="T39" s="1065"/>
      <c r="U39" s="486">
        <f>IF(Basisdaten!O47="",0,Basisdaten!O47)</f>
        <v>0</v>
      </c>
    </row>
    <row r="40" spans="2:21" ht="33.75" customHeight="1" thickBot="1" x14ac:dyDescent="0.25">
      <c r="B40" s="882"/>
      <c r="C40" s="1040"/>
      <c r="D40" s="931"/>
      <c r="E40" s="890"/>
      <c r="F40" s="894"/>
      <c r="G40" s="895"/>
      <c r="H40" s="894"/>
      <c r="I40" s="895"/>
      <c r="J40" s="985"/>
      <c r="K40" s="985"/>
      <c r="L40" s="1110"/>
      <c r="M40" s="994"/>
      <c r="N40" s="995"/>
      <c r="O40" s="909"/>
      <c r="P40" s="526" t="s">
        <v>4</v>
      </c>
      <c r="Q40" s="187">
        <f>IF(Basisdaten!O45="",0,IF(Basisdaten!O46="",0,(Basisdaten!O45+Basisdaten!O46)))</f>
        <v>0</v>
      </c>
      <c r="R40" s="842"/>
      <c r="S40" s="996"/>
      <c r="T40" s="1066"/>
    </row>
    <row r="41" spans="2:21" ht="33.75" customHeight="1" thickBot="1" x14ac:dyDescent="0.25">
      <c r="B41" s="884"/>
      <c r="C41" s="1041"/>
      <c r="D41" s="932"/>
      <c r="E41" s="891"/>
      <c r="F41" s="896"/>
      <c r="G41" s="897"/>
      <c r="H41" s="896"/>
      <c r="I41" s="897"/>
      <c r="J41" s="985"/>
      <c r="K41" s="985"/>
      <c r="L41" s="1111"/>
      <c r="M41" s="994"/>
      <c r="N41" s="995"/>
      <c r="O41" s="910"/>
      <c r="P41" s="473" t="s">
        <v>5</v>
      </c>
      <c r="Q41" s="360" t="str">
        <f>IF(Q39="","n.d.",IF(AND(Q39=0,Q40=0),"",Q39/Q40))</f>
        <v>n.d.</v>
      </c>
      <c r="R41" s="843"/>
      <c r="S41" s="996"/>
      <c r="T41" s="1066"/>
    </row>
    <row r="42" spans="2:21" s="82" customFormat="1" ht="32.25" customHeight="1" thickBot="1" x14ac:dyDescent="0.25">
      <c r="B42" s="1107">
        <v>4</v>
      </c>
      <c r="C42" s="1043"/>
      <c r="D42" s="1035" t="s">
        <v>922</v>
      </c>
      <c r="E42" s="1030" t="s">
        <v>594</v>
      </c>
      <c r="F42" s="1030" t="s">
        <v>1001</v>
      </c>
      <c r="G42" s="1092"/>
      <c r="H42" s="1112" t="s">
        <v>849</v>
      </c>
      <c r="I42" s="1113"/>
      <c r="J42" s="1030" t="s">
        <v>585</v>
      </c>
      <c r="K42" s="1092"/>
      <c r="L42" s="908" t="s">
        <v>443</v>
      </c>
      <c r="M42" s="1007" t="s">
        <v>589</v>
      </c>
      <c r="N42" s="1008"/>
      <c r="O42" s="917"/>
      <c r="P42" s="83" t="s">
        <v>2</v>
      </c>
      <c r="Q42" s="474">
        <f>IF(Basisdaten!D33="",0,Basisdaten!D33)</f>
        <v>0</v>
      </c>
      <c r="R42" s="841" t="str">
        <f>IF(Q44=Berechnung1!D59,Berechnung1!$F$4,IF(OR(Q44&lt; Berechnung1!E59,Q44&gt; Berechnung1!F59),Berechnung1!$G$4,IF(OR(ROUND(Q44,4)&lt;Berechnung1!J59,ROUND(Q44,4)&gt;Berechnung1!K59),Berechnung1!$D$4,IF(OR(ROUND(Q44,4)&lt;Berechnung1!G59,ROUND(Q44,4)&gt;Berechnung1!H59),Berechnung1!$E$4,Berechnung1!$C$4))))</f>
        <v>Unvollständig</v>
      </c>
      <c r="S42" s="1065"/>
      <c r="T42" s="1088"/>
      <c r="U42" s="548"/>
    </row>
    <row r="43" spans="2:21" s="81" customFormat="1" ht="32.25" customHeight="1" thickBot="1" x14ac:dyDescent="0.25">
      <c r="B43" s="1044"/>
      <c r="C43" s="1045"/>
      <c r="D43" s="1036"/>
      <c r="E43" s="1030"/>
      <c r="F43" s="1030"/>
      <c r="G43" s="1092"/>
      <c r="H43" s="1112"/>
      <c r="I43" s="1113"/>
      <c r="J43" s="1030"/>
      <c r="K43" s="1092"/>
      <c r="L43" s="909"/>
      <c r="M43" s="1007"/>
      <c r="N43" s="1008"/>
      <c r="O43" s="918"/>
      <c r="P43" s="83" t="s">
        <v>4</v>
      </c>
      <c r="Q43" s="187">
        <f>IF(Basisdaten!O33="",0,Basisdaten!O33)</f>
        <v>0</v>
      </c>
      <c r="R43" s="842"/>
      <c r="S43" s="996"/>
      <c r="T43" s="1086"/>
    </row>
    <row r="44" spans="2:21" s="81" customFormat="1" ht="32.25" customHeight="1" thickBot="1" x14ac:dyDescent="0.25">
      <c r="B44" s="1046"/>
      <c r="C44" s="1047"/>
      <c r="D44" s="1037"/>
      <c r="E44" s="1030"/>
      <c r="F44" s="1030"/>
      <c r="G44" s="1092"/>
      <c r="H44" s="1112"/>
      <c r="I44" s="1113"/>
      <c r="J44" s="1030"/>
      <c r="K44" s="1092"/>
      <c r="L44" s="910"/>
      <c r="M44" s="1007"/>
      <c r="N44" s="1008"/>
      <c r="O44" s="919"/>
      <c r="P44" s="83" t="s">
        <v>5</v>
      </c>
      <c r="Q44" s="360" t="str">
        <f>IF(OR(Q42="",Q43=""),"n.d.",IF(AND(Q42=0,Q43=0),"n.d.",IF(Q43=0,"",Q42/Q43)))</f>
        <v>n.d.</v>
      </c>
      <c r="R44" s="843"/>
      <c r="S44" s="996"/>
      <c r="T44" s="1087"/>
    </row>
    <row r="45" spans="2:21" s="81" customFormat="1" ht="32.25" customHeight="1" thickBot="1" x14ac:dyDescent="0.25">
      <c r="B45" s="1107">
        <v>5</v>
      </c>
      <c r="C45" s="1043"/>
      <c r="D45" s="1108" t="s">
        <v>922</v>
      </c>
      <c r="E45" s="1050" t="s">
        <v>792</v>
      </c>
      <c r="F45" s="1097" t="s">
        <v>1002</v>
      </c>
      <c r="G45" s="1098"/>
      <c r="H45" s="1097" t="s">
        <v>850</v>
      </c>
      <c r="I45" s="1098"/>
      <c r="J45" s="1097" t="s">
        <v>588</v>
      </c>
      <c r="K45" s="1098"/>
      <c r="L45" s="982"/>
      <c r="M45" s="1101" t="s">
        <v>704</v>
      </c>
      <c r="N45" s="1102"/>
      <c r="O45" s="988"/>
      <c r="P45" s="83" t="s">
        <v>2</v>
      </c>
      <c r="Q45" s="108"/>
      <c r="R45" s="841" t="str">
        <f>IF(AND(Q45&lt;&gt;"",Q46&lt;&gt;"",Q45=0,Q46=0),Berechnung1!$H$4,IF(ISERROR(Q47),Berechnung1!$G$4,IF(Q47="",Berechnung1!$D$4,IF(Q47=Berechnung1!D62,Berechnung1!$F$4,IF(OR(Q47&lt;Berechnung1!E62,Q47&gt;Berechnung1!F62),Berechnung1!$G$4,IF(OR(ROUND(Q47,4)&lt;Berechnung1!J62,ROUND(Q47,4)&gt;Berechnung1!K62),Berechnung1!$D$4,IF(OR(ROUND(Q47,4)&lt;Berechnung1!G62,ROUND(Q47,4)&gt;Berechnung1!H62),Berechnung1!$E$4,Berechnung1!$C$4)))))))</f>
        <v>Unvollständig</v>
      </c>
      <c r="S45" s="1094"/>
      <c r="T45" s="933"/>
    </row>
    <row r="46" spans="2:21" s="81" customFormat="1" ht="32.25" customHeight="1" thickBot="1" x14ac:dyDescent="0.25">
      <c r="B46" s="1044"/>
      <c r="C46" s="1045"/>
      <c r="D46" s="1036"/>
      <c r="E46" s="1051"/>
      <c r="F46" s="1011"/>
      <c r="G46" s="1099"/>
      <c r="H46" s="1011"/>
      <c r="I46" s="1099"/>
      <c r="J46" s="1011"/>
      <c r="K46" s="1099"/>
      <c r="L46" s="983"/>
      <c r="M46" s="1103"/>
      <c r="N46" s="1104"/>
      <c r="O46" s="989"/>
      <c r="P46" s="473" t="s">
        <v>4</v>
      </c>
      <c r="Q46" s="187">
        <f>IF(Basisdaten!I35="",0,Basisdaten!I35)</f>
        <v>0</v>
      </c>
      <c r="R46" s="842"/>
      <c r="S46" s="1095"/>
      <c r="T46" s="848"/>
    </row>
    <row r="47" spans="2:21" s="81" customFormat="1" ht="32.25" customHeight="1" thickBot="1" x14ac:dyDescent="0.25">
      <c r="B47" s="1046"/>
      <c r="C47" s="1047"/>
      <c r="D47" s="1037"/>
      <c r="E47" s="1052"/>
      <c r="F47" s="1013"/>
      <c r="G47" s="1100"/>
      <c r="H47" s="1013"/>
      <c r="I47" s="1100"/>
      <c r="J47" s="1013"/>
      <c r="K47" s="1100"/>
      <c r="L47" s="984"/>
      <c r="M47" s="1105"/>
      <c r="N47" s="1106"/>
      <c r="O47" s="990"/>
      <c r="P47" s="473" t="s">
        <v>5</v>
      </c>
      <c r="Q47" s="360" t="str">
        <f>IF(Q45="","n.d.",IF(AND(Q45=0,Q46=0),"",Q45/Q46))</f>
        <v>n.d.</v>
      </c>
      <c r="R47" s="843"/>
      <c r="S47" s="1096"/>
      <c r="T47" s="849"/>
    </row>
    <row r="48" spans="2:21" ht="35.1" customHeight="1" thickBot="1" x14ac:dyDescent="0.25">
      <c r="B48" s="1107">
        <v>6</v>
      </c>
      <c r="C48" s="1043"/>
      <c r="D48" s="1035" t="s">
        <v>316</v>
      </c>
      <c r="E48" s="1050" t="s">
        <v>9</v>
      </c>
      <c r="F48" s="1030" t="s">
        <v>11</v>
      </c>
      <c r="G48" s="1092"/>
      <c r="H48" s="1030" t="s">
        <v>992</v>
      </c>
      <c r="I48" s="1092"/>
      <c r="J48" s="985" t="s">
        <v>993</v>
      </c>
      <c r="K48" s="987"/>
      <c r="L48" s="908" t="s">
        <v>450</v>
      </c>
      <c r="M48" s="1007" t="s">
        <v>589</v>
      </c>
      <c r="N48" s="1008"/>
      <c r="O48" s="908" t="s">
        <v>371</v>
      </c>
      <c r="P48" s="83" t="s">
        <v>2</v>
      </c>
      <c r="Q48" s="108"/>
      <c r="R48" s="841" t="str">
        <f>IF(Q50=Berechnung1!D65,Berechnung1!$F$4,IF(OR(Q50&lt; Berechnung1!E65,Q50&gt; Berechnung1!F65),Berechnung1!$G$4,IF(OR(ROUND(Q50,4)&lt;Berechnung1!J65,ROUND(Q50,4)&gt;Berechnung1!K65),Berechnung1!$D$4,IF(OR(ROUND(Q50,4)&lt;Berechnung1!G65,ROUND(Q50,4)&gt;Berechnung1!H65),Berechnung1!$E$4,Berechnung1!$C$4))))</f>
        <v>Unvollständig</v>
      </c>
      <c r="S48" s="844"/>
      <c r="T48" s="1065"/>
    </row>
    <row r="49" spans="2:21" ht="35.1" customHeight="1" thickBot="1" x14ac:dyDescent="0.25">
      <c r="B49" s="1044"/>
      <c r="C49" s="1045"/>
      <c r="D49" s="1036"/>
      <c r="E49" s="1051"/>
      <c r="F49" s="1030"/>
      <c r="G49" s="1092"/>
      <c r="H49" s="1030"/>
      <c r="I49" s="1092"/>
      <c r="J49" s="985"/>
      <c r="K49" s="987"/>
      <c r="L49" s="909"/>
      <c r="M49" s="1007"/>
      <c r="N49" s="1008"/>
      <c r="O49" s="909"/>
      <c r="P49" s="83" t="s">
        <v>4</v>
      </c>
      <c r="Q49" s="84">
        <f>IF(OR(Q12="",Q24=""),0,(Q12+Q24))</f>
        <v>0</v>
      </c>
      <c r="R49" s="842"/>
      <c r="S49" s="996"/>
      <c r="T49" s="1066"/>
    </row>
    <row r="50" spans="2:21" ht="35.1" customHeight="1" thickBot="1" x14ac:dyDescent="0.25">
      <c r="B50" s="1046"/>
      <c r="C50" s="1047"/>
      <c r="D50" s="1037"/>
      <c r="E50" s="1052"/>
      <c r="F50" s="1030"/>
      <c r="G50" s="1092"/>
      <c r="H50" s="1030"/>
      <c r="I50" s="1092"/>
      <c r="J50" s="985"/>
      <c r="K50" s="987"/>
      <c r="L50" s="910"/>
      <c r="M50" s="1007"/>
      <c r="N50" s="1008"/>
      <c r="O50" s="910"/>
      <c r="P50" s="473" t="s">
        <v>5</v>
      </c>
      <c r="Q50" s="360" t="str">
        <f>IF(Q48="","n.d.",IF(Q49="","n.d.",IF(Q49=0,"",Q48/Q49)))</f>
        <v>n.d.</v>
      </c>
      <c r="R50" s="843"/>
      <c r="S50" s="996"/>
      <c r="T50" s="1066"/>
    </row>
    <row r="51" spans="2:21" s="81" customFormat="1" ht="35.1" customHeight="1" thickBot="1" x14ac:dyDescent="0.25">
      <c r="B51" s="1107">
        <v>7</v>
      </c>
      <c r="C51" s="1043"/>
      <c r="D51" s="1035" t="s">
        <v>961</v>
      </c>
      <c r="E51" s="1030" t="s">
        <v>10</v>
      </c>
      <c r="F51" s="1030" t="s">
        <v>12</v>
      </c>
      <c r="G51" s="1092"/>
      <c r="H51" s="1030" t="s">
        <v>994</v>
      </c>
      <c r="I51" s="1092"/>
      <c r="J51" s="985" t="s">
        <v>993</v>
      </c>
      <c r="K51" s="987"/>
      <c r="L51" s="908" t="s">
        <v>451</v>
      </c>
      <c r="M51" s="1007" t="s">
        <v>589</v>
      </c>
      <c r="N51" s="1008"/>
      <c r="O51" s="1093"/>
      <c r="P51" s="83" t="s">
        <v>2</v>
      </c>
      <c r="Q51" s="108"/>
      <c r="R51" s="841" t="str">
        <f>IF(Q53=Berechnung1!D68,Berechnung1!$F$4,IF(OR(Q53&lt; Berechnung1!E68,Q53&gt; Berechnung1!F68),Berechnung1!$G$4,IF(OR(ROUND(Q53,4)&lt;Berechnung1!J68,ROUND(Q53,4)&gt;Berechnung1!K68),Berechnung1!$D$4,IF(OR(ROUND(Q53,4)&lt;Berechnung1!G68,ROUND(Q53,4)&gt;Berechnung1!H68),Berechnung1!$E$4,Berechnung1!$C$4))))</f>
        <v>Unvollständig</v>
      </c>
      <c r="S51" s="844"/>
      <c r="T51" s="1088"/>
    </row>
    <row r="52" spans="2:21" s="81" customFormat="1" ht="35.1" customHeight="1" thickBot="1" x14ac:dyDescent="0.25">
      <c r="B52" s="1044"/>
      <c r="C52" s="1045"/>
      <c r="D52" s="1036"/>
      <c r="E52" s="1030"/>
      <c r="F52" s="1030"/>
      <c r="G52" s="1092"/>
      <c r="H52" s="1030"/>
      <c r="I52" s="1092"/>
      <c r="J52" s="985"/>
      <c r="K52" s="987"/>
      <c r="L52" s="909"/>
      <c r="M52" s="1007"/>
      <c r="N52" s="1008"/>
      <c r="O52" s="909"/>
      <c r="P52" s="83" t="s">
        <v>4</v>
      </c>
      <c r="Q52" s="84">
        <f>Q49</f>
        <v>0</v>
      </c>
      <c r="R52" s="842"/>
      <c r="S52" s="996"/>
      <c r="T52" s="1086"/>
    </row>
    <row r="53" spans="2:21" s="81" customFormat="1" ht="35.1" customHeight="1" thickBot="1" x14ac:dyDescent="0.25">
      <c r="B53" s="1046"/>
      <c r="C53" s="1047"/>
      <c r="D53" s="1037"/>
      <c r="E53" s="1030"/>
      <c r="F53" s="1030"/>
      <c r="G53" s="1092"/>
      <c r="H53" s="1030"/>
      <c r="I53" s="1092"/>
      <c r="J53" s="985"/>
      <c r="K53" s="987"/>
      <c r="L53" s="910"/>
      <c r="M53" s="1007"/>
      <c r="N53" s="1008"/>
      <c r="O53" s="910"/>
      <c r="P53" s="473" t="s">
        <v>5</v>
      </c>
      <c r="Q53" s="360" t="str">
        <f>IF(Q51="","n.d.",IF(Q52="","n.d.",IF(Q52=0,"",Q51/Q52)))</f>
        <v>n.d.</v>
      </c>
      <c r="R53" s="843"/>
      <c r="S53" s="996"/>
      <c r="T53" s="1087"/>
    </row>
    <row r="54" spans="2:21" ht="32.25" customHeight="1" thickBot="1" x14ac:dyDescent="0.25">
      <c r="B54" s="1107">
        <v>8</v>
      </c>
      <c r="C54" s="1043"/>
      <c r="D54" s="1035" t="s">
        <v>317</v>
      </c>
      <c r="E54" s="1030" t="s">
        <v>995</v>
      </c>
      <c r="F54" s="1030" t="s">
        <v>996</v>
      </c>
      <c r="G54" s="1092"/>
      <c r="H54" s="1030" t="s">
        <v>997</v>
      </c>
      <c r="I54" s="1092"/>
      <c r="J54" s="1030" t="s">
        <v>608</v>
      </c>
      <c r="K54" s="1092"/>
      <c r="L54" s="908"/>
      <c r="M54" s="1114" t="s">
        <v>319</v>
      </c>
      <c r="N54" s="1115"/>
      <c r="O54" s="917"/>
      <c r="P54" s="83" t="s">
        <v>2</v>
      </c>
      <c r="Q54" s="108"/>
      <c r="R54" s="841" t="str">
        <f>IF(Q56=Berechnung1!D71,Berechnung1!$F$4,IF(OR(Q56&lt; Berechnung1!E71,Q56&gt; Berechnung1!F71),Berechnung1!$G$4,IF(OR(ROUND(Q56,4)&lt;Berechnung1!J71,ROUND(Q56,4)&gt;Berechnung1!K71),Berechnung1!$D$4,IF(OR(ROUND(Q56,4)&lt;Berechnung1!G71,ROUND(Q56,4)&gt;Berechnung1!H71),Berechnung1!$E$4,Berechnung1!$C$4))))</f>
        <v>Unvollständig</v>
      </c>
      <c r="S54" s="844"/>
      <c r="T54" s="1065"/>
    </row>
    <row r="55" spans="2:21" ht="32.25" customHeight="1" thickBot="1" x14ac:dyDescent="0.25">
      <c r="B55" s="1044"/>
      <c r="C55" s="1045"/>
      <c r="D55" s="1036"/>
      <c r="E55" s="1030"/>
      <c r="F55" s="1030"/>
      <c r="G55" s="1092"/>
      <c r="H55" s="1030"/>
      <c r="I55" s="1092"/>
      <c r="J55" s="1030"/>
      <c r="K55" s="1092"/>
      <c r="L55" s="909"/>
      <c r="M55" s="1114"/>
      <c r="N55" s="1115"/>
      <c r="O55" s="918"/>
      <c r="P55" s="83" t="s">
        <v>4</v>
      </c>
      <c r="Q55" s="84">
        <f>Q12</f>
        <v>0</v>
      </c>
      <c r="R55" s="842"/>
      <c r="S55" s="996"/>
      <c r="T55" s="1066"/>
    </row>
    <row r="56" spans="2:21" ht="32.25" customHeight="1" thickBot="1" x14ac:dyDescent="0.25">
      <c r="B56" s="1046"/>
      <c r="C56" s="1047"/>
      <c r="D56" s="1037"/>
      <c r="E56" s="1030"/>
      <c r="F56" s="1030"/>
      <c r="G56" s="1092"/>
      <c r="H56" s="1030"/>
      <c r="I56" s="1092"/>
      <c r="J56" s="1030"/>
      <c r="K56" s="1092"/>
      <c r="L56" s="910"/>
      <c r="M56" s="1114"/>
      <c r="N56" s="1115"/>
      <c r="O56" s="919"/>
      <c r="P56" s="473" t="s">
        <v>5</v>
      </c>
      <c r="Q56" s="360" t="str">
        <f>IF(Q54="","n.d.",IF(Q55="","n.d.",IF(Q55=0,"",Q54/Q55)))</f>
        <v>n.d.</v>
      </c>
      <c r="R56" s="843"/>
      <c r="S56" s="996"/>
      <c r="T56" s="1066"/>
    </row>
    <row r="57" spans="2:21" ht="32.25" customHeight="1" thickBot="1" x14ac:dyDescent="0.25">
      <c r="B57" s="1107">
        <v>9</v>
      </c>
      <c r="C57" s="1043"/>
      <c r="D57" s="1035" t="s">
        <v>318</v>
      </c>
      <c r="E57" s="1030" t="s">
        <v>302</v>
      </c>
      <c r="F57" s="1030" t="s">
        <v>7</v>
      </c>
      <c r="G57" s="1092"/>
      <c r="H57" s="1030" t="s">
        <v>600</v>
      </c>
      <c r="I57" s="1092"/>
      <c r="J57" s="1009" t="s">
        <v>429</v>
      </c>
      <c r="K57" s="1010"/>
      <c r="L57" s="908"/>
      <c r="M57" s="994" t="s">
        <v>795</v>
      </c>
      <c r="N57" s="995"/>
      <c r="O57" s="908"/>
      <c r="P57" s="1059" t="s">
        <v>8</v>
      </c>
      <c r="Q57" s="1060">
        <f>IF(Basisdaten!O53="",0,Basisdaten!O53)</f>
        <v>0</v>
      </c>
      <c r="R57" s="841" t="str">
        <f>IF(Q57="",Berechnung1!$F$4,IF(Q57=0, Berechnung1!F4,IF(OR(Q57&lt; Berechnung1!E74,Q57&gt; Berechnung1!F74),Berechnung1!$G$4,IF(OR(ROUND(Q57,4)&lt;Berechnung1!J74,ROUND(Q57,4)&gt;Berechnung1!K74),Berechnung1!$D$4,IF(OR(ROUND(Q57,4)&lt;Berechnung1!G74,ROUND(Q57,4)&gt;Berechnung1!H74),Berechnung1!$E$4,Berechnung1!$C$4)))))</f>
        <v>Unvollständig</v>
      </c>
      <c r="S57" s="844"/>
      <c r="T57" s="1065"/>
    </row>
    <row r="58" spans="2:21" ht="32.25" customHeight="1" thickBot="1" x14ac:dyDescent="0.25">
      <c r="B58" s="1044"/>
      <c r="C58" s="1045"/>
      <c r="D58" s="1036"/>
      <c r="E58" s="1030"/>
      <c r="F58" s="1030"/>
      <c r="G58" s="1092"/>
      <c r="H58" s="1030"/>
      <c r="I58" s="1092"/>
      <c r="J58" s="1011"/>
      <c r="K58" s="1012"/>
      <c r="L58" s="909"/>
      <c r="M58" s="994"/>
      <c r="N58" s="995"/>
      <c r="O58" s="909"/>
      <c r="P58" s="1059"/>
      <c r="Q58" s="1061"/>
      <c r="R58" s="842"/>
      <c r="S58" s="996"/>
      <c r="T58" s="1066"/>
    </row>
    <row r="59" spans="2:21" ht="32.25" customHeight="1" thickBot="1" x14ac:dyDescent="0.25">
      <c r="B59" s="1046"/>
      <c r="C59" s="1047"/>
      <c r="D59" s="1037"/>
      <c r="E59" s="1030"/>
      <c r="F59" s="1030"/>
      <c r="G59" s="1092"/>
      <c r="H59" s="1030"/>
      <c r="I59" s="1092"/>
      <c r="J59" s="1013"/>
      <c r="K59" s="1014"/>
      <c r="L59" s="910"/>
      <c r="M59" s="994"/>
      <c r="N59" s="995"/>
      <c r="O59" s="910"/>
      <c r="P59" s="1059"/>
      <c r="Q59" s="1062"/>
      <c r="R59" s="843"/>
      <c r="S59" s="996"/>
      <c r="T59" s="1066"/>
    </row>
    <row r="60" spans="2:21" ht="35.1" customHeight="1" thickBot="1" x14ac:dyDescent="0.25">
      <c r="B60" s="880">
        <v>10</v>
      </c>
      <c r="C60" s="926"/>
      <c r="D60" s="997"/>
      <c r="E60" s="985" t="s">
        <v>303</v>
      </c>
      <c r="F60" s="985" t="s">
        <v>898</v>
      </c>
      <c r="G60" s="987"/>
      <c r="H60" s="985" t="s">
        <v>852</v>
      </c>
      <c r="I60" s="987"/>
      <c r="J60" s="985" t="s">
        <v>962</v>
      </c>
      <c r="K60" s="987"/>
      <c r="L60" s="898"/>
      <c r="M60" s="994" t="s">
        <v>851</v>
      </c>
      <c r="N60" s="995"/>
      <c r="O60" s="898"/>
      <c r="P60" s="83" t="s">
        <v>2</v>
      </c>
      <c r="Q60" s="108"/>
      <c r="R60" s="841" t="str">
        <f>IF(AND(Q60&lt;&gt;"",Q61&lt;&gt;"",Q60=0,Q61=0),Berechnung1!$H$4,IF(Q62="",Berechnung1!$D$4,IF(Q62=Berechnung1!D77,Berechnung1!$F$4,IF(OR(Q62&lt;Berechnung1!E77,Q62&gt;Berechnung1!F77),Berechnung1!$G$4,IF(OR(ROUND(Q62,4)&lt;Berechnung1!J77,ROUND(Q62,4)&gt;Berechnung1!K77),Berechnung1!$D$4,IF(OR(ROUND(Q62,4)&lt;Berechnung1!G77,ROUND(Q62,4)&gt;Berechnung1!H77),Berechnung1!$E$4,Berechnung1!$C$4))))))</f>
        <v>Unvollständig</v>
      </c>
      <c r="S60" s="844"/>
      <c r="T60" s="1065"/>
    </row>
    <row r="61" spans="2:21" ht="35.1" customHeight="1" thickBot="1" x14ac:dyDescent="0.25">
      <c r="B61" s="927"/>
      <c r="C61" s="928"/>
      <c r="D61" s="931"/>
      <c r="E61" s="985"/>
      <c r="F61" s="985"/>
      <c r="G61" s="987"/>
      <c r="H61" s="985"/>
      <c r="I61" s="987"/>
      <c r="J61" s="985"/>
      <c r="K61" s="987"/>
      <c r="L61" s="899"/>
      <c r="M61" s="994"/>
      <c r="N61" s="995"/>
      <c r="O61" s="899"/>
      <c r="P61" s="83" t="s">
        <v>4</v>
      </c>
      <c r="Q61" s="108"/>
      <c r="R61" s="842"/>
      <c r="S61" s="996"/>
      <c r="T61" s="1066"/>
      <c r="U61" s="6">
        <f>SUM(Basisdaten!F40:H40)</f>
        <v>0</v>
      </c>
    </row>
    <row r="62" spans="2:21" ht="35.1" customHeight="1" thickBot="1" x14ac:dyDescent="0.25">
      <c r="B62" s="929"/>
      <c r="C62" s="930"/>
      <c r="D62" s="932"/>
      <c r="E62" s="985"/>
      <c r="F62" s="985"/>
      <c r="G62" s="987"/>
      <c r="H62" s="985"/>
      <c r="I62" s="987"/>
      <c r="J62" s="985"/>
      <c r="K62" s="987"/>
      <c r="L62" s="900"/>
      <c r="M62" s="994"/>
      <c r="N62" s="995"/>
      <c r="O62" s="900"/>
      <c r="P62" s="473" t="s">
        <v>5</v>
      </c>
      <c r="Q62" s="360" t="str">
        <f>IF(Q60="","n.d.",IF(Q61="","n.d.",IF(AND(Q60=0,Q61=0),"",Q60/Q61)))</f>
        <v>n.d.</v>
      </c>
      <c r="R62" s="843"/>
      <c r="S62" s="996"/>
      <c r="T62" s="1066"/>
    </row>
    <row r="63" spans="2:21" ht="35.1" customHeight="1" thickBot="1" x14ac:dyDescent="0.25">
      <c r="B63" s="880">
        <v>11</v>
      </c>
      <c r="C63" s="926"/>
      <c r="D63" s="997"/>
      <c r="E63" s="985" t="s">
        <v>304</v>
      </c>
      <c r="F63" s="985" t="s">
        <v>635</v>
      </c>
      <c r="G63" s="987"/>
      <c r="H63" s="985" t="s">
        <v>853</v>
      </c>
      <c r="I63" s="987"/>
      <c r="J63" s="985" t="s">
        <v>609</v>
      </c>
      <c r="K63" s="987"/>
      <c r="L63" s="898" t="s">
        <v>658</v>
      </c>
      <c r="M63" s="994" t="s">
        <v>589</v>
      </c>
      <c r="N63" s="995"/>
      <c r="O63" s="898" t="s">
        <v>659</v>
      </c>
      <c r="P63" s="83" t="s">
        <v>2</v>
      </c>
      <c r="Q63" s="187">
        <f>IF(Basisdaten!I40="",0,Basisdaten!I40)</f>
        <v>0</v>
      </c>
      <c r="R63" s="841" t="str">
        <f>IF(Q65=Berechnung1!D80,Berechnung1!$F$4,IF(OR(Q65&lt; Berechnung1!E80,Q65&gt; Berechnung1!F80),Berechnung1!$G$4,IF(OR(ROUND(Q65,4)&lt;Berechnung1!J80,ROUND(Q65,4)&gt;Berechnung1!K80),Berechnung1!$D$4,IF(OR(ROUND(Q65,4)&lt;Berechnung1!G80,ROUND(Q65,4)&gt;Berechnung1!H80),Berechnung1!$E$4,Berechnung1!$C$4))))</f>
        <v>Unvollständig</v>
      </c>
      <c r="S63" s="1065"/>
      <c r="T63" s="1065"/>
    </row>
    <row r="64" spans="2:21" ht="35.1" customHeight="1" thickBot="1" x14ac:dyDescent="0.25">
      <c r="B64" s="927"/>
      <c r="C64" s="928"/>
      <c r="D64" s="931"/>
      <c r="E64" s="985"/>
      <c r="F64" s="985"/>
      <c r="G64" s="987"/>
      <c r="H64" s="985"/>
      <c r="I64" s="987"/>
      <c r="J64" s="985"/>
      <c r="K64" s="987"/>
      <c r="L64" s="899"/>
      <c r="M64" s="994"/>
      <c r="N64" s="995"/>
      <c r="O64" s="899"/>
      <c r="P64" s="83" t="s">
        <v>4</v>
      </c>
      <c r="Q64" s="84">
        <f>Q12</f>
        <v>0</v>
      </c>
      <c r="R64" s="842"/>
      <c r="S64" s="996"/>
      <c r="T64" s="1066"/>
    </row>
    <row r="65" spans="2:21" ht="35.1" customHeight="1" thickBot="1" x14ac:dyDescent="0.25">
      <c r="B65" s="929"/>
      <c r="C65" s="930"/>
      <c r="D65" s="932"/>
      <c r="E65" s="985"/>
      <c r="F65" s="985"/>
      <c r="G65" s="987"/>
      <c r="H65" s="985"/>
      <c r="I65" s="987"/>
      <c r="J65" s="985"/>
      <c r="K65" s="987"/>
      <c r="L65" s="900"/>
      <c r="M65" s="994"/>
      <c r="N65" s="995"/>
      <c r="O65" s="900"/>
      <c r="P65" s="473" t="s">
        <v>5</v>
      </c>
      <c r="Q65" s="360" t="str">
        <f>IF(Q63="",0,IF(Q64=0,"n.d.",Q63/Q64))</f>
        <v>n.d.</v>
      </c>
      <c r="R65" s="843"/>
      <c r="S65" s="996"/>
      <c r="T65" s="1066"/>
    </row>
    <row r="66" spans="2:21" ht="35.1" customHeight="1" thickBot="1" x14ac:dyDescent="0.25">
      <c r="B66" s="976">
        <v>12</v>
      </c>
      <c r="C66" s="977"/>
      <c r="D66" s="991"/>
      <c r="E66" s="985" t="s">
        <v>590</v>
      </c>
      <c r="F66" s="985" t="s">
        <v>699</v>
      </c>
      <c r="G66" s="987"/>
      <c r="H66" s="985" t="s">
        <v>854</v>
      </c>
      <c r="I66" s="987"/>
      <c r="J66" s="985" t="s">
        <v>855</v>
      </c>
      <c r="K66" s="987"/>
      <c r="L66" s="898"/>
      <c r="M66" s="994" t="s">
        <v>743</v>
      </c>
      <c r="N66" s="995"/>
      <c r="O66" s="898"/>
      <c r="P66" s="162" t="s">
        <v>2</v>
      </c>
      <c r="Q66" s="164"/>
      <c r="R66" s="841" t="str">
        <f>IF(AND(Q66&lt;&gt;"",Q67&lt;&gt;"",Q66=0,Q67=0),Berechnung1!$H$4,IF(ISERROR(Q68),Berechnung1!$G$4,IF(Q68="",Berechnung1!$D$4,IF(Q68=Berechnung1!D83,Berechnung1!$F$4,IF(OR(Q68&lt;Berechnung1!E83,Q68&gt;Berechnung1!F83),Berechnung1!$G$4,IF(OR(ROUND(Q68,4)&lt;Berechnung1!J83,ROUND(Q68,4)&gt;Berechnung1!K83),Berechnung1!$D$4,IF(OR(ROUND(Q68,4)&lt;Berechnung1!G83,ROUND(Q68,4)&gt;Berechnung1!H83),Berechnung1!$E$4,Berechnung1!$C$4)))))))</f>
        <v>Unvollständig</v>
      </c>
      <c r="S66" s="844"/>
      <c r="T66" s="1065"/>
    </row>
    <row r="67" spans="2:21" ht="35.1" customHeight="1" thickBot="1" x14ac:dyDescent="0.25">
      <c r="B67" s="978"/>
      <c r="C67" s="979"/>
      <c r="D67" s="992"/>
      <c r="E67" s="985"/>
      <c r="F67" s="985"/>
      <c r="G67" s="987"/>
      <c r="H67" s="985"/>
      <c r="I67" s="987"/>
      <c r="J67" s="985"/>
      <c r="K67" s="987"/>
      <c r="L67" s="899"/>
      <c r="M67" s="994"/>
      <c r="N67" s="995"/>
      <c r="O67" s="899"/>
      <c r="P67" s="481" t="s">
        <v>4</v>
      </c>
      <c r="Q67" s="191"/>
      <c r="R67" s="842"/>
      <c r="S67" s="996"/>
      <c r="T67" s="1066"/>
      <c r="U67" s="6" t="str">
        <f>Basisdaten!J40</f>
        <v/>
      </c>
    </row>
    <row r="68" spans="2:21" ht="35.1" customHeight="1" thickBot="1" x14ac:dyDescent="0.25">
      <c r="B68" s="980"/>
      <c r="C68" s="981"/>
      <c r="D68" s="993"/>
      <c r="E68" s="985"/>
      <c r="F68" s="985"/>
      <c r="G68" s="987"/>
      <c r="H68" s="985"/>
      <c r="I68" s="987"/>
      <c r="J68" s="985"/>
      <c r="K68" s="987"/>
      <c r="L68" s="900"/>
      <c r="M68" s="994"/>
      <c r="N68" s="995"/>
      <c r="O68" s="900"/>
      <c r="P68" s="481" t="s">
        <v>5</v>
      </c>
      <c r="Q68" s="360" t="str">
        <f>IF(Q66="","n.d.",IF(Q67="","n.d.",IF(AND(Q66=0,Q67=0),"",Q66/Q67)))</f>
        <v>n.d.</v>
      </c>
      <c r="R68" s="843"/>
      <c r="S68" s="996"/>
      <c r="T68" s="1066"/>
    </row>
    <row r="69" spans="2:21" ht="35.1" customHeight="1" thickBot="1" x14ac:dyDescent="0.25">
      <c r="B69" s="880">
        <v>13</v>
      </c>
      <c r="C69" s="926"/>
      <c r="D69" s="997"/>
      <c r="E69" s="985" t="s">
        <v>342</v>
      </c>
      <c r="F69" s="985" t="s">
        <v>636</v>
      </c>
      <c r="G69" s="986"/>
      <c r="H69" s="985" t="s">
        <v>856</v>
      </c>
      <c r="I69" s="986"/>
      <c r="J69" s="985" t="s">
        <v>609</v>
      </c>
      <c r="K69" s="986"/>
      <c r="L69" s="898"/>
      <c r="M69" s="994" t="s">
        <v>589</v>
      </c>
      <c r="N69" s="995"/>
      <c r="O69" s="898"/>
      <c r="P69" s="162" t="s">
        <v>2</v>
      </c>
      <c r="Q69" s="163">
        <f>IF(Basisdaten!K40="",0,Basisdaten!K40)</f>
        <v>0</v>
      </c>
      <c r="R69" s="1089" t="str">
        <f>IF(Q71=0,Berechnung1!$C$4,IF(Q71=Berechnung1!D86,Berechnung1!$F$4,IF(OR(Q71&lt; Berechnung1!E86,Q71&gt; Berechnung1!F86),Berechnung1!$F$4,IF(OR(ROUND(Q71,4)&lt;Berechnung1!J86,ROUND(Q71,4)&gt;Berechnung1!K86),Berechnung1!$D$4,IF(OR(ROUND(Q71,4)&lt;Berechnung1!G86,ROUND(Q71,4)&gt;Berechnung1!H86),Berechnung1!$E$4,Berechnung1!$C$4)))))</f>
        <v>Unvollständig</v>
      </c>
      <c r="S69" s="844"/>
      <c r="T69" s="1088"/>
    </row>
    <row r="70" spans="2:21" ht="35.1" customHeight="1" thickBot="1" x14ac:dyDescent="0.25">
      <c r="B70" s="927"/>
      <c r="C70" s="928"/>
      <c r="D70" s="931"/>
      <c r="E70" s="985"/>
      <c r="F70" s="985"/>
      <c r="G70" s="986"/>
      <c r="H70" s="985"/>
      <c r="I70" s="986"/>
      <c r="J70" s="985"/>
      <c r="K70" s="986"/>
      <c r="L70" s="899"/>
      <c r="M70" s="994"/>
      <c r="N70" s="995"/>
      <c r="O70" s="899"/>
      <c r="P70" s="162" t="s">
        <v>4</v>
      </c>
      <c r="Q70" s="163">
        <f>Q12</f>
        <v>0</v>
      </c>
      <c r="R70" s="1090"/>
      <c r="S70" s="996"/>
      <c r="T70" s="1086"/>
    </row>
    <row r="71" spans="2:21" ht="35.1" customHeight="1" thickBot="1" x14ac:dyDescent="0.25">
      <c r="B71" s="929"/>
      <c r="C71" s="930"/>
      <c r="D71" s="932"/>
      <c r="E71" s="985"/>
      <c r="F71" s="985"/>
      <c r="G71" s="986"/>
      <c r="H71" s="985"/>
      <c r="I71" s="986"/>
      <c r="J71" s="985"/>
      <c r="K71" s="986"/>
      <c r="L71" s="900"/>
      <c r="M71" s="994"/>
      <c r="N71" s="995"/>
      <c r="O71" s="900"/>
      <c r="P71" s="481" t="s">
        <v>5</v>
      </c>
      <c r="Q71" s="361" t="str">
        <f>IF(Q69="","n.d.",IF(Q70="","n.d.",IF(Q70=0,"n.d.",Q69/Q70)))</f>
        <v>n.d.</v>
      </c>
      <c r="R71" s="1091"/>
      <c r="S71" s="996"/>
      <c r="T71" s="1087"/>
    </row>
    <row r="72" spans="2:21" ht="47.25" customHeight="1" thickBot="1" x14ac:dyDescent="0.25">
      <c r="B72" s="880">
        <v>14</v>
      </c>
      <c r="C72" s="926"/>
      <c r="D72" s="886" t="s">
        <v>922</v>
      </c>
      <c r="E72" s="889" t="s">
        <v>591</v>
      </c>
      <c r="F72" s="892" t="s">
        <v>592</v>
      </c>
      <c r="G72" s="893"/>
      <c r="H72" s="892" t="s">
        <v>1091</v>
      </c>
      <c r="I72" s="893"/>
      <c r="J72" s="892" t="s">
        <v>857</v>
      </c>
      <c r="K72" s="893"/>
      <c r="L72" s="982"/>
      <c r="M72" s="901" t="s">
        <v>972</v>
      </c>
      <c r="N72" s="902"/>
      <c r="O72" s="988"/>
      <c r="P72" s="162" t="s">
        <v>2</v>
      </c>
      <c r="Q72" s="191"/>
      <c r="R72" s="841" t="str">
        <f>IF(AND(Q72&lt;&gt;"",Q73&lt;&gt;"",Q72=0,Q73=0),Berechnung1!$H$4,IF(Q74=Berechnung1!D89,Berechnung1!$F$4,IF(OR(Q74&lt;Berechnung1!E89,Q74&gt;Berechnung1!F89),Berechnung1!$G$4,IF(OR(ROUND(Q74,4)&lt;Berechnung1!J89,ROUND(Q74,4)&gt;Berechnung1!K89),Berechnung1!$D$4,IF(OR(ROUND(Q74,4)&lt;Berechnung1!G89,ROUND(Q74,4)&gt;Berechnung1!H89),Berechnung1!$E$4,Berechnung1!$C$4)))))</f>
        <v>Unvollständig</v>
      </c>
      <c r="S72" s="844"/>
      <c r="T72" s="933"/>
    </row>
    <row r="73" spans="2:21" s="11" customFormat="1" ht="47.25" customHeight="1" thickBot="1" x14ac:dyDescent="0.25">
      <c r="B73" s="927"/>
      <c r="C73" s="928"/>
      <c r="D73" s="931"/>
      <c r="E73" s="890"/>
      <c r="F73" s="894"/>
      <c r="G73" s="895"/>
      <c r="H73" s="894"/>
      <c r="I73" s="895"/>
      <c r="J73" s="894"/>
      <c r="K73" s="895"/>
      <c r="L73" s="983"/>
      <c r="M73" s="903"/>
      <c r="N73" s="904"/>
      <c r="O73" s="989"/>
      <c r="P73" s="162" t="s">
        <v>4</v>
      </c>
      <c r="Q73" s="191"/>
      <c r="R73" s="842"/>
      <c r="S73" s="845"/>
      <c r="T73" s="848"/>
    </row>
    <row r="74" spans="2:21" ht="47.25" customHeight="1" thickBot="1" x14ac:dyDescent="0.25">
      <c r="B74" s="929"/>
      <c r="C74" s="930"/>
      <c r="D74" s="932"/>
      <c r="E74" s="891"/>
      <c r="F74" s="896"/>
      <c r="G74" s="897"/>
      <c r="H74" s="896"/>
      <c r="I74" s="897"/>
      <c r="J74" s="896"/>
      <c r="K74" s="897"/>
      <c r="L74" s="984"/>
      <c r="M74" s="905"/>
      <c r="N74" s="906"/>
      <c r="O74" s="990"/>
      <c r="P74" s="162" t="s">
        <v>5</v>
      </c>
      <c r="Q74" s="360" t="str">
        <f>IF(Q72="","n.d.",IF(Q73="","n.d.",IF(Q73=0,"",Q72/Q73)))</f>
        <v>n.d.</v>
      </c>
      <c r="R74" s="843"/>
      <c r="S74" s="846"/>
      <c r="T74" s="849"/>
    </row>
    <row r="75" spans="2:21" ht="29.25" customHeight="1" thickBot="1" x14ac:dyDescent="0.25">
      <c r="B75" s="880">
        <v>15</v>
      </c>
      <c r="C75" s="926"/>
      <c r="D75" s="886" t="s">
        <v>922</v>
      </c>
      <c r="E75" s="889" t="s">
        <v>593</v>
      </c>
      <c r="F75" s="892" t="s">
        <v>592</v>
      </c>
      <c r="G75" s="893"/>
      <c r="H75" s="892" t="s">
        <v>858</v>
      </c>
      <c r="I75" s="893"/>
      <c r="J75" s="892" t="s">
        <v>859</v>
      </c>
      <c r="K75" s="893"/>
      <c r="L75" s="982"/>
      <c r="M75" s="901" t="s">
        <v>972</v>
      </c>
      <c r="N75" s="902"/>
      <c r="O75" s="988"/>
      <c r="P75" s="162" t="s">
        <v>2</v>
      </c>
      <c r="Q75" s="191"/>
      <c r="R75" s="841" t="str">
        <f>IF(AND(Q75&lt;&gt;"",Q76&lt;&gt;"",Q75=0,Q76=0),Berechnung1!$H$4,IF(Q77="",Berechnung1!$D$4,IF(Q77=Berechnung1!D92,Berechnung1!$F$4,IF(OR(Q77&lt;Berechnung1!E92,Q77&gt;Berechnung1!F92),Berechnung1!$G$4,IF(OR(ROUND(Q77,4)&lt;Berechnung1!J92,ROUND(Q77,4)&gt;Berechnung1!K92),Berechnung1!$D$4,IF(OR(ROUND(Q77,4)&lt;Berechnung1!G92,ROUND(Q77,4)&gt;Berechnung1!H92),Berechnung1!$E$4,Berechnung1!$C$4))))))</f>
        <v>Unvollständig</v>
      </c>
      <c r="S75" s="844"/>
      <c r="T75" s="847"/>
    </row>
    <row r="76" spans="2:21" s="11" customFormat="1" ht="29.25" customHeight="1" thickBot="1" x14ac:dyDescent="0.25">
      <c r="B76" s="927"/>
      <c r="C76" s="928"/>
      <c r="D76" s="931"/>
      <c r="E76" s="890"/>
      <c r="F76" s="894"/>
      <c r="G76" s="895"/>
      <c r="H76" s="894"/>
      <c r="I76" s="895"/>
      <c r="J76" s="894"/>
      <c r="K76" s="895"/>
      <c r="L76" s="983"/>
      <c r="M76" s="903"/>
      <c r="N76" s="904"/>
      <c r="O76" s="989"/>
      <c r="P76" s="162" t="s">
        <v>4</v>
      </c>
      <c r="Q76" s="517"/>
      <c r="R76" s="842"/>
      <c r="S76" s="845"/>
      <c r="T76" s="848"/>
    </row>
    <row r="77" spans="2:21" ht="29.25" customHeight="1" thickBot="1" x14ac:dyDescent="0.25">
      <c r="B77" s="929"/>
      <c r="C77" s="930"/>
      <c r="D77" s="932"/>
      <c r="E77" s="891"/>
      <c r="F77" s="896"/>
      <c r="G77" s="897"/>
      <c r="H77" s="896"/>
      <c r="I77" s="897"/>
      <c r="J77" s="896"/>
      <c r="K77" s="897"/>
      <c r="L77" s="984"/>
      <c r="M77" s="905"/>
      <c r="N77" s="906"/>
      <c r="O77" s="990"/>
      <c r="P77" s="162" t="s">
        <v>5</v>
      </c>
      <c r="Q77" s="360" t="str">
        <f>IF(Q75="","n.d.",IF(Q76="","n.d.",IF(Q76=0,"",Q75/Q76)))</f>
        <v>n.d.</v>
      </c>
      <c r="R77" s="843"/>
      <c r="S77" s="846"/>
      <c r="T77" s="849"/>
    </row>
    <row r="78" spans="2:21" ht="42" customHeight="1" thickBot="1" x14ac:dyDescent="0.25">
      <c r="B78" s="880">
        <v>16</v>
      </c>
      <c r="C78" s="926"/>
      <c r="D78" s="886" t="s">
        <v>922</v>
      </c>
      <c r="E78" s="889" t="s">
        <v>860</v>
      </c>
      <c r="F78" s="892" t="s">
        <v>595</v>
      </c>
      <c r="G78" s="893"/>
      <c r="H78" s="892" t="s">
        <v>973</v>
      </c>
      <c r="I78" s="893"/>
      <c r="J78" s="892" t="s">
        <v>974</v>
      </c>
      <c r="K78" s="893"/>
      <c r="L78" s="970"/>
      <c r="M78" s="971" t="s">
        <v>704</v>
      </c>
      <c r="N78" s="972"/>
      <c r="O78" s="973"/>
      <c r="P78" s="162" t="s">
        <v>2</v>
      </c>
      <c r="Q78" s="191"/>
      <c r="R78" s="841" t="str">
        <f>IF(AND(Q78&lt;&gt;"",Q79&lt;&gt;"",Q78=0,Q79=0),Berechnung1!$H$4,IF(Q80="",Berechnung1!$D$4,IF(Q80=Berechnung1!D95,Berechnung1!$F$4,IF(OR(Q80&lt;Berechnung1!E95,Q80&gt;Berechnung1!F95),Berechnung1!$G$4,IF(OR(ROUND(Q80,4)&lt;Berechnung1!J95,ROUND(Q80,4)&gt;Berechnung1!K95),Berechnung1!$D$4,IF(OR(ROUND(Q80,4)&lt;Berechnung1!G95,ROUND(Q80,4)&gt;Berechnung1!H95),Berechnung1!$E$4,Berechnung1!$C$4))))))</f>
        <v>Unvollständig</v>
      </c>
      <c r="S78" s="844"/>
      <c r="T78" s="933"/>
    </row>
    <row r="79" spans="2:21" s="11" customFormat="1" ht="42" customHeight="1" thickBot="1" x14ac:dyDescent="0.25">
      <c r="B79" s="927"/>
      <c r="C79" s="928"/>
      <c r="D79" s="931"/>
      <c r="E79" s="890"/>
      <c r="F79" s="894"/>
      <c r="G79" s="895"/>
      <c r="H79" s="894"/>
      <c r="I79" s="895"/>
      <c r="J79" s="894"/>
      <c r="K79" s="895"/>
      <c r="L79" s="899"/>
      <c r="M79" s="971"/>
      <c r="N79" s="972"/>
      <c r="O79" s="974"/>
      <c r="P79" s="162" t="s">
        <v>4</v>
      </c>
      <c r="Q79" s="517"/>
      <c r="R79" s="842"/>
      <c r="S79" s="845"/>
      <c r="T79" s="848"/>
    </row>
    <row r="80" spans="2:21" ht="42" customHeight="1" thickBot="1" x14ac:dyDescent="0.25">
      <c r="B80" s="929"/>
      <c r="C80" s="930"/>
      <c r="D80" s="932"/>
      <c r="E80" s="891"/>
      <c r="F80" s="896"/>
      <c r="G80" s="897"/>
      <c r="H80" s="896"/>
      <c r="I80" s="897"/>
      <c r="J80" s="896"/>
      <c r="K80" s="897"/>
      <c r="L80" s="900"/>
      <c r="M80" s="971"/>
      <c r="N80" s="972"/>
      <c r="O80" s="975"/>
      <c r="P80" s="162" t="s">
        <v>5</v>
      </c>
      <c r="Q80" s="360" t="str">
        <f>IF(Q78="","n.d.",IF(Q79="","n.d.",IF(Q79=0,"",Q78/Q79)))</f>
        <v>n.d.</v>
      </c>
      <c r="R80" s="843"/>
      <c r="S80" s="846"/>
      <c r="T80" s="849"/>
    </row>
    <row r="81" spans="2:21" ht="29.25" customHeight="1" thickBot="1" x14ac:dyDescent="0.25">
      <c r="B81" s="940">
        <v>17</v>
      </c>
      <c r="C81" s="941"/>
      <c r="D81" s="946"/>
      <c r="E81" s="949" t="s">
        <v>660</v>
      </c>
      <c r="F81" s="952" t="s">
        <v>661</v>
      </c>
      <c r="G81" s="953"/>
      <c r="H81" s="952" t="s">
        <v>1088</v>
      </c>
      <c r="I81" s="967"/>
      <c r="J81" s="967"/>
      <c r="K81" s="967"/>
      <c r="L81" s="967"/>
      <c r="M81" s="967"/>
      <c r="N81" s="967"/>
      <c r="O81" s="953"/>
      <c r="P81" s="640" t="s">
        <v>2</v>
      </c>
      <c r="Q81" s="642"/>
      <c r="R81" s="958"/>
      <c r="S81" s="934"/>
      <c r="T81" s="937"/>
    </row>
    <row r="82" spans="2:21" ht="29.25" customHeight="1" thickBot="1" x14ac:dyDescent="0.25">
      <c r="B82" s="942"/>
      <c r="C82" s="943"/>
      <c r="D82" s="947"/>
      <c r="E82" s="950"/>
      <c r="F82" s="954"/>
      <c r="G82" s="955"/>
      <c r="H82" s="954"/>
      <c r="I82" s="968"/>
      <c r="J82" s="968"/>
      <c r="K82" s="968"/>
      <c r="L82" s="968"/>
      <c r="M82" s="968"/>
      <c r="N82" s="968"/>
      <c r="O82" s="955"/>
      <c r="P82" s="640" t="s">
        <v>4</v>
      </c>
      <c r="Q82" s="643"/>
      <c r="R82" s="959"/>
      <c r="S82" s="935"/>
      <c r="T82" s="938"/>
    </row>
    <row r="83" spans="2:21" ht="29.25" customHeight="1" thickBot="1" x14ac:dyDescent="0.25">
      <c r="B83" s="944"/>
      <c r="C83" s="945"/>
      <c r="D83" s="948"/>
      <c r="E83" s="951"/>
      <c r="F83" s="956"/>
      <c r="G83" s="957"/>
      <c r="H83" s="956"/>
      <c r="I83" s="969"/>
      <c r="J83" s="969"/>
      <c r="K83" s="969"/>
      <c r="L83" s="969"/>
      <c r="M83" s="969"/>
      <c r="N83" s="969"/>
      <c r="O83" s="957"/>
      <c r="P83" s="640" t="s">
        <v>5</v>
      </c>
      <c r="Q83" s="641" t="str">
        <f>IF(Q81="","n.d.",IF(Q82="","n.d.",IF(Q82=0,"",Q81/Q82)))</f>
        <v>n.d.</v>
      </c>
      <c r="R83" s="960"/>
      <c r="S83" s="936"/>
      <c r="T83" s="939"/>
    </row>
    <row r="84" spans="2:21" ht="39" customHeight="1" thickBot="1" x14ac:dyDescent="0.25">
      <c r="B84" s="880">
        <v>18</v>
      </c>
      <c r="C84" s="926"/>
      <c r="D84" s="961" t="s">
        <v>922</v>
      </c>
      <c r="E84" s="964" t="s">
        <v>596</v>
      </c>
      <c r="F84" s="920" t="s">
        <v>597</v>
      </c>
      <c r="G84" s="921"/>
      <c r="H84" s="920" t="s">
        <v>861</v>
      </c>
      <c r="I84" s="921"/>
      <c r="J84" s="920" t="s">
        <v>975</v>
      </c>
      <c r="K84" s="921"/>
      <c r="L84" s="908"/>
      <c r="M84" s="911" t="s">
        <v>851</v>
      </c>
      <c r="N84" s="912"/>
      <c r="O84" s="917"/>
      <c r="P84" s="528" t="s">
        <v>2</v>
      </c>
      <c r="Q84" s="529"/>
      <c r="R84" s="841" t="str">
        <f>IF(AND(Q84&lt;&gt;"",Q85&lt;&gt;"",Q84=0,Q85=0),Berechnung1!$H$4,IF(Q86="",Berechnung1!$D$4,IF(Q86=Berechnung1!D98,Berechnung1!$F$4,IF(OR(Q86&lt;Berechnung1!E98,Q86&gt;Berechnung1!F98),Berechnung1!$G$4,IF(OR(ROUND(Q86,4)&lt;Berechnung1!J98,ROUND(Q86,4)&gt;Berechnung1!K98),Berechnung1!$D$4,IF(OR(ROUND(Q86,4)&lt;Berechnung1!G98,ROUND(Q86,4)&gt;Berechnung1!H98),Berechnung1!$E$4,Berechnung1!$C$4))))))</f>
        <v>Unvollständig</v>
      </c>
      <c r="S84" s="844"/>
      <c r="T84" s="933"/>
    </row>
    <row r="85" spans="2:21" s="11" customFormat="1" ht="39" customHeight="1" thickBot="1" x14ac:dyDescent="0.25">
      <c r="B85" s="927"/>
      <c r="C85" s="928"/>
      <c r="D85" s="962"/>
      <c r="E85" s="965"/>
      <c r="F85" s="922"/>
      <c r="G85" s="923"/>
      <c r="H85" s="922"/>
      <c r="I85" s="923"/>
      <c r="J85" s="922"/>
      <c r="K85" s="923"/>
      <c r="L85" s="909"/>
      <c r="M85" s="913"/>
      <c r="N85" s="914"/>
      <c r="O85" s="918"/>
      <c r="P85" s="528" t="s">
        <v>4</v>
      </c>
      <c r="Q85" s="530"/>
      <c r="R85" s="842"/>
      <c r="S85" s="845"/>
      <c r="T85" s="848"/>
    </row>
    <row r="86" spans="2:21" ht="39" customHeight="1" thickBot="1" x14ac:dyDescent="0.25">
      <c r="B86" s="929"/>
      <c r="C86" s="930"/>
      <c r="D86" s="963"/>
      <c r="E86" s="966"/>
      <c r="F86" s="924"/>
      <c r="G86" s="925"/>
      <c r="H86" s="924"/>
      <c r="I86" s="925"/>
      <c r="J86" s="924"/>
      <c r="K86" s="925"/>
      <c r="L86" s="910"/>
      <c r="M86" s="915"/>
      <c r="N86" s="916"/>
      <c r="O86" s="919"/>
      <c r="P86" s="528" t="s">
        <v>5</v>
      </c>
      <c r="Q86" s="531" t="str">
        <f>IF(Q84="","n.d.",IF(Q85="","n.d.",IF(Q85=0,"",Q84/Q85)))</f>
        <v>n.d.</v>
      </c>
      <c r="R86" s="843"/>
      <c r="S86" s="846"/>
      <c r="T86" s="849"/>
    </row>
    <row r="87" spans="2:21" ht="33.75" customHeight="1" thickBot="1" x14ac:dyDescent="0.25">
      <c r="B87" s="880">
        <v>19</v>
      </c>
      <c r="C87" s="926"/>
      <c r="D87" s="961" t="s">
        <v>922</v>
      </c>
      <c r="E87" s="964" t="s">
        <v>862</v>
      </c>
      <c r="F87" s="920" t="s">
        <v>863</v>
      </c>
      <c r="G87" s="921"/>
      <c r="H87" s="920" t="s">
        <v>864</v>
      </c>
      <c r="I87" s="921"/>
      <c r="J87" s="920" t="s">
        <v>865</v>
      </c>
      <c r="K87" s="921"/>
      <c r="L87" s="908"/>
      <c r="M87" s="911" t="s">
        <v>976</v>
      </c>
      <c r="N87" s="912"/>
      <c r="O87" s="917"/>
      <c r="P87" s="528" t="s">
        <v>2</v>
      </c>
      <c r="Q87" s="529"/>
      <c r="R87" s="841" t="str">
        <f>IF(AND(Q87&lt;&gt;"",Q88&lt;&gt;"",Q87=0,Q88=0),Berechnung1!$H$4,IF(Q89="",Berechnung1!$D$4,IF(Q89=Berechnung1!D101,Berechnung1!$F$4,IF(OR(Q89&lt;Berechnung1!E101,Q89&gt;Berechnung1!F101),Berechnung1!$G$4,IF(OR(ROUND(Q89,4)&lt;Berechnung1!J101,ROUND(Q89,4)&gt;Berechnung1!K101),Berechnung1!$D$4,IF(OR(ROUND(Q89,4)&lt;Berechnung1!G101,ROUND(Q89,4)&gt;Berechnung1!H101),Berechnung1!$E$4,Berechnung1!$C$4))))))</f>
        <v>Unvollständig</v>
      </c>
      <c r="S87" s="844"/>
      <c r="T87" s="933"/>
    </row>
    <row r="88" spans="2:21" s="11" customFormat="1" ht="33.75" customHeight="1" thickBot="1" x14ac:dyDescent="0.25">
      <c r="B88" s="927"/>
      <c r="C88" s="928"/>
      <c r="D88" s="962"/>
      <c r="E88" s="965"/>
      <c r="F88" s="922"/>
      <c r="G88" s="923"/>
      <c r="H88" s="922"/>
      <c r="I88" s="923"/>
      <c r="J88" s="922"/>
      <c r="K88" s="923"/>
      <c r="L88" s="909"/>
      <c r="M88" s="913"/>
      <c r="N88" s="914"/>
      <c r="O88" s="918"/>
      <c r="P88" s="528" t="s">
        <v>4</v>
      </c>
      <c r="Q88" s="530"/>
      <c r="R88" s="842"/>
      <c r="S88" s="845"/>
      <c r="T88" s="848"/>
    </row>
    <row r="89" spans="2:21" ht="33.75" customHeight="1" thickBot="1" x14ac:dyDescent="0.25">
      <c r="B89" s="929"/>
      <c r="C89" s="930"/>
      <c r="D89" s="963"/>
      <c r="E89" s="966"/>
      <c r="F89" s="924"/>
      <c r="G89" s="925"/>
      <c r="H89" s="924"/>
      <c r="I89" s="925"/>
      <c r="J89" s="924"/>
      <c r="K89" s="925"/>
      <c r="L89" s="910"/>
      <c r="M89" s="915"/>
      <c r="N89" s="916"/>
      <c r="O89" s="919"/>
      <c r="P89" s="528" t="s">
        <v>5</v>
      </c>
      <c r="Q89" s="531" t="str">
        <f>IF(Q87="","n.d.",IF(Q88="","n.d.",IF(Q88=0,"",Q87/Q88)))</f>
        <v>n.d.</v>
      </c>
      <c r="R89" s="843"/>
      <c r="S89" s="846"/>
      <c r="T89" s="849"/>
    </row>
    <row r="90" spans="2:21" ht="33.75" customHeight="1" thickBot="1" x14ac:dyDescent="0.25">
      <c r="B90" s="880">
        <v>20</v>
      </c>
      <c r="C90" s="926"/>
      <c r="D90" s="886" t="s">
        <v>922</v>
      </c>
      <c r="E90" s="889" t="s">
        <v>741</v>
      </c>
      <c r="F90" s="892" t="s">
        <v>742</v>
      </c>
      <c r="G90" s="893"/>
      <c r="H90" s="892" t="s">
        <v>977</v>
      </c>
      <c r="I90" s="893"/>
      <c r="J90" s="892" t="s">
        <v>978</v>
      </c>
      <c r="K90" s="893"/>
      <c r="L90" s="898"/>
      <c r="M90" s="901" t="s">
        <v>743</v>
      </c>
      <c r="N90" s="902"/>
      <c r="O90" s="898"/>
      <c r="P90" s="481" t="s">
        <v>2</v>
      </c>
      <c r="Q90" s="529"/>
      <c r="R90" s="841" t="str">
        <f>IF(AND(Q90&lt;&gt;"",Q91&lt;&gt;"",Q90=0,Q91=0),Berechnung1!$H$4,IF(Q92="",Berechnung1!$D$4,IF(Q92=Berechnung1!D104,Berechnung1!$F$4,IF(OR(Q92&lt;Berechnung1!E104,Q92&gt;Berechnung1!F104),Berechnung1!$G$4,IF(OR(ROUND(Q92,4)&lt;Berechnung1!J104,ROUND(Q92,4)&gt;Berechnung1!K104),Berechnung1!$D$4,IF(OR(ROUND(Q92,4)&lt;Berechnung1!G104,ROUND(Q92,4)&gt;Berechnung1!H104),Berechnung1!$E$4,Berechnung1!$C$4))))))</f>
        <v>Unvollständig</v>
      </c>
      <c r="S90" s="844"/>
      <c r="T90" s="847"/>
    </row>
    <row r="91" spans="2:21" s="11" customFormat="1" ht="33.75" customHeight="1" thickBot="1" x14ac:dyDescent="0.25">
      <c r="B91" s="927"/>
      <c r="C91" s="928"/>
      <c r="D91" s="931"/>
      <c r="E91" s="890"/>
      <c r="F91" s="894"/>
      <c r="G91" s="895"/>
      <c r="H91" s="894"/>
      <c r="I91" s="895"/>
      <c r="J91" s="894"/>
      <c r="K91" s="895"/>
      <c r="L91" s="899"/>
      <c r="M91" s="903"/>
      <c r="N91" s="904"/>
      <c r="O91" s="899"/>
      <c r="P91" s="481" t="s">
        <v>4</v>
      </c>
      <c r="Q91" s="530"/>
      <c r="R91" s="842"/>
      <c r="S91" s="845"/>
      <c r="T91" s="848"/>
    </row>
    <row r="92" spans="2:21" ht="33.75" customHeight="1" thickBot="1" x14ac:dyDescent="0.25">
      <c r="B92" s="929"/>
      <c r="C92" s="930"/>
      <c r="D92" s="932"/>
      <c r="E92" s="891"/>
      <c r="F92" s="896"/>
      <c r="G92" s="897"/>
      <c r="H92" s="896"/>
      <c r="I92" s="897"/>
      <c r="J92" s="896"/>
      <c r="K92" s="897"/>
      <c r="L92" s="900"/>
      <c r="M92" s="905"/>
      <c r="N92" s="906"/>
      <c r="O92" s="900"/>
      <c r="P92" s="481" t="s">
        <v>5</v>
      </c>
      <c r="Q92" s="644" t="str">
        <f>IF(Q90="","n.d.",IF(Q91="","n.d.",IF(Q91=0,"",Q90/Q91)))</f>
        <v>n.d.</v>
      </c>
      <c r="R92" s="843"/>
      <c r="S92" s="846"/>
      <c r="T92" s="849"/>
    </row>
    <row r="93" spans="2:21" ht="33.75" customHeight="1" thickBot="1" x14ac:dyDescent="0.25">
      <c r="B93" s="880">
        <v>21</v>
      </c>
      <c r="C93" s="881"/>
      <c r="D93" s="886" t="s">
        <v>922</v>
      </c>
      <c r="E93" s="889" t="s">
        <v>796</v>
      </c>
      <c r="F93" s="892" t="s">
        <v>797</v>
      </c>
      <c r="G93" s="893"/>
      <c r="H93" s="892" t="s">
        <v>866</v>
      </c>
      <c r="I93" s="893"/>
      <c r="J93" s="892" t="s">
        <v>867</v>
      </c>
      <c r="K93" s="893"/>
      <c r="L93" s="898"/>
      <c r="M93" s="901" t="s">
        <v>1086</v>
      </c>
      <c r="N93" s="902"/>
      <c r="O93" s="898"/>
      <c r="P93" s="481" t="s">
        <v>2</v>
      </c>
      <c r="Q93" s="529"/>
      <c r="R93" s="841" t="str">
        <f>IF(AND(Q93&lt;&gt;"",Q94&lt;&gt;"",Q93=0,Q94=0),Berechnung1!$H$4,IF(Q95=Berechnung1!D107,Berechnung1!$F$4,IF(OR(Q95&lt;Berechnung1!E107,Q95&gt;Berechnung1!F107),Berechnung1!$G$4,IF(OR(ROUND(Q95,4)&lt;Berechnung1!J107,ROUND(Q95,4)&gt;Berechnung1!K107),Berechnung1!$D$4,IF(OR(ROUND(Q95,4)&lt;Berechnung1!G107,ROUND(Q95,4)&gt;Berechnung1!H107),Berechnung1!$E$4,Berechnung1!$C$4)))))</f>
        <v>Unvollständig</v>
      </c>
      <c r="S93" s="844"/>
      <c r="T93" s="847"/>
    </row>
    <row r="94" spans="2:21" ht="33.75" customHeight="1" thickBot="1" x14ac:dyDescent="0.25">
      <c r="B94" s="882"/>
      <c r="C94" s="883"/>
      <c r="D94" s="887"/>
      <c r="E94" s="890"/>
      <c r="F94" s="894"/>
      <c r="G94" s="895"/>
      <c r="H94" s="894"/>
      <c r="I94" s="895"/>
      <c r="J94" s="894"/>
      <c r="K94" s="895"/>
      <c r="L94" s="899"/>
      <c r="M94" s="903"/>
      <c r="N94" s="904"/>
      <c r="O94" s="899"/>
      <c r="P94" s="481" t="s">
        <v>4</v>
      </c>
      <c r="Q94" s="530"/>
      <c r="R94" s="842"/>
      <c r="S94" s="845"/>
      <c r="T94" s="848"/>
      <c r="U94" s="668">
        <f>IF(Basisdaten!F40="",0,Basisdaten!F40)</f>
        <v>0</v>
      </c>
    </row>
    <row r="95" spans="2:21" ht="33.75" customHeight="1" thickBot="1" x14ac:dyDescent="0.25">
      <c r="B95" s="884"/>
      <c r="C95" s="885"/>
      <c r="D95" s="888"/>
      <c r="E95" s="891"/>
      <c r="F95" s="896"/>
      <c r="G95" s="897"/>
      <c r="H95" s="896"/>
      <c r="I95" s="897"/>
      <c r="J95" s="896"/>
      <c r="K95" s="897"/>
      <c r="L95" s="900"/>
      <c r="M95" s="905"/>
      <c r="N95" s="906"/>
      <c r="O95" s="900"/>
      <c r="P95" s="481" t="s">
        <v>5</v>
      </c>
      <c r="Q95" s="644" t="str">
        <f>IF(Q93="","n.d.",IF(Q94="","n.d.",IF(Q94=0,"",Q93/Q94)))</f>
        <v>n.d.</v>
      </c>
      <c r="R95" s="843"/>
      <c r="S95" s="846"/>
      <c r="T95" s="849"/>
    </row>
    <row r="96" spans="2:21" ht="33.75" customHeight="1" thickBot="1" x14ac:dyDescent="0.25">
      <c r="B96" s="850" t="s">
        <v>979</v>
      </c>
      <c r="C96" s="851"/>
      <c r="D96" s="856" t="s">
        <v>922</v>
      </c>
      <c r="E96" s="859" t="s">
        <v>980</v>
      </c>
      <c r="F96" s="862" t="s">
        <v>981</v>
      </c>
      <c r="G96" s="863"/>
      <c r="H96" s="862" t="s">
        <v>982</v>
      </c>
      <c r="I96" s="863"/>
      <c r="J96" s="862" t="s">
        <v>983</v>
      </c>
      <c r="K96" s="863"/>
      <c r="L96" s="868"/>
      <c r="M96" s="871" t="s">
        <v>589</v>
      </c>
      <c r="N96" s="872"/>
      <c r="O96" s="868" t="s">
        <v>984</v>
      </c>
      <c r="P96" s="701" t="s">
        <v>2</v>
      </c>
      <c r="Q96" s="702"/>
      <c r="R96" s="877" t="str">
        <f>IF(AND(Q96&lt;&gt;"",Q97&lt;&gt;"",Q96=0,Q97=0),Berechnung1!$H$16,IF(Q98=Berechnung1!D110,Berechnung1!$F$16,IF(OR(Q98&lt;Berechnung1!E110,Q98&gt;Berechnung1!F110),Berechnung1!$G$16,IF(OR(ROUND(Q98,4)&lt;Berechnung1!J110,ROUND(Q98,4)&gt;Berechnung1!K110),Berechnung1!$D$16,IF(OR(ROUND(Q98,4)&lt;Berechnung1!G110,ROUND(Q98,4)&gt;Berechnung1!H110),Berechnung1!$E$16,Berechnung1!$C$16)))))</f>
        <v>optional - unvollständig</v>
      </c>
      <c r="S96" s="844"/>
      <c r="T96" s="847"/>
    </row>
    <row r="97" spans="2:20" ht="33.75" customHeight="1" thickBot="1" x14ac:dyDescent="0.25">
      <c r="B97" s="852"/>
      <c r="C97" s="853"/>
      <c r="D97" s="857"/>
      <c r="E97" s="860"/>
      <c r="F97" s="864"/>
      <c r="G97" s="865"/>
      <c r="H97" s="864"/>
      <c r="I97" s="865"/>
      <c r="J97" s="864"/>
      <c r="K97" s="865"/>
      <c r="L97" s="869"/>
      <c r="M97" s="873"/>
      <c r="N97" s="874"/>
      <c r="O97" s="869"/>
      <c r="P97" s="701" t="s">
        <v>4</v>
      </c>
      <c r="Q97" s="718"/>
      <c r="R97" s="878"/>
      <c r="S97" s="845"/>
      <c r="T97" s="848"/>
    </row>
    <row r="98" spans="2:20" ht="33.75" customHeight="1" thickBot="1" x14ac:dyDescent="0.25">
      <c r="B98" s="854"/>
      <c r="C98" s="855"/>
      <c r="D98" s="858"/>
      <c r="E98" s="861"/>
      <c r="F98" s="866"/>
      <c r="G98" s="867"/>
      <c r="H98" s="866"/>
      <c r="I98" s="867"/>
      <c r="J98" s="866"/>
      <c r="K98" s="867"/>
      <c r="L98" s="870"/>
      <c r="M98" s="875"/>
      <c r="N98" s="876"/>
      <c r="O98" s="870"/>
      <c r="P98" s="701" t="s">
        <v>5</v>
      </c>
      <c r="Q98" s="703" t="str">
        <f>IF(Q96="","n.d.",IF(Q97="","n.d.",IF(Q97=0,"",Q96/Q97)))</f>
        <v>n.d.</v>
      </c>
      <c r="R98" s="879"/>
      <c r="S98" s="846"/>
      <c r="T98" s="849"/>
    </row>
    <row r="99" spans="2:20" s="10" customFormat="1" ht="7.5" customHeight="1" x14ac:dyDescent="0.2">
      <c r="B99" s="685"/>
      <c r="C99" s="685"/>
      <c r="D99" s="686"/>
      <c r="E99" s="687"/>
      <c r="F99" s="687"/>
      <c r="G99" s="687"/>
      <c r="H99" s="687"/>
      <c r="I99" s="687"/>
      <c r="J99" s="687"/>
      <c r="K99" s="687"/>
      <c r="L99" s="688"/>
      <c r="M99" s="682"/>
      <c r="N99" s="682"/>
      <c r="O99" s="688"/>
      <c r="P99" s="683"/>
      <c r="Q99" s="684"/>
      <c r="R99" s="689"/>
      <c r="S99" s="694"/>
      <c r="T99" s="695"/>
    </row>
    <row r="100" spans="2:20" s="10" customFormat="1" ht="18" customHeight="1" thickBot="1" x14ac:dyDescent="0.25">
      <c r="B100" s="826" t="s">
        <v>87</v>
      </c>
      <c r="C100" s="826"/>
      <c r="D100" s="826"/>
      <c r="E100" s="826"/>
      <c r="F100" s="826"/>
      <c r="G100" s="704"/>
      <c r="H100" s="704"/>
      <c r="I100" s="704"/>
      <c r="J100" s="687"/>
      <c r="K100" s="687"/>
      <c r="L100" s="688"/>
      <c r="M100" s="682"/>
      <c r="N100" s="682"/>
      <c r="O100" s="688"/>
      <c r="P100" s="683"/>
      <c r="Q100" s="684"/>
      <c r="R100" s="689"/>
      <c r="S100" s="694"/>
      <c r="T100" s="695"/>
    </row>
    <row r="101" spans="2:20" s="10" customFormat="1" ht="18" customHeight="1" thickBot="1" x14ac:dyDescent="0.25">
      <c r="B101" s="705"/>
      <c r="C101" s="705"/>
      <c r="D101" s="827" t="s">
        <v>1008</v>
      </c>
      <c r="E101" s="828"/>
      <c r="F101" s="706" t="s">
        <v>101</v>
      </c>
      <c r="G101" s="707" t="str">
        <f>CONCATENATE(TEXT(Berechnung1!C8,"0,00%")," (",Berechnung1!C5, ")")</f>
        <v>0,00% (0)</v>
      </c>
      <c r="H101" s="831" t="str">
        <f>CONCATENATE(TEXT(Berechnung1!D9,"0,00%")," (",Berechnung1!D6, ")")</f>
        <v>0,00% (0)</v>
      </c>
      <c r="I101" s="839" t="s">
        <v>107</v>
      </c>
      <c r="J101" s="687"/>
      <c r="K101" s="687"/>
      <c r="L101" s="688"/>
      <c r="M101" s="682"/>
      <c r="N101" s="682"/>
      <c r="O101" s="688"/>
      <c r="P101" s="683"/>
      <c r="Q101" s="684"/>
      <c r="R101" s="689"/>
      <c r="S101" s="694"/>
      <c r="T101" s="695"/>
    </row>
    <row r="102" spans="2:20" s="10" customFormat="1" ht="18" customHeight="1" thickBot="1" x14ac:dyDescent="0.25">
      <c r="B102" s="705"/>
      <c r="C102" s="705"/>
      <c r="D102" s="829"/>
      <c r="E102" s="830"/>
      <c r="F102" s="708" t="s">
        <v>83</v>
      </c>
      <c r="G102" s="709" t="str">
        <f>CONCATENATE(TEXT(Berechnung1!K8,"0,00%")," (",Berechnung1!K5, ")")</f>
        <v>0,00% (0)</v>
      </c>
      <c r="H102" s="831"/>
      <c r="I102" s="840"/>
      <c r="J102" s="687"/>
      <c r="K102" s="687"/>
      <c r="L102" s="688"/>
      <c r="M102" s="682"/>
      <c r="N102" s="682"/>
      <c r="O102" s="688"/>
      <c r="P102" s="683"/>
      <c r="Q102" s="684"/>
      <c r="R102" s="689"/>
      <c r="S102" s="694"/>
      <c r="T102" s="695"/>
    </row>
    <row r="103" spans="2:20" s="10" customFormat="1" ht="18" customHeight="1" thickBot="1" x14ac:dyDescent="0.25">
      <c r="B103" s="705"/>
      <c r="C103" s="705"/>
      <c r="D103" s="832" t="s">
        <v>1009</v>
      </c>
      <c r="E103" s="833"/>
      <c r="F103" s="833"/>
      <c r="G103" s="834"/>
      <c r="H103" s="710" t="str">
        <f>CONCATENATE(TEXT(Berechnung1!E9,"0,00%")," (",Berechnung1!E6, ")")</f>
        <v>0,00% (0)</v>
      </c>
      <c r="I103" s="717" t="str">
        <f>CONCATENATE(TEXT(Berechnung1!E10,"0,00%")," (",Berechnung1!E7, ")")</f>
        <v>0,00% (0)</v>
      </c>
      <c r="J103" s="687"/>
      <c r="K103" s="687"/>
      <c r="L103" s="688"/>
      <c r="M103" s="682"/>
      <c r="N103" s="682"/>
      <c r="O103" s="688"/>
      <c r="P103" s="683"/>
      <c r="Q103" s="684"/>
      <c r="R103" s="689"/>
      <c r="S103" s="694"/>
      <c r="T103" s="695"/>
    </row>
    <row r="104" spans="2:20" s="10" customFormat="1" ht="18" customHeight="1" thickBot="1" x14ac:dyDescent="0.25">
      <c r="B104" s="705"/>
      <c r="C104" s="705"/>
      <c r="D104" s="835" t="s">
        <v>103</v>
      </c>
      <c r="E104" s="836"/>
      <c r="F104" s="711" t="s">
        <v>102</v>
      </c>
      <c r="G104" s="712" t="str">
        <f>CONCATENATE(TEXT(Berechnung1!G8,"0,00%")," (",Berechnung1!G5, ")")</f>
        <v>0,00% (0)</v>
      </c>
      <c r="H104" s="831" t="str">
        <f>CONCATENATE(TEXT(Berechnung1!G9,"0,00%")," (",Berechnung1!G7, ")")</f>
        <v>100,00% (27)</v>
      </c>
      <c r="I104" s="831"/>
      <c r="J104" s="687"/>
      <c r="K104" s="687"/>
      <c r="L104" s="688"/>
      <c r="M104" s="682"/>
      <c r="N104" s="682"/>
      <c r="O104" s="688"/>
      <c r="P104" s="683"/>
      <c r="Q104" s="684"/>
      <c r="R104" s="689"/>
      <c r="S104" s="694"/>
      <c r="T104" s="695"/>
    </row>
    <row r="105" spans="2:20" s="10" customFormat="1" ht="18" customHeight="1" thickBot="1" x14ac:dyDescent="0.25">
      <c r="B105" s="705"/>
      <c r="C105" s="705"/>
      <c r="D105" s="837"/>
      <c r="E105" s="838"/>
      <c r="F105" s="713" t="s">
        <v>104</v>
      </c>
      <c r="G105" s="714" t="str">
        <f>CONCATENATE(TEXT(Berechnung1!F8,"0,00%")," (",Berechnung1!F5, ")")</f>
        <v>100,00% (27)</v>
      </c>
      <c r="H105" s="831"/>
      <c r="I105" s="831"/>
      <c r="J105" s="687"/>
      <c r="K105" s="687"/>
      <c r="L105" s="688"/>
      <c r="M105" s="682"/>
      <c r="N105" s="682"/>
      <c r="O105" s="688"/>
      <c r="P105" s="683"/>
      <c r="Q105" s="684"/>
      <c r="R105" s="689"/>
      <c r="S105" s="694"/>
      <c r="T105" s="695"/>
    </row>
    <row r="106" spans="2:20" s="10" customFormat="1" ht="7.5" customHeight="1" x14ac:dyDescent="0.2">
      <c r="B106" s="716"/>
      <c r="C106" s="716"/>
      <c r="D106" s="715"/>
      <c r="E106" s="715"/>
      <c r="F106" s="715"/>
      <c r="G106" s="715"/>
      <c r="H106" s="715"/>
      <c r="I106" s="715"/>
      <c r="J106" s="687"/>
      <c r="K106" s="687"/>
      <c r="L106" s="688"/>
      <c r="M106" s="682"/>
      <c r="N106" s="682"/>
      <c r="O106" s="688"/>
      <c r="P106" s="683"/>
      <c r="Q106" s="684"/>
      <c r="R106" s="689"/>
      <c r="S106" s="694"/>
      <c r="T106" s="695"/>
    </row>
    <row r="107" spans="2:20" s="11" customFormat="1" ht="17.25" customHeight="1" x14ac:dyDescent="0.2">
      <c r="B107" s="824" t="s">
        <v>653</v>
      </c>
      <c r="C107" s="824"/>
      <c r="D107" s="824"/>
      <c r="E107" s="824"/>
      <c r="F107" s="696"/>
      <c r="G107" s="696"/>
      <c r="H107" s="696"/>
      <c r="I107" s="696"/>
      <c r="J107" s="696"/>
      <c r="K107" s="696"/>
      <c r="L107" s="696"/>
      <c r="M107" s="696"/>
      <c r="N107" s="696"/>
      <c r="O107" s="696"/>
      <c r="P107" s="696"/>
      <c r="Q107" s="696"/>
      <c r="R107" s="696"/>
    </row>
    <row r="108" spans="2:20" s="11" customFormat="1" ht="24" customHeight="1" x14ac:dyDescent="0.2">
      <c r="B108" s="822" t="s">
        <v>998</v>
      </c>
      <c r="C108" s="823"/>
      <c r="D108" s="823"/>
      <c r="E108" s="823"/>
      <c r="F108" s="823"/>
      <c r="G108" s="823"/>
      <c r="H108" s="823"/>
      <c r="I108" s="823"/>
      <c r="J108" s="823"/>
      <c r="K108" s="823"/>
      <c r="L108" s="823"/>
      <c r="M108" s="823"/>
      <c r="N108" s="823"/>
      <c r="O108" s="823"/>
      <c r="P108" s="823"/>
      <c r="Q108" s="823"/>
      <c r="R108" s="823"/>
    </row>
    <row r="109" spans="2:20" ht="130.5" customHeight="1" x14ac:dyDescent="0.2">
      <c r="B109" s="907" t="s">
        <v>999</v>
      </c>
      <c r="C109" s="907"/>
      <c r="D109" s="907"/>
      <c r="E109" s="907"/>
      <c r="F109" s="907"/>
      <c r="G109" s="907"/>
      <c r="H109" s="907"/>
      <c r="I109" s="907"/>
      <c r="J109" s="907"/>
      <c r="K109" s="907"/>
      <c r="L109" s="907"/>
      <c r="M109" s="907"/>
      <c r="N109" s="907"/>
      <c r="O109" s="907"/>
      <c r="P109" s="907"/>
      <c r="Q109" s="907"/>
      <c r="R109" s="907"/>
    </row>
    <row r="110" spans="2:20" ht="33" customHeight="1" x14ac:dyDescent="0.2">
      <c r="B110" s="825" t="s">
        <v>1000</v>
      </c>
      <c r="C110" s="825"/>
      <c r="D110" s="825"/>
      <c r="E110" s="825"/>
      <c r="F110" s="825"/>
      <c r="G110" s="825"/>
      <c r="H110" s="825"/>
      <c r="I110" s="825"/>
      <c r="J110" s="825"/>
      <c r="K110" s="825"/>
      <c r="L110" s="825"/>
      <c r="M110" s="825"/>
      <c r="N110" s="825"/>
      <c r="O110" s="825"/>
      <c r="P110" s="825"/>
      <c r="Q110" s="825"/>
      <c r="R110" s="825"/>
    </row>
  </sheetData>
  <sheetProtection password="CA09" sheet="1" objects="1" scenario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70">
    <mergeCell ref="Q24:Q26"/>
    <mergeCell ref="R24:R26"/>
    <mergeCell ref="S24:S26"/>
    <mergeCell ref="T24:T26"/>
    <mergeCell ref="D24:D26"/>
    <mergeCell ref="E24:E26"/>
    <mergeCell ref="F24:G26"/>
    <mergeCell ref="H24:I26"/>
    <mergeCell ref="J24:K26"/>
    <mergeCell ref="L24:L26"/>
    <mergeCell ref="M24:N26"/>
    <mergeCell ref="O24:O26"/>
    <mergeCell ref="P24:P26"/>
    <mergeCell ref="T39:T41"/>
    <mergeCell ref="D33:D41"/>
    <mergeCell ref="E33:E41"/>
    <mergeCell ref="F33:G41"/>
    <mergeCell ref="H33:I41"/>
    <mergeCell ref="J39:K41"/>
    <mergeCell ref="L39:L41"/>
    <mergeCell ref="M39:N41"/>
    <mergeCell ref="O39:O41"/>
    <mergeCell ref="R39:R41"/>
    <mergeCell ref="J33:K35"/>
    <mergeCell ref="S39:S41"/>
    <mergeCell ref="J36:K38"/>
    <mergeCell ref="M33:N35"/>
    <mergeCell ref="M36:N38"/>
    <mergeCell ref="B54:C56"/>
    <mergeCell ref="B57:C59"/>
    <mergeCell ref="D45:D47"/>
    <mergeCell ref="E45:E47"/>
    <mergeCell ref="E57:E59"/>
    <mergeCell ref="L33:L35"/>
    <mergeCell ref="O42:O44"/>
    <mergeCell ref="M42:N44"/>
    <mergeCell ref="L36:L38"/>
    <mergeCell ref="L42:L44"/>
    <mergeCell ref="D42:D44"/>
    <mergeCell ref="F42:G44"/>
    <mergeCell ref="H42:I44"/>
    <mergeCell ref="E42:E44"/>
    <mergeCell ref="J42:K44"/>
    <mergeCell ref="M54:N56"/>
    <mergeCell ref="L45:L47"/>
    <mergeCell ref="M48:N50"/>
    <mergeCell ref="L54:L56"/>
    <mergeCell ref="B42:C44"/>
    <mergeCell ref="B45:C47"/>
    <mergeCell ref="B48:C50"/>
    <mergeCell ref="B51:C53"/>
    <mergeCell ref="J57:K59"/>
    <mergeCell ref="S45:S47"/>
    <mergeCell ref="O45:O47"/>
    <mergeCell ref="J45:K47"/>
    <mergeCell ref="M45:N47"/>
    <mergeCell ref="D51:D53"/>
    <mergeCell ref="S48:S50"/>
    <mergeCell ref="M51:N53"/>
    <mergeCell ref="R48:R50"/>
    <mergeCell ref="F54:G56"/>
    <mergeCell ref="F48:G50"/>
    <mergeCell ref="H48:I50"/>
    <mergeCell ref="E51:E53"/>
    <mergeCell ref="F45:G47"/>
    <mergeCell ref="H45:I47"/>
    <mergeCell ref="D48:D50"/>
    <mergeCell ref="O48:O50"/>
    <mergeCell ref="D54:D56"/>
    <mergeCell ref="J54:K56"/>
    <mergeCell ref="J51:K53"/>
    <mergeCell ref="E54:E56"/>
    <mergeCell ref="H57:I59"/>
    <mergeCell ref="D57:D59"/>
    <mergeCell ref="F51:G53"/>
    <mergeCell ref="H51:I53"/>
    <mergeCell ref="R60:R62"/>
    <mergeCell ref="T60:T62"/>
    <mergeCell ref="S51:S53"/>
    <mergeCell ref="S57:S59"/>
    <mergeCell ref="T57:T59"/>
    <mergeCell ref="R54:R56"/>
    <mergeCell ref="R57:R59"/>
    <mergeCell ref="P57:P59"/>
    <mergeCell ref="O51:O53"/>
    <mergeCell ref="O60:O62"/>
    <mergeCell ref="Q57:Q59"/>
    <mergeCell ref="T51:T53"/>
    <mergeCell ref="T54:T56"/>
    <mergeCell ref="R51:R53"/>
    <mergeCell ref="O54:O56"/>
    <mergeCell ref="O57:O59"/>
    <mergeCell ref="L51:L53"/>
    <mergeCell ref="H54:I56"/>
    <mergeCell ref="L57:L59"/>
    <mergeCell ref="M57:N59"/>
    <mergeCell ref="T48:T50"/>
    <mergeCell ref="E48:E50"/>
    <mergeCell ref="J72:K74"/>
    <mergeCell ref="H72:I74"/>
    <mergeCell ref="F72:G74"/>
    <mergeCell ref="S72:S74"/>
    <mergeCell ref="R72:R74"/>
    <mergeCell ref="O72:O74"/>
    <mergeCell ref="M72:N74"/>
    <mergeCell ref="J48:K50"/>
    <mergeCell ref="L48:L50"/>
    <mergeCell ref="T63:T65"/>
    <mergeCell ref="T69:T71"/>
    <mergeCell ref="R66:R68"/>
    <mergeCell ref="S66:S68"/>
    <mergeCell ref="T66:T68"/>
    <mergeCell ref="M69:N71"/>
    <mergeCell ref="M66:N68"/>
    <mergeCell ref="S54:S56"/>
    <mergeCell ref="R69:R71"/>
    <mergeCell ref="S63:S65"/>
    <mergeCell ref="S60:S62"/>
    <mergeCell ref="R63:R65"/>
    <mergeCell ref="F57:G59"/>
    <mergeCell ref="T45:T47"/>
    <mergeCell ref="R45:R47"/>
    <mergeCell ref="P18:P20"/>
    <mergeCell ref="O18:O20"/>
    <mergeCell ref="O21:O23"/>
    <mergeCell ref="Q15:Q17"/>
    <mergeCell ref="T30:T32"/>
    <mergeCell ref="S30:S32"/>
    <mergeCell ref="O27:O29"/>
    <mergeCell ref="O30:O32"/>
    <mergeCell ref="S33:S35"/>
    <mergeCell ref="T33:T35"/>
    <mergeCell ref="R27:R29"/>
    <mergeCell ref="T27:T29"/>
    <mergeCell ref="T42:T44"/>
    <mergeCell ref="R42:R44"/>
    <mergeCell ref="R30:R32"/>
    <mergeCell ref="R33:R35"/>
    <mergeCell ref="S42:S44"/>
    <mergeCell ref="T36:T38"/>
    <mergeCell ref="S36:S38"/>
    <mergeCell ref="R36:R38"/>
    <mergeCell ref="O36:O38"/>
    <mergeCell ref="O33:O35"/>
    <mergeCell ref="S10:T10"/>
    <mergeCell ref="S21:S23"/>
    <mergeCell ref="T21:T23"/>
    <mergeCell ref="M30:N32"/>
    <mergeCell ref="E12:E14"/>
    <mergeCell ref="L10:L11"/>
    <mergeCell ref="F21:G23"/>
    <mergeCell ref="E18:E20"/>
    <mergeCell ref="E21:E23"/>
    <mergeCell ref="M27:N29"/>
    <mergeCell ref="S27:S29"/>
    <mergeCell ref="S18:S20"/>
    <mergeCell ref="T18:T20"/>
    <mergeCell ref="R10:R11"/>
    <mergeCell ref="S15:S17"/>
    <mergeCell ref="T15:T17"/>
    <mergeCell ref="T12:T14"/>
    <mergeCell ref="S12:S14"/>
    <mergeCell ref="Q18:Q20"/>
    <mergeCell ref="F27:G29"/>
    <mergeCell ref="F30:G32"/>
    <mergeCell ref="H27:I32"/>
    <mergeCell ref="Q12:Q14"/>
    <mergeCell ref="P10:Q11"/>
    <mergeCell ref="R15:R17"/>
    <mergeCell ref="O15:O17"/>
    <mergeCell ref="L18:L20"/>
    <mergeCell ref="L21:L23"/>
    <mergeCell ref="M18:N20"/>
    <mergeCell ref="J18:K20"/>
    <mergeCell ref="H15:I17"/>
    <mergeCell ref="M21:N23"/>
    <mergeCell ref="P12:P14"/>
    <mergeCell ref="P15:P17"/>
    <mergeCell ref="R18:R20"/>
    <mergeCell ref="H18:I20"/>
    <mergeCell ref="P21:P23"/>
    <mergeCell ref="Q21:Q23"/>
    <mergeCell ref="O12:O14"/>
    <mergeCell ref="R21:R23"/>
    <mergeCell ref="L12:L14"/>
    <mergeCell ref="M12:N14"/>
    <mergeCell ref="J12:K14"/>
    <mergeCell ref="R12:R14"/>
    <mergeCell ref="J27:K32"/>
    <mergeCell ref="B27:B32"/>
    <mergeCell ref="D27:D32"/>
    <mergeCell ref="B15:B23"/>
    <mergeCell ref="C33:C35"/>
    <mergeCell ref="C36:C38"/>
    <mergeCell ref="B12:C14"/>
    <mergeCell ref="C15:C17"/>
    <mergeCell ref="E27:E32"/>
    <mergeCell ref="C30:C32"/>
    <mergeCell ref="E15:E17"/>
    <mergeCell ref="C27:C29"/>
    <mergeCell ref="H21:I23"/>
    <mergeCell ref="J21:K23"/>
    <mergeCell ref="D12:D14"/>
    <mergeCell ref="F12:G14"/>
    <mergeCell ref="D15:D23"/>
    <mergeCell ref="C18:C20"/>
    <mergeCell ref="C21:C23"/>
    <mergeCell ref="B33:B41"/>
    <mergeCell ref="C39:C41"/>
    <mergeCell ref="B24:C26"/>
    <mergeCell ref="B10:C11"/>
    <mergeCell ref="E10:E11"/>
    <mergeCell ref="O10:O11"/>
    <mergeCell ref="L15:L17"/>
    <mergeCell ref="D10:D11"/>
    <mergeCell ref="H10:I11"/>
    <mergeCell ref="M10:N11"/>
    <mergeCell ref="F18:G20"/>
    <mergeCell ref="H12:I14"/>
    <mergeCell ref="F6:N6"/>
    <mergeCell ref="F8:G8"/>
    <mergeCell ref="K8:N8"/>
    <mergeCell ref="J10:K11"/>
    <mergeCell ref="M15:N17"/>
    <mergeCell ref="J15:K17"/>
    <mergeCell ref="F10:G11"/>
    <mergeCell ref="F15:G17"/>
    <mergeCell ref="I8:J8"/>
    <mergeCell ref="B69:C71"/>
    <mergeCell ref="E69:E71"/>
    <mergeCell ref="F69:G71"/>
    <mergeCell ref="F66:G68"/>
    <mergeCell ref="H66:I68"/>
    <mergeCell ref="J66:K68"/>
    <mergeCell ref="M60:N62"/>
    <mergeCell ref="D63:D65"/>
    <mergeCell ref="L66:L68"/>
    <mergeCell ref="L69:L71"/>
    <mergeCell ref="E66:E68"/>
    <mergeCell ref="E63:E65"/>
    <mergeCell ref="D69:D71"/>
    <mergeCell ref="E60:E62"/>
    <mergeCell ref="F60:G62"/>
    <mergeCell ref="L60:L62"/>
    <mergeCell ref="D60:D62"/>
    <mergeCell ref="O75:O77"/>
    <mergeCell ref="D66:D68"/>
    <mergeCell ref="F63:G65"/>
    <mergeCell ref="D72:D74"/>
    <mergeCell ref="L63:L65"/>
    <mergeCell ref="E72:E74"/>
    <mergeCell ref="L72:L74"/>
    <mergeCell ref="T72:T74"/>
    <mergeCell ref="S75:S77"/>
    <mergeCell ref="T75:T77"/>
    <mergeCell ref="H63:I65"/>
    <mergeCell ref="M63:N65"/>
    <mergeCell ref="M75:N77"/>
    <mergeCell ref="O69:O71"/>
    <mergeCell ref="O66:O68"/>
    <mergeCell ref="O63:O65"/>
    <mergeCell ref="S69:S71"/>
    <mergeCell ref="R78:R80"/>
    <mergeCell ref="S78:S80"/>
    <mergeCell ref="T78:T80"/>
    <mergeCell ref="J78:K80"/>
    <mergeCell ref="L78:L80"/>
    <mergeCell ref="M78:N80"/>
    <mergeCell ref="O78:O80"/>
    <mergeCell ref="B60:C62"/>
    <mergeCell ref="B63:C65"/>
    <mergeCell ref="B66:C68"/>
    <mergeCell ref="R75:R77"/>
    <mergeCell ref="B72:C74"/>
    <mergeCell ref="B75:C77"/>
    <mergeCell ref="D75:D77"/>
    <mergeCell ref="L75:L77"/>
    <mergeCell ref="E75:E77"/>
    <mergeCell ref="F75:G77"/>
    <mergeCell ref="H75:I77"/>
    <mergeCell ref="J75:K77"/>
    <mergeCell ref="H69:I71"/>
    <mergeCell ref="J69:K71"/>
    <mergeCell ref="J63:K65"/>
    <mergeCell ref="J60:K62"/>
    <mergeCell ref="H60:I62"/>
    <mergeCell ref="B87:C89"/>
    <mergeCell ref="D87:D89"/>
    <mergeCell ref="E87:E89"/>
    <mergeCell ref="F87:G89"/>
    <mergeCell ref="H81:O83"/>
    <mergeCell ref="B78:C80"/>
    <mergeCell ref="D78:D80"/>
    <mergeCell ref="E78:E80"/>
    <mergeCell ref="F78:G80"/>
    <mergeCell ref="H78:I80"/>
    <mergeCell ref="B84:C86"/>
    <mergeCell ref="D84:D86"/>
    <mergeCell ref="E84:E86"/>
    <mergeCell ref="F84:G86"/>
    <mergeCell ref="H84:I86"/>
    <mergeCell ref="J84:K86"/>
    <mergeCell ref="S81:S83"/>
    <mergeCell ref="T81:T83"/>
    <mergeCell ref="B81:C83"/>
    <mergeCell ref="D81:D83"/>
    <mergeCell ref="E81:E83"/>
    <mergeCell ref="F81:G83"/>
    <mergeCell ref="R81:R83"/>
    <mergeCell ref="S84:S86"/>
    <mergeCell ref="T84:T86"/>
    <mergeCell ref="O84:O86"/>
    <mergeCell ref="S90:S92"/>
    <mergeCell ref="T90:T92"/>
    <mergeCell ref="B109:R109"/>
    <mergeCell ref="L87:L89"/>
    <mergeCell ref="M87:N89"/>
    <mergeCell ref="O87:O89"/>
    <mergeCell ref="L84:L86"/>
    <mergeCell ref="M84:N86"/>
    <mergeCell ref="J87:K89"/>
    <mergeCell ref="R84:R86"/>
    <mergeCell ref="R87:R89"/>
    <mergeCell ref="B90:C92"/>
    <mergeCell ref="D90:D92"/>
    <mergeCell ref="E90:E92"/>
    <mergeCell ref="F90:G92"/>
    <mergeCell ref="H90:I92"/>
    <mergeCell ref="J90:K92"/>
    <mergeCell ref="L90:L92"/>
    <mergeCell ref="M90:N92"/>
    <mergeCell ref="O90:O92"/>
    <mergeCell ref="R90:R92"/>
    <mergeCell ref="H87:I89"/>
    <mergeCell ref="S87:S89"/>
    <mergeCell ref="T87:T89"/>
    <mergeCell ref="R93:R95"/>
    <mergeCell ref="S93:S95"/>
    <mergeCell ref="T93:T95"/>
    <mergeCell ref="B96:C98"/>
    <mergeCell ref="D96:D98"/>
    <mergeCell ref="E96:E98"/>
    <mergeCell ref="F96:G98"/>
    <mergeCell ref="H96:I98"/>
    <mergeCell ref="J96:K98"/>
    <mergeCell ref="L96:L98"/>
    <mergeCell ref="M96:N98"/>
    <mergeCell ref="O96:O98"/>
    <mergeCell ref="R96:R98"/>
    <mergeCell ref="S96:S98"/>
    <mergeCell ref="T96:T98"/>
    <mergeCell ref="B93:C95"/>
    <mergeCell ref="D93:D95"/>
    <mergeCell ref="E93:E95"/>
    <mergeCell ref="F93:G95"/>
    <mergeCell ref="H93:I95"/>
    <mergeCell ref="J93:K95"/>
    <mergeCell ref="L93:L95"/>
    <mergeCell ref="M93:N95"/>
    <mergeCell ref="O93:O95"/>
    <mergeCell ref="B108:R108"/>
    <mergeCell ref="B107:E107"/>
    <mergeCell ref="B110:R110"/>
    <mergeCell ref="B100:F100"/>
    <mergeCell ref="D101:E102"/>
    <mergeCell ref="H101:H102"/>
    <mergeCell ref="D103:G103"/>
    <mergeCell ref="D104:E105"/>
    <mergeCell ref="H104:I105"/>
    <mergeCell ref="I101:I102"/>
  </mergeCells>
  <phoneticPr fontId="41" type="noConversion"/>
  <conditionalFormatting sqref="Q60:Q61 Q27:Q28 Q33:Q34 Q48 Q51 Q54 Q36 Q30:Q31 Q66 Q45">
    <cfRule type="containsBlanks" dxfId="311" priority="855">
      <formula>LEN(TRIM(Q27))=0</formula>
    </cfRule>
  </conditionalFormatting>
  <conditionalFormatting sqref="R12:R14">
    <cfRule type="expression" dxfId="310" priority="325" stopIfTrue="1">
      <formula>OR(R12=$F$105,R12=$F$104)</formula>
    </cfRule>
    <cfRule type="cellIs" dxfId="309" priority="834" stopIfTrue="1" operator="equal">
      <formula>"Sollvorgabe nicht erfüllt"</formula>
    </cfRule>
    <cfRule type="cellIs" dxfId="308" priority="835" stopIfTrue="1" operator="equal">
      <formula>"I.O. (Plausibilität unklar)"</formula>
    </cfRule>
    <cfRule type="cellIs" dxfId="307" priority="836" stopIfTrue="1" operator="equal">
      <formula>"I.O."</formula>
    </cfRule>
  </conditionalFormatting>
  <conditionalFormatting sqref="R15:R17">
    <cfRule type="cellIs" dxfId="306" priority="354" stopIfTrue="1" operator="equal">
      <formula>"Sollvorgabe nicht erfüllt"</formula>
    </cfRule>
    <cfRule type="expression" dxfId="305" priority="361" stopIfTrue="1">
      <formula>OR(R15=$F$105,R15=$F$104)</formula>
    </cfRule>
    <cfRule type="cellIs" dxfId="304" priority="362" stopIfTrue="1" operator="equal">
      <formula>"I.O. (Plausibilität unklar)"</formula>
    </cfRule>
    <cfRule type="cellIs" dxfId="303" priority="363" stopIfTrue="1" operator="equal">
      <formula>"I.O."</formula>
    </cfRule>
  </conditionalFormatting>
  <conditionalFormatting sqref="R18:R20">
    <cfRule type="cellIs" dxfId="302" priority="352" stopIfTrue="1" operator="equal">
      <formula>"Sollvorgabe nicht erfüllt"</formula>
    </cfRule>
    <cfRule type="expression" dxfId="301" priority="358" stopIfTrue="1">
      <formula>OR(R18=$F$105,R18=$F$104)</formula>
    </cfRule>
    <cfRule type="cellIs" dxfId="300" priority="359" stopIfTrue="1" operator="equal">
      <formula>"I.O. (Plausibilität unklar)"</formula>
    </cfRule>
    <cfRule type="cellIs" dxfId="299" priority="360" stopIfTrue="1" operator="equal">
      <formula>"I.O."</formula>
    </cfRule>
  </conditionalFormatting>
  <conditionalFormatting sqref="R21:R26">
    <cfRule type="cellIs" dxfId="298" priority="351" stopIfTrue="1" operator="equal">
      <formula>"Sollvorgabe nicht erfüllt"</formula>
    </cfRule>
    <cfRule type="expression" dxfId="297" priority="355" stopIfTrue="1">
      <formula>OR(R21=$F$105,R21=$F$104)</formula>
    </cfRule>
    <cfRule type="cellIs" dxfId="296" priority="356" stopIfTrue="1" operator="equal">
      <formula>"Ausnahme (Plausibilität unklar)"</formula>
    </cfRule>
    <cfRule type="cellIs" dxfId="295" priority="357" stopIfTrue="1" operator="equal">
      <formula>"I.O."</formula>
    </cfRule>
  </conditionalFormatting>
  <conditionalFormatting sqref="R33:R41">
    <cfRule type="expression" dxfId="294" priority="33" stopIfTrue="1">
      <formula>OR(R33=$F$105,R33=$F$104)</formula>
    </cfRule>
    <cfRule type="cellIs" dxfId="293" priority="294" stopIfTrue="1" operator="equal">
      <formula>"I.O. (Plausibilität unklar)"</formula>
    </cfRule>
    <cfRule type="cellIs" dxfId="292" priority="318" stopIfTrue="1" operator="equal">
      <formula>"Sollvorgabe nicht erfüllt"</formula>
    </cfRule>
    <cfRule type="cellIs" dxfId="291" priority="344" stopIfTrue="1" operator="equal">
      <formula>"I.O."</formula>
    </cfRule>
  </conditionalFormatting>
  <conditionalFormatting sqref="R42:R44">
    <cfRule type="expression" dxfId="290" priority="268" stopIfTrue="1">
      <formula>OR(R42=$F$105,R42=$F$104)</formula>
    </cfRule>
    <cfRule type="cellIs" dxfId="289" priority="292" stopIfTrue="1" operator="equal">
      <formula>"Sollvorgabe nicht erfüllt"</formula>
    </cfRule>
    <cfRule type="cellIs" dxfId="288" priority="316" stopIfTrue="1" operator="equal">
      <formula>"I.O. (Plausibilität unklar)"</formula>
    </cfRule>
    <cfRule type="cellIs" dxfId="287" priority="342" stopIfTrue="1" operator="equal">
      <formula>"I.O."</formula>
    </cfRule>
  </conditionalFormatting>
  <conditionalFormatting sqref="R48:R50">
    <cfRule type="expression" dxfId="286" priority="265" stopIfTrue="1">
      <formula>OR(R48=$F$105,R48=$F$104)</formula>
    </cfRule>
    <cfRule type="cellIs" dxfId="285" priority="289" stopIfTrue="1" operator="equal">
      <formula>"Sollvorgabe nicht erfüllt"</formula>
    </cfRule>
    <cfRule type="cellIs" dxfId="284" priority="313" stopIfTrue="1" operator="equal">
      <formula>"I.O. (Plausibilität unklar)"</formula>
    </cfRule>
    <cfRule type="cellIs" dxfId="283" priority="339" stopIfTrue="1" operator="equal">
      <formula>"I.O."</formula>
    </cfRule>
  </conditionalFormatting>
  <conditionalFormatting sqref="R51:R53">
    <cfRule type="expression" dxfId="282" priority="264" stopIfTrue="1">
      <formula>OR(R51=$F$105,R51=$F$104)</formula>
    </cfRule>
    <cfRule type="cellIs" dxfId="281" priority="288" stopIfTrue="1" operator="equal">
      <formula>"Sollvorgabe nicht erfüllt"</formula>
    </cfRule>
    <cfRule type="cellIs" dxfId="280" priority="312" stopIfTrue="1" operator="equal">
      <formula>"I.O. (Plausibilität unklar)"</formula>
    </cfRule>
    <cfRule type="cellIs" dxfId="279" priority="338" stopIfTrue="1" operator="equal">
      <formula>"I.O."</formula>
    </cfRule>
  </conditionalFormatting>
  <conditionalFormatting sqref="R54:R56">
    <cfRule type="expression" dxfId="278" priority="262" stopIfTrue="1">
      <formula>OR(R54=$F$105,R54=$F$104)</formula>
    </cfRule>
    <cfRule type="cellIs" dxfId="277" priority="286" stopIfTrue="1" operator="equal">
      <formula>"Sollvorgabe nicht erfüllt"</formula>
    </cfRule>
    <cfRule type="cellIs" dxfId="276" priority="310" stopIfTrue="1" operator="equal">
      <formula>"I.O. (Plausibilität unklar)"</formula>
    </cfRule>
    <cfRule type="cellIs" dxfId="275" priority="336" stopIfTrue="1" operator="equal">
      <formula>"I.O."</formula>
    </cfRule>
  </conditionalFormatting>
  <conditionalFormatting sqref="R57:R59">
    <cfRule type="expression" dxfId="274" priority="261" stopIfTrue="1">
      <formula>OR(R57=$F$105,R57=$F$104)</formula>
    </cfRule>
    <cfRule type="cellIs" dxfId="273" priority="285" stopIfTrue="1" operator="equal">
      <formula>"Sollvorgabe nicht erfüllt"</formula>
    </cfRule>
    <cfRule type="cellIs" dxfId="272" priority="309" stopIfTrue="1" operator="equal">
      <formula>"I.O. (Plausibilität unklar)"</formula>
    </cfRule>
    <cfRule type="cellIs" dxfId="271" priority="335" stopIfTrue="1" operator="equal">
      <formula>"I.O."</formula>
    </cfRule>
  </conditionalFormatting>
  <conditionalFormatting sqref="R63:R65">
    <cfRule type="expression" dxfId="270" priority="256" stopIfTrue="1">
      <formula>OR(R63=$F$105,R63=$F$104)</formula>
    </cfRule>
    <cfRule type="cellIs" dxfId="269" priority="280" stopIfTrue="1" operator="equal">
      <formula>"Sollvorgabe nicht erfüllt"</formula>
    </cfRule>
    <cfRule type="cellIs" dxfId="268" priority="304" stopIfTrue="1" operator="equal">
      <formula>"I.O. (Plausibilität unklar)"</formula>
    </cfRule>
    <cfRule type="cellIs" dxfId="267" priority="330" stopIfTrue="1" operator="equal">
      <formula>"I.O."</formula>
    </cfRule>
  </conditionalFormatting>
  <conditionalFormatting sqref="R69:R71">
    <cfRule type="expression" dxfId="266" priority="253" stopIfTrue="1">
      <formula>OR(R69=$F$105,R69=$F$104)</formula>
    </cfRule>
    <cfRule type="cellIs" dxfId="265" priority="277" stopIfTrue="1" operator="equal">
      <formula>"Sollvorgabe nicht erfüllt"</formula>
    </cfRule>
    <cfRule type="cellIs" dxfId="264" priority="301" stopIfTrue="1" operator="equal">
      <formula>"I.O. (Plausibilität unklar)"</formula>
    </cfRule>
    <cfRule type="cellIs" dxfId="263" priority="326" stopIfTrue="1" operator="equal">
      <formula>"I.O."</formula>
    </cfRule>
  </conditionalFormatting>
  <conditionalFormatting sqref="Q72 Q76">
    <cfRule type="containsBlanks" dxfId="262" priority="250">
      <formula>LEN(TRIM(Q72))=0</formula>
    </cfRule>
  </conditionalFormatting>
  <conditionalFormatting sqref="Q75">
    <cfRule type="containsBlanks" dxfId="261" priority="243">
      <formula>LEN(TRIM(Q75))=0</formula>
    </cfRule>
  </conditionalFormatting>
  <conditionalFormatting sqref="Q79 Q85 Q88">
    <cfRule type="containsBlanks" dxfId="260" priority="236">
      <formula>LEN(TRIM(Q79))=0</formula>
    </cfRule>
  </conditionalFormatting>
  <conditionalFormatting sqref="Q78">
    <cfRule type="containsBlanks" dxfId="259" priority="208">
      <formula>LEN(TRIM(Q78))=0</formula>
    </cfRule>
  </conditionalFormatting>
  <conditionalFormatting sqref="Q84">
    <cfRule type="containsBlanks" dxfId="258" priority="194">
      <formula>LEN(TRIM(Q84))=0</formula>
    </cfRule>
  </conditionalFormatting>
  <conditionalFormatting sqref="Q87">
    <cfRule type="containsBlanks" dxfId="257" priority="187">
      <formula>LEN(TRIM(Q87))=0</formula>
    </cfRule>
  </conditionalFormatting>
  <conditionalFormatting sqref="Q73">
    <cfRule type="containsBlanks" dxfId="256" priority="169">
      <formula>LEN(TRIM(Q73))=0</formula>
    </cfRule>
  </conditionalFormatting>
  <conditionalFormatting sqref="R72:R74">
    <cfRule type="expression" dxfId="255" priority="3" stopIfTrue="1">
      <formula>OR(R72=$F$105,R72=$F$104)</formula>
    </cfRule>
    <cfRule type="cellIs" dxfId="254" priority="165" stopIfTrue="1" operator="equal">
      <formula>"Sollvorgabe nicht erfüllt"</formula>
    </cfRule>
    <cfRule type="cellIs" dxfId="253" priority="166" stopIfTrue="1" operator="equal">
      <formula>"I.O. (Plausibilität unklar)"</formula>
    </cfRule>
    <cfRule type="cellIs" dxfId="252" priority="167" stopIfTrue="1" operator="equal">
      <formula>"Ausnahme (Plausibilität unklar)"</formula>
    </cfRule>
    <cfRule type="cellIs" dxfId="251" priority="168" stopIfTrue="1" operator="equal">
      <formula>"I.O."</formula>
    </cfRule>
  </conditionalFormatting>
  <conditionalFormatting sqref="Q39">
    <cfRule type="containsBlanks" dxfId="250" priority="133">
      <formula>LEN(TRIM(Q39))=0</formula>
    </cfRule>
  </conditionalFormatting>
  <conditionalFormatting sqref="R45:R47">
    <cfRule type="expression" dxfId="249" priority="32" stopIfTrue="1">
      <formula>OR(R45=$F$105,R45=$F$104)</formula>
    </cfRule>
    <cfRule type="cellIs" dxfId="248" priority="124" operator="equal">
      <formula>"Ausnahme (Plausibilität unklar)"</formula>
    </cfRule>
    <cfRule type="cellIs" dxfId="247" priority="125" stopIfTrue="1" operator="equal">
      <formula>"Sollvorgabe nicht erfüllt"</formula>
    </cfRule>
    <cfRule type="cellIs" dxfId="246" priority="126" stopIfTrue="1" operator="equal">
      <formula>"I.O. (Plausibilität unklar)"</formula>
    </cfRule>
    <cfRule type="cellIs" dxfId="245" priority="127" stopIfTrue="1" operator="equal">
      <formula>"I.O."</formula>
    </cfRule>
  </conditionalFormatting>
  <conditionalFormatting sqref="R66:R68">
    <cfRule type="expression" dxfId="244" priority="30" stopIfTrue="1">
      <formula>OR(R66=$F$105,R66=$F$104)</formula>
    </cfRule>
    <cfRule type="cellIs" dxfId="243" priority="120" operator="equal">
      <formula>"Ausnahme (Plausibilität unklar)"</formula>
    </cfRule>
    <cfRule type="cellIs" dxfId="242" priority="121" stopIfTrue="1" operator="equal">
      <formula>"Sollvorgabe nicht erfüllt"</formula>
    </cfRule>
    <cfRule type="cellIs" dxfId="241" priority="122" stopIfTrue="1" operator="equal">
      <formula>"I.O. (Plausibilität unklar)"</formula>
    </cfRule>
    <cfRule type="cellIs" dxfId="240" priority="123" stopIfTrue="1" operator="equal">
      <formula>"I.O."</formula>
    </cfRule>
  </conditionalFormatting>
  <conditionalFormatting sqref="R27:R29">
    <cfRule type="expression" dxfId="239" priority="37" stopIfTrue="1">
      <formula>OR(R27=$F$105,R27=$F$104)</formula>
    </cfRule>
    <cfRule type="cellIs" dxfId="238" priority="112" operator="equal">
      <formula>"Ausnahme (Plausibilität unklar)"</formula>
    </cfRule>
    <cfRule type="cellIs" dxfId="237" priority="113" stopIfTrue="1" operator="equal">
      <formula>"I.O. (Plausibilität unklar)"</formula>
    </cfRule>
    <cfRule type="cellIs" dxfId="236" priority="114" stopIfTrue="1" operator="equal">
      <formula>"Sollvorgabe nicht erfüllt"</formula>
    </cfRule>
    <cfRule type="cellIs" dxfId="235" priority="115" stopIfTrue="1" operator="equal">
      <formula>"I.O."</formula>
    </cfRule>
  </conditionalFormatting>
  <conditionalFormatting sqref="R30:R32">
    <cfRule type="expression" dxfId="234" priority="36" stopIfTrue="1">
      <formula>OR(R30=$F$105,R30=$F$104)</formula>
    </cfRule>
    <cfRule type="cellIs" dxfId="233" priority="108" operator="equal">
      <formula>"Ausnahme (Plausibilität unklar)"</formula>
    </cfRule>
    <cfRule type="cellIs" dxfId="232" priority="109" stopIfTrue="1" operator="equal">
      <formula>"I.O. (Plausibilität unklar)"</formula>
    </cfRule>
    <cfRule type="cellIs" dxfId="231" priority="110" stopIfTrue="1" operator="equal">
      <formula>"Sollvorgabe nicht erfüllt"</formula>
    </cfRule>
    <cfRule type="cellIs" dxfId="230" priority="111" stopIfTrue="1" operator="equal">
      <formula>"I.O."</formula>
    </cfRule>
  </conditionalFormatting>
  <conditionalFormatting sqref="R60:R62">
    <cfRule type="expression" dxfId="229" priority="31" stopIfTrue="1">
      <formula>OR(R60=$F$105,R60=$F$104)</formula>
    </cfRule>
    <cfRule type="cellIs" dxfId="228" priority="104" operator="equal">
      <formula>"Ausnahme (Plausibilität unklar)"</formula>
    </cfRule>
    <cfRule type="cellIs" dxfId="227" priority="105" stopIfTrue="1" operator="equal">
      <formula>"Sollvorgabe nicht erfüllt"</formula>
    </cfRule>
    <cfRule type="cellIs" dxfId="226" priority="106" stopIfTrue="1" operator="equal">
      <formula>"I.O. (Plausibilität unklar)"</formula>
    </cfRule>
    <cfRule type="cellIs" dxfId="225" priority="107" stopIfTrue="1" operator="equal">
      <formula>"I.O."</formula>
    </cfRule>
  </conditionalFormatting>
  <conditionalFormatting sqref="R75:R77">
    <cfRule type="expression" dxfId="224" priority="29" stopIfTrue="1">
      <formula>OR(R75=$F$105,R75=$F$104)</formula>
    </cfRule>
    <cfRule type="cellIs" dxfId="223" priority="100" operator="equal">
      <formula>"Ausnahme (Plausibilität unklar)"</formula>
    </cfRule>
    <cfRule type="cellIs" dxfId="222" priority="101" stopIfTrue="1" operator="equal">
      <formula>"Sollvorgabe nicht erfüllt"</formula>
    </cfRule>
    <cfRule type="cellIs" dxfId="221" priority="102" stopIfTrue="1" operator="equal">
      <formula>"I.O. (Plausibilität unklar)"</formula>
    </cfRule>
    <cfRule type="cellIs" dxfId="220" priority="103" stopIfTrue="1" operator="equal">
      <formula>"I.O."</formula>
    </cfRule>
  </conditionalFormatting>
  <conditionalFormatting sqref="R78:R80">
    <cfRule type="expression" dxfId="219" priority="28" stopIfTrue="1">
      <formula>OR(R78=$F$105,R78=$F$104)</formula>
    </cfRule>
    <cfRule type="cellIs" dxfId="218" priority="92" operator="equal">
      <formula>"Ausnahme (Plausibilität unklar)"</formula>
    </cfRule>
    <cfRule type="cellIs" dxfId="217" priority="93" stopIfTrue="1" operator="equal">
      <formula>"Sollvorgabe nicht erfüllt"</formula>
    </cfRule>
    <cfRule type="cellIs" dxfId="216" priority="94" stopIfTrue="1" operator="equal">
      <formula>"I.O. (Plausibilität unklar)"</formula>
    </cfRule>
    <cfRule type="cellIs" dxfId="215" priority="95" stopIfTrue="1" operator="equal">
      <formula>"I.O."</formula>
    </cfRule>
  </conditionalFormatting>
  <conditionalFormatting sqref="R84:R86">
    <cfRule type="expression" dxfId="214" priority="27" stopIfTrue="1">
      <formula>OR(R84=$F$105,R84=$F$104)</formula>
    </cfRule>
    <cfRule type="cellIs" dxfId="213" priority="84" operator="equal">
      <formula>"Ausnahme (Plausibilität unklar)"</formula>
    </cfRule>
    <cfRule type="cellIs" dxfId="212" priority="85" stopIfTrue="1" operator="equal">
      <formula>"Sollvorgabe nicht erfüllt"</formula>
    </cfRule>
    <cfRule type="cellIs" dxfId="211" priority="86" stopIfTrue="1" operator="equal">
      <formula>"I.O. (Plausibilität unklar)"</formula>
    </cfRule>
    <cfRule type="cellIs" dxfId="210" priority="87" stopIfTrue="1" operator="equal">
      <formula>"I.O."</formula>
    </cfRule>
  </conditionalFormatting>
  <conditionalFormatting sqref="R87:R92">
    <cfRule type="expression" dxfId="209" priority="25" stopIfTrue="1">
      <formula>OR(R87=$F$105,R87=$F$104)</formula>
    </cfRule>
    <cfRule type="cellIs" dxfId="208" priority="81" stopIfTrue="1" operator="equal">
      <formula>"Sollvorgabe nicht erfüllt"</formula>
    </cfRule>
    <cfRule type="cellIs" dxfId="207" priority="82" stopIfTrue="1" operator="equal">
      <formula>"I.O. (Plausibilität unklar)"</formula>
    </cfRule>
    <cfRule type="cellIs" dxfId="206" priority="83" stopIfTrue="1" operator="equal">
      <formula>"I.O."</formula>
    </cfRule>
  </conditionalFormatting>
  <conditionalFormatting sqref="Q37">
    <cfRule type="containsBlanks" dxfId="205" priority="77">
      <formula>LEN(TRIM(Q37))=0</formula>
    </cfRule>
  </conditionalFormatting>
  <conditionalFormatting sqref="R81:R83">
    <cfRule type="cellIs" dxfId="204" priority="54" stopIfTrue="1" operator="equal">
      <formula>"optional - Sollvorgabe nicht erfüllt"</formula>
    </cfRule>
    <cfRule type="cellIs" dxfId="203" priority="58" operator="equal">
      <formula>"optional - I.O."</formula>
    </cfRule>
    <cfRule type="cellIs" dxfId="202" priority="59" stopIfTrue="1" operator="equal">
      <formula>"optional - I.O. (Plausibilität unklar)"</formula>
    </cfRule>
    <cfRule type="cellIs" dxfId="201" priority="60" stopIfTrue="1" operator="equal">
      <formula>"optional - inkorrekt"</formula>
    </cfRule>
  </conditionalFormatting>
  <conditionalFormatting sqref="Q91">
    <cfRule type="containsBlanks" dxfId="200" priority="39">
      <formula>LEN(TRIM(Q91))=0</formula>
    </cfRule>
  </conditionalFormatting>
  <conditionalFormatting sqref="Q90">
    <cfRule type="containsBlanks" dxfId="199" priority="38">
      <formula>LEN(TRIM(Q90))=0</formula>
    </cfRule>
  </conditionalFormatting>
  <conditionalFormatting sqref="R33:R35">
    <cfRule type="cellIs" dxfId="198" priority="270" operator="equal">
      <formula>"Ausnahme (Plausibilität unklar)"</formula>
    </cfRule>
  </conditionalFormatting>
  <conditionalFormatting sqref="R36:R38">
    <cfRule type="cellIs" dxfId="197" priority="35" operator="equal">
      <formula>"Ausnahme (Plausibilität unklar)"</formula>
    </cfRule>
  </conditionalFormatting>
  <conditionalFormatting sqref="R39:R41">
    <cfRule type="cellIs" dxfId="196" priority="34" operator="equal">
      <formula>"Ausnahme (Plausibilität unklar)"</formula>
    </cfRule>
  </conditionalFormatting>
  <conditionalFormatting sqref="R87:R89">
    <cfRule type="cellIs" dxfId="195" priority="80" operator="equal">
      <formula>"Ausnahme (Plausibilität unklar)"</formula>
    </cfRule>
  </conditionalFormatting>
  <conditionalFormatting sqref="R90:R92">
    <cfRule type="cellIs" dxfId="194" priority="26" stopIfTrue="1" operator="equal">
      <formula>"Ausnahme (Plausibilität unklar)"</formula>
    </cfRule>
  </conditionalFormatting>
  <conditionalFormatting sqref="S12:S24 S27:S98">
    <cfRule type="notContainsBlanks" dxfId="193" priority="19" stopIfTrue="1">
      <formula>LEN(TRIM(S12))&gt;0</formula>
    </cfRule>
    <cfRule type="expression" dxfId="192" priority="385" stopIfTrue="1">
      <formula>OR($R12="Unvollständig",$R12="Sollvorgabe nicht erfüllt",$R12="I.O. (Plausibilität unklar)",$R12="Ausnahme (Plausibilität unklar)",$R12="optional - unvollständig",$R12="optional - Sollvorgabe nicht erfüllt",$R12="optional - I.O. (Plausibilität unklar)", $R12="optional - I.O. (Plausibilität unklar)",$R12="optional - Ausnahme (Plausibilität unklar)")</formula>
    </cfRule>
  </conditionalFormatting>
  <conditionalFormatting sqref="R93:R95">
    <cfRule type="expression" dxfId="191" priority="12" stopIfTrue="1">
      <formula>OR(R93=$F$105,R93=$F$104)</formula>
    </cfRule>
    <cfRule type="cellIs" dxfId="190" priority="14" stopIfTrue="1" operator="equal">
      <formula>"Sollvorgabe nicht erfüllt"</formula>
    </cfRule>
    <cfRule type="cellIs" dxfId="189" priority="15" stopIfTrue="1" operator="equal">
      <formula>"I.O. (Plausibilität unklar)"</formula>
    </cfRule>
    <cfRule type="cellIs" dxfId="188" priority="16" stopIfTrue="1" operator="equal">
      <formula>"I.O."</formula>
    </cfRule>
  </conditionalFormatting>
  <conditionalFormatting sqref="R93:R95">
    <cfRule type="cellIs" dxfId="187" priority="13" stopIfTrue="1" operator="equal">
      <formula>"Ausnahme (Plausibilität unklar)"</formula>
    </cfRule>
  </conditionalFormatting>
  <conditionalFormatting sqref="R96:R98">
    <cfRule type="expression" dxfId="186" priority="7" stopIfTrue="1">
      <formula>OR(R96=#REF!,R96=#REF!)</formula>
    </cfRule>
    <cfRule type="cellIs" dxfId="185" priority="9" stopIfTrue="1" operator="equal">
      <formula>"optional - Sollvorgabe nicht erfüllt"</formula>
    </cfRule>
    <cfRule type="cellIs" dxfId="184" priority="10" stopIfTrue="1" operator="equal">
      <formula>"optional - I.O. (Plausibilität unklar)"</formula>
    </cfRule>
    <cfRule type="cellIs" dxfId="183" priority="11" stopIfTrue="1" operator="equal">
      <formula>"optional - I.O."</formula>
    </cfRule>
  </conditionalFormatting>
  <conditionalFormatting sqref="R96:R98">
    <cfRule type="cellIs" dxfId="182" priority="8" stopIfTrue="1" operator="equal">
      <formula>"optional - Ausnahme (Plausibilität unklar)"</formula>
    </cfRule>
  </conditionalFormatting>
  <conditionalFormatting sqref="Q93">
    <cfRule type="containsBlanks" dxfId="181" priority="6">
      <formula>LEN(TRIM(Q93))=0</formula>
    </cfRule>
  </conditionalFormatting>
  <conditionalFormatting sqref="Q96">
    <cfRule type="containsBlanks" dxfId="180" priority="5">
      <formula>LEN(TRIM(Q96))=0</formula>
    </cfRule>
  </conditionalFormatting>
  <conditionalFormatting sqref="Q67">
    <cfRule type="containsBlanks" dxfId="179" priority="4">
      <formula>LEN(TRIM(Q67))=0</formula>
    </cfRule>
  </conditionalFormatting>
  <conditionalFormatting sqref="Q94">
    <cfRule type="containsBlanks" dxfId="178" priority="2">
      <formula>LEN(TRIM(Q94))=0</formula>
    </cfRule>
  </conditionalFormatting>
  <conditionalFormatting sqref="Q97">
    <cfRule type="containsBlanks" dxfId="177" priority="1">
      <formula>LEN(TRIM(Q97))=0</formula>
    </cfRule>
  </conditionalFormatting>
  <dataValidations count="21">
    <dataValidation type="whole" allowBlank="1" showInputMessage="1" showErrorMessage="1" errorTitle="Eingabefehler" error="1. Tabellenblatt Basisdaten muss vollständig ausgefüllt sein._x000a_2. Zähler muss eine positive ganze Zahl sein._x000a_3. Zähler kann nicht größer als Nenner sein." sqref="Q69 Q48 Q51">
      <formula1>0</formula1>
      <formula2>IF(Q49="",5000,Q49)</formula2>
    </dataValidation>
    <dataValidation operator="greaterThanOrEqual" allowBlank="1" showInputMessage="1" showErrorMessage="1" errorTitle="Eingabefehler" sqref="Q57:Q59"/>
    <dataValidation errorStyle="information" allowBlank="1" showInputMessage="1" showErrorMessage="1" errorTitle="Kennzahl" promptTitle="Kennzahl" sqref="D10 B10"/>
    <dataValidation showInputMessage="1" showErrorMessage="1" errorTitle="Eingabefehler" error="1. Nenner muss eine positive ganze Zahl sein. _x000a_2. Nenner kann nicht kleiner als Zähler sein._x000a_3. Nenner kann nicht größer als &quot;Pat. gesamt (ohne Mehrfachnennung)&quot; sein." sqref="Q40"/>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PF LDR-Brachytherapie._x000a_" sqref="Q67">
      <formula1>IF(Q66="",0,Q66)</formula1>
      <formula2>IF(ISNUMBER(Q67),IF(Q67&gt;0,IF(Q67&gt;=Q66,$U$67,FALSE),FALSE),FALSE)</formula2>
    </dataValidation>
    <dataValidation type="whole" showInputMessage="1" showErrorMessage="1" errorTitle="Eingabefehler" error="1. Zähler muss eine positive ganze Zahl sein._x000a_2. Zähler kann nicht größer als Nenner sein." sqref="Q84 Q87 Q81 Q78 Q96">
      <formula1>0</formula1>
      <formula2>IF(Q79="",5000,Q79)</formula2>
    </dataValidation>
    <dataValidation operator="equal" showInputMessage="1" showErrorMessage="1" sqref="Q43"/>
    <dataValidation allowBlank="1" showInputMessage="1" showErrorMessage="1" errorTitle="Eingabefehler" sqref="Q63"/>
    <dataValidation type="whole" allowBlank="1" showInputMessage="1" showErrorMessage="1" errorTitle="Eingabefehler" error="1. Tabellenblatt Basisdaten muss vollständig ausgefüllt sein._x000a_2. Zähler muss eine positive ganze Zahl sein." sqref="Q54">
      <formula1>0</formula1>
      <formula2>5000</formula2>
    </dataValidation>
    <dataValidation type="whole" showErrorMessage="1" errorTitle="Eingabefehler" error="1. Tabellenblatt Basisdaten muss vollständig ausgefüllt sein._x000a_2. Nenner muss eine positive ganze Zahl sein. _x000a_3. Nenner kann nicht kleiner als Zähler sein._x000a_4. Nenner darf nicht größer sein als Anzahl Primärfälle RPE / RZE." sqref="Q34">
      <formula1>Q33</formula1>
      <formula2>IF(ISNUMBER(Q34),IF(Q34&gt;0,IF(Q34&gt;=Q33,U34,FALSE),FALSE),FALSE)</formula2>
    </dataValidation>
    <dataValidation type="textLength" allowBlank="1" showInputMessage="1" showErrorMessage="1" errorTitle="Zeichenlänge" error="Minimal 30 Zeichen und max. 500 Zeichen." promptTitle="Hinweis" prompt="Wenn die Datenqualität nicht &quot;I.O.&quot;ist, ist der Kennzahlenwert zu begründen." sqref="S12:S14">
      <formula1>30</formula1>
      <formula2>500</formula2>
    </dataValidation>
    <dataValidation type="textLength" allowBlank="1" showInputMessage="1" showErrorMessage="1" errorTitle="Zeichenlänge" error="Minimal 30 Zeichen und max. 500 Zeichen." sqref="T12:T14 S87 S90 S84 S93 S96 T84:T106 S15:T24 S27:T81">
      <formula1>30</formula1>
      <formula2>500</formula2>
    </dataValidation>
    <dataValidation showInputMessage="1" showErrorMessage="1" sqref="Q42 Q46"/>
    <dataValidation type="whole" showInputMessage="1" showErrorMessage="1" errorTitle="Eingabefehler" error="1. Nenner muss eine positive ganze Zahl sein. _x000a_2. Nenner kann nicht kleiner als Zähler sein." sqref="Q79 Q88 Q85 Q82 Q97">
      <formula1>Q78</formula1>
      <formula2>IF(ISNUMBER(Q79),IF(Q79&gt;0,IF(Q79&gt;=Q78,5000,FALSE),FALSE),FALSE)</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sein als die Anzahl der RPE und RZE bei Primärfällen." sqref="Q61">
      <formula1>Q60</formula1>
      <formula2>IF(ISNUMBER(Q61),IF(Q61&gt;0,IF(Q61&gt;=Q60,$U$61,FALSE),FALSE),FALSE)</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der Primärfälle sein." sqref="Q73 Q76 Q91">
      <formula1>Q72</formula1>
      <formula2>IF(ISNUMBER(Q73),IF(Q73&gt;0,IF(Q73&gt;=Q72,$Q$12,FALSE),FALSE),FALSE)</formula2>
    </dataValidation>
    <dataValidation type="whole" showInputMessage="1" showErrorMessage="1" errorTitle="Eingabefehler" error="1.Nenner muss eine positive ganze Zahl sein. _x000a_2.Nenner kann nicht kleiner als Zähler sein._x000a_3.Nenner kann nicht kleiner als Primärfälle mit M1 sein._x000a_4.Nenner kann nicht größer als Summe PF mit M1 und nicht zuzuordnen sein. " sqref="Q37">
      <formula1>IF(Q36=0,0,IF(Q36&gt;U37,Q36,U37))</formula1>
      <formula2>U38</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Q27 Q30 Q33 Q36 Q39 Q45 Q60 Q66 Q72 Q75 Q90 Q93">
      <formula1>0</formula1>
      <formula2>IF(Q28="",5000,Q28)</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oßer als Anzahl Primärfälle RPE." sqref="Q94">
      <formula1>Q93</formula1>
      <formula2>IF(ISNUMBER(Q94),IF(Q94&gt;0,IF(Q94&gt;=Q93,$U$94,FALSE),FALSE),FALSE)</formula2>
    </dataValidation>
    <dataValidation type="whole" showInputMessage="1" showErrorMessage="1" errorTitle="Eingabefehler" error="1.Basisdaten vollständig ausfüllen._x000a_2.Nenner muss eine positive ganze Zahl sein._x000a_3.Nenner kann nicht kleiner als Zähler sein._x000a_4.Nenner KN 2a + Nenner KN 2b kann nicht größer als Primärfälle (ohne primär M1) sein." sqref="Q28">
      <formula1>Q27</formula1>
      <formula2>Q12-U28-Q31</formula2>
    </dataValidation>
    <dataValidation type="whole" showInputMessage="1" showErrorMessage="1" errorTitle="Eingabefehler" error="1.Basisdaten vollständig ausfüllen._x000a_2.Nenner muss eine positive ganze Zahl sein._x000a_3.Nenner kann nicht kleiner als Zähler sein._x000a_4.Nenner KN 2a + Nenner KN 2b kann nicht größer als Primärfälle (ohne primär M1) sein." sqref="Q31">
      <formula1>Q30</formula1>
      <formula2>Q12-U28-Q28</formula2>
    </dataValidation>
  </dataValidations>
  <pageMargins left="0.39370078740157483" right="3.937007874015748E-2" top="0.59055118110236227" bottom="0.39370078740157483" header="0.31496062992125984" footer="0.11811023622047245"/>
  <pageSetup paperSize="9" scale="95"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8" manualBreakCount="8">
    <brk id="23" max="17" man="1"/>
    <brk id="32" max="17" man="1"/>
    <brk id="44" max="17" man="1"/>
    <brk id="56" max="17" man="1"/>
    <brk id="68" max="17" man="1"/>
    <brk id="77" max="17" man="1"/>
    <brk id="86" max="17" man="1"/>
    <brk id="95" max="17" man="1"/>
  </rowBreaks>
  <ignoredErrors>
    <ignoredError sqref="D12" twoDigitTextYear="1"/>
    <ignoredError sqref="B16:D17 B28:D32 C27 B43:C44 B67:C68 C34:C35 C33 C42 B49:C50 C48 B52:C53 C51 B55:C56 C54 B58:C59 C57 B61:C62 C60 B64:C65 C63 C66 B70:C71 C69 C37:C38 B19:D20 B18 D18 B22:D23 B21 D21" numberStoredAsText="1"/>
    <ignoredError sqref="D27 D48:D50 D54:D59 D52:D53" twoDigitTextYear="1" numberStoredAsText="1"/>
  </ignoredErrors>
  <drawing r:id="rId3"/>
  <legacyDrawing r:id="rId4"/>
  <legacyDrawingHF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L39"/>
  <sheetViews>
    <sheetView showGridLines="0" topLeftCell="A25" zoomScaleNormal="100" workbookViewId="0">
      <selection activeCell="B2" sqref="B2"/>
    </sheetView>
  </sheetViews>
  <sheetFormatPr baseColWidth="10" defaultColWidth="11.42578125" defaultRowHeight="15" x14ac:dyDescent="0.25"/>
  <cols>
    <col min="1" max="1" width="23.42578125" style="1" customWidth="1"/>
    <col min="2" max="2" width="22" style="1" customWidth="1"/>
    <col min="3" max="3" width="13.28515625" style="141" customWidth="1"/>
    <col min="4" max="4" width="13.85546875" style="194" customWidth="1"/>
    <col min="5" max="5" width="9.42578125" style="194" customWidth="1"/>
    <col min="6" max="6" width="41.140625" style="21" customWidth="1"/>
    <col min="7" max="7" width="43.7109375" style="1" customWidth="1"/>
    <col min="8" max="8" width="10.42578125" customWidth="1"/>
    <col min="9" max="9" width="41.42578125" style="1" customWidth="1"/>
    <col min="10" max="11" width="32" style="141" customWidth="1"/>
    <col min="12" max="12" width="30.140625" style="141" customWidth="1"/>
    <col min="13" max="16384" width="11.42578125" style="1"/>
  </cols>
  <sheetData>
    <row r="1" spans="1:12" x14ac:dyDescent="0.25">
      <c r="A1" s="254" t="s">
        <v>73</v>
      </c>
      <c r="B1" s="693">
        <v>152</v>
      </c>
    </row>
    <row r="2" spans="1:12" x14ac:dyDescent="0.25">
      <c r="A2" s="254" t="s">
        <v>18</v>
      </c>
      <c r="B2" s="202" t="str">
        <f>IF(Basisdaten!C6=0,"",Basisdaten!C6)</f>
        <v/>
      </c>
    </row>
    <row r="3" spans="1:12" x14ac:dyDescent="0.25">
      <c r="A3" s="254" t="s">
        <v>82</v>
      </c>
      <c r="B3" s="203" t="str">
        <f>IF(Basisdaten!M12=0,"",Basisdaten!M12)</f>
        <v/>
      </c>
    </row>
    <row r="4" spans="1:12" ht="15.75" customHeight="1" x14ac:dyDescent="0.25"/>
    <row r="5" spans="1:12" s="221" customFormat="1" ht="12.75" customHeight="1" x14ac:dyDescent="0.25">
      <c r="A5" s="270" t="s">
        <v>506</v>
      </c>
      <c r="B5" s="269"/>
      <c r="C5" s="195"/>
      <c r="D5" s="263"/>
      <c r="E5" s="263"/>
      <c r="F5" s="263"/>
      <c r="G5" s="263"/>
      <c r="H5" s="263"/>
      <c r="I5" s="263"/>
      <c r="J5" s="264"/>
      <c r="K5" s="264"/>
      <c r="L5" s="141"/>
    </row>
    <row r="6" spans="1:12" s="221" customFormat="1" ht="12.75" customHeight="1" x14ac:dyDescent="0.25">
      <c r="A6" s="270" t="s">
        <v>507</v>
      </c>
      <c r="B6" s="269"/>
      <c r="C6" s="195"/>
      <c r="D6" s="263"/>
      <c r="E6" s="263"/>
      <c r="F6" s="263"/>
      <c r="G6" s="263"/>
      <c r="H6" s="263"/>
      <c r="I6" s="263"/>
      <c r="J6" s="264"/>
      <c r="K6" s="264"/>
      <c r="L6" s="141"/>
    </row>
    <row r="7" spans="1:12" s="221" customFormat="1" ht="12.75" customHeight="1" x14ac:dyDescent="0.25">
      <c r="A7" s="270" t="s">
        <v>508</v>
      </c>
      <c r="B7" s="269"/>
      <c r="C7" s="195"/>
      <c r="D7" s="263"/>
      <c r="E7" s="263"/>
      <c r="F7" s="263"/>
      <c r="G7" s="263"/>
      <c r="H7" s="263"/>
      <c r="I7" s="263"/>
      <c r="J7" s="264"/>
      <c r="K7" s="264"/>
      <c r="L7" s="141"/>
    </row>
    <row r="8" spans="1:12" s="221" customFormat="1" ht="12.75" customHeight="1" x14ac:dyDescent="0.25">
      <c r="A8" s="270" t="s">
        <v>509</v>
      </c>
      <c r="B8" s="269"/>
      <c r="C8" s="195"/>
      <c r="D8" s="263"/>
      <c r="E8" s="263"/>
      <c r="F8" s="263"/>
      <c r="G8" s="263"/>
      <c r="H8" s="263"/>
      <c r="I8" s="263"/>
      <c r="J8" s="264"/>
      <c r="K8" s="264"/>
      <c r="L8" s="141"/>
    </row>
    <row r="9" spans="1:12" s="221" customFormat="1" ht="12.75" customHeight="1" x14ac:dyDescent="0.25">
      <c r="A9" s="270" t="s">
        <v>510</v>
      </c>
      <c r="B9" s="269"/>
      <c r="C9" s="195"/>
      <c r="D9" s="263"/>
      <c r="E9" s="263"/>
      <c r="F9" s="263"/>
      <c r="G9" s="263"/>
      <c r="H9" s="263"/>
      <c r="I9" s="263"/>
      <c r="J9" s="264"/>
      <c r="K9" s="264"/>
      <c r="L9" s="141"/>
    </row>
    <row r="10" spans="1:12" s="221" customFormat="1" ht="24" customHeight="1" x14ac:dyDescent="0.25">
      <c r="C10" s="141"/>
      <c r="D10" s="194"/>
      <c r="E10" s="194"/>
      <c r="F10" s="21"/>
      <c r="H10" s="220"/>
      <c r="J10" s="141"/>
      <c r="K10" s="141"/>
      <c r="L10" s="141"/>
    </row>
    <row r="11" spans="1:12" s="261" customFormat="1" ht="21" customHeight="1" x14ac:dyDescent="0.2">
      <c r="A11" s="272" t="s">
        <v>72</v>
      </c>
      <c r="B11" s="193" t="s">
        <v>71</v>
      </c>
      <c r="C11" s="193" t="s">
        <v>4</v>
      </c>
      <c r="D11" s="193" t="s">
        <v>17</v>
      </c>
      <c r="E11" s="193" t="s">
        <v>70</v>
      </c>
      <c r="F11" s="193" t="s">
        <v>74</v>
      </c>
      <c r="G11" s="193" t="s">
        <v>68</v>
      </c>
      <c r="H11" s="271" t="s">
        <v>69</v>
      </c>
      <c r="I11" s="275" t="s">
        <v>511</v>
      </c>
      <c r="J11" s="274" t="s">
        <v>512</v>
      </c>
      <c r="K11" s="274" t="s">
        <v>513</v>
      </c>
    </row>
    <row r="12" spans="1:12" s="259" customFormat="1" ht="27.95" customHeight="1" x14ac:dyDescent="0.25">
      <c r="A12" s="273" t="s">
        <v>299</v>
      </c>
      <c r="B12" s="268" t="str">
        <f>IF('Kennzahlenbogen_(KB)'!Q12 = 0, "n.d.", 'Kennzahlenbogen_(KB)'!Q12)</f>
        <v>n.d.</v>
      </c>
      <c r="C12" s="266"/>
      <c r="D12" s="265"/>
      <c r="E12" s="267">
        <f>Berechnung1!N29</f>
        <v>1</v>
      </c>
      <c r="F12" s="260" t="str">
        <f>IF('Kennzahlenbogen_(KB)'!S12 = "", "", 'Kennzahlenbogen_(KB)'!S12)</f>
        <v/>
      </c>
      <c r="G12" s="260" t="str">
        <f>IF('Kennzahlenbogen_(KB)'!T12 = "", "", 'Kennzahlenbogen_(KB)'!T12)</f>
        <v/>
      </c>
      <c r="H12" s="267">
        <f>Berechnung1!O29</f>
        <v>0</v>
      </c>
      <c r="I12" s="262"/>
      <c r="J12" s="269"/>
      <c r="K12" s="269"/>
    </row>
    <row r="13" spans="1:12" s="259" customFormat="1" ht="27.95" customHeight="1" x14ac:dyDescent="0.25">
      <c r="A13" s="276" t="s">
        <v>514</v>
      </c>
      <c r="B13" s="268" t="str">
        <f>IF('Kennzahlenbogen_(KB)'!Q15 = 0, "n.d.", 'Kennzahlenbogen_(KB)'!Q15)</f>
        <v>n.d.</v>
      </c>
      <c r="C13" s="266"/>
      <c r="D13" s="265"/>
      <c r="E13" s="267">
        <f>Berechnung1!N32</f>
        <v>1</v>
      </c>
      <c r="F13" s="260" t="str">
        <f>IF('Kennzahlenbogen_(KB)'!S15 = "", "", 'Kennzahlenbogen_(KB)'!S15)</f>
        <v/>
      </c>
      <c r="G13" s="260" t="str">
        <f>IF('Kennzahlenbogen_(KB)'!T15 = "", "", 'Kennzahlenbogen_(KB)'!T15)</f>
        <v/>
      </c>
      <c r="H13" s="267">
        <f>Berechnung1!O32</f>
        <v>0</v>
      </c>
      <c r="I13" s="262"/>
      <c r="J13" s="269"/>
      <c r="K13" s="269"/>
    </row>
    <row r="14" spans="1:12" s="259" customFormat="1" ht="27.95" customHeight="1" x14ac:dyDescent="0.25">
      <c r="A14" s="276" t="s">
        <v>515</v>
      </c>
      <c r="B14" s="268" t="str">
        <f>IF('Kennzahlenbogen_(KB)'!Q18 = 0, "n.d.", 'Kennzahlenbogen_(KB)'!Q18)</f>
        <v>n.d.</v>
      </c>
      <c r="C14" s="266"/>
      <c r="D14" s="265"/>
      <c r="E14" s="267">
        <f>Berechnung1!N35</f>
        <v>1</v>
      </c>
      <c r="F14" s="260" t="str">
        <f>IF('Kennzahlenbogen_(KB)'!S18 = "", "", 'Kennzahlenbogen_(KB)'!S18)</f>
        <v/>
      </c>
      <c r="G14" s="260" t="str">
        <f>IF('Kennzahlenbogen_(KB)'!T18 = "", "", 'Kennzahlenbogen_(KB)'!T18)</f>
        <v/>
      </c>
      <c r="H14" s="267">
        <f>Berechnung1!O35</f>
        <v>0</v>
      </c>
      <c r="I14" s="262"/>
      <c r="J14" s="269"/>
      <c r="K14" s="269"/>
    </row>
    <row r="15" spans="1:12" s="259" customFormat="1" ht="27.95" customHeight="1" x14ac:dyDescent="0.25">
      <c r="A15" s="276" t="s">
        <v>516</v>
      </c>
      <c r="B15" s="268" t="str">
        <f>IF('Kennzahlenbogen_(KB)'!Q21 = 0, "n.d.", 'Kennzahlenbogen_(KB)'!Q21)</f>
        <v>n.d.</v>
      </c>
      <c r="C15" s="266"/>
      <c r="D15" s="265"/>
      <c r="E15" s="267">
        <f>Berechnung1!N38</f>
        <v>1</v>
      </c>
      <c r="F15" s="260" t="str">
        <f>IF('Kennzahlenbogen_(KB)'!S21 = "", "", 'Kennzahlenbogen_(KB)'!S21)</f>
        <v/>
      </c>
      <c r="G15" s="260" t="str">
        <f>IF('Kennzahlenbogen_(KB)'!T21 = "", "", 'Kennzahlenbogen_(KB)'!T21)</f>
        <v/>
      </c>
      <c r="H15" s="267">
        <f>Berechnung1!O38</f>
        <v>0</v>
      </c>
      <c r="I15" s="262"/>
      <c r="J15" s="269"/>
      <c r="K15" s="269"/>
    </row>
    <row r="16" spans="1:12" s="259" customFormat="1" ht="27.95" customHeight="1" x14ac:dyDescent="0.25">
      <c r="A16" s="276" t="s">
        <v>923</v>
      </c>
      <c r="B16" s="691" t="str">
        <f>IF('Kennzahlenbogen_(KB)'!$Q24=0,"n.d.",'Kennzahlenbogen_(KB)'!$Q24)</f>
        <v>n.d.</v>
      </c>
      <c r="C16" s="266"/>
      <c r="D16" s="265"/>
      <c r="E16" s="267">
        <f>Berechnung1!N41</f>
        <v>1</v>
      </c>
      <c r="F16" s="260" t="str">
        <f>IF('Kennzahlenbogen_(KB)'!S24 = "", "", 'Kennzahlenbogen_(KB)'!S24)</f>
        <v/>
      </c>
      <c r="G16" s="260" t="str">
        <f>IF('Kennzahlenbogen_(KB)'!T24 = "", "", 'Kennzahlenbogen_(KB)'!T24)</f>
        <v/>
      </c>
      <c r="H16" s="267">
        <f>Berechnung1!O41</f>
        <v>0</v>
      </c>
      <c r="I16" s="262"/>
      <c r="J16" s="269"/>
      <c r="K16" s="269"/>
    </row>
    <row r="17" spans="1:11" s="259" customFormat="1" ht="27.95" customHeight="1" x14ac:dyDescent="0.25">
      <c r="A17" s="276" t="s">
        <v>307</v>
      </c>
      <c r="B17" s="268" t="str">
        <f>IF('Kennzahlenbogen_(KB)'!$Q27 = "", "", 'Kennzahlenbogen_(KB)'!$Q27)</f>
        <v/>
      </c>
      <c r="C17" s="268" t="str">
        <f>IF('Kennzahlenbogen_(KB)'!$Q28 = "", "", 'Kennzahlenbogen_(KB)'!$Q28)</f>
        <v/>
      </c>
      <c r="D17" s="525" t="str">
        <f>IF('Kennzahlenbogen_(KB)'!$Q29 ="n.d.","n.d.",IF('Kennzahlenbogen_(KB)'!$Q29 ="","n.d.",'Kennzahlenbogen_(KB)'!$Q29*100))</f>
        <v>n.d.</v>
      </c>
      <c r="E17" s="267">
        <f>Berechnung1!N44</f>
        <v>1</v>
      </c>
      <c r="F17" s="260" t="str">
        <f>IF('Kennzahlenbogen_(KB)'!S27 = "", "", 'Kennzahlenbogen_(KB)'!S27)</f>
        <v/>
      </c>
      <c r="G17" s="260" t="str">
        <f>IF('Kennzahlenbogen_(KB)'!T27 = "", "", 'Kennzahlenbogen_(KB)'!T27)</f>
        <v/>
      </c>
      <c r="H17" s="267">
        <f>Berechnung1!O44</f>
        <v>0</v>
      </c>
      <c r="I17" s="262"/>
      <c r="J17" s="269"/>
      <c r="K17" s="269"/>
    </row>
    <row r="18" spans="1:11" s="259" customFormat="1" ht="27.95" customHeight="1" x14ac:dyDescent="0.25">
      <c r="A18" s="276" t="s">
        <v>306</v>
      </c>
      <c r="B18" s="268" t="str">
        <f>IF('Kennzahlenbogen_(KB)'!$Q30 = "", "", 'Kennzahlenbogen_(KB)'!$Q30)</f>
        <v/>
      </c>
      <c r="C18" s="268" t="str">
        <f>IF('Kennzahlenbogen_(KB)'!$Q31 = "", "", 'Kennzahlenbogen_(KB)'!$Q31)</f>
        <v/>
      </c>
      <c r="D18" s="525" t="str">
        <f>IF('Kennzahlenbogen_(KB)'!$Q32 ="n.d.","n.d.",IF('Kennzahlenbogen_(KB)'!$Q32 ="","n.d.",'Kennzahlenbogen_(KB)'!$Q32*100))</f>
        <v>n.d.</v>
      </c>
      <c r="E18" s="267">
        <f>Berechnung1!N47</f>
        <v>1</v>
      </c>
      <c r="F18" s="260" t="str">
        <f>IF('Kennzahlenbogen_(KB)'!S30 = "", "", 'Kennzahlenbogen_(KB)'!S30)</f>
        <v/>
      </c>
      <c r="G18" s="260" t="str">
        <f>IF('Kennzahlenbogen_(KB)'!T30 = "", "", 'Kennzahlenbogen_(KB)'!T30)</f>
        <v/>
      </c>
      <c r="H18" s="267">
        <f>Berechnung1!O47</f>
        <v>0</v>
      </c>
      <c r="I18" s="262"/>
      <c r="J18" s="269"/>
      <c r="K18" s="269"/>
    </row>
    <row r="19" spans="1:11" s="259" customFormat="1" ht="27.95" customHeight="1" x14ac:dyDescent="0.25">
      <c r="A19" s="482" t="s">
        <v>311</v>
      </c>
      <c r="B19" s="268" t="str">
        <f>IF('Kennzahlenbogen_(KB)'!$Q33 = "", "", 'Kennzahlenbogen_(KB)'!$Q33)</f>
        <v/>
      </c>
      <c r="C19" s="268" t="str">
        <f>IF('Kennzahlenbogen_(KB)'!$Q34= "", "", 'Kennzahlenbogen_(KB)'!$Q34)</f>
        <v/>
      </c>
      <c r="D19" s="525" t="str">
        <f>IF('Kennzahlenbogen_(KB)'!$Q35 ="n.d.","n.d.",IF('Kennzahlenbogen_(KB)'!$Q35 ="","n.d.",'Kennzahlenbogen_(KB)'!$Q35*100))</f>
        <v>n.d.</v>
      </c>
      <c r="E19" s="267">
        <f>Berechnung1!N50</f>
        <v>1</v>
      </c>
      <c r="F19" s="260" t="str">
        <f>IF('Kennzahlenbogen_(KB)'!S33 = "", "", 'Kennzahlenbogen_(KB)'!S33)</f>
        <v/>
      </c>
      <c r="G19" s="260" t="str">
        <f>IF('Kennzahlenbogen_(KB)'!T33 = "", "", 'Kennzahlenbogen_(KB)'!T33)</f>
        <v/>
      </c>
      <c r="H19" s="267">
        <f>Berechnung1!O50</f>
        <v>0</v>
      </c>
      <c r="I19" s="262"/>
      <c r="J19" s="269"/>
      <c r="K19" s="269"/>
    </row>
    <row r="20" spans="1:11" s="259" customFormat="1" ht="27.95" customHeight="1" x14ac:dyDescent="0.25">
      <c r="A20" s="482" t="s">
        <v>312</v>
      </c>
      <c r="B20" s="268" t="str">
        <f>IF('Kennzahlenbogen_(KB)'!$Q36= "", "", 'Kennzahlenbogen_(KB)'!$Q36)</f>
        <v/>
      </c>
      <c r="C20" s="268" t="str">
        <f>IF('Kennzahlenbogen_(KB)'!$Q37= "", "", 'Kennzahlenbogen_(KB)'!$Q37)</f>
        <v/>
      </c>
      <c r="D20" s="525" t="str">
        <f>IF('Kennzahlenbogen_(KB)'!$Q38="n.d.","n.d.",IF('Kennzahlenbogen_(KB)'!$Q38="","n.d.",'Kennzahlenbogen_(KB)'!$Q38*100))</f>
        <v>n.d.</v>
      </c>
      <c r="E20" s="267">
        <f>Berechnung1!N53</f>
        <v>1</v>
      </c>
      <c r="F20" s="260" t="str">
        <f>IF('Kennzahlenbogen_(KB)'!S36= "", "", 'Kennzahlenbogen_(KB)'!S36)</f>
        <v/>
      </c>
      <c r="G20" s="260" t="str">
        <f>IF('Kennzahlenbogen_(KB)'!T36= "", "", 'Kennzahlenbogen_(KB)'!T36)</f>
        <v/>
      </c>
      <c r="H20" s="267">
        <f>Berechnung1!O53</f>
        <v>0</v>
      </c>
      <c r="I20" s="262"/>
      <c r="J20" s="269"/>
      <c r="K20" s="269"/>
    </row>
    <row r="21" spans="1:11" s="259" customFormat="1" ht="27.95" customHeight="1" x14ac:dyDescent="0.25">
      <c r="A21" s="482" t="s">
        <v>703</v>
      </c>
      <c r="B21" s="268" t="str">
        <f>IF('Kennzahlenbogen_(KB)'!$Q39= "", "", 'Kennzahlenbogen_(KB)'!$Q39)</f>
        <v/>
      </c>
      <c r="C21" s="268">
        <f>IF('Kennzahlenbogen_(KB)'!$Q40= "", "", 'Kennzahlenbogen_(KB)'!$Q40)</f>
        <v>0</v>
      </c>
      <c r="D21" s="525" t="str">
        <f>IF('Kennzahlenbogen_(KB)'!$Q41="n.d.","n.d.",IF('Kennzahlenbogen_(KB)'!$Q41="","n.d.",'Kennzahlenbogen_(KB)'!$Q41*100))</f>
        <v>n.d.</v>
      </c>
      <c r="E21" s="267">
        <f>Berechnung1!N56</f>
        <v>1</v>
      </c>
      <c r="F21" s="260" t="str">
        <f>IF('Kennzahlenbogen_(KB)'!S39= "", "", 'Kennzahlenbogen_(KB)'!S39)</f>
        <v/>
      </c>
      <c r="G21" s="260" t="str">
        <f>IF('Kennzahlenbogen_(KB)'!T39= "", "", 'Kennzahlenbogen_(KB)'!T39)</f>
        <v/>
      </c>
      <c r="H21" s="267">
        <f>Berechnung1!O56</f>
        <v>0</v>
      </c>
      <c r="I21" s="262"/>
      <c r="J21" s="269"/>
      <c r="K21" s="269"/>
    </row>
    <row r="22" spans="1:11" s="259" customFormat="1" ht="27.95" customHeight="1" x14ac:dyDescent="0.25">
      <c r="A22" s="483">
        <v>4</v>
      </c>
      <c r="B22" s="268">
        <f>IF('Kennzahlenbogen_(KB)'!$Q42 = "", "", 'Kennzahlenbogen_(KB)'!$Q42)</f>
        <v>0</v>
      </c>
      <c r="C22" s="268">
        <f>IF('Kennzahlenbogen_(KB)'!$Q43 = "", "", 'Kennzahlenbogen_(KB)'!$Q43)</f>
        <v>0</v>
      </c>
      <c r="D22" s="409" t="str">
        <f>IF('Kennzahlenbogen_(KB)'!$Q44 ="n.d.","n.d.",'Kennzahlenbogen_(KB)'!$Q44*100)</f>
        <v>n.d.</v>
      </c>
      <c r="E22" s="267">
        <f>Berechnung1!N59</f>
        <v>1</v>
      </c>
      <c r="F22" s="260" t="str">
        <f>IF('Kennzahlenbogen_(KB)'!S42 = "", "", 'Kennzahlenbogen_(KB)'!S42)</f>
        <v/>
      </c>
      <c r="G22" s="260" t="str">
        <f>IF('Kennzahlenbogen_(KB)'!T42 = "", "", 'Kennzahlenbogen_(KB)'!T42)</f>
        <v/>
      </c>
      <c r="H22" s="267">
        <f>Berechnung1!O59</f>
        <v>0</v>
      </c>
      <c r="I22" s="262"/>
      <c r="J22" s="269"/>
      <c r="K22" s="269"/>
    </row>
    <row r="23" spans="1:11" s="259" customFormat="1" ht="27.95" customHeight="1" x14ac:dyDescent="0.25">
      <c r="A23" s="483">
        <v>5</v>
      </c>
      <c r="B23" s="268" t="str">
        <f>IF('Kennzahlenbogen_(KB)'!$Q45 = "", "", 'Kennzahlenbogen_(KB)'!$Q45)</f>
        <v/>
      </c>
      <c r="C23" s="268">
        <f>IF('Kennzahlenbogen_(KB)'!$Q46 = "", "", 'Kennzahlenbogen_(KB)'!$Q46)</f>
        <v>0</v>
      </c>
      <c r="D23" s="525" t="str">
        <f>IF('Kennzahlenbogen_(KB)'!$Q47 ="n.d.","n.d.",IF('Kennzahlenbogen_(KB)'!$Q47 ="","n.d.",'Kennzahlenbogen_(KB)'!$Q47*100))</f>
        <v>n.d.</v>
      </c>
      <c r="E23" s="267">
        <f>Berechnung1!N62</f>
        <v>1</v>
      </c>
      <c r="F23" s="260" t="str">
        <f>IF('Kennzahlenbogen_(KB)'!S45 = "", "", 'Kennzahlenbogen_(KB)'!S45)</f>
        <v/>
      </c>
      <c r="G23" s="260" t="str">
        <f>IF('Kennzahlenbogen_(KB)'!T45 = "", "", 'Kennzahlenbogen_(KB)'!T45)</f>
        <v/>
      </c>
      <c r="H23" s="267">
        <f>Berechnung1!O62</f>
        <v>0</v>
      </c>
      <c r="I23" s="262"/>
      <c r="J23" s="269"/>
      <c r="K23" s="269"/>
    </row>
    <row r="24" spans="1:11" s="259" customFormat="1" ht="27.95" customHeight="1" x14ac:dyDescent="0.25">
      <c r="A24" s="483">
        <v>6</v>
      </c>
      <c r="B24" s="268" t="str">
        <f>IF('Kennzahlenbogen_(KB)'!$Q48= "", "", 'Kennzahlenbogen_(KB)'!$Q48)</f>
        <v/>
      </c>
      <c r="C24" s="268">
        <f>IF('Kennzahlenbogen_(KB)'!$Q49= "", "", 'Kennzahlenbogen_(KB)'!$Q49)</f>
        <v>0</v>
      </c>
      <c r="D24" s="409" t="str">
        <f>IF('Kennzahlenbogen_(KB)'!$Q50 ="n.d.","n.d.",'Kennzahlenbogen_(KB)'!$Q50*100)</f>
        <v>n.d.</v>
      </c>
      <c r="E24" s="267">
        <f>Berechnung1!N65</f>
        <v>1</v>
      </c>
      <c r="F24" s="260" t="str">
        <f>IF('Kennzahlenbogen_(KB)'!S48= "", "", 'Kennzahlenbogen_(KB)'!S48)</f>
        <v/>
      </c>
      <c r="G24" s="260" t="str">
        <f>IF('Kennzahlenbogen_(KB)'!T48= "", "", 'Kennzahlenbogen_(KB)'!T48)</f>
        <v/>
      </c>
      <c r="H24" s="267">
        <f>Berechnung1!O65</f>
        <v>0</v>
      </c>
      <c r="I24" s="262"/>
      <c r="J24" s="269"/>
      <c r="K24" s="269"/>
    </row>
    <row r="25" spans="1:11" s="259" customFormat="1" ht="27.95" customHeight="1" x14ac:dyDescent="0.25">
      <c r="A25" s="483">
        <v>7</v>
      </c>
      <c r="B25" s="268" t="str">
        <f>IF('Kennzahlenbogen_(KB)'!$Q51= "", "", 'Kennzahlenbogen_(KB)'!$Q51)</f>
        <v/>
      </c>
      <c r="C25" s="268">
        <f>IF('Kennzahlenbogen_(KB)'!$Q52= "", "", 'Kennzahlenbogen_(KB)'!$Q52)</f>
        <v>0</v>
      </c>
      <c r="D25" s="409" t="str">
        <f>IF('Kennzahlenbogen_(KB)'!$Q53 ="n.d.","n.d.",'Kennzahlenbogen_(KB)'!$Q53*100)</f>
        <v>n.d.</v>
      </c>
      <c r="E25" s="267">
        <f>Berechnung1!N68</f>
        <v>1</v>
      </c>
      <c r="F25" s="260" t="str">
        <f>IF('Kennzahlenbogen_(KB)'!S51= "", "", 'Kennzahlenbogen_(KB)'!S51)</f>
        <v/>
      </c>
      <c r="G25" s="260" t="str">
        <f>IF('Kennzahlenbogen_(KB)'!T51= "", "", 'Kennzahlenbogen_(KB)'!T51)</f>
        <v/>
      </c>
      <c r="H25" s="267">
        <f>Berechnung1!O68</f>
        <v>0</v>
      </c>
      <c r="I25" s="262"/>
      <c r="J25" s="269"/>
      <c r="K25" s="269"/>
    </row>
    <row r="26" spans="1:11" s="259" customFormat="1" ht="27.95" customHeight="1" x14ac:dyDescent="0.25">
      <c r="A26" s="483">
        <v>8</v>
      </c>
      <c r="B26" s="267" t="str">
        <f>IF('Kennzahlenbogen_(KB)'!$Q54= "", "", 'Kennzahlenbogen_(KB)'!$Q54)</f>
        <v/>
      </c>
      <c r="C26" s="267">
        <f>IF('Kennzahlenbogen_(KB)'!$Q55= "", "", 'Kennzahlenbogen_(KB)'!$Q55)</f>
        <v>0</v>
      </c>
      <c r="D26" s="410" t="str">
        <f>IF('Kennzahlenbogen_(KB)'!$Q56 ="n.d.","n.d.",'Kennzahlenbogen_(KB)'!$Q56*100)</f>
        <v>n.d.</v>
      </c>
      <c r="E26" s="267">
        <f>Berechnung1!N71</f>
        <v>1</v>
      </c>
      <c r="F26" s="258" t="str">
        <f>IF('Kennzahlenbogen_(KB)'!S54= "", "", 'Kennzahlenbogen_(KB)'!S54)</f>
        <v/>
      </c>
      <c r="G26" s="258" t="str">
        <f>IF('Kennzahlenbogen_(KB)'!T54= "", "", 'Kennzahlenbogen_(KB)'!T54)</f>
        <v/>
      </c>
      <c r="H26" s="267">
        <f>Berechnung1!O71</f>
        <v>0</v>
      </c>
      <c r="I26" s="262"/>
      <c r="J26" s="269"/>
      <c r="K26" s="269"/>
    </row>
    <row r="27" spans="1:11" s="259" customFormat="1" ht="27.95" customHeight="1" x14ac:dyDescent="0.25">
      <c r="A27" s="483">
        <v>9</v>
      </c>
      <c r="B27" s="267" t="str">
        <f>IF('Kennzahlenbogen_(KB)'!$Q57= 0, "n.d.", 'Kennzahlenbogen_(KB)'!$Q57)</f>
        <v>n.d.</v>
      </c>
      <c r="C27" s="257"/>
      <c r="D27" s="256"/>
      <c r="E27" s="267">
        <f>Berechnung1!N74</f>
        <v>1</v>
      </c>
      <c r="F27" s="255" t="str">
        <f>IF('Kennzahlenbogen_(KB)'!S57= "", "", 'Kennzahlenbogen_(KB)'!S57)</f>
        <v/>
      </c>
      <c r="G27" s="255" t="str">
        <f>IF('Kennzahlenbogen_(KB)'!T57= "", "", 'Kennzahlenbogen_(KB)'!T57)</f>
        <v/>
      </c>
      <c r="H27" s="267">
        <f>Berechnung1!O74</f>
        <v>0</v>
      </c>
      <c r="I27" s="262"/>
      <c r="J27" s="269"/>
      <c r="K27" s="269"/>
    </row>
    <row r="28" spans="1:11" s="259" customFormat="1" ht="27.95" customHeight="1" x14ac:dyDescent="0.25">
      <c r="A28" s="483">
        <v>10</v>
      </c>
      <c r="B28" s="267" t="str">
        <f>IF('Kennzahlenbogen_(KB)'!$Q60= "", "", 'Kennzahlenbogen_(KB)'!$Q60)</f>
        <v/>
      </c>
      <c r="C28" s="267" t="str">
        <f>IF('Kennzahlenbogen_(KB)'!$Q61= "", "", 'Kennzahlenbogen_(KB)'!$Q61)</f>
        <v/>
      </c>
      <c r="D28" s="525" t="str">
        <f>IF('Kennzahlenbogen_(KB)'!$Q62 ="n.d.","n.d.",IF('Kennzahlenbogen_(KB)'!$Q62 ="","n.d.",'Kennzahlenbogen_(KB)'!$Q62*100))</f>
        <v>n.d.</v>
      </c>
      <c r="E28" s="267">
        <f>Berechnung1!N77</f>
        <v>1</v>
      </c>
      <c r="F28" s="255" t="str">
        <f>IF('Kennzahlenbogen_(KB)'!S60= "", "", 'Kennzahlenbogen_(KB)'!S60)</f>
        <v/>
      </c>
      <c r="G28" s="255" t="str">
        <f>IF('Kennzahlenbogen_(KB)'!T60= "", "", 'Kennzahlenbogen_(KB)'!T60)</f>
        <v/>
      </c>
      <c r="H28" s="267">
        <f>Berechnung1!O77</f>
        <v>0</v>
      </c>
      <c r="I28" s="262"/>
      <c r="J28" s="269"/>
      <c r="K28" s="269"/>
    </row>
    <row r="29" spans="1:11" s="259" customFormat="1" ht="27.95" customHeight="1" x14ac:dyDescent="0.25">
      <c r="A29" s="483">
        <v>11</v>
      </c>
      <c r="B29" s="267">
        <f>IF('Kennzahlenbogen_(KB)'!$Q63="", "", 'Kennzahlenbogen_(KB)'!$Q63)</f>
        <v>0</v>
      </c>
      <c r="C29" s="267">
        <f>IF('Kennzahlenbogen_(KB)'!$Q64= "", "", 'Kennzahlenbogen_(KB)'!$Q64)</f>
        <v>0</v>
      </c>
      <c r="D29" s="410" t="str">
        <f>IF('Kennzahlenbogen_(KB)'!$Q65 ="n.d.","n.d.",'Kennzahlenbogen_(KB)'!$Q65*100)</f>
        <v>n.d.</v>
      </c>
      <c r="E29" s="267">
        <f>Berechnung1!N80</f>
        <v>1</v>
      </c>
      <c r="F29" s="255" t="str">
        <f>IF('Kennzahlenbogen_(KB)'!S63= "", "", 'Kennzahlenbogen_(KB)'!S63)</f>
        <v/>
      </c>
      <c r="G29" s="255" t="str">
        <f>IF('Kennzahlenbogen_(KB)'!T63= "", "", 'Kennzahlenbogen_(KB)'!T63)</f>
        <v/>
      </c>
      <c r="H29" s="267">
        <f>Berechnung1!O80</f>
        <v>0</v>
      </c>
      <c r="I29" s="262"/>
      <c r="J29" s="269"/>
      <c r="K29" s="269"/>
    </row>
    <row r="30" spans="1:11" s="259" customFormat="1" ht="27.95" customHeight="1" x14ac:dyDescent="0.25">
      <c r="A30" s="483">
        <v>12</v>
      </c>
      <c r="B30" s="267" t="str">
        <f>IF('Kennzahlenbogen_(KB)'!$Q66= "", "", 'Kennzahlenbogen_(KB)'!$Q66)</f>
        <v/>
      </c>
      <c r="C30" s="267" t="str">
        <f>IF('Kennzahlenbogen_(KB)'!$Q67= "", "", 'Kennzahlenbogen_(KB)'!$Q67)</f>
        <v/>
      </c>
      <c r="D30" s="525" t="str">
        <f>IF('Kennzahlenbogen_(KB)'!$Q68 ="n.d.","n.d.",IF('Kennzahlenbogen_(KB)'!$Q68 ="","n.d.",'Kennzahlenbogen_(KB)'!$Q68*100))</f>
        <v>n.d.</v>
      </c>
      <c r="E30" s="267">
        <f>Berechnung1!N83</f>
        <v>1</v>
      </c>
      <c r="F30" s="255" t="str">
        <f>IF('Kennzahlenbogen_(KB)'!S66= "", "", 'Kennzahlenbogen_(KB)'!S66)</f>
        <v/>
      </c>
      <c r="G30" s="255" t="str">
        <f>IF('Kennzahlenbogen_(KB)'!T66= "", "", 'Kennzahlenbogen_(KB)'!T66)</f>
        <v/>
      </c>
      <c r="H30" s="267">
        <f>Berechnung1!O83</f>
        <v>0</v>
      </c>
      <c r="I30" s="262"/>
      <c r="J30" s="269"/>
      <c r="K30" s="269"/>
    </row>
    <row r="31" spans="1:11" s="259" customFormat="1" ht="27.95" customHeight="1" x14ac:dyDescent="0.25">
      <c r="A31" s="483">
        <v>13</v>
      </c>
      <c r="B31" s="267">
        <f>IF('Kennzahlenbogen_(KB)'!$Q69= "", "", 'Kennzahlenbogen_(KB)'!$Q69)</f>
        <v>0</v>
      </c>
      <c r="C31" s="267">
        <f>IF('Kennzahlenbogen_(KB)'!$Q70= "", "", 'Kennzahlenbogen_(KB)'!$Q70)</f>
        <v>0</v>
      </c>
      <c r="D31" s="410" t="str">
        <f>IF('Kennzahlenbogen_(KB)'!$Q71 ="n.d.","n.d.",'Kennzahlenbogen_(KB)'!$Q71*100)</f>
        <v>n.d.</v>
      </c>
      <c r="E31" s="267">
        <f>Berechnung1!N86</f>
        <v>1</v>
      </c>
      <c r="F31" s="255" t="str">
        <f>IF('Kennzahlenbogen_(KB)'!S69= "", "", 'Kennzahlenbogen_(KB)'!S69)</f>
        <v/>
      </c>
      <c r="G31" s="255" t="str">
        <f>IF('Kennzahlenbogen_(KB)'!T69= "", "", 'Kennzahlenbogen_(KB)'!T69)</f>
        <v/>
      </c>
      <c r="H31" s="267">
        <f>Berechnung1!O86</f>
        <v>0</v>
      </c>
      <c r="I31" s="262"/>
      <c r="J31" s="269"/>
      <c r="K31" s="269"/>
    </row>
    <row r="32" spans="1:11" ht="27.75" customHeight="1" x14ac:dyDescent="0.25">
      <c r="A32" s="483">
        <v>14</v>
      </c>
      <c r="B32" s="268" t="str">
        <f>IF('Kennzahlenbogen_(KB)'!$Q72= "", "", 'Kennzahlenbogen_(KB)'!$Q72)</f>
        <v/>
      </c>
      <c r="C32" s="268" t="str">
        <f>IF('Kennzahlenbogen_(KB)'!$Q73= "", "", 'Kennzahlenbogen_(KB)'!$Q73)</f>
        <v/>
      </c>
      <c r="D32" s="525" t="str">
        <f>IF('Kennzahlenbogen_(KB)'!$Q74="n.d.","n.d.",IF('Kennzahlenbogen_(KB)'!$Q74="","n.d.",'Kennzahlenbogen_(KB)'!$Q74*100))</f>
        <v>n.d.</v>
      </c>
      <c r="E32" s="268">
        <f>Berechnung1!N89</f>
        <v>1</v>
      </c>
      <c r="F32" s="255" t="str">
        <f>IF('Kennzahlenbogen_(KB)'!S72= "", "", 'Kennzahlenbogen_(KB)'!S72)</f>
        <v/>
      </c>
      <c r="G32" s="255" t="str">
        <f>IF('Kennzahlenbogen_(KB)'!T72= "", "", 'Kennzahlenbogen_(KB)'!T72)</f>
        <v/>
      </c>
      <c r="H32" s="267">
        <f>Berechnung1!O89</f>
        <v>0</v>
      </c>
      <c r="I32" s="262"/>
      <c r="J32" s="269"/>
      <c r="K32" s="269"/>
    </row>
    <row r="33" spans="1:11" ht="27" customHeight="1" x14ac:dyDescent="0.25">
      <c r="A33" s="483">
        <v>15</v>
      </c>
      <c r="B33" s="268" t="str">
        <f>IF('Kennzahlenbogen_(KB)'!$Q75= "", "", 'Kennzahlenbogen_(KB)'!$Q75)</f>
        <v/>
      </c>
      <c r="C33" s="268" t="str">
        <f>IF('Kennzahlenbogen_(KB)'!$Q76= "", "", 'Kennzahlenbogen_(KB)'!$Q76)</f>
        <v/>
      </c>
      <c r="D33" s="525" t="str">
        <f>IF('Kennzahlenbogen_(KB)'!$Q77 ="n.d.","n.d.",IF('Kennzahlenbogen_(KB)'!$Q77 ="","n.d.",'Kennzahlenbogen_(KB)'!$Q77*100))</f>
        <v>n.d.</v>
      </c>
      <c r="E33" s="268">
        <f>Berechnung1!N92</f>
        <v>1</v>
      </c>
      <c r="F33" s="255" t="str">
        <f>IF('Kennzahlenbogen_(KB)'!S75= "", "", 'Kennzahlenbogen_(KB)'!S75)</f>
        <v/>
      </c>
      <c r="G33" s="255" t="str">
        <f>IF('Kennzahlenbogen_(KB)'!T75= "", "", 'Kennzahlenbogen_(KB)'!T75)</f>
        <v/>
      </c>
      <c r="H33" s="267">
        <f>Berechnung1!O92</f>
        <v>0</v>
      </c>
      <c r="I33" s="262"/>
      <c r="J33" s="269"/>
      <c r="K33" s="269"/>
    </row>
    <row r="34" spans="1:11" ht="27" customHeight="1" x14ac:dyDescent="0.25">
      <c r="A34" s="483">
        <v>16</v>
      </c>
      <c r="B34" s="268" t="str">
        <f>IF('Kennzahlenbogen_(KB)'!$Q78= "", "", 'Kennzahlenbogen_(KB)'!$Q78)</f>
        <v/>
      </c>
      <c r="C34" s="268" t="str">
        <f>IF('Kennzahlenbogen_(KB)'!$Q79= "", "", 'Kennzahlenbogen_(KB)'!$Q79)</f>
        <v/>
      </c>
      <c r="D34" s="525" t="str">
        <f>IF('Kennzahlenbogen_(KB)'!$Q80 ="n.d.","n.d.",IF('Kennzahlenbogen_(KB)'!$Q80 ="","n.d.",'Kennzahlenbogen_(KB)'!$Q80*100))</f>
        <v>n.d.</v>
      </c>
      <c r="E34" s="268">
        <f>Berechnung1!N95</f>
        <v>1</v>
      </c>
      <c r="F34" s="255" t="str">
        <f>IF('Kennzahlenbogen_(KB)'!S78= "", "", 'Kennzahlenbogen_(KB)'!S78)</f>
        <v/>
      </c>
      <c r="G34" s="255" t="str">
        <f>IF('Kennzahlenbogen_(KB)'!T78= "", "", 'Kennzahlenbogen_(KB)'!T78)</f>
        <v/>
      </c>
      <c r="H34" s="267">
        <f>Berechnung1!O95</f>
        <v>0</v>
      </c>
      <c r="I34" s="262"/>
      <c r="J34" s="269"/>
      <c r="K34" s="269"/>
    </row>
    <row r="35" spans="1:11" ht="27.75" customHeight="1" x14ac:dyDescent="0.25">
      <c r="A35" s="483">
        <v>18</v>
      </c>
      <c r="B35" s="268" t="str">
        <f>IF('Kennzahlenbogen_(KB)'!$Q84= "", "", 'Kennzahlenbogen_(KB)'!$Q84)</f>
        <v/>
      </c>
      <c r="C35" s="268" t="str">
        <f>IF('Kennzahlenbogen_(KB)'!$Q85= "", "", 'Kennzahlenbogen_(KB)'!$Q85)</f>
        <v/>
      </c>
      <c r="D35" s="525" t="str">
        <f>IF('Kennzahlenbogen_(KB)'!$Q86="n.d.","n.d.",IF('Kennzahlenbogen_(KB)'!$Q86="","n.d.",'Kennzahlenbogen_(KB)'!$Q86*100))</f>
        <v>n.d.</v>
      </c>
      <c r="E35" s="268">
        <f>Berechnung1!N98</f>
        <v>1</v>
      </c>
      <c r="F35" s="255" t="str">
        <f>IF('Kennzahlenbogen_(KB)'!S84= "", "", 'Kennzahlenbogen_(KB)'!S84)</f>
        <v/>
      </c>
      <c r="G35" s="255" t="str">
        <f>IF('Kennzahlenbogen_(KB)'!T84= "", "", 'Kennzahlenbogen_(KB)'!T84)</f>
        <v/>
      </c>
      <c r="H35" s="267">
        <f>Berechnung1!O98</f>
        <v>0</v>
      </c>
      <c r="I35" s="262"/>
      <c r="J35" s="269"/>
      <c r="K35" s="269"/>
    </row>
    <row r="36" spans="1:11" ht="27" customHeight="1" x14ac:dyDescent="0.25">
      <c r="A36" s="483">
        <v>19</v>
      </c>
      <c r="B36" s="268" t="str">
        <f>IF('Kennzahlenbogen_(KB)'!$Q87= "", "", 'Kennzahlenbogen_(KB)'!$Q87)</f>
        <v/>
      </c>
      <c r="C36" s="268" t="str">
        <f>IF('Kennzahlenbogen_(KB)'!$Q88= "", "", 'Kennzahlenbogen_(KB)'!$Q88)</f>
        <v/>
      </c>
      <c r="D36" s="525" t="str">
        <f>IF('Kennzahlenbogen_(KB)'!$Q89="n.d.","n.d.",IF('Kennzahlenbogen_(KB)'!$Q89="","n.d.",'Kennzahlenbogen_(KB)'!$Q89*100))</f>
        <v>n.d.</v>
      </c>
      <c r="E36" s="268">
        <f>Berechnung1!N101</f>
        <v>1</v>
      </c>
      <c r="F36" s="255" t="str">
        <f>IF('Kennzahlenbogen_(KB)'!S87= "", "", 'Kennzahlenbogen_(KB)'!S87)</f>
        <v/>
      </c>
      <c r="G36" s="255" t="str">
        <f>IF('Kennzahlenbogen_(KB)'!T87= "", "", 'Kennzahlenbogen_(KB)'!T87)</f>
        <v/>
      </c>
      <c r="H36" s="267">
        <f>Berechnung1!O101</f>
        <v>0</v>
      </c>
      <c r="I36" s="262"/>
      <c r="J36" s="269"/>
      <c r="K36" s="269"/>
    </row>
    <row r="37" spans="1:11" ht="25.5" customHeight="1" x14ac:dyDescent="0.25">
      <c r="A37" s="483">
        <v>20</v>
      </c>
      <c r="B37" s="268" t="str">
        <f>IF('Kennzahlenbogen_(KB)'!$Q90= "", "", 'Kennzahlenbogen_(KB)'!$Q90)</f>
        <v/>
      </c>
      <c r="C37" s="268" t="str">
        <f>IF('Kennzahlenbogen_(KB)'!$Q91= "", "", 'Kennzahlenbogen_(KB)'!$Q91)</f>
        <v/>
      </c>
      <c r="D37" s="525" t="str">
        <f>IF('Kennzahlenbogen_(KB)'!$Q92="n.d.","n.d.",IF('Kennzahlenbogen_(KB)'!$Q92="","n.d.",'Kennzahlenbogen_(KB)'!$Q92*100))</f>
        <v>n.d.</v>
      </c>
      <c r="E37" s="268">
        <f>Berechnung1!N104</f>
        <v>1</v>
      </c>
      <c r="F37" s="255" t="str">
        <f>IF('Kennzahlenbogen_(KB)'!S90= "", "", 'Kennzahlenbogen_(KB)'!S90)</f>
        <v/>
      </c>
      <c r="G37" s="255" t="str">
        <f>IF('Kennzahlenbogen_(KB)'!T90= "", "", 'Kennzahlenbogen_(KB)'!T90)</f>
        <v/>
      </c>
      <c r="H37" s="267">
        <f>Berechnung1!O104</f>
        <v>0</v>
      </c>
      <c r="I37" s="262"/>
      <c r="J37" s="269"/>
      <c r="K37" s="269"/>
    </row>
    <row r="38" spans="1:11" ht="25.5" customHeight="1" x14ac:dyDescent="0.25">
      <c r="A38" s="483">
        <v>21</v>
      </c>
      <c r="B38" s="268" t="str">
        <f>IF('Kennzahlenbogen_(KB)'!$Q93= "", "", 'Kennzahlenbogen_(KB)'!$Q93)</f>
        <v/>
      </c>
      <c r="C38" s="268" t="str">
        <f>IF('Kennzahlenbogen_(KB)'!$Q94= "", "", 'Kennzahlenbogen_(KB)'!$Q94)</f>
        <v/>
      </c>
      <c r="D38" s="525" t="str">
        <f>IF('Kennzahlenbogen_(KB)'!$Q95="n.d.","n.d.",IF('Kennzahlenbogen_(KB)'!$Q95="","n.d.",'Kennzahlenbogen_(KB)'!$Q95*100))</f>
        <v>n.d.</v>
      </c>
      <c r="E38" s="268">
        <f>Berechnung1!N107</f>
        <v>1</v>
      </c>
      <c r="F38" s="255" t="str">
        <f>IF('Kennzahlenbogen_(KB)'!S93= "", "", 'Kennzahlenbogen_(KB)'!S93)</f>
        <v/>
      </c>
      <c r="G38" s="255" t="str">
        <f>IF('Kennzahlenbogen_(KB)'!T93= "", "", 'Kennzahlenbogen_(KB)'!T93)</f>
        <v/>
      </c>
      <c r="H38" s="267">
        <f>Berechnung1!O107</f>
        <v>0</v>
      </c>
      <c r="I38" s="262"/>
      <c r="J38" s="269"/>
      <c r="K38" s="269"/>
    </row>
    <row r="39" spans="1:11" ht="25.5" customHeight="1" x14ac:dyDescent="0.25">
      <c r="A39" s="483">
        <v>22</v>
      </c>
      <c r="B39" s="268" t="str">
        <f>IF('Kennzahlenbogen_(KB)'!$Q96= "", "", 'Kennzahlenbogen_(KB)'!$Q96)</f>
        <v/>
      </c>
      <c r="C39" s="268" t="str">
        <f>IF('Kennzahlenbogen_(KB)'!$Q97= "", "", 'Kennzahlenbogen_(KB)'!$Q97)</f>
        <v/>
      </c>
      <c r="D39" s="525" t="str">
        <f>IF('Kennzahlenbogen_(KB)'!$Q98="n.d.","n.d.",IF('Kennzahlenbogen_(KB)'!$Q98="","n.d.",'Kennzahlenbogen_(KB)'!$Q98*100))</f>
        <v>n.d.</v>
      </c>
      <c r="E39" s="268">
        <f>Berechnung1!N110</f>
        <v>1</v>
      </c>
      <c r="F39" s="255" t="str">
        <f>IF('Kennzahlenbogen_(KB)'!S96= "", "", 'Kennzahlenbogen_(KB)'!S96)</f>
        <v/>
      </c>
      <c r="G39" s="255" t="str">
        <f>IF('Kennzahlenbogen_(KB)'!T96= "", "", 'Kennzahlenbogen_(KB)'!T96)</f>
        <v/>
      </c>
      <c r="H39" s="267">
        <f>Berechnung1!O110</f>
        <v>0</v>
      </c>
      <c r="I39" s="262"/>
      <c r="J39" s="269"/>
      <c r="K39" s="269"/>
    </row>
  </sheetData>
  <customSheetViews>
    <customSheetView guid="{AD479C9E-06F7-4C03-8179-295428B49475}">
      <selection activeCell="F44" sqref="F44"/>
      <pageMargins left="0.7" right="0.7" top="0.78740157499999996" bottom="0.78740157499999996" header="0.3" footer="0.3"/>
      <pageSetup paperSize="9" orientation="portrait" horizontalDpi="0" verticalDpi="0" r:id="rId1"/>
    </customSheetView>
    <customSheetView guid="{DAA0C1F4-4D8F-4BD8-91F9-40281B589772}" state="hidden">
      <selection activeCell="B35" sqref="B35"/>
      <pageMargins left="0.7" right="0.7" top="0.78740157499999996" bottom="0.78740157499999996" header="0.3" footer="0.3"/>
      <pageSetup paperSize="9" orientation="portrait" horizontalDpi="0" verticalDpi="0" r:id="rId2"/>
    </customSheetView>
  </customSheetViews>
  <phoneticPr fontId="41" type="noConversion"/>
  <pageMargins left="0.7" right="0.7" top="0.78740157499999996" bottom="0.78740157499999996" header="0.3" footer="0.3"/>
  <pageSetup paperSize="9" orientation="portrait" horizontalDpi="0" verticalDpi="0"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2"/>
  <dimension ref="A2:O182"/>
  <sheetViews>
    <sheetView showGridLines="0" topLeftCell="A73" zoomScale="90" zoomScaleNormal="90" workbookViewId="0">
      <selection activeCell="A89" sqref="A89:XFD89"/>
    </sheetView>
  </sheetViews>
  <sheetFormatPr baseColWidth="10" defaultColWidth="11.42578125" defaultRowHeight="15" x14ac:dyDescent="0.25"/>
  <cols>
    <col min="1" max="1" width="14" style="1" customWidth="1"/>
    <col min="2" max="2" width="14.85546875" style="1" customWidth="1"/>
    <col min="3" max="3" width="23" style="1" customWidth="1"/>
    <col min="4" max="4" width="20.42578125" style="1" customWidth="1"/>
    <col min="5" max="5" width="21.85546875" style="1" customWidth="1"/>
    <col min="6" max="6" width="15.42578125" style="1" customWidth="1"/>
    <col min="7" max="7" width="23.28515625" style="1" customWidth="1"/>
    <col min="8" max="8" width="22.42578125" style="1" customWidth="1"/>
    <col min="9" max="9" width="20.28515625" style="1" customWidth="1"/>
    <col min="10" max="10" width="14.5703125" style="1" customWidth="1"/>
    <col min="11" max="11" width="15.42578125" style="1" customWidth="1"/>
    <col min="12" max="12" width="16.28515625" style="1" customWidth="1"/>
    <col min="13" max="16384" width="11.42578125" style="1"/>
  </cols>
  <sheetData>
    <row r="2" spans="1:15" x14ac:dyDescent="0.25">
      <c r="A2" s="2"/>
      <c r="B2" s="2"/>
      <c r="C2" s="39"/>
      <c r="D2" s="2"/>
      <c r="E2" s="2"/>
      <c r="F2" s="2"/>
      <c r="G2" s="2"/>
      <c r="H2" s="2"/>
      <c r="I2" s="2"/>
      <c r="J2" s="2"/>
      <c r="K2" s="2"/>
    </row>
    <row r="3" spans="1:15" s="10" customFormat="1" x14ac:dyDescent="0.25">
      <c r="C3" s="39"/>
      <c r="D3" s="122" t="s">
        <v>83</v>
      </c>
      <c r="M3" s="29"/>
      <c r="N3" s="29"/>
      <c r="O3" s="29"/>
    </row>
    <row r="4" spans="1:15" s="10" customFormat="1" ht="26.25" customHeight="1" x14ac:dyDescent="0.2">
      <c r="A4" s="124" t="s">
        <v>93</v>
      </c>
      <c r="C4" s="121" t="s">
        <v>91</v>
      </c>
      <c r="D4" s="121" t="s">
        <v>92</v>
      </c>
      <c r="E4" s="121" t="s">
        <v>13</v>
      </c>
      <c r="F4" s="121" t="s">
        <v>104</v>
      </c>
      <c r="G4" s="121" t="s">
        <v>102</v>
      </c>
      <c r="H4" s="121" t="s">
        <v>798</v>
      </c>
      <c r="I4" s="121" t="s">
        <v>16</v>
      </c>
      <c r="K4" s="645" t="s">
        <v>799</v>
      </c>
      <c r="M4" s="29"/>
      <c r="N4" s="29"/>
      <c r="O4" s="29"/>
    </row>
    <row r="5" spans="1:15" s="10" customFormat="1" ht="14.25" x14ac:dyDescent="0.2">
      <c r="A5" s="69"/>
      <c r="C5" s="120">
        <f>COUNTIF('Kennzahlenbogen_(KB)'!$R$12:$R$80,C4)+COUNTIF('Kennzahlenbogen_(KB)'!$R$84:$R$98,C4)</f>
        <v>0</v>
      </c>
      <c r="D5" s="120">
        <f>COUNTIF('Kennzahlenbogen_(KB)'!$R$12:$R$80,D4)+COUNTIF('Kennzahlenbogen_(KB)'!$R$84:$R$98,D4)</f>
        <v>0</v>
      </c>
      <c r="E5" s="120">
        <f>COUNTIF('Kennzahlenbogen_(KB)'!$R$12:$R$80,E4)+COUNTIF('Kennzahlenbogen_(KB)'!$R$84:$R$98,E4)</f>
        <v>0</v>
      </c>
      <c r="F5" s="120">
        <f>COUNTIF('Kennzahlenbogen_(KB)'!$R$12:$R$80,F4)+COUNTIF('Kennzahlenbogen_(KB)'!$R$84:$R$98,F4)</f>
        <v>27</v>
      </c>
      <c r="G5" s="120">
        <f>COUNTIF('Kennzahlenbogen_(KB)'!$R$12:$R$80,G4)+COUNTIF('Kennzahlenbogen_(KB)'!$R$84:$R$98,G4)</f>
        <v>0</v>
      </c>
      <c r="H5" s="120">
        <f>COUNTIF('Kennzahlenbogen_(KB)'!$R$12:$R$80,H4)+COUNTIF('Kennzahlenbogen_(KB)'!$R$84:$R$98,H4)</f>
        <v>0</v>
      </c>
      <c r="I5" s="120">
        <f>SUM(C5:H5)</f>
        <v>27</v>
      </c>
      <c r="K5" s="120">
        <f>D5+H5</f>
        <v>0</v>
      </c>
      <c r="M5" s="29"/>
      <c r="N5" s="29"/>
      <c r="O5" s="29"/>
    </row>
    <row r="6" spans="1:15" s="10" customFormat="1" ht="14.25" x14ac:dyDescent="0.2">
      <c r="A6" s="69"/>
      <c r="C6" s="120"/>
      <c r="D6" s="120">
        <f>C5+D5+H5</f>
        <v>0</v>
      </c>
      <c r="E6" s="120">
        <f>E5</f>
        <v>0</v>
      </c>
      <c r="F6" s="120"/>
      <c r="G6" s="120">
        <f>F5+G5</f>
        <v>27</v>
      </c>
      <c r="H6" s="120">
        <f>H5+D5+C5</f>
        <v>0</v>
      </c>
      <c r="I6" s="120">
        <f>SUM(C6:H6)</f>
        <v>27</v>
      </c>
      <c r="K6" s="120"/>
      <c r="M6" s="29"/>
      <c r="N6" s="29"/>
      <c r="O6" s="29"/>
    </row>
    <row r="7" spans="1:15" s="10" customFormat="1" ht="14.25" x14ac:dyDescent="0.2">
      <c r="A7" s="69"/>
      <c r="B7" s="10" t="s">
        <v>552</v>
      </c>
      <c r="C7" s="120"/>
      <c r="D7" s="120"/>
      <c r="E7" s="120">
        <f>D6+E6</f>
        <v>0</v>
      </c>
      <c r="F7" s="120"/>
      <c r="G7" s="120">
        <f>G6</f>
        <v>27</v>
      </c>
      <c r="H7" s="120"/>
      <c r="I7" s="120">
        <f>SUM(C7:H7)</f>
        <v>27</v>
      </c>
      <c r="K7" s="120"/>
      <c r="M7" s="29"/>
      <c r="N7" s="29"/>
      <c r="O7" s="29"/>
    </row>
    <row r="8" spans="1:15" s="10" customFormat="1" ht="14.25" x14ac:dyDescent="0.2">
      <c r="A8" s="69"/>
      <c r="B8" s="620">
        <v>27</v>
      </c>
      <c r="C8" s="514">
        <f t="shared" ref="C8:G8" si="0">ROUND(C5/$B$8,4)</f>
        <v>0</v>
      </c>
      <c r="D8" s="514">
        <f>ROUND(D5/$B$8,4)</f>
        <v>0</v>
      </c>
      <c r="E8" s="514">
        <f t="shared" si="0"/>
        <v>0</v>
      </c>
      <c r="F8" s="514">
        <f>ROUND(F5/$B$8,4)</f>
        <v>1</v>
      </c>
      <c r="G8" s="514">
        <f t="shared" si="0"/>
        <v>0</v>
      </c>
      <c r="H8" s="514">
        <f>ROUND(H5/$B$8,4)</f>
        <v>0</v>
      </c>
      <c r="I8" s="514">
        <f>SUM(C8:H8)</f>
        <v>1</v>
      </c>
      <c r="K8" s="514">
        <f>D8+H8</f>
        <v>0</v>
      </c>
      <c r="M8" s="29"/>
      <c r="N8" s="29"/>
      <c r="O8" s="29"/>
    </row>
    <row r="9" spans="1:15" s="10" customFormat="1" ht="14.25" x14ac:dyDescent="0.2">
      <c r="A9" s="69"/>
      <c r="C9" s="514"/>
      <c r="D9" s="514">
        <f>ROUND((C5+D5+H5)/$B$8,4)</f>
        <v>0</v>
      </c>
      <c r="E9" s="514">
        <f>ROUND(E5/$B$8,4)</f>
        <v>0</v>
      </c>
      <c r="F9" s="514"/>
      <c r="G9" s="514">
        <f>ROUND((F5+G5)/$B$8,4)</f>
        <v>1</v>
      </c>
      <c r="H9" s="514">
        <f>ROUND((H5+D5+C5)/$B$8,4)</f>
        <v>0</v>
      </c>
      <c r="I9" s="514">
        <f>SUM(C9:G9)</f>
        <v>1</v>
      </c>
      <c r="K9" s="514"/>
      <c r="M9" s="29"/>
      <c r="N9" s="29"/>
      <c r="O9" s="29"/>
    </row>
    <row r="10" spans="1:15" s="10" customFormat="1" ht="14.25" x14ac:dyDescent="0.2">
      <c r="A10" s="69"/>
      <c r="C10" s="515"/>
      <c r="D10" s="515"/>
      <c r="E10" s="514">
        <f>ROUND((C5+D5+E5+H5)/$B$8,4)</f>
        <v>0</v>
      </c>
      <c r="F10" s="515"/>
      <c r="G10" s="514">
        <f>G9</f>
        <v>1</v>
      </c>
      <c r="H10" s="514"/>
      <c r="I10" s="514">
        <f>SUM(C10:H10)</f>
        <v>1</v>
      </c>
      <c r="K10" s="120"/>
      <c r="M10" s="29"/>
      <c r="N10" s="29"/>
      <c r="O10" s="29"/>
    </row>
    <row r="11" spans="1:15" s="10" customFormat="1" ht="14.25" x14ac:dyDescent="0.2">
      <c r="A11" s="69"/>
      <c r="E11" s="77"/>
      <c r="G11" s="77"/>
      <c r="H11" s="77"/>
      <c r="I11" s="77"/>
      <c r="M11" s="29"/>
      <c r="N11" s="29"/>
      <c r="O11" s="29"/>
    </row>
    <row r="12" spans="1:15" s="10" customFormat="1" ht="14.25" x14ac:dyDescent="0.2">
      <c r="A12" s="69"/>
      <c r="E12" s="77"/>
      <c r="G12" s="77"/>
      <c r="H12" s="77"/>
      <c r="I12" s="77"/>
      <c r="M12" s="29"/>
      <c r="N12" s="29"/>
      <c r="O12" s="29"/>
    </row>
    <row r="13" spans="1:15" s="10" customFormat="1" ht="14.25" x14ac:dyDescent="0.2">
      <c r="A13" s="69"/>
      <c r="M13" s="29"/>
      <c r="N13" s="29"/>
      <c r="O13" s="29"/>
    </row>
    <row r="14" spans="1:15" s="10" customFormat="1" ht="14.25" x14ac:dyDescent="0.2">
      <c r="A14" s="69"/>
      <c r="M14" s="29"/>
      <c r="N14" s="29"/>
      <c r="O14" s="29"/>
    </row>
    <row r="15" spans="1:15" s="10" customFormat="1" x14ac:dyDescent="0.25">
      <c r="A15" s="69"/>
      <c r="C15" s="39"/>
      <c r="M15" s="29"/>
      <c r="N15" s="29"/>
      <c r="O15" s="29"/>
    </row>
    <row r="16" spans="1:15" s="10" customFormat="1" ht="24" x14ac:dyDescent="0.2">
      <c r="A16" s="124" t="s">
        <v>94</v>
      </c>
      <c r="C16" s="121" t="s">
        <v>95</v>
      </c>
      <c r="D16" s="121" t="s">
        <v>96</v>
      </c>
      <c r="E16" s="121" t="s">
        <v>97</v>
      </c>
      <c r="F16" s="121" t="s">
        <v>98</v>
      </c>
      <c r="G16" s="121" t="s">
        <v>99</v>
      </c>
      <c r="H16" s="121" t="s">
        <v>800</v>
      </c>
      <c r="M16" s="29"/>
      <c r="N16" s="29"/>
      <c r="O16" s="29"/>
    </row>
    <row r="17" spans="1:15" s="10" customFormat="1" ht="14.25" x14ac:dyDescent="0.2">
      <c r="A17" s="69"/>
      <c r="C17" s="50"/>
      <c r="D17" s="50"/>
      <c r="E17" s="50"/>
      <c r="F17" s="50"/>
      <c r="G17" s="50"/>
      <c r="M17" s="29"/>
      <c r="N17" s="29"/>
      <c r="O17" s="29"/>
    </row>
    <row r="18" spans="1:15" s="10" customFormat="1" x14ac:dyDescent="0.2">
      <c r="A18" s="124"/>
      <c r="C18" s="50"/>
      <c r="D18" s="50"/>
      <c r="E18" s="50"/>
      <c r="F18" s="50"/>
      <c r="G18" s="50"/>
      <c r="M18" s="29"/>
      <c r="N18" s="29"/>
      <c r="O18" s="29"/>
    </row>
    <row r="19" spans="1:15" s="10" customFormat="1" x14ac:dyDescent="0.25">
      <c r="A19" s="69"/>
      <c r="C19" s="39"/>
      <c r="D19" s="50"/>
      <c r="E19" s="50"/>
      <c r="F19" s="50"/>
      <c r="G19" s="50"/>
      <c r="M19" s="29"/>
      <c r="N19" s="29"/>
      <c r="O19" s="29"/>
    </row>
    <row r="20" spans="1:15" s="10" customFormat="1" ht="14.25" x14ac:dyDescent="0.2">
      <c r="A20" s="69"/>
      <c r="D20" s="50"/>
      <c r="E20" s="50"/>
      <c r="F20" s="50"/>
      <c r="G20" s="50"/>
      <c r="M20" s="29"/>
      <c r="N20" s="29"/>
      <c r="O20" s="29"/>
    </row>
    <row r="21" spans="1:15" s="10" customFormat="1" ht="14.25" x14ac:dyDescent="0.2">
      <c r="A21" s="69"/>
      <c r="C21" s="50"/>
      <c r="D21" s="50"/>
      <c r="E21" s="50"/>
      <c r="F21" s="50"/>
      <c r="G21" s="50"/>
      <c r="M21" s="29"/>
      <c r="N21" s="29"/>
      <c r="O21" s="29"/>
    </row>
    <row r="22" spans="1:15" x14ac:dyDescent="0.25">
      <c r="A22" s="2"/>
      <c r="B22" s="2"/>
      <c r="C22" s="2"/>
      <c r="D22" s="2"/>
      <c r="E22" s="51"/>
      <c r="F22" s="51"/>
      <c r="G22" s="51"/>
      <c r="H22" s="51"/>
      <c r="I22" s="51"/>
      <c r="J22" s="51"/>
      <c r="K22" s="2"/>
    </row>
    <row r="23" spans="1:15" s="10" customFormat="1" ht="14.25" x14ac:dyDescent="0.2">
      <c r="C23" s="50"/>
      <c r="D23" s="50"/>
      <c r="E23" s="50"/>
      <c r="F23" s="50"/>
      <c r="G23" s="50"/>
      <c r="M23" s="29"/>
      <c r="N23" s="29"/>
      <c r="O23" s="29"/>
    </row>
    <row r="24" spans="1:15" s="10" customFormat="1" ht="14.25" x14ac:dyDescent="0.2">
      <c r="C24" s="50"/>
      <c r="D24" s="50"/>
      <c r="E24" s="50"/>
      <c r="F24" s="50"/>
      <c r="G24" s="50"/>
      <c r="M24" s="29"/>
      <c r="N24" s="29"/>
      <c r="O24" s="29"/>
    </row>
    <row r="25" spans="1:15" s="10" customFormat="1" ht="14.25" x14ac:dyDescent="0.2">
      <c r="C25" s="50"/>
      <c r="D25" s="50"/>
      <c r="E25" s="50"/>
      <c r="F25" s="50"/>
      <c r="G25" s="50"/>
      <c r="M25" s="29"/>
      <c r="N25" s="29"/>
      <c r="O25" s="29"/>
    </row>
    <row r="26" spans="1:15" s="10" customFormat="1" ht="14.25" x14ac:dyDescent="0.2">
      <c r="C26" s="50"/>
      <c r="D26" s="50"/>
      <c r="E26" s="50"/>
      <c r="F26" s="50"/>
      <c r="G26" s="50"/>
      <c r="M26" s="29"/>
      <c r="N26" s="29"/>
      <c r="O26" s="29"/>
    </row>
    <row r="27" spans="1:15" s="6" customFormat="1" x14ac:dyDescent="0.25">
      <c r="A27" s="80" t="s">
        <v>81</v>
      </c>
      <c r="C27" s="100" t="s">
        <v>0</v>
      </c>
      <c r="D27" s="100" t="s">
        <v>105</v>
      </c>
      <c r="E27" s="100" t="s">
        <v>114</v>
      </c>
      <c r="F27" s="100" t="s">
        <v>113</v>
      </c>
      <c r="G27" s="100" t="s">
        <v>111</v>
      </c>
      <c r="H27" s="100" t="s">
        <v>112</v>
      </c>
      <c r="I27" s="100"/>
      <c r="J27" s="100" t="s">
        <v>115</v>
      </c>
      <c r="K27" s="100" t="s">
        <v>116</v>
      </c>
      <c r="L27" s="100" t="s">
        <v>110</v>
      </c>
      <c r="M27" s="20" t="s">
        <v>67</v>
      </c>
      <c r="N27" s="20" t="s">
        <v>66</v>
      </c>
      <c r="O27" s="22" t="s">
        <v>65</v>
      </c>
    </row>
    <row r="28" spans="1:15" s="6" customFormat="1" ht="14.25" x14ac:dyDescent="0.2">
      <c r="A28" s="13"/>
      <c r="B28" s="10"/>
      <c r="C28" s="140"/>
      <c r="D28" s="140"/>
      <c r="E28" s="140"/>
      <c r="F28" s="140"/>
      <c r="G28" s="140"/>
      <c r="H28" s="140"/>
      <c r="I28" s="140"/>
      <c r="J28" s="140"/>
      <c r="K28" s="140"/>
      <c r="L28" s="140"/>
      <c r="M28" s="20"/>
      <c r="N28" s="20"/>
      <c r="O28" s="20"/>
    </row>
    <row r="29" spans="1:15" s="6" customFormat="1" ht="14.25" x14ac:dyDescent="0.2">
      <c r="A29" s="125"/>
      <c r="B29" s="534" t="s">
        <v>8</v>
      </c>
      <c r="C29" s="155" t="s">
        <v>305</v>
      </c>
      <c r="D29" s="154" t="s">
        <v>106</v>
      </c>
      <c r="E29" s="153">
        <v>0</v>
      </c>
      <c r="F29" s="153">
        <v>100000000</v>
      </c>
      <c r="G29" s="153">
        <v>100</v>
      </c>
      <c r="H29" s="153">
        <v>100000000</v>
      </c>
      <c r="I29" s="153"/>
      <c r="J29" s="153">
        <v>-100000000</v>
      </c>
      <c r="K29" s="153">
        <v>1000000</v>
      </c>
      <c r="L29" s="535">
        <f>'Kennzahlenbogen_(KB)'!Q12</f>
        <v>0</v>
      </c>
      <c r="M29" s="154">
        <f>IF('Kennzahlenbogen_(KB)'!R12=Berechnung1!$G$4,1,IF('Kennzahlenbogen_(KB)'!R12=Berechnung1!$F$4,1,IF('Kennzahlenbogen_(KB)'!R12=Berechnung1!$E$4,2,IF('Kennzahlenbogen_(KB)'!R12=Berechnung1!$D$4,3,IF('Kennzahlenbogen_(KB)'!R12=Berechnung1!$C$4,4,"")))))</f>
        <v>1</v>
      </c>
      <c r="N29" s="154">
        <f>IF(M29&gt;1,M29+3,M29)</f>
        <v>1</v>
      </c>
      <c r="O29" s="154">
        <f>IF('Kennzahlenbogen_(KB)'!T12="",0,1)</f>
        <v>0</v>
      </c>
    </row>
    <row r="30" spans="1:15" s="6" customFormat="1" ht="14.25" x14ac:dyDescent="0.2">
      <c r="A30" s="13"/>
      <c r="B30" s="10"/>
      <c r="C30" s="142"/>
      <c r="D30" s="143"/>
      <c r="E30" s="144"/>
      <c r="F30" s="144"/>
      <c r="G30" s="144"/>
      <c r="H30" s="144"/>
      <c r="I30" s="144"/>
      <c r="J30" s="144"/>
      <c r="K30" s="144"/>
      <c r="L30" s="145"/>
      <c r="M30" s="76"/>
      <c r="N30" s="76"/>
      <c r="O30" s="146"/>
    </row>
    <row r="31" spans="1:15" s="6" customFormat="1" ht="14.25" x14ac:dyDescent="0.2">
      <c r="A31" s="13"/>
      <c r="B31" s="10"/>
      <c r="C31" s="142"/>
      <c r="D31" s="143"/>
      <c r="E31" s="144"/>
      <c r="F31" s="144"/>
      <c r="G31" s="144"/>
      <c r="H31" s="144"/>
      <c r="I31" s="144"/>
      <c r="J31" s="144"/>
      <c r="K31" s="144"/>
      <c r="L31" s="145"/>
      <c r="M31" s="76"/>
      <c r="N31" s="76"/>
      <c r="O31" s="146"/>
    </row>
    <row r="32" spans="1:15" s="6" customFormat="1" ht="14.25" x14ac:dyDescent="0.2">
      <c r="A32" s="13"/>
      <c r="B32" s="534" t="s">
        <v>8</v>
      </c>
      <c r="C32" s="151" t="s">
        <v>308</v>
      </c>
      <c r="D32" s="151" t="s">
        <v>106</v>
      </c>
      <c r="E32" s="153">
        <v>0</v>
      </c>
      <c r="F32" s="153">
        <v>100000000</v>
      </c>
      <c r="G32" s="153">
        <v>-100000000</v>
      </c>
      <c r="H32" s="153">
        <v>1000000</v>
      </c>
      <c r="I32" s="153"/>
      <c r="J32" s="153">
        <v>-100000000</v>
      </c>
      <c r="K32" s="153">
        <v>1000000</v>
      </c>
      <c r="L32" s="535">
        <f>'Kennzahlenbogen_(KB)'!Q15</f>
        <v>0</v>
      </c>
      <c r="M32" s="154">
        <f>IF('Kennzahlenbogen_(KB)'!R15=Berechnung1!$G$4,1,IF('Kennzahlenbogen_(KB)'!R15=Berechnung1!$F$4,1,IF('Kennzahlenbogen_(KB)'!R15=Berechnung1!$E$4,2,IF('Kennzahlenbogen_(KB)'!R15=Berechnung1!$D$4,3,IF('Kennzahlenbogen_(KB)'!R15=Berechnung1!$C$4,4,"")))))</f>
        <v>1</v>
      </c>
      <c r="N32" s="154">
        <f>IF(M32&gt;1,M32+3,M32)</f>
        <v>1</v>
      </c>
      <c r="O32" s="154">
        <f>IF('Kennzahlenbogen_(KB)'!T15="",0,1)</f>
        <v>0</v>
      </c>
    </row>
    <row r="33" spans="1:15" s="6" customFormat="1" ht="14.25" x14ac:dyDescent="0.2">
      <c r="A33" s="13"/>
      <c r="B33" s="10"/>
      <c r="C33" s="147"/>
      <c r="D33" s="148"/>
      <c r="E33" s="148"/>
      <c r="F33" s="148"/>
      <c r="G33" s="148"/>
      <c r="H33" s="148"/>
      <c r="I33" s="148"/>
      <c r="J33" s="148"/>
      <c r="K33" s="148"/>
      <c r="L33" s="145"/>
      <c r="M33" s="76" t="str">
        <f>IF('Kennzahlenbogen_(KB)'!R16=Berechnung1!$G$4,1,IF('Kennzahlenbogen_(KB)'!R16=Berechnung1!$F$4,1,IF('Kennzahlenbogen_(KB)'!R16=Berechnung1!$E$4,2,IF('Kennzahlenbogen_(KB)'!R16=Berechnung1!$D$4,3,IF('Kennzahlenbogen_(KB)'!R16=Berechnung1!$C$4,4,"")))))</f>
        <v/>
      </c>
      <c r="N33" s="76"/>
      <c r="O33" s="76"/>
    </row>
    <row r="34" spans="1:15" s="6" customFormat="1" ht="14.25" x14ac:dyDescent="0.2">
      <c r="A34" s="13"/>
      <c r="B34" s="10"/>
      <c r="C34" s="149"/>
      <c r="D34" s="149"/>
      <c r="E34" s="150"/>
      <c r="F34" s="150"/>
      <c r="G34" s="150"/>
      <c r="H34" s="150"/>
      <c r="I34" s="150"/>
      <c r="J34" s="150"/>
      <c r="K34" s="150"/>
      <c r="L34" s="145"/>
      <c r="M34" s="76" t="str">
        <f>IF('Kennzahlenbogen_(KB)'!R17=Berechnung1!$G$4,1,IF('Kennzahlenbogen_(KB)'!R17=Berechnung1!$F$4,1,IF('Kennzahlenbogen_(KB)'!R17=Berechnung1!$E$4,2,IF('Kennzahlenbogen_(KB)'!R17=Berechnung1!$D$4,3,IF('Kennzahlenbogen_(KB)'!R17=Berechnung1!$C$4,4,"")))))</f>
        <v/>
      </c>
      <c r="N34" s="76"/>
      <c r="O34" s="146"/>
    </row>
    <row r="35" spans="1:15" s="6" customFormat="1" ht="14.25" x14ac:dyDescent="0.2">
      <c r="A35" s="13"/>
      <c r="B35" s="534" t="s">
        <v>8</v>
      </c>
      <c r="C35" s="151" t="s">
        <v>309</v>
      </c>
      <c r="D35" s="151" t="s">
        <v>106</v>
      </c>
      <c r="E35" s="153">
        <v>0</v>
      </c>
      <c r="F35" s="153">
        <v>100000000</v>
      </c>
      <c r="G35" s="153">
        <v>-100000000</v>
      </c>
      <c r="H35" s="153">
        <v>1000000</v>
      </c>
      <c r="I35" s="153"/>
      <c r="J35" s="153">
        <v>-100000000</v>
      </c>
      <c r="K35" s="153">
        <v>1000000</v>
      </c>
      <c r="L35" s="535">
        <f>'Kennzahlenbogen_(KB)'!Q18</f>
        <v>0</v>
      </c>
      <c r="M35" s="154">
        <f>IF('Kennzahlenbogen_(KB)'!R18=Berechnung1!$G$4,1,IF('Kennzahlenbogen_(KB)'!R18=Berechnung1!$F$4,1,IF('Kennzahlenbogen_(KB)'!R18=Berechnung1!$E$4,2,IF('Kennzahlenbogen_(KB)'!R18=Berechnung1!$D$4,3,IF('Kennzahlenbogen_(KB)'!R18=Berechnung1!$C$4,4,"")))))</f>
        <v>1</v>
      </c>
      <c r="N35" s="154">
        <f>IF(M35&gt;1,M35+3,M35)</f>
        <v>1</v>
      </c>
      <c r="O35" s="488">
        <f>IF('Kennzahlenbogen_(KB)'!T18="",0,1)</f>
        <v>0</v>
      </c>
    </row>
    <row r="36" spans="1:15" s="6" customFormat="1" ht="14.25" x14ac:dyDescent="0.2">
      <c r="A36" s="13"/>
      <c r="B36" s="10"/>
      <c r="C36" s="149"/>
      <c r="D36" s="149"/>
      <c r="E36" s="150"/>
      <c r="F36" s="150"/>
      <c r="G36" s="150"/>
      <c r="H36" s="150"/>
      <c r="I36" s="150"/>
      <c r="J36" s="150"/>
      <c r="K36" s="150"/>
      <c r="L36" s="145"/>
      <c r="M36" s="76" t="str">
        <f>IF('Kennzahlenbogen_(KB)'!R19=Berechnung1!$G$4,1,IF('Kennzahlenbogen_(KB)'!R19=Berechnung1!$F$4,1,IF('Kennzahlenbogen_(KB)'!R19=Berechnung1!$E$4,2,IF('Kennzahlenbogen_(KB)'!R19=Berechnung1!$D$4,3,IF('Kennzahlenbogen_(KB)'!R19=Berechnung1!$C$4,4,"")))))</f>
        <v/>
      </c>
      <c r="N36" s="76"/>
      <c r="O36" s="146"/>
    </row>
    <row r="37" spans="1:15" s="6" customFormat="1" ht="14.25" x14ac:dyDescent="0.2">
      <c r="A37" s="13"/>
      <c r="B37" s="10"/>
      <c r="C37" s="149"/>
      <c r="D37" s="149"/>
      <c r="E37" s="150"/>
      <c r="F37" s="150"/>
      <c r="G37" s="150"/>
      <c r="H37" s="150"/>
      <c r="I37" s="150"/>
      <c r="J37" s="150"/>
      <c r="K37" s="150"/>
      <c r="L37" s="145"/>
      <c r="M37" s="76" t="str">
        <f>IF('Kennzahlenbogen_(KB)'!R20=Berechnung1!$G$4,1,IF('Kennzahlenbogen_(KB)'!R20=Berechnung1!$F$4,1,IF('Kennzahlenbogen_(KB)'!R20=Berechnung1!$E$4,2,IF('Kennzahlenbogen_(KB)'!R20=Berechnung1!$D$4,3,IF('Kennzahlenbogen_(KB)'!R20=Berechnung1!$C$4,4,"")))))</f>
        <v/>
      </c>
      <c r="N37" s="76"/>
      <c r="O37" s="146"/>
    </row>
    <row r="38" spans="1:15" s="6" customFormat="1" ht="14.25" x14ac:dyDescent="0.2">
      <c r="A38" s="13"/>
      <c r="B38" s="534" t="s">
        <v>8</v>
      </c>
      <c r="C38" s="151" t="s">
        <v>310</v>
      </c>
      <c r="D38" s="151" t="s">
        <v>106</v>
      </c>
      <c r="E38" s="153">
        <v>0</v>
      </c>
      <c r="F38" s="153">
        <v>100000000</v>
      </c>
      <c r="G38" s="153">
        <v>-100000000</v>
      </c>
      <c r="H38" s="153">
        <v>1000000</v>
      </c>
      <c r="I38" s="153"/>
      <c r="J38" s="153">
        <v>-100000000</v>
      </c>
      <c r="K38" s="153">
        <v>1000000</v>
      </c>
      <c r="L38" s="535">
        <f>'Kennzahlenbogen_(KB)'!Q21</f>
        <v>0</v>
      </c>
      <c r="M38" s="154">
        <f>IF('Kennzahlenbogen_(KB)'!R21=Berechnung1!$G$4,1,IF('Kennzahlenbogen_(KB)'!R21=Berechnung1!$F$4,1,IF('Kennzahlenbogen_(KB)'!R21=Berechnung1!$E$4,2,IF('Kennzahlenbogen_(KB)'!R21=Berechnung1!$D$4,3,IF('Kennzahlenbogen_(KB)'!R21=Berechnung1!$C$4,4,"")))))</f>
        <v>1</v>
      </c>
      <c r="N38" s="154">
        <f>IF(M38&gt;1,M38+3,M38)</f>
        <v>1</v>
      </c>
      <c r="O38" s="154">
        <f>IF('Kennzahlenbogen_(KB)'!T21="",0,1)</f>
        <v>0</v>
      </c>
    </row>
    <row r="39" spans="1:15" s="6" customFormat="1" ht="14.25" x14ac:dyDescent="0.2">
      <c r="A39" s="13"/>
      <c r="B39" s="10"/>
      <c r="C39" s="147"/>
      <c r="D39" s="147"/>
      <c r="E39" s="148"/>
      <c r="F39" s="148"/>
      <c r="G39" s="148"/>
      <c r="H39" s="148"/>
      <c r="I39" s="148"/>
      <c r="J39" s="148"/>
      <c r="K39" s="148"/>
      <c r="L39" s="145"/>
      <c r="M39" s="76"/>
      <c r="N39" s="76"/>
      <c r="O39" s="76"/>
    </row>
    <row r="40" spans="1:15" s="6" customFormat="1" ht="14.25" x14ac:dyDescent="0.2">
      <c r="A40" s="13"/>
      <c r="B40" s="10"/>
      <c r="C40" s="147"/>
      <c r="D40" s="147"/>
      <c r="E40" s="148"/>
      <c r="F40" s="148"/>
      <c r="G40" s="148"/>
      <c r="H40" s="148"/>
      <c r="I40" s="148"/>
      <c r="J40" s="148"/>
      <c r="K40" s="148"/>
      <c r="L40" s="145"/>
      <c r="M40" s="76"/>
      <c r="N40" s="76"/>
      <c r="O40" s="76"/>
    </row>
    <row r="41" spans="1:15" s="6" customFormat="1" ht="14.25" x14ac:dyDescent="0.2">
      <c r="A41" s="13"/>
      <c r="B41" s="621" t="s">
        <v>708</v>
      </c>
      <c r="C41" s="537" t="s">
        <v>923</v>
      </c>
      <c r="D41" s="537" t="s">
        <v>106</v>
      </c>
      <c r="E41" s="539">
        <v>0</v>
      </c>
      <c r="F41" s="539">
        <v>100000000</v>
      </c>
      <c r="G41" s="539">
        <v>-100000000</v>
      </c>
      <c r="H41" s="539">
        <v>1000000</v>
      </c>
      <c r="I41" s="539"/>
      <c r="J41" s="539">
        <v>-100000000</v>
      </c>
      <c r="K41" s="539">
        <v>1000000</v>
      </c>
      <c r="L41" s="692">
        <f>'Kennzahlenbogen_(KB)'!Q24</f>
        <v>0</v>
      </c>
      <c r="M41" s="541">
        <f>IF('Kennzahlenbogen_(KB)'!R24=Berechnung1!$H$4,5,IF('Kennzahlenbogen_(KB)'!R24=Berechnung1!$G$4,1,IF('Kennzahlenbogen_(KB)'!R24=Berechnung1!$F$4,1,IF('Kennzahlenbogen_(KB)'!R24=Berechnung1!$E$4,2,IF('Kennzahlenbogen_(KB)'!R24=Berechnung1!$D$4,3,IF('Kennzahlenbogen_(KB)'!R24=Berechnung1!$C$4,4,""))))))</f>
        <v>1</v>
      </c>
      <c r="N41" s="541">
        <f t="shared" ref="N41" si="1">IF(M41&gt;1,M41+3,M41)</f>
        <v>1</v>
      </c>
      <c r="O41" s="541">
        <f>IF('Kennzahlenbogen_(KB)'!T24="",0,1)</f>
        <v>0</v>
      </c>
    </row>
    <row r="42" spans="1:15" s="6" customFormat="1" ht="14.25" x14ac:dyDescent="0.2">
      <c r="A42" s="13"/>
      <c r="B42" s="10"/>
      <c r="C42" s="149"/>
      <c r="D42" s="149"/>
      <c r="E42" s="150"/>
      <c r="F42" s="150"/>
      <c r="G42" s="150"/>
      <c r="H42" s="150"/>
      <c r="I42" s="150"/>
      <c r="J42" s="150"/>
      <c r="K42" s="150"/>
      <c r="L42" s="76"/>
      <c r="M42" s="76"/>
      <c r="N42" s="76"/>
      <c r="O42" s="146"/>
    </row>
    <row r="43" spans="1:15" s="6" customFormat="1" ht="14.25" x14ac:dyDescent="0.2">
      <c r="A43" s="13"/>
      <c r="B43" s="10"/>
      <c r="C43" s="149"/>
      <c r="D43" s="149"/>
      <c r="E43" s="150"/>
      <c r="F43" s="150"/>
      <c r="G43" s="150"/>
      <c r="H43" s="150"/>
      <c r="I43" s="150"/>
      <c r="J43" s="150"/>
      <c r="K43" s="150"/>
      <c r="L43" s="76"/>
      <c r="M43" s="76"/>
      <c r="N43" s="76"/>
      <c r="O43" s="146"/>
    </row>
    <row r="44" spans="1:15" s="6" customFormat="1" ht="14.25" x14ac:dyDescent="0.2">
      <c r="A44" s="13"/>
      <c r="B44" s="621" t="s">
        <v>708</v>
      </c>
      <c r="C44" s="537" t="s">
        <v>307</v>
      </c>
      <c r="D44" s="537" t="s">
        <v>106</v>
      </c>
      <c r="E44" s="538">
        <v>0</v>
      </c>
      <c r="F44" s="538">
        <v>1</v>
      </c>
      <c r="G44" s="538">
        <v>0.95</v>
      </c>
      <c r="H44" s="538">
        <v>10000</v>
      </c>
      <c r="I44" s="539"/>
      <c r="J44" s="540">
        <v>-10000</v>
      </c>
      <c r="K44" s="538">
        <v>10000</v>
      </c>
      <c r="L44" s="538" t="str">
        <f>'Kennzahlenbogen_(KB)'!Q29</f>
        <v>n.d.</v>
      </c>
      <c r="M44" s="541">
        <f>IF('Kennzahlenbogen_(KB)'!R27=Berechnung1!$H$4,5,IF('Kennzahlenbogen_(KB)'!R27=Berechnung1!$G$4,1,IF('Kennzahlenbogen_(KB)'!R27=Berechnung1!$F$4,1,IF('Kennzahlenbogen_(KB)'!R27=Berechnung1!$E$4,2,IF(AND('Kennzahlenbogen_(KB)'!R27=Berechnung1!$D$4,'Kennzahlenbogen_(KB)'!Q27=0,'Kennzahlenbogen_(KB)'!Q28=0),5,IF('Kennzahlenbogen_(KB)'!R27=Berechnung1!$D$4,3,IF('Kennzahlenbogen_(KB)'!R27=Berechnung1!$C$4,4,"")))))))</f>
        <v>1</v>
      </c>
      <c r="N44" s="541">
        <f>IF(M44&gt;1,M44+3,M44)</f>
        <v>1</v>
      </c>
      <c r="O44" s="541">
        <f>IF('Kennzahlenbogen_(KB)'!T27="",0,1)</f>
        <v>0</v>
      </c>
    </row>
    <row r="45" spans="1:15" s="6" customFormat="1" ht="14.25" x14ac:dyDescent="0.2">
      <c r="A45" s="13"/>
      <c r="B45" s="10"/>
      <c r="C45" s="142"/>
      <c r="D45" s="143"/>
      <c r="E45" s="144"/>
      <c r="F45" s="144"/>
      <c r="G45" s="144"/>
      <c r="H45" s="144"/>
      <c r="I45" s="144"/>
      <c r="J45" s="242"/>
      <c r="K45" s="144"/>
      <c r="L45" s="145"/>
      <c r="M45" s="76"/>
      <c r="N45" s="76"/>
      <c r="O45" s="76"/>
    </row>
    <row r="46" spans="1:15" s="6" customFormat="1" ht="14.25" x14ac:dyDescent="0.2">
      <c r="A46" s="13"/>
      <c r="B46" s="10"/>
      <c r="C46" s="142"/>
      <c r="D46" s="143"/>
      <c r="E46" s="144"/>
      <c r="F46" s="144"/>
      <c r="G46" s="144"/>
      <c r="H46" s="144"/>
      <c r="I46" s="144"/>
      <c r="J46" s="242"/>
      <c r="K46" s="144"/>
      <c r="L46" s="145"/>
      <c r="M46" s="76"/>
      <c r="N46" s="76"/>
      <c r="O46" s="76"/>
    </row>
    <row r="47" spans="1:15" s="6" customFormat="1" ht="14.25" x14ac:dyDescent="0.2">
      <c r="A47" s="13"/>
      <c r="B47" s="621" t="s">
        <v>708</v>
      </c>
      <c r="C47" s="542" t="s">
        <v>306</v>
      </c>
      <c r="D47" s="541" t="s">
        <v>106</v>
      </c>
      <c r="E47" s="538">
        <v>0</v>
      </c>
      <c r="F47" s="538">
        <v>1</v>
      </c>
      <c r="G47" s="538">
        <v>0.95</v>
      </c>
      <c r="H47" s="538">
        <v>10000</v>
      </c>
      <c r="I47" s="538"/>
      <c r="J47" s="540">
        <v>-10000</v>
      </c>
      <c r="K47" s="538">
        <v>10000</v>
      </c>
      <c r="L47" s="538" t="str">
        <f>'Kennzahlenbogen_(KB)'!Q32</f>
        <v>n.d.</v>
      </c>
      <c r="M47" s="541">
        <f>IF('Kennzahlenbogen_(KB)'!R30=Berechnung1!$H$4,5,IF('Kennzahlenbogen_(KB)'!R30=Berechnung1!$G$4,1,IF('Kennzahlenbogen_(KB)'!R30=Berechnung1!$F$4,1,IF('Kennzahlenbogen_(KB)'!R30=Berechnung1!$E$4,2,IF(AND('Kennzahlenbogen_(KB)'!R30=Berechnung1!$D$4,'Kennzahlenbogen_(KB)'!Q30=0,'Kennzahlenbogen_(KB)'!Q31=0),5,IF('Kennzahlenbogen_(KB)'!R30=Berechnung1!$D$4,3,IF('Kennzahlenbogen_(KB)'!R30=Berechnung1!$C$4,4,"")))))))</f>
        <v>1</v>
      </c>
      <c r="N47" s="541">
        <f>IF(M47&gt;1,M47+3,M47)</f>
        <v>1</v>
      </c>
      <c r="O47" s="541">
        <f>IF('Kennzahlenbogen_(KB)'!T30="",0,1)</f>
        <v>0</v>
      </c>
    </row>
    <row r="48" spans="1:15" s="6" customFormat="1" ht="14.25" x14ac:dyDescent="0.2">
      <c r="A48" s="13"/>
      <c r="B48" s="10"/>
      <c r="C48" s="142"/>
      <c r="D48" s="143"/>
      <c r="E48" s="144"/>
      <c r="F48" s="144"/>
      <c r="G48" s="144"/>
      <c r="H48" s="144"/>
      <c r="I48" s="144"/>
      <c r="J48" s="242"/>
      <c r="K48" s="144"/>
      <c r="L48" s="156"/>
      <c r="M48" s="76"/>
      <c r="N48" s="76"/>
      <c r="O48" s="76"/>
    </row>
    <row r="49" spans="1:15" s="6" customFormat="1" ht="14.25" x14ac:dyDescent="0.2">
      <c r="A49" s="13"/>
      <c r="B49" s="73"/>
      <c r="C49" s="142"/>
      <c r="D49" s="143"/>
      <c r="E49" s="144"/>
      <c r="F49" s="144"/>
      <c r="G49" s="144"/>
      <c r="H49" s="144"/>
      <c r="I49" s="144"/>
      <c r="J49" s="242"/>
      <c r="K49" s="144"/>
      <c r="L49" s="156"/>
      <c r="M49" s="76"/>
      <c r="N49" s="76"/>
      <c r="O49" s="76"/>
    </row>
    <row r="50" spans="1:15" s="6" customFormat="1" ht="14.25" x14ac:dyDescent="0.2">
      <c r="A50" s="13"/>
      <c r="B50" s="621" t="s">
        <v>708</v>
      </c>
      <c r="C50" s="542" t="s">
        <v>311</v>
      </c>
      <c r="D50" s="541" t="s">
        <v>106</v>
      </c>
      <c r="E50" s="538">
        <v>0</v>
      </c>
      <c r="F50" s="538">
        <v>1</v>
      </c>
      <c r="G50" s="538">
        <v>1</v>
      </c>
      <c r="H50" s="538">
        <v>10000</v>
      </c>
      <c r="I50" s="538"/>
      <c r="J50" s="540">
        <v>-10000</v>
      </c>
      <c r="K50" s="538">
        <v>10000</v>
      </c>
      <c r="L50" s="538" t="str">
        <f>'Kennzahlenbogen_(KB)'!Q35</f>
        <v>n.d.</v>
      </c>
      <c r="M50" s="541">
        <f>IF('Kennzahlenbogen_(KB)'!R33=Berechnung1!$H$4,5,IF('Kennzahlenbogen_(KB)'!R33=Berechnung1!$G$4,1,IF('Kennzahlenbogen_(KB)'!R33=Berechnung1!$F$4,1,IF('Kennzahlenbogen_(KB)'!R33=Berechnung1!$E$4,2,IF(AND('Kennzahlenbogen_(KB)'!R33=Berechnung1!$D$4,'Kennzahlenbogen_(KB)'!Q33=0,'Kennzahlenbogen_(KB)'!Q34=0),5,IF('Kennzahlenbogen_(KB)'!R33=Berechnung1!$D$4,3,IF('Kennzahlenbogen_(KB)'!R33=Berechnung1!$C$4,4,"")))))))</f>
        <v>1</v>
      </c>
      <c r="N50" s="541">
        <f>IF(M50&gt;1,M50+3,M50)</f>
        <v>1</v>
      </c>
      <c r="O50" s="541">
        <f>IF('Kennzahlenbogen_(KB)'!T33="",0,1)</f>
        <v>0</v>
      </c>
    </row>
    <row r="51" spans="1:15" s="6" customFormat="1" ht="14.25" x14ac:dyDescent="0.2">
      <c r="A51" s="13"/>
      <c r="C51" s="142"/>
      <c r="D51" s="143"/>
      <c r="E51" s="144"/>
      <c r="F51" s="144"/>
      <c r="G51" s="144"/>
      <c r="H51" s="144"/>
      <c r="I51" s="144"/>
      <c r="J51" s="242"/>
      <c r="K51" s="144"/>
      <c r="L51" s="156"/>
      <c r="M51" s="76"/>
      <c r="N51" s="76"/>
      <c r="O51" s="76"/>
    </row>
    <row r="52" spans="1:15" s="6" customFormat="1" ht="14.25" x14ac:dyDescent="0.2">
      <c r="A52" s="13"/>
      <c r="B52" s="10"/>
      <c r="C52" s="142"/>
      <c r="D52" s="143"/>
      <c r="E52" s="144"/>
      <c r="F52" s="144"/>
      <c r="G52" s="144"/>
      <c r="H52" s="144"/>
      <c r="I52" s="144"/>
      <c r="J52" s="242"/>
      <c r="K52" s="144"/>
      <c r="L52" s="156"/>
      <c r="M52" s="76"/>
      <c r="N52" s="76"/>
      <c r="O52" s="76"/>
    </row>
    <row r="53" spans="1:15" s="6" customFormat="1" ht="14.25" x14ac:dyDescent="0.2">
      <c r="A53" s="13"/>
      <c r="B53" s="621" t="s">
        <v>708</v>
      </c>
      <c r="C53" s="542" t="s">
        <v>312</v>
      </c>
      <c r="D53" s="541" t="s">
        <v>106</v>
      </c>
      <c r="E53" s="538">
        <v>0</v>
      </c>
      <c r="F53" s="538">
        <v>1</v>
      </c>
      <c r="G53" s="538">
        <v>1</v>
      </c>
      <c r="H53" s="538">
        <v>10000</v>
      </c>
      <c r="I53" s="538"/>
      <c r="J53" s="540">
        <v>-10000</v>
      </c>
      <c r="K53" s="538">
        <v>10000</v>
      </c>
      <c r="L53" s="538" t="str">
        <f>'Kennzahlenbogen_(KB)'!Q38</f>
        <v>n.d.</v>
      </c>
      <c r="M53" s="541">
        <f>IF('Kennzahlenbogen_(KB)'!R36=Berechnung1!$H$4,5,IF('Kennzahlenbogen_(KB)'!R36=Berechnung1!$G$4,1,IF('Kennzahlenbogen_(KB)'!R36=Berechnung1!$F$4,1,IF('Kennzahlenbogen_(KB)'!R36=Berechnung1!$E$4,2,IF(AND('Kennzahlenbogen_(KB)'!R36=Berechnung1!$D$4,'Kennzahlenbogen_(KB)'!Q36=0,'Kennzahlenbogen_(KB)'!Q37=0),5,IF('Kennzahlenbogen_(KB)'!R36=Berechnung1!$D$4,3,IF('Kennzahlenbogen_(KB)'!R36=Berechnung1!$C$4,4,"")))))))</f>
        <v>1</v>
      </c>
      <c r="N53" s="541">
        <f>IF(M53&gt;1,M53+3,M53)</f>
        <v>1</v>
      </c>
      <c r="O53" s="541">
        <f>IF('Kennzahlenbogen_(KB)'!T36="",0,1)</f>
        <v>0</v>
      </c>
    </row>
    <row r="54" spans="1:15" s="6" customFormat="1" ht="14.25" x14ac:dyDescent="0.2">
      <c r="A54" s="13"/>
      <c r="B54" s="73"/>
      <c r="C54" s="142"/>
      <c r="D54" s="527"/>
      <c r="E54" s="144"/>
      <c r="F54" s="144"/>
      <c r="G54" s="144"/>
      <c r="H54" s="144"/>
      <c r="I54" s="144"/>
      <c r="J54" s="242"/>
      <c r="K54" s="144"/>
      <c r="L54" s="156"/>
      <c r="M54" s="76"/>
      <c r="N54" s="76"/>
      <c r="O54" s="76"/>
    </row>
    <row r="55" spans="1:15" s="6" customFormat="1" ht="14.25" x14ac:dyDescent="0.2">
      <c r="A55" s="13"/>
      <c r="B55" s="10"/>
      <c r="C55" s="142"/>
      <c r="D55" s="527"/>
      <c r="E55" s="144"/>
      <c r="F55" s="144"/>
      <c r="G55" s="144"/>
      <c r="H55" s="144"/>
      <c r="I55" s="144"/>
      <c r="J55" s="242"/>
      <c r="K55" s="144"/>
      <c r="L55" s="156"/>
      <c r="M55" s="76"/>
      <c r="N55" s="76"/>
      <c r="O55" s="76"/>
    </row>
    <row r="56" spans="1:15" s="6" customFormat="1" ht="14.25" x14ac:dyDescent="0.2">
      <c r="A56" s="13"/>
      <c r="B56" s="621" t="s">
        <v>708</v>
      </c>
      <c r="C56" s="542" t="s">
        <v>703</v>
      </c>
      <c r="D56" s="541" t="s">
        <v>106</v>
      </c>
      <c r="E56" s="538">
        <v>0</v>
      </c>
      <c r="F56" s="538">
        <v>1</v>
      </c>
      <c r="G56" s="538">
        <v>1</v>
      </c>
      <c r="H56" s="538">
        <v>10000</v>
      </c>
      <c r="I56" s="538"/>
      <c r="J56" s="540">
        <v>-10000</v>
      </c>
      <c r="K56" s="538">
        <v>10000</v>
      </c>
      <c r="L56" s="538" t="str">
        <f>'Kennzahlenbogen_(KB)'!Q41</f>
        <v>n.d.</v>
      </c>
      <c r="M56" s="541">
        <f>IF('Kennzahlenbogen_(KB)'!R39=Berechnung1!$H$4,5,IF('Kennzahlenbogen_(KB)'!R39=Berechnung1!$G$4,1,IF('Kennzahlenbogen_(KB)'!R39=Berechnung1!$F$4,1,IF('Kennzahlenbogen_(KB)'!R39=Berechnung1!$E$4,2,IF(AND('Kennzahlenbogen_(KB)'!R39=Berechnung1!$D$4,'Kennzahlenbogen_(KB)'!Q39=0,'Kennzahlenbogen_(KB)'!Q40=0),5,IF('Kennzahlenbogen_(KB)'!R39=Berechnung1!$D$4,3,IF('Kennzahlenbogen_(KB)'!R39=Berechnung1!$C$4,4,"")))))))</f>
        <v>1</v>
      </c>
      <c r="N56" s="541">
        <f>IF(M56&gt;1,M56+3,M56)</f>
        <v>1</v>
      </c>
      <c r="O56" s="541">
        <f>IF('Kennzahlenbogen_(KB)'!T39="",0,1)</f>
        <v>0</v>
      </c>
    </row>
    <row r="57" spans="1:15" s="6" customFormat="1" ht="14.25" x14ac:dyDescent="0.2">
      <c r="A57" s="13"/>
      <c r="B57" s="10"/>
      <c r="C57" s="142"/>
      <c r="D57" s="143"/>
      <c r="E57" s="144"/>
      <c r="F57" s="144"/>
      <c r="G57" s="144"/>
      <c r="H57" s="144"/>
      <c r="I57" s="144"/>
      <c r="J57" s="242"/>
      <c r="K57" s="144"/>
      <c r="L57" s="156"/>
      <c r="M57" s="76"/>
      <c r="N57" s="76"/>
      <c r="O57" s="76"/>
    </row>
    <row r="58" spans="1:15" s="6" customFormat="1" ht="14.25" x14ac:dyDescent="0.2">
      <c r="A58" s="13"/>
      <c r="B58" s="10"/>
      <c r="C58" s="142"/>
      <c r="D58" s="143"/>
      <c r="E58" s="144"/>
      <c r="F58" s="144"/>
      <c r="G58" s="144"/>
      <c r="H58" s="144"/>
      <c r="I58" s="144"/>
      <c r="J58" s="242"/>
      <c r="K58" s="144"/>
      <c r="L58" s="156"/>
      <c r="M58" s="76"/>
      <c r="N58" s="76"/>
      <c r="O58" s="76"/>
    </row>
    <row r="59" spans="1:15" s="6" customFormat="1" ht="14.25" x14ac:dyDescent="0.2">
      <c r="A59" s="13"/>
      <c r="B59" s="10"/>
      <c r="C59" s="151">
        <v>4</v>
      </c>
      <c r="D59" s="154" t="s">
        <v>106</v>
      </c>
      <c r="E59" s="152">
        <v>0</v>
      </c>
      <c r="F59" s="152">
        <v>1</v>
      </c>
      <c r="G59" s="152">
        <v>-10000</v>
      </c>
      <c r="H59" s="152">
        <v>10000</v>
      </c>
      <c r="I59" s="152"/>
      <c r="J59" s="230">
        <v>1E-4</v>
      </c>
      <c r="K59" s="152">
        <v>10000</v>
      </c>
      <c r="L59" s="152" t="str">
        <f>'Kennzahlenbogen_(KB)'!Q44</f>
        <v>n.d.</v>
      </c>
      <c r="M59" s="154">
        <f>IF('Kennzahlenbogen_(KB)'!R42=Berechnung1!$G$4,1,IF('Kennzahlenbogen_(KB)'!R42=Berechnung1!$F$4,1,IF('Kennzahlenbogen_(KB)'!R42=Berechnung1!$E$4,2,IF('Kennzahlenbogen_(KB)'!R42=Berechnung1!$D$4,3,IF('Kennzahlenbogen_(KB)'!R42=Berechnung1!$C$4,4,"")))))</f>
        <v>1</v>
      </c>
      <c r="N59" s="154">
        <f>IF(M59&gt;1,M59+3,M59)</f>
        <v>1</v>
      </c>
      <c r="O59" s="154">
        <f>IF('Kennzahlenbogen_(KB)'!T42="",0,1)</f>
        <v>0</v>
      </c>
    </row>
    <row r="60" spans="1:15" s="6" customFormat="1" ht="14.25" x14ac:dyDescent="0.2">
      <c r="A60" s="13"/>
      <c r="B60" s="10"/>
      <c r="C60" s="142"/>
      <c r="D60" s="143"/>
      <c r="E60" s="144"/>
      <c r="F60" s="144"/>
      <c r="G60" s="144"/>
      <c r="H60" s="144"/>
      <c r="I60" s="144"/>
      <c r="J60" s="242"/>
      <c r="K60" s="144"/>
      <c r="L60" s="156"/>
      <c r="M60" s="76"/>
      <c r="N60" s="76"/>
      <c r="O60" s="76"/>
    </row>
    <row r="61" spans="1:15" s="6" customFormat="1" ht="14.25" x14ac:dyDescent="0.2">
      <c r="A61" s="13"/>
      <c r="B61" s="10"/>
      <c r="C61" s="142"/>
      <c r="D61" s="143"/>
      <c r="E61" s="144"/>
      <c r="F61" s="144"/>
      <c r="G61" s="144"/>
      <c r="H61" s="144"/>
      <c r="I61" s="144"/>
      <c r="J61" s="242"/>
      <c r="K61" s="144"/>
      <c r="L61" s="156"/>
      <c r="M61" s="76"/>
      <c r="N61" s="76"/>
      <c r="O61" s="76"/>
    </row>
    <row r="62" spans="1:15" s="10" customFormat="1" ht="14.25" x14ac:dyDescent="0.2">
      <c r="A62" s="125"/>
      <c r="B62" s="621" t="s">
        <v>708</v>
      </c>
      <c r="C62" s="543">
        <v>5</v>
      </c>
      <c r="D62" s="544" t="s">
        <v>106</v>
      </c>
      <c r="E62" s="545">
        <v>0</v>
      </c>
      <c r="F62" s="545">
        <v>1</v>
      </c>
      <c r="G62" s="545">
        <v>0.7</v>
      </c>
      <c r="H62" s="545">
        <v>10000</v>
      </c>
      <c r="I62" s="545"/>
      <c r="J62" s="546">
        <v>-100000</v>
      </c>
      <c r="K62" s="538">
        <v>10000</v>
      </c>
      <c r="L62" s="538" t="str">
        <f>'Kennzahlenbogen_(KB)'!Q47</f>
        <v>n.d.</v>
      </c>
      <c r="M62" s="541">
        <f>IF('Kennzahlenbogen_(KB)'!R45=Berechnung1!$H$4,5,IF('Kennzahlenbogen_(KB)'!R45=Berechnung1!$G$4,1,IF('Kennzahlenbogen_(KB)'!R45=Berechnung1!$F$4,1,IF('Kennzahlenbogen_(KB)'!R45=Berechnung1!$E$4,2,IF(AND('Kennzahlenbogen_(KB)'!R45=Berechnung1!$D$4,'Kennzahlenbogen_(KB)'!Q45=0,'Kennzahlenbogen_(KB)'!Q46=0),5,IF('Kennzahlenbogen_(KB)'!R45=Berechnung1!$D$4,3,IF('Kennzahlenbogen_(KB)'!R45=Berechnung1!$C$4,4,"")))))))</f>
        <v>1</v>
      </c>
      <c r="N62" s="541">
        <f>IF(M62&gt;1,M62+3,M62)</f>
        <v>1</v>
      </c>
      <c r="O62" s="541">
        <f>IF('Kennzahlenbogen_(KB)'!T45="",0,1)</f>
        <v>0</v>
      </c>
    </row>
    <row r="63" spans="1:15" s="6" customFormat="1" ht="14.25" x14ac:dyDescent="0.2">
      <c r="A63" s="13"/>
      <c r="B63" s="10"/>
      <c r="C63" s="464"/>
      <c r="D63" s="463"/>
      <c r="E63" s="462"/>
      <c r="F63" s="462"/>
      <c r="G63" s="462"/>
      <c r="H63" s="462"/>
      <c r="I63" s="462"/>
      <c r="J63" s="461"/>
      <c r="K63" s="462"/>
      <c r="L63" s="462"/>
      <c r="M63" s="463"/>
      <c r="N63" s="463"/>
      <c r="O63" s="463"/>
    </row>
    <row r="64" spans="1:15" s="6" customFormat="1" ht="14.25" x14ac:dyDescent="0.2">
      <c r="A64" s="13"/>
      <c r="B64" s="10"/>
      <c r="C64" s="464"/>
      <c r="D64" s="463"/>
      <c r="E64" s="462"/>
      <c r="F64" s="462"/>
      <c r="G64" s="462"/>
      <c r="H64" s="462"/>
      <c r="I64" s="462"/>
      <c r="J64" s="461"/>
      <c r="K64" s="462"/>
      <c r="L64" s="462"/>
      <c r="M64" s="463"/>
      <c r="N64" s="463"/>
      <c r="O64" s="463"/>
    </row>
    <row r="65" spans="1:15" s="6" customFormat="1" ht="14.25" x14ac:dyDescent="0.2">
      <c r="A65" s="13"/>
      <c r="B65" s="10"/>
      <c r="C65" s="151">
        <v>6</v>
      </c>
      <c r="D65" s="154" t="s">
        <v>106</v>
      </c>
      <c r="E65" s="152">
        <v>0</v>
      </c>
      <c r="F65" s="152">
        <v>1</v>
      </c>
      <c r="G65" s="152">
        <v>-10000</v>
      </c>
      <c r="H65" s="152">
        <v>10000</v>
      </c>
      <c r="I65" s="152"/>
      <c r="J65" s="230">
        <v>0.04</v>
      </c>
      <c r="K65" s="152">
        <v>0.8</v>
      </c>
      <c r="L65" s="152" t="str">
        <f>'Kennzahlenbogen_(KB)'!Q50</f>
        <v>n.d.</v>
      </c>
      <c r="M65" s="154">
        <f>IF('Kennzahlenbogen_(KB)'!R48=Berechnung1!$G$4,1,IF('Kennzahlenbogen_(KB)'!R48=Berechnung1!$F$4,1,IF('Kennzahlenbogen_(KB)'!R48=Berechnung1!$E$4,2,IF('Kennzahlenbogen_(KB)'!R48=Berechnung1!$D$4,3,IF('Kennzahlenbogen_(KB)'!R48=Berechnung1!$C$4,4,"")))))</f>
        <v>1</v>
      </c>
      <c r="N65" s="154">
        <f>IF(M65&gt;1,M65+3,M65)</f>
        <v>1</v>
      </c>
      <c r="O65" s="154">
        <f>IF('Kennzahlenbogen_(KB)'!T48="",0,1)</f>
        <v>0</v>
      </c>
    </row>
    <row r="66" spans="1:15" s="6" customFormat="1" ht="14.25" x14ac:dyDescent="0.2">
      <c r="A66" s="13"/>
      <c r="B66" s="10"/>
      <c r="C66" s="142"/>
      <c r="D66" s="143"/>
      <c r="E66" s="144"/>
      <c r="F66" s="144"/>
      <c r="G66" s="144"/>
      <c r="H66" s="144"/>
      <c r="I66" s="144"/>
      <c r="J66" s="242"/>
      <c r="K66" s="144"/>
      <c r="L66" s="156"/>
      <c r="M66" s="76"/>
      <c r="N66" s="76"/>
      <c r="O66" s="76"/>
    </row>
    <row r="67" spans="1:15" s="6" customFormat="1" ht="14.25" x14ac:dyDescent="0.2">
      <c r="A67" s="13"/>
      <c r="B67" s="10"/>
      <c r="C67" s="142"/>
      <c r="D67" s="143"/>
      <c r="E67" s="144"/>
      <c r="F67" s="144"/>
      <c r="G67" s="144"/>
      <c r="H67" s="144"/>
      <c r="I67" s="144"/>
      <c r="J67" s="242"/>
      <c r="K67" s="144"/>
      <c r="L67" s="156"/>
      <c r="M67" s="76"/>
      <c r="N67" s="76"/>
      <c r="O67" s="76"/>
    </row>
    <row r="68" spans="1:15" s="6" customFormat="1" ht="14.25" x14ac:dyDescent="0.2">
      <c r="A68" s="13"/>
      <c r="B68" s="10"/>
      <c r="C68" s="151">
        <v>7</v>
      </c>
      <c r="D68" s="154" t="s">
        <v>106</v>
      </c>
      <c r="E68" s="152">
        <v>0</v>
      </c>
      <c r="F68" s="152">
        <v>1</v>
      </c>
      <c r="G68" s="152">
        <v>-10000</v>
      </c>
      <c r="H68" s="152">
        <v>10000</v>
      </c>
      <c r="I68" s="152"/>
      <c r="J68" s="230">
        <v>0.5</v>
      </c>
      <c r="K68" s="152">
        <v>10000</v>
      </c>
      <c r="L68" s="152" t="str">
        <f>'Kennzahlenbogen_(KB)'!Q53</f>
        <v>n.d.</v>
      </c>
      <c r="M68" s="154">
        <f>IF('Kennzahlenbogen_(KB)'!R51=Berechnung1!$G$4,1,IF('Kennzahlenbogen_(KB)'!R51=Berechnung1!$F$4,1,IF('Kennzahlenbogen_(KB)'!R51=Berechnung1!$E$4,2,IF('Kennzahlenbogen_(KB)'!R51=Berechnung1!$D$4,3,IF('Kennzahlenbogen_(KB)'!R51=Berechnung1!$C$4,4,"")))))</f>
        <v>1</v>
      </c>
      <c r="N68" s="154">
        <f>IF(M68&gt;1,M68+3,M68)</f>
        <v>1</v>
      </c>
      <c r="O68" s="154">
        <f>IF('Kennzahlenbogen_(KB)'!T51="",0,1)</f>
        <v>0</v>
      </c>
    </row>
    <row r="69" spans="1:15" s="6" customFormat="1" ht="14.25" x14ac:dyDescent="0.2">
      <c r="A69" s="13"/>
      <c r="B69" s="10"/>
      <c r="C69" s="142"/>
      <c r="D69" s="143"/>
      <c r="E69" s="144"/>
      <c r="F69" s="144"/>
      <c r="G69" s="144"/>
      <c r="H69" s="144"/>
      <c r="I69" s="144"/>
      <c r="J69" s="242"/>
      <c r="K69" s="144"/>
      <c r="L69" s="156"/>
      <c r="M69" s="76"/>
      <c r="N69" s="76"/>
      <c r="O69" s="76"/>
    </row>
    <row r="70" spans="1:15" s="6" customFormat="1" ht="14.25" x14ac:dyDescent="0.2">
      <c r="A70" s="13"/>
      <c r="B70" s="10"/>
      <c r="C70" s="142"/>
      <c r="D70" s="143"/>
      <c r="E70" s="144"/>
      <c r="F70" s="144"/>
      <c r="G70" s="144"/>
      <c r="H70" s="144"/>
      <c r="I70" s="144"/>
      <c r="J70" s="242"/>
      <c r="K70" s="144"/>
      <c r="L70" s="156"/>
      <c r="M70" s="76"/>
      <c r="N70" s="76"/>
      <c r="O70" s="76"/>
    </row>
    <row r="71" spans="1:15" s="6" customFormat="1" ht="14.25" x14ac:dyDescent="0.2">
      <c r="A71" s="13"/>
      <c r="B71" s="10"/>
      <c r="C71" s="151">
        <v>8</v>
      </c>
      <c r="D71" s="154" t="s">
        <v>106</v>
      </c>
      <c r="E71" s="152">
        <v>0</v>
      </c>
      <c r="F71" s="152">
        <v>10</v>
      </c>
      <c r="G71" s="152">
        <v>0.05</v>
      </c>
      <c r="H71" s="152">
        <v>10000</v>
      </c>
      <c r="I71" s="152"/>
      <c r="J71" s="230">
        <v>-10000</v>
      </c>
      <c r="K71" s="152">
        <v>10000</v>
      </c>
      <c r="L71" s="152" t="str">
        <f>'Kennzahlenbogen_(KB)'!Q56</f>
        <v>n.d.</v>
      </c>
      <c r="M71" s="154">
        <f>IF('Kennzahlenbogen_(KB)'!R54=Berechnung1!$G$4,1,IF('Kennzahlenbogen_(KB)'!R54=Berechnung1!$F$4,1,IF('Kennzahlenbogen_(KB)'!R54=Berechnung1!$E$4,2,IF('Kennzahlenbogen_(KB)'!R54=Berechnung1!$D$4,3,IF('Kennzahlenbogen_(KB)'!R54=Berechnung1!$C$4,4,"")))))</f>
        <v>1</v>
      </c>
      <c r="N71" s="154">
        <f>IF(M71&gt;1,M71+3,M71)</f>
        <v>1</v>
      </c>
      <c r="O71" s="154">
        <f>IF('Kennzahlenbogen_(KB)'!T54="",0,1)</f>
        <v>0</v>
      </c>
    </row>
    <row r="72" spans="1:15" s="6" customFormat="1" ht="14.25" x14ac:dyDescent="0.2">
      <c r="A72" s="13"/>
      <c r="B72" s="10"/>
      <c r="C72" s="142"/>
      <c r="D72" s="143"/>
      <c r="E72" s="144"/>
      <c r="F72" s="144"/>
      <c r="G72" s="144"/>
      <c r="H72" s="144"/>
      <c r="I72" s="144"/>
      <c r="J72" s="144"/>
      <c r="K72" s="144"/>
      <c r="L72" s="156"/>
      <c r="M72" s="76"/>
      <c r="N72" s="76"/>
      <c r="O72" s="76"/>
    </row>
    <row r="73" spans="1:15" s="6" customFormat="1" ht="14.25" x14ac:dyDescent="0.2">
      <c r="A73" s="13"/>
      <c r="B73" s="10"/>
      <c r="C73" s="142"/>
      <c r="D73" s="143"/>
      <c r="E73" s="144"/>
      <c r="F73" s="144"/>
      <c r="G73" s="144"/>
      <c r="H73" s="144"/>
      <c r="I73" s="144"/>
      <c r="J73" s="144"/>
      <c r="K73" s="144"/>
      <c r="L73" s="156"/>
      <c r="M73" s="76"/>
      <c r="N73" s="76"/>
      <c r="O73" s="76"/>
    </row>
    <row r="74" spans="1:15" s="6" customFormat="1" ht="14.25" x14ac:dyDescent="0.2">
      <c r="A74" s="13"/>
      <c r="B74" s="534" t="s">
        <v>8</v>
      </c>
      <c r="C74" s="151">
        <v>9</v>
      </c>
      <c r="D74" s="154" t="s">
        <v>106</v>
      </c>
      <c r="E74" s="153">
        <v>0</v>
      </c>
      <c r="F74" s="153">
        <v>100000000</v>
      </c>
      <c r="G74" s="153">
        <v>50</v>
      </c>
      <c r="H74" s="153">
        <v>100000000</v>
      </c>
      <c r="I74" s="152"/>
      <c r="J74" s="153">
        <v>-100000000</v>
      </c>
      <c r="K74" s="153">
        <v>1000000</v>
      </c>
      <c r="L74" s="536">
        <f>'Kennzahlenbogen_(KB)'!Q57</f>
        <v>0</v>
      </c>
      <c r="M74" s="154">
        <f>IF('Kennzahlenbogen_(KB)'!R57=Berechnung1!$G$4,1,IF('Kennzahlenbogen_(KB)'!R57=Berechnung1!$F$4,1,IF('Kennzahlenbogen_(KB)'!R57=Berechnung1!$E$4,2,IF('Kennzahlenbogen_(KB)'!R57=Berechnung1!$D$4,3,IF('Kennzahlenbogen_(KB)'!R57=Berechnung1!$C$4,4,"")))))</f>
        <v>1</v>
      </c>
      <c r="N74" s="154">
        <f>IF(M74&gt;1,M74+3,M74)</f>
        <v>1</v>
      </c>
      <c r="O74" s="154">
        <f>IF('Kennzahlenbogen_(KB)'!T57="",0,1)</f>
        <v>0</v>
      </c>
    </row>
    <row r="75" spans="1:15" s="6" customFormat="1" ht="14.25" x14ac:dyDescent="0.2">
      <c r="A75" s="13"/>
      <c r="B75" s="10"/>
      <c r="C75" s="142"/>
      <c r="D75" s="143"/>
      <c r="E75" s="144"/>
      <c r="F75" s="144"/>
      <c r="G75" s="144"/>
      <c r="H75" s="144"/>
      <c r="I75" s="144"/>
      <c r="J75" s="144"/>
      <c r="K75" s="144"/>
      <c r="L75" s="156"/>
      <c r="M75" s="76"/>
      <c r="N75" s="76"/>
      <c r="O75" s="76"/>
    </row>
    <row r="76" spans="1:15" s="6" customFormat="1" ht="14.25" x14ac:dyDescent="0.2">
      <c r="A76" s="13"/>
      <c r="B76" s="10"/>
      <c r="C76" s="142"/>
      <c r="D76" s="143"/>
      <c r="E76" s="144"/>
      <c r="F76" s="144"/>
      <c r="G76" s="144"/>
      <c r="H76" s="144"/>
      <c r="I76" s="144"/>
      <c r="J76" s="144"/>
      <c r="K76" s="144"/>
      <c r="L76" s="156"/>
      <c r="M76" s="76"/>
      <c r="N76" s="76"/>
      <c r="O76" s="76"/>
    </row>
    <row r="77" spans="1:15" s="6" customFormat="1" ht="14.25" x14ac:dyDescent="0.2">
      <c r="A77" s="13"/>
      <c r="B77" s="621" t="s">
        <v>708</v>
      </c>
      <c r="C77" s="537">
        <v>10</v>
      </c>
      <c r="D77" s="541" t="s">
        <v>106</v>
      </c>
      <c r="E77" s="538">
        <v>0</v>
      </c>
      <c r="F77" s="538">
        <v>1</v>
      </c>
      <c r="G77" s="538">
        <v>-10000</v>
      </c>
      <c r="H77" s="547">
        <v>0.15</v>
      </c>
      <c r="I77" s="538"/>
      <c r="J77" s="540">
        <v>-10000</v>
      </c>
      <c r="K77" s="538">
        <v>10000</v>
      </c>
      <c r="L77" s="538" t="str">
        <f>'Kennzahlenbogen_(KB)'!Q62</f>
        <v>n.d.</v>
      </c>
      <c r="M77" s="541">
        <f>IF('Kennzahlenbogen_(KB)'!R60=Berechnung1!$H$4,5,IF('Kennzahlenbogen_(KB)'!R60=Berechnung1!$G$4,1,IF('Kennzahlenbogen_(KB)'!R60=Berechnung1!$F$4,1,IF('Kennzahlenbogen_(KB)'!R60=Berechnung1!$E$4,2,IF(AND('Kennzahlenbogen_(KB)'!R60=Berechnung1!$D$4,'Kennzahlenbogen_(KB)'!Q60=0,'Kennzahlenbogen_(KB)'!Q61=0),5,IF('Kennzahlenbogen_(KB)'!R60=Berechnung1!$D$4,3,IF('Kennzahlenbogen_(KB)'!R60=Berechnung1!$C$4,4,"")))))))</f>
        <v>1</v>
      </c>
      <c r="N77" s="541">
        <f>IF(M77&gt;1,M77+3,M77)</f>
        <v>1</v>
      </c>
      <c r="O77" s="541">
        <f>IF('Kennzahlenbogen_(KB)'!T60="",0,1)</f>
        <v>0</v>
      </c>
    </row>
    <row r="78" spans="1:15" s="6" customFormat="1" ht="14.25" x14ac:dyDescent="0.2">
      <c r="A78" s="13"/>
      <c r="B78" s="10"/>
      <c r="C78" s="142"/>
      <c r="D78" s="143"/>
      <c r="E78" s="144"/>
      <c r="F78" s="144"/>
      <c r="G78" s="144"/>
      <c r="H78" s="144"/>
      <c r="I78" s="144"/>
      <c r="J78" s="242"/>
      <c r="K78" s="157"/>
      <c r="L78" s="156"/>
      <c r="M78" s="76"/>
      <c r="N78" s="76"/>
      <c r="O78" s="76"/>
    </row>
    <row r="79" spans="1:15" s="6" customFormat="1" ht="14.25" x14ac:dyDescent="0.2">
      <c r="A79" s="13"/>
      <c r="B79" s="10"/>
      <c r="C79" s="142"/>
      <c r="D79" s="143"/>
      <c r="E79" s="144"/>
      <c r="F79" s="144"/>
      <c r="G79" s="144"/>
      <c r="H79" s="144"/>
      <c r="I79" s="144"/>
      <c r="J79" s="242"/>
      <c r="K79" s="157"/>
      <c r="L79" s="156"/>
      <c r="M79" s="76"/>
      <c r="N79" s="76"/>
      <c r="O79" s="76"/>
    </row>
    <row r="80" spans="1:15" s="6" customFormat="1" ht="14.25" x14ac:dyDescent="0.2">
      <c r="A80" s="13"/>
      <c r="B80" s="10"/>
      <c r="C80" s="151">
        <v>11</v>
      </c>
      <c r="D80" s="154" t="s">
        <v>106</v>
      </c>
      <c r="E80" s="152">
        <v>0</v>
      </c>
      <c r="F80" s="152">
        <v>1</v>
      </c>
      <c r="G80" s="152">
        <v>-10000</v>
      </c>
      <c r="H80" s="152">
        <v>10000</v>
      </c>
      <c r="I80" s="152"/>
      <c r="J80" s="230">
        <v>0.1</v>
      </c>
      <c r="K80" s="152">
        <v>0.9</v>
      </c>
      <c r="L80" s="152" t="str">
        <f>'Kennzahlenbogen_(KB)'!Q65</f>
        <v>n.d.</v>
      </c>
      <c r="M80" s="154">
        <f>IF('Kennzahlenbogen_(KB)'!R63=Berechnung1!$G$4,1,IF('Kennzahlenbogen_(KB)'!R63=Berechnung1!$F$4,1,IF('Kennzahlenbogen_(KB)'!R63=Berechnung1!$E$4,2,IF('Kennzahlenbogen_(KB)'!R63=Berechnung1!$D$4,3,IF('Kennzahlenbogen_(KB)'!R63=Berechnung1!$C$4,4,"")))))</f>
        <v>1</v>
      </c>
      <c r="N80" s="154">
        <f>IF(M80&gt;1,M80+3,M80)</f>
        <v>1</v>
      </c>
      <c r="O80" s="154">
        <f>IF('Kennzahlenbogen_(KB)'!T63="",0,1)</f>
        <v>0</v>
      </c>
    </row>
    <row r="81" spans="1:15" s="6" customFormat="1" ht="14.25" x14ac:dyDescent="0.2">
      <c r="A81" s="13"/>
      <c r="B81" s="10"/>
      <c r="C81" s="142"/>
      <c r="D81" s="143"/>
      <c r="E81" s="144"/>
      <c r="F81" s="144"/>
      <c r="G81" s="144"/>
      <c r="H81" s="144"/>
      <c r="I81" s="144"/>
      <c r="J81" s="242"/>
      <c r="K81" s="144"/>
      <c r="L81" s="156"/>
      <c r="M81" s="76" t="str">
        <f>IF('Kennzahlenbogen_(KB)'!R64=Berechnung1!$G$4,1,IF('Kennzahlenbogen_(KB)'!R64=Berechnung1!$F$4,1,IF('Kennzahlenbogen_(KB)'!R64=Berechnung1!$E$4,2,IF('Kennzahlenbogen_(KB)'!R64=Berechnung1!$D$4,3,IF('Kennzahlenbogen_(KB)'!R64=Berechnung1!$C$4,4,"")))))</f>
        <v/>
      </c>
      <c r="N81" s="76"/>
      <c r="O81" s="76"/>
    </row>
    <row r="82" spans="1:15" s="6" customFormat="1" ht="14.25" x14ac:dyDescent="0.2">
      <c r="A82" s="13"/>
      <c r="B82" s="10"/>
      <c r="C82" s="142"/>
      <c r="D82" s="143"/>
      <c r="E82" s="144"/>
      <c r="F82" s="144"/>
      <c r="G82" s="144"/>
      <c r="H82" s="144"/>
      <c r="I82" s="144"/>
      <c r="J82" s="242"/>
      <c r="K82" s="144"/>
      <c r="L82" s="156"/>
      <c r="M82" s="76" t="str">
        <f>IF('Kennzahlenbogen_(KB)'!R65=Berechnung1!$G$4,1,IF('Kennzahlenbogen_(KB)'!R65=Berechnung1!$F$4,1,IF('Kennzahlenbogen_(KB)'!R65=Berechnung1!$E$4,2,IF('Kennzahlenbogen_(KB)'!R65=Berechnung1!$D$4,3,IF('Kennzahlenbogen_(KB)'!R65=Berechnung1!$C$4,4,"")))))</f>
        <v/>
      </c>
      <c r="N82" s="76"/>
      <c r="O82" s="76"/>
    </row>
    <row r="83" spans="1:15" s="6" customFormat="1" ht="14.25" x14ac:dyDescent="0.2">
      <c r="A83" s="13"/>
      <c r="B83" s="621" t="s">
        <v>708</v>
      </c>
      <c r="C83" s="537">
        <v>12</v>
      </c>
      <c r="D83" s="541" t="s">
        <v>106</v>
      </c>
      <c r="E83" s="538">
        <v>0</v>
      </c>
      <c r="F83" s="538">
        <v>1</v>
      </c>
      <c r="G83" s="538">
        <v>0.9</v>
      </c>
      <c r="H83" s="538">
        <v>10000</v>
      </c>
      <c r="I83" s="538"/>
      <c r="J83" s="540">
        <v>-10000</v>
      </c>
      <c r="K83" s="538">
        <v>10000</v>
      </c>
      <c r="L83" s="538" t="str">
        <f>'Kennzahlenbogen_(KB)'!Q68</f>
        <v>n.d.</v>
      </c>
      <c r="M83" s="541">
        <f>IF('Kennzahlenbogen_(KB)'!R66=Berechnung1!$H$4,5,IF('Kennzahlenbogen_(KB)'!R66=Berechnung1!$G$4,1,IF('Kennzahlenbogen_(KB)'!R66=Berechnung1!$F$4,1,IF('Kennzahlenbogen_(KB)'!R66=Berechnung1!$E$4,2,IF(AND('Kennzahlenbogen_(KB)'!R66=Berechnung1!$D$4,'Kennzahlenbogen_(KB)'!Q66=0,'Kennzahlenbogen_(KB)'!Q67=0),5,IF('Kennzahlenbogen_(KB)'!R66=Berechnung1!$D$4,3,IF('Kennzahlenbogen_(KB)'!R66=Berechnung1!$C$4,4,"")))))))</f>
        <v>1</v>
      </c>
      <c r="N83" s="541">
        <f>IF(M83&gt;1,M83+3,M83)</f>
        <v>1</v>
      </c>
      <c r="O83" s="541">
        <f>IF('Kennzahlenbogen_(KB)'!T66="",0,1)</f>
        <v>0</v>
      </c>
    </row>
    <row r="84" spans="1:15" s="6" customFormat="1" ht="14.25" x14ac:dyDescent="0.2">
      <c r="A84" s="13"/>
      <c r="B84" s="10"/>
      <c r="C84" s="142"/>
      <c r="D84" s="143"/>
      <c r="E84" s="144"/>
      <c r="F84" s="144"/>
      <c r="G84" s="144"/>
      <c r="H84" s="144"/>
      <c r="I84" s="144"/>
      <c r="J84" s="242"/>
      <c r="K84" s="144"/>
      <c r="L84" s="156"/>
      <c r="M84" s="76"/>
      <c r="N84" s="76"/>
      <c r="O84" s="76"/>
    </row>
    <row r="85" spans="1:15" s="6" customFormat="1" ht="14.25" x14ac:dyDescent="0.2">
      <c r="A85" s="13"/>
      <c r="B85" s="10"/>
      <c r="C85" s="142"/>
      <c r="D85" s="143"/>
      <c r="E85" s="144"/>
      <c r="F85" s="144"/>
      <c r="G85" s="144"/>
      <c r="H85" s="144"/>
      <c r="I85" s="144"/>
      <c r="J85" s="242"/>
      <c r="K85" s="144"/>
      <c r="L85" s="156"/>
      <c r="M85" s="76"/>
      <c r="N85" s="76"/>
      <c r="O85" s="76"/>
    </row>
    <row r="86" spans="1:15" s="6" customFormat="1" ht="14.25" x14ac:dyDescent="0.2">
      <c r="A86" s="13"/>
      <c r="B86" s="10"/>
      <c r="C86" s="151">
        <v>13</v>
      </c>
      <c r="D86" s="154" t="s">
        <v>106</v>
      </c>
      <c r="E86" s="152">
        <v>0</v>
      </c>
      <c r="F86" s="152">
        <v>1</v>
      </c>
      <c r="G86" s="152">
        <v>-10000</v>
      </c>
      <c r="H86" s="152">
        <v>10000</v>
      </c>
      <c r="I86" s="152"/>
      <c r="J86" s="230">
        <v>-10000</v>
      </c>
      <c r="K86" s="152">
        <v>10000</v>
      </c>
      <c r="L86" s="152" t="str">
        <f>'Kennzahlenbogen_(KB)'!Q71</f>
        <v>n.d.</v>
      </c>
      <c r="M86" s="154">
        <f>IF('Kennzahlenbogen_(KB)'!R69=Berechnung1!$G$4,1,IF('Kennzahlenbogen_(KB)'!R69=Berechnung1!$F$4,1,IF('Kennzahlenbogen_(KB)'!R69=Berechnung1!$E$4,2,IF('Kennzahlenbogen_(KB)'!R69=Berechnung1!$D$4,3,IF('Kennzahlenbogen_(KB)'!R69=Berechnung1!$C$4,4,"")))))</f>
        <v>1</v>
      </c>
      <c r="N86" s="154">
        <f>IF(M86&gt;1,M86+3,M86)</f>
        <v>1</v>
      </c>
      <c r="O86" s="154">
        <f>IF('Kennzahlenbogen_(KB)'!T69="",0,1)</f>
        <v>0</v>
      </c>
    </row>
    <row r="87" spans="1:15" s="6" customFormat="1" ht="14.25" x14ac:dyDescent="0.2">
      <c r="A87" s="13"/>
      <c r="B87" s="10"/>
      <c r="C87" s="142"/>
      <c r="D87" s="143"/>
      <c r="E87" s="144"/>
      <c r="F87" s="144"/>
      <c r="G87" s="144"/>
      <c r="H87" s="144"/>
      <c r="I87" s="144"/>
      <c r="J87" s="144"/>
      <c r="K87" s="144"/>
      <c r="L87" s="143"/>
      <c r="M87" s="76"/>
      <c r="N87" s="76"/>
      <c r="O87" s="146"/>
    </row>
    <row r="88" spans="1:15" s="6" customFormat="1" ht="14.25" x14ac:dyDescent="0.2">
      <c r="A88" s="13"/>
      <c r="B88" s="10"/>
      <c r="C88" s="142"/>
      <c r="D88" s="143"/>
      <c r="E88" s="144"/>
      <c r="F88" s="144"/>
      <c r="G88" s="144"/>
      <c r="H88" s="144"/>
      <c r="I88" s="144"/>
      <c r="J88" s="144"/>
      <c r="K88" s="144"/>
      <c r="L88" s="143"/>
      <c r="M88" s="76"/>
      <c r="N88" s="76"/>
      <c r="O88" s="146"/>
    </row>
    <row r="89" spans="1:15" s="6" customFormat="1" ht="14.25" x14ac:dyDescent="0.2">
      <c r="A89" s="13"/>
      <c r="B89" s="621" t="s">
        <v>708</v>
      </c>
      <c r="C89" s="537">
        <v>14</v>
      </c>
      <c r="D89" s="541" t="s">
        <v>106</v>
      </c>
      <c r="E89" s="538">
        <v>0</v>
      </c>
      <c r="F89" s="538">
        <v>1</v>
      </c>
      <c r="G89" s="538">
        <v>0.8</v>
      </c>
      <c r="H89" s="538">
        <v>10000</v>
      </c>
      <c r="I89" s="538"/>
      <c r="J89" s="540">
        <v>-10000</v>
      </c>
      <c r="K89" s="538">
        <v>10000</v>
      </c>
      <c r="L89" s="538" t="str">
        <f>'Kennzahlenbogen_(KB)'!Q74</f>
        <v>n.d.</v>
      </c>
      <c r="M89" s="541">
        <f>IF('Kennzahlenbogen_(KB)'!R72=Berechnung1!$H$4,5,IF('Kennzahlenbogen_(KB)'!R72=Berechnung1!$G$4,1,IF('Kennzahlenbogen_(KB)'!R72=Berechnung1!$F$4,1,IF('Kennzahlenbogen_(KB)'!R72=Berechnung1!$E$4,2,IF('Kennzahlenbogen_(KB)'!R72=Berechnung1!$D$4,3,IF('Kennzahlenbogen_(KB)'!R72=Berechnung1!$C$4,4,""))))))</f>
        <v>1</v>
      </c>
      <c r="N89" s="541">
        <f>IF(M89&gt;1,M89+3,M89)</f>
        <v>1</v>
      </c>
      <c r="O89" s="541">
        <f>IF('Kennzahlenbogen_(KB)'!T72="",0,1)</f>
        <v>0</v>
      </c>
    </row>
    <row r="90" spans="1:15" s="6" customFormat="1" ht="14.25" x14ac:dyDescent="0.2">
      <c r="A90" s="13"/>
      <c r="B90" s="10"/>
      <c r="C90" s="142"/>
      <c r="D90" s="143"/>
      <c r="E90" s="144"/>
      <c r="F90" s="144"/>
      <c r="G90" s="144"/>
      <c r="H90" s="144"/>
      <c r="I90" s="144"/>
      <c r="J90" s="144"/>
      <c r="K90" s="144"/>
      <c r="L90" s="143"/>
      <c r="M90" s="76"/>
      <c r="N90" s="76"/>
      <c r="O90" s="76"/>
    </row>
    <row r="91" spans="1:15" s="6" customFormat="1" ht="14.25" x14ac:dyDescent="0.2">
      <c r="A91" s="13"/>
      <c r="B91" s="10"/>
      <c r="C91" s="142"/>
      <c r="D91" s="143"/>
      <c r="E91" s="144"/>
      <c r="F91" s="144"/>
      <c r="G91" s="144"/>
      <c r="H91" s="144"/>
      <c r="I91" s="144"/>
      <c r="J91" s="144"/>
      <c r="K91" s="144"/>
      <c r="L91" s="143"/>
      <c r="M91" s="76"/>
      <c r="N91" s="76"/>
      <c r="O91" s="76"/>
    </row>
    <row r="92" spans="1:15" s="6" customFormat="1" ht="14.25" x14ac:dyDescent="0.2">
      <c r="A92" s="13"/>
      <c r="B92" s="621" t="s">
        <v>708</v>
      </c>
      <c r="C92" s="537">
        <v>15</v>
      </c>
      <c r="D92" s="541" t="s">
        <v>106</v>
      </c>
      <c r="E92" s="538">
        <v>0</v>
      </c>
      <c r="F92" s="538">
        <v>1</v>
      </c>
      <c r="G92" s="538">
        <v>0.8</v>
      </c>
      <c r="H92" s="538">
        <v>10000</v>
      </c>
      <c r="I92" s="538"/>
      <c r="J92" s="540">
        <v>-10000</v>
      </c>
      <c r="K92" s="538">
        <v>10000</v>
      </c>
      <c r="L92" s="538" t="str">
        <f>'Kennzahlenbogen_(KB)'!Q77</f>
        <v>n.d.</v>
      </c>
      <c r="M92" s="541">
        <f>IF('Kennzahlenbogen_(KB)'!R75=Berechnung1!$H$4,5,IF('Kennzahlenbogen_(KB)'!R75=Berechnung1!$G$4,1,IF('Kennzahlenbogen_(KB)'!R75=Berechnung1!$F$4,1,IF('Kennzahlenbogen_(KB)'!R75=Berechnung1!$E$4,2,IF(AND('Kennzahlenbogen_(KB)'!R75=Berechnung1!$D$4,'Kennzahlenbogen_(KB)'!Q75=0,'Kennzahlenbogen_(KB)'!Q76=0),5,IF('Kennzahlenbogen_(KB)'!R75=Berechnung1!$D$4,3,IF('Kennzahlenbogen_(KB)'!R75=Berechnung1!$C$4,4,"")))))))</f>
        <v>1</v>
      </c>
      <c r="N92" s="541">
        <f>IF(M92&gt;1,M92+3,M92)</f>
        <v>1</v>
      </c>
      <c r="O92" s="541">
        <f>IF('Kennzahlenbogen_(KB)'!T75="",0,1)</f>
        <v>0</v>
      </c>
    </row>
    <row r="93" spans="1:15" s="6" customFormat="1" ht="14.25" x14ac:dyDescent="0.2">
      <c r="A93" s="13"/>
      <c r="B93" s="10"/>
      <c r="C93" s="142"/>
      <c r="D93" s="143"/>
      <c r="E93" s="144"/>
      <c r="F93" s="144"/>
      <c r="G93" s="144"/>
      <c r="H93" s="144"/>
      <c r="I93" s="144"/>
      <c r="J93" s="144"/>
      <c r="K93" s="144"/>
      <c r="L93" s="143"/>
      <c r="M93" s="76"/>
      <c r="N93" s="76"/>
      <c r="O93" s="76"/>
    </row>
    <row r="94" spans="1:15" s="6" customFormat="1" ht="14.25" x14ac:dyDescent="0.2">
      <c r="A94" s="13"/>
      <c r="B94" s="10"/>
      <c r="C94" s="142"/>
      <c r="D94" s="143"/>
      <c r="E94" s="144"/>
      <c r="F94" s="144"/>
      <c r="G94" s="144"/>
      <c r="H94" s="144"/>
      <c r="I94" s="144"/>
      <c r="J94" s="144"/>
      <c r="K94" s="144"/>
      <c r="L94" s="143"/>
      <c r="M94" s="76"/>
      <c r="N94" s="76"/>
      <c r="O94" s="76"/>
    </row>
    <row r="95" spans="1:15" s="6" customFormat="1" ht="14.25" x14ac:dyDescent="0.2">
      <c r="A95" s="13"/>
      <c r="B95" s="621" t="s">
        <v>708</v>
      </c>
      <c r="C95" s="537">
        <v>16</v>
      </c>
      <c r="D95" s="541" t="s">
        <v>106</v>
      </c>
      <c r="E95" s="538">
        <v>0</v>
      </c>
      <c r="F95" s="538">
        <v>1</v>
      </c>
      <c r="G95" s="538">
        <v>0.7</v>
      </c>
      <c r="H95" s="538">
        <v>10000</v>
      </c>
      <c r="I95" s="538"/>
      <c r="J95" s="540">
        <v>-10000</v>
      </c>
      <c r="K95" s="538">
        <v>10000</v>
      </c>
      <c r="L95" s="538" t="str">
        <f>'Kennzahlenbogen_(KB)'!Q80</f>
        <v>n.d.</v>
      </c>
      <c r="M95" s="541">
        <f>IF('Kennzahlenbogen_(KB)'!R78=Berechnung1!$H$4,5,IF('Kennzahlenbogen_(KB)'!R78=Berechnung1!$G$4,1,IF('Kennzahlenbogen_(KB)'!R78=Berechnung1!$F$4,1,IF('Kennzahlenbogen_(KB)'!R78=Berechnung1!$E$4,2,IF(AND('Kennzahlenbogen_(KB)'!R78=Berechnung1!$D$4,'Kennzahlenbogen_(KB)'!Q78=0,'Kennzahlenbogen_(KB)'!Q79=0),5,IF('Kennzahlenbogen_(KB)'!R78=Berechnung1!$D$4,3,IF('Kennzahlenbogen_(KB)'!R78=Berechnung1!$C$4,4,"")))))))</f>
        <v>1</v>
      </c>
      <c r="N95" s="541">
        <f>IF(M95&gt;1,M95+3,M95)</f>
        <v>1</v>
      </c>
      <c r="O95" s="541">
        <f>IF('Kennzahlenbogen_(KB)'!T78="",0,1)</f>
        <v>0</v>
      </c>
    </row>
    <row r="96" spans="1:15" s="6" customFormat="1" ht="14.25" x14ac:dyDescent="0.2">
      <c r="A96" s="13"/>
      <c r="B96" s="10"/>
      <c r="C96" s="142"/>
      <c r="D96" s="143"/>
      <c r="E96" s="144"/>
      <c r="F96" s="144"/>
      <c r="G96" s="144"/>
      <c r="H96" s="144"/>
      <c r="I96" s="144"/>
      <c r="J96" s="144"/>
      <c r="K96" s="144"/>
      <c r="L96" s="143"/>
      <c r="M96" s="76"/>
      <c r="N96" s="76"/>
      <c r="O96" s="76"/>
    </row>
    <row r="97" spans="1:15" s="6" customFormat="1" ht="14.25" x14ac:dyDescent="0.2">
      <c r="A97" s="13"/>
      <c r="B97" s="10"/>
      <c r="C97" s="142"/>
      <c r="D97" s="143"/>
      <c r="E97" s="144"/>
      <c r="F97" s="144"/>
      <c r="G97" s="144"/>
      <c r="H97" s="144"/>
      <c r="I97" s="144"/>
      <c r="J97" s="144"/>
      <c r="K97" s="144"/>
      <c r="L97" s="143"/>
      <c r="M97" s="76"/>
      <c r="N97" s="76"/>
      <c r="O97" s="76"/>
    </row>
    <row r="98" spans="1:15" s="6" customFormat="1" ht="14.25" x14ac:dyDescent="0.2">
      <c r="A98" s="13"/>
      <c r="B98" s="621" t="s">
        <v>708</v>
      </c>
      <c r="C98" s="537">
        <v>18</v>
      </c>
      <c r="D98" s="541" t="s">
        <v>106</v>
      </c>
      <c r="E98" s="538">
        <v>0</v>
      </c>
      <c r="F98" s="538">
        <v>1</v>
      </c>
      <c r="G98" s="538">
        <v>-10000</v>
      </c>
      <c r="H98" s="538">
        <v>0.15</v>
      </c>
      <c r="I98" s="538"/>
      <c r="J98" s="540">
        <v>-10000</v>
      </c>
      <c r="K98" s="540">
        <v>10000</v>
      </c>
      <c r="L98" s="538" t="str">
        <f>'Kennzahlenbogen_(KB)'!Q86</f>
        <v>n.d.</v>
      </c>
      <c r="M98" s="541">
        <f>IF('Kennzahlenbogen_(KB)'!R84=Berechnung1!$H$4,5,IF('Kennzahlenbogen_(KB)'!R84=Berechnung1!$G$4,1,IF('Kennzahlenbogen_(KB)'!R84=Berechnung1!$F$4,1,IF('Kennzahlenbogen_(KB)'!R84=Berechnung1!$E$4,2,IF(AND('Kennzahlenbogen_(KB)'!R84=Berechnung1!$D$4,'Kennzahlenbogen_(KB)'!Q84=0,'Kennzahlenbogen_(KB)'!Q85=0),5,IF('Kennzahlenbogen_(KB)'!R84=Berechnung1!$D$4,3,IF('Kennzahlenbogen_(KB)'!R84=Berechnung1!$C$4,4,"")))))))</f>
        <v>1</v>
      </c>
      <c r="N98" s="541">
        <f>IF(M98&gt;1,M98+3,M98)</f>
        <v>1</v>
      </c>
      <c r="O98" s="541">
        <f>IF('Kennzahlenbogen_(KB)'!T84="",0,1)</f>
        <v>0</v>
      </c>
    </row>
    <row r="99" spans="1:15" s="6" customFormat="1" ht="14.25" x14ac:dyDescent="0.2">
      <c r="A99" s="13"/>
      <c r="B99" s="10"/>
      <c r="C99" s="142"/>
      <c r="D99" s="143"/>
      <c r="E99" s="144"/>
      <c r="F99" s="144"/>
      <c r="G99" s="144"/>
      <c r="H99" s="144"/>
      <c r="I99" s="144"/>
      <c r="J99" s="144"/>
      <c r="K99" s="144"/>
      <c r="L99" s="143"/>
      <c r="M99" s="76"/>
      <c r="N99" s="76"/>
      <c r="O99" s="146"/>
    </row>
    <row r="100" spans="1:15" s="6" customFormat="1" ht="14.25" x14ac:dyDescent="0.2">
      <c r="A100" s="13"/>
      <c r="B100" s="10"/>
      <c r="C100" s="142"/>
      <c r="D100" s="143"/>
      <c r="E100" s="144"/>
      <c r="F100" s="144"/>
      <c r="G100" s="144"/>
      <c r="H100" s="144"/>
      <c r="I100" s="144"/>
      <c r="J100" s="144"/>
      <c r="K100" s="144"/>
      <c r="L100" s="143"/>
      <c r="M100" s="76"/>
      <c r="N100" s="76"/>
      <c r="O100" s="146"/>
    </row>
    <row r="101" spans="1:15" s="6" customFormat="1" ht="14.25" x14ac:dyDescent="0.2">
      <c r="A101" s="13"/>
      <c r="B101" s="621" t="s">
        <v>708</v>
      </c>
      <c r="C101" s="537">
        <v>19</v>
      </c>
      <c r="D101" s="541" t="s">
        <v>106</v>
      </c>
      <c r="E101" s="538">
        <v>0</v>
      </c>
      <c r="F101" s="538">
        <v>1</v>
      </c>
      <c r="G101" s="538">
        <v>-10000</v>
      </c>
      <c r="H101" s="538">
        <v>0.03</v>
      </c>
      <c r="I101" s="538"/>
      <c r="J101" s="540">
        <v>-10000</v>
      </c>
      <c r="K101" s="538">
        <v>10000</v>
      </c>
      <c r="L101" s="538" t="str">
        <f>'Kennzahlenbogen_(KB)'!Q89</f>
        <v>n.d.</v>
      </c>
      <c r="M101" s="541">
        <f>IF('Kennzahlenbogen_(KB)'!R87=Berechnung1!$H$4,5,IF('Kennzahlenbogen_(KB)'!R87=Berechnung1!$G$4,1,IF('Kennzahlenbogen_(KB)'!R87=Berechnung1!$F$4,1,IF('Kennzahlenbogen_(KB)'!R87=Berechnung1!$E$4,2,IF(AND('Kennzahlenbogen_(KB)'!R87=Berechnung1!$D$4,'Kennzahlenbogen_(KB)'!Q87=0,'Kennzahlenbogen_(KB)'!Q88=0),5,IF('Kennzahlenbogen_(KB)'!R87=Berechnung1!$D$4,3,IF('Kennzahlenbogen_(KB)'!R87=Berechnung1!$C$4,4,"")))))))</f>
        <v>1</v>
      </c>
      <c r="N101" s="541">
        <f>IF(M101&gt;1,M101+3,M101)</f>
        <v>1</v>
      </c>
      <c r="O101" s="541">
        <f>IF('Kennzahlenbogen_(KB)'!T87="",0,1)</f>
        <v>0</v>
      </c>
    </row>
    <row r="102" spans="1:15" s="6" customFormat="1" ht="14.25" x14ac:dyDescent="0.2">
      <c r="A102" s="13"/>
      <c r="B102" s="10"/>
      <c r="C102" s="142"/>
      <c r="D102" s="516"/>
      <c r="E102" s="144"/>
      <c r="F102" s="144"/>
      <c r="G102" s="144"/>
      <c r="H102" s="144"/>
      <c r="I102" s="144"/>
      <c r="J102" s="144"/>
      <c r="K102" s="144"/>
      <c r="L102" s="516"/>
      <c r="M102" s="76"/>
      <c r="N102" s="76"/>
      <c r="O102" s="146"/>
    </row>
    <row r="103" spans="1:15" s="6" customFormat="1" ht="14.25" x14ac:dyDescent="0.2">
      <c r="A103" s="13"/>
      <c r="B103" s="10"/>
      <c r="C103" s="142"/>
      <c r="D103" s="516"/>
      <c r="E103" s="144"/>
      <c r="F103" s="144"/>
      <c r="G103" s="144"/>
      <c r="H103" s="144"/>
      <c r="I103" s="144"/>
      <c r="J103" s="144"/>
      <c r="K103" s="144"/>
      <c r="L103" s="516"/>
      <c r="M103" s="76"/>
      <c r="N103" s="76"/>
      <c r="O103" s="146"/>
    </row>
    <row r="104" spans="1:15" x14ac:dyDescent="0.25">
      <c r="B104" s="621" t="s">
        <v>708</v>
      </c>
      <c r="C104" s="537">
        <v>20</v>
      </c>
      <c r="D104" s="541" t="s">
        <v>106</v>
      </c>
      <c r="E104" s="538">
        <v>0</v>
      </c>
      <c r="F104" s="538">
        <v>1</v>
      </c>
      <c r="G104" s="538">
        <v>0.9</v>
      </c>
      <c r="H104" s="538">
        <v>10000</v>
      </c>
      <c r="I104" s="538"/>
      <c r="J104" s="540">
        <v>-10000</v>
      </c>
      <c r="K104" s="538">
        <v>10000</v>
      </c>
      <c r="L104" s="538" t="str">
        <f>'Kennzahlenbogen_(KB)'!Q92</f>
        <v>n.d.</v>
      </c>
      <c r="M104" s="541">
        <f>IF('Kennzahlenbogen_(KB)'!R90=Berechnung1!$H$4,5,IF('Kennzahlenbogen_(KB)'!R90=Berechnung1!$G$4,1,IF('Kennzahlenbogen_(KB)'!R90=Berechnung1!$F$4,1,IF('Kennzahlenbogen_(KB)'!R90=Berechnung1!$E$4,2,IF(AND('Kennzahlenbogen_(KB)'!R90=Berechnung1!$D$4,'Kennzahlenbogen_(KB)'!Q90=0,'Kennzahlenbogen_(KB)'!Q91=0),5,IF('Kennzahlenbogen_(KB)'!R90=Berechnung1!$D$4,3,IF('Kennzahlenbogen_(KB)'!R90=Berechnung1!$C$4,4,"")))))))</f>
        <v>1</v>
      </c>
      <c r="N104" s="541">
        <f>IF(M104&gt;1,M104+3,M104)</f>
        <v>1</v>
      </c>
      <c r="O104" s="541">
        <f>IF('Kennzahlenbogen_(KB)'!T90="",0,1)</f>
        <v>0</v>
      </c>
    </row>
    <row r="105" spans="1:15" x14ac:dyDescent="0.25">
      <c r="C105" s="142"/>
      <c r="D105" s="527"/>
      <c r="E105" s="144"/>
      <c r="F105" s="144"/>
      <c r="G105" s="144"/>
      <c r="H105" s="144"/>
      <c r="I105" s="144"/>
      <c r="J105" s="144"/>
      <c r="K105" s="144"/>
      <c r="L105" s="527"/>
      <c r="M105" s="76"/>
      <c r="N105" s="76"/>
      <c r="O105" s="76"/>
    </row>
    <row r="106" spans="1:15" x14ac:dyDescent="0.25">
      <c r="C106" s="142"/>
      <c r="D106" s="527"/>
      <c r="E106" s="144"/>
      <c r="F106" s="144"/>
      <c r="G106" s="144"/>
      <c r="H106" s="144"/>
      <c r="I106" s="144"/>
      <c r="J106" s="144"/>
      <c r="K106" s="144"/>
      <c r="L106" s="527"/>
      <c r="M106" s="76"/>
      <c r="N106" s="76"/>
      <c r="O106" s="76"/>
    </row>
    <row r="107" spans="1:15" x14ac:dyDescent="0.25">
      <c r="B107" s="664" t="s">
        <v>708</v>
      </c>
      <c r="C107" s="543">
        <v>21</v>
      </c>
      <c r="D107" s="544" t="s">
        <v>106</v>
      </c>
      <c r="E107" s="545">
        <v>0</v>
      </c>
      <c r="F107" s="545">
        <v>1</v>
      </c>
      <c r="G107" s="545">
        <v>-10000</v>
      </c>
      <c r="H107" s="665">
        <v>1E-3</v>
      </c>
      <c r="I107" s="545"/>
      <c r="J107" s="546">
        <v>-10000</v>
      </c>
      <c r="K107" s="545">
        <v>10000</v>
      </c>
      <c r="L107" s="545" t="str">
        <f>'Kennzahlenbogen_(KB)'!Q95</f>
        <v>n.d.</v>
      </c>
      <c r="M107" s="666">
        <f>IF('Kennzahlenbogen_(KB)'!R93=Berechnung1!$H$4,5,IF('Kennzahlenbogen_(KB)'!R93=Berechnung1!$G$4,1,IF('Kennzahlenbogen_(KB)'!R93=Berechnung1!$F$4,1,IF('Kennzahlenbogen_(KB)'!R93=Berechnung1!$E$4,2,IF(AND('Kennzahlenbogen_(KB)'!R93=Berechnung1!$D$4,'Kennzahlenbogen_(KB)'!Q93=0,'Kennzahlenbogen_(KB)'!Q94=0),5,IF('Kennzahlenbogen_(KB)'!R93=Berechnung1!$D$4,3,IF('Kennzahlenbogen_(KB)'!R93=Berechnung1!$C$4,4,"")))))))</f>
        <v>1</v>
      </c>
      <c r="N107" s="544">
        <f>IF(M107&gt;1,M107+3,M107)</f>
        <v>1</v>
      </c>
      <c r="O107" s="544">
        <f>IF('Kennzahlenbogen_(KB)'!T93="",0,1)</f>
        <v>0</v>
      </c>
    </row>
    <row r="108" spans="1:15" x14ac:dyDescent="0.25">
      <c r="B108" s="52"/>
      <c r="C108" s="646"/>
      <c r="D108" s="647"/>
      <c r="E108" s="647"/>
      <c r="F108" s="647"/>
      <c r="G108" s="647"/>
      <c r="H108" s="647"/>
      <c r="I108" s="647"/>
      <c r="J108" s="647"/>
      <c r="K108" s="647"/>
      <c r="L108" s="647"/>
      <c r="M108" s="647"/>
      <c r="N108" s="76"/>
      <c r="O108" s="76"/>
    </row>
    <row r="109" spans="1:15" x14ac:dyDescent="0.25">
      <c r="C109" s="647"/>
      <c r="D109" s="647"/>
      <c r="E109" s="647"/>
      <c r="F109" s="647"/>
      <c r="G109" s="647"/>
      <c r="H109" s="647"/>
      <c r="I109" s="647"/>
      <c r="J109" s="647"/>
      <c r="K109" s="647"/>
      <c r="L109" s="647"/>
      <c r="M109" s="647"/>
      <c r="N109" s="76"/>
      <c r="O109" s="76"/>
    </row>
    <row r="110" spans="1:15" x14ac:dyDescent="0.25">
      <c r="B110" s="667" t="s">
        <v>708</v>
      </c>
      <c r="C110" s="537">
        <v>22</v>
      </c>
      <c r="D110" s="541" t="s">
        <v>106</v>
      </c>
      <c r="E110" s="538">
        <v>0</v>
      </c>
      <c r="F110" s="538">
        <v>1</v>
      </c>
      <c r="G110" s="538">
        <v>-10000</v>
      </c>
      <c r="H110" s="538">
        <v>1000</v>
      </c>
      <c r="I110" s="538"/>
      <c r="J110" s="540">
        <v>-10000</v>
      </c>
      <c r="K110" s="547">
        <v>1E-3</v>
      </c>
      <c r="L110" s="538" t="str">
        <f>'Kennzahlenbogen_(KB)'!Q98</f>
        <v>n.d.</v>
      </c>
      <c r="M110" s="541">
        <f>IF('Kennzahlenbogen_(KB)'!R96=Berechnung1!$H$16,5,IF('Kennzahlenbogen_(KB)'!R96=Berechnung1!$G$16,1,IF('Kennzahlenbogen_(KB)'!R96=Berechnung1!$F$16,1,IF('Kennzahlenbogen_(KB)'!R96=Berechnung1!$E$16,2,IF(AND('Kennzahlenbogen_(KB)'!R96=Berechnung1!$D$16,'Kennzahlenbogen_(KB)'!Q96=0,'Kennzahlenbogen_(KB)'!Q97=0),5,IF('Kennzahlenbogen_(KB)'!R96=Berechnung1!$D$16,3,IF('Kennzahlenbogen_(KB)'!R96=Berechnung1!$C$16,4,"")))))))</f>
        <v>1</v>
      </c>
      <c r="N110" s="541">
        <f t="shared" ref="N110" si="2">IF(M110&gt;1,M110+3,M110)</f>
        <v>1</v>
      </c>
      <c r="O110" s="541">
        <f>IF('Kennzahlenbogen_(KB)'!T96="",0,1)</f>
        <v>0</v>
      </c>
    </row>
    <row r="146" spans="1:15" x14ac:dyDescent="0.25">
      <c r="A146" s="80" t="s">
        <v>619</v>
      </c>
      <c r="C146" s="647"/>
      <c r="D146" s="647"/>
      <c r="E146" s="647"/>
      <c r="F146" s="647"/>
      <c r="G146" s="647"/>
      <c r="H146" s="648" t="s">
        <v>618</v>
      </c>
      <c r="I146" s="647"/>
      <c r="J146" s="647"/>
      <c r="K146" s="647"/>
      <c r="L146" s="647"/>
      <c r="M146" s="647"/>
      <c r="N146" s="76"/>
      <c r="O146" s="76"/>
    </row>
    <row r="147" spans="1:15" x14ac:dyDescent="0.25">
      <c r="A147" s="123"/>
      <c r="B147" s="53"/>
      <c r="C147" s="649"/>
      <c r="D147" s="647"/>
      <c r="E147" s="647"/>
      <c r="F147" s="647"/>
      <c r="G147" s="647"/>
      <c r="H147" s="647"/>
      <c r="I147" s="647"/>
      <c r="J147" s="647"/>
      <c r="K147" s="647"/>
      <c r="L147" s="647"/>
      <c r="M147" s="647"/>
      <c r="N147" s="76"/>
      <c r="O147" s="76"/>
    </row>
    <row r="148" spans="1:15" x14ac:dyDescent="0.25">
      <c r="A148" s="161" t="s">
        <v>329</v>
      </c>
      <c r="B148" s="160"/>
      <c r="C148" s="650" t="s">
        <v>330</v>
      </c>
      <c r="D148" s="651" t="s">
        <v>133</v>
      </c>
      <c r="E148" s="651"/>
      <c r="F148" s="647"/>
      <c r="G148" s="647"/>
      <c r="H148" s="647" t="s">
        <v>620</v>
      </c>
      <c r="I148" s="647"/>
      <c r="J148" s="647"/>
      <c r="K148" s="647"/>
      <c r="L148" s="647"/>
      <c r="M148" s="647"/>
      <c r="N148" s="76"/>
      <c r="O148" s="76"/>
    </row>
    <row r="149" spans="1:15" x14ac:dyDescent="0.25">
      <c r="A149" s="74" t="s">
        <v>613</v>
      </c>
      <c r="B149" s="467"/>
      <c r="C149" s="652" t="s">
        <v>331</v>
      </c>
      <c r="D149" s="652" t="s">
        <v>332</v>
      </c>
      <c r="E149" s="653"/>
      <c r="F149" s="647"/>
      <c r="G149" s="647"/>
      <c r="H149" s="654"/>
      <c r="I149" s="647"/>
      <c r="J149" s="647"/>
      <c r="K149" s="647"/>
      <c r="L149" s="647"/>
      <c r="M149" s="647"/>
      <c r="N149" s="76"/>
      <c r="O149" s="76"/>
    </row>
    <row r="150" spans="1:15" x14ac:dyDescent="0.25">
      <c r="A150" s="468"/>
      <c r="B150" s="466"/>
      <c r="C150" s="653"/>
      <c r="D150" s="652" t="s">
        <v>333</v>
      </c>
      <c r="E150" s="653"/>
      <c r="F150" s="647"/>
      <c r="G150" s="654"/>
      <c r="H150" s="654" t="s">
        <v>621</v>
      </c>
      <c r="I150" s="647"/>
      <c r="J150" s="647"/>
      <c r="K150" s="647"/>
      <c r="L150" s="647"/>
      <c r="M150" s="647"/>
      <c r="N150" s="76"/>
      <c r="O150" s="76"/>
    </row>
    <row r="151" spans="1:15" x14ac:dyDescent="0.25">
      <c r="A151" s="469"/>
      <c r="B151" s="467"/>
      <c r="C151" s="653"/>
      <c r="D151" s="652" t="s">
        <v>337</v>
      </c>
      <c r="E151" s="653"/>
      <c r="F151" s="647"/>
      <c r="G151" s="654"/>
      <c r="H151" s="654"/>
      <c r="I151" s="647"/>
      <c r="J151" s="647"/>
      <c r="K151" s="647"/>
      <c r="L151" s="647"/>
      <c r="M151" s="647"/>
      <c r="N151" s="76"/>
      <c r="O151" s="76"/>
    </row>
    <row r="152" spans="1:15" x14ac:dyDescent="0.25">
      <c r="A152" s="468"/>
      <c r="B152" s="467"/>
      <c r="C152" s="653"/>
      <c r="D152" s="653"/>
      <c r="E152" s="652"/>
      <c r="F152" s="654"/>
      <c r="G152" s="654"/>
      <c r="H152" s="647" t="s">
        <v>622</v>
      </c>
      <c r="I152" s="647"/>
      <c r="J152" s="647"/>
      <c r="K152" s="647"/>
      <c r="L152" s="647"/>
      <c r="M152" s="647"/>
      <c r="N152" s="76"/>
      <c r="O152" s="76"/>
    </row>
    <row r="153" spans="1:15" x14ac:dyDescent="0.25">
      <c r="A153" s="468" t="s">
        <v>602</v>
      </c>
      <c r="B153" s="467"/>
      <c r="C153" s="652" t="s">
        <v>334</v>
      </c>
      <c r="D153" s="652" t="s">
        <v>335</v>
      </c>
      <c r="E153" s="652"/>
      <c r="F153" s="654"/>
      <c r="G153" s="654"/>
      <c r="H153" s="647"/>
      <c r="I153" s="647"/>
      <c r="J153" s="647"/>
      <c r="K153" s="647"/>
      <c r="L153" s="647"/>
      <c r="M153" s="647"/>
      <c r="N153" s="76"/>
      <c r="O153" s="76"/>
    </row>
    <row r="154" spans="1:15" x14ac:dyDescent="0.25">
      <c r="A154" s="468"/>
      <c r="B154" s="467"/>
      <c r="C154" s="653"/>
      <c r="D154" s="652" t="s">
        <v>336</v>
      </c>
      <c r="E154" s="652"/>
      <c r="F154" s="654"/>
      <c r="G154" s="654"/>
      <c r="H154" s="647" t="s">
        <v>623</v>
      </c>
      <c r="I154" s="647"/>
      <c r="J154" s="647"/>
      <c r="K154" s="647"/>
      <c r="L154" s="647"/>
      <c r="M154" s="647"/>
      <c r="N154" s="76"/>
      <c r="O154" s="76"/>
    </row>
    <row r="155" spans="1:15" x14ac:dyDescent="0.25">
      <c r="A155" s="468"/>
      <c r="B155" s="466"/>
      <c r="C155" s="653"/>
      <c r="D155" s="652" t="s">
        <v>601</v>
      </c>
      <c r="E155" s="652"/>
      <c r="F155" s="654"/>
      <c r="G155" s="654"/>
      <c r="H155" s="647"/>
      <c r="I155" s="647"/>
      <c r="J155" s="647"/>
      <c r="K155" s="647"/>
      <c r="L155" s="647"/>
      <c r="M155" s="647"/>
      <c r="N155" s="76"/>
      <c r="O155" s="76"/>
    </row>
    <row r="156" spans="1:15" x14ac:dyDescent="0.25">
      <c r="A156" s="469"/>
      <c r="B156" s="467"/>
      <c r="C156" s="652"/>
      <c r="D156" s="652"/>
      <c r="E156" s="652"/>
      <c r="F156" s="654"/>
      <c r="G156" s="654"/>
      <c r="H156" s="647" t="s">
        <v>347</v>
      </c>
      <c r="I156" s="647"/>
      <c r="J156" s="647"/>
      <c r="K156" s="647"/>
      <c r="L156" s="647"/>
      <c r="M156" s="647"/>
      <c r="N156" s="76"/>
      <c r="O156" s="76"/>
    </row>
    <row r="157" spans="1:15" x14ac:dyDescent="0.25">
      <c r="A157" s="480">
        <v>5</v>
      </c>
      <c r="B157" s="467"/>
      <c r="C157" s="652" t="s">
        <v>334</v>
      </c>
      <c r="D157" s="652" t="s">
        <v>335</v>
      </c>
      <c r="E157" s="652"/>
      <c r="F157" s="647"/>
      <c r="G157" s="647"/>
      <c r="H157" s="647"/>
      <c r="I157" s="647"/>
      <c r="J157" s="647"/>
      <c r="K157" s="647"/>
      <c r="L157" s="647"/>
      <c r="M157" s="647"/>
      <c r="N157" s="76"/>
      <c r="O157" s="76"/>
    </row>
    <row r="158" spans="1:15" x14ac:dyDescent="0.25">
      <c r="A158" s="467"/>
      <c r="B158" s="467"/>
      <c r="C158" s="653"/>
      <c r="D158" s="652" t="s">
        <v>336</v>
      </c>
      <c r="E158" s="652"/>
      <c r="F158" s="647"/>
      <c r="G158" s="647"/>
      <c r="H158" s="647"/>
      <c r="I158" s="647"/>
      <c r="J158" s="647"/>
      <c r="K158" s="647"/>
      <c r="L158" s="647"/>
      <c r="M158" s="647"/>
      <c r="N158" s="76"/>
      <c r="O158" s="76"/>
    </row>
    <row r="159" spans="1:15" x14ac:dyDescent="0.25">
      <c r="A159" s="467"/>
      <c r="B159" s="467"/>
      <c r="C159" s="653"/>
      <c r="D159" s="653" t="s">
        <v>626</v>
      </c>
      <c r="E159" s="652"/>
      <c r="F159" s="647"/>
      <c r="G159" s="647"/>
      <c r="H159" s="647"/>
      <c r="I159" s="647"/>
      <c r="J159" s="647"/>
      <c r="K159" s="647"/>
      <c r="L159" s="647"/>
      <c r="M159" s="647"/>
      <c r="N159" s="76"/>
      <c r="O159" s="76"/>
    </row>
    <row r="160" spans="1:15" s="221" customFormat="1" x14ac:dyDescent="0.25">
      <c r="A160" s="467"/>
      <c r="B160" s="467"/>
      <c r="C160" s="653"/>
      <c r="D160" s="653"/>
      <c r="E160" s="652"/>
      <c r="F160" s="647"/>
      <c r="G160" s="647"/>
      <c r="H160" s="647"/>
      <c r="I160" s="647"/>
      <c r="J160" s="647"/>
      <c r="K160" s="647"/>
      <c r="L160" s="647"/>
      <c r="M160" s="647"/>
      <c r="N160" s="76"/>
      <c r="O160" s="76"/>
    </row>
    <row r="161" spans="1:15" s="221" customFormat="1" x14ac:dyDescent="0.25">
      <c r="A161" s="480">
        <v>19</v>
      </c>
      <c r="B161" s="467"/>
      <c r="C161" s="653" t="s">
        <v>334</v>
      </c>
      <c r="D161" s="653" t="s">
        <v>335</v>
      </c>
      <c r="E161" s="652"/>
      <c r="F161" s="647"/>
      <c r="G161" s="647"/>
      <c r="H161" s="647"/>
      <c r="I161" s="647"/>
      <c r="J161" s="647"/>
      <c r="K161" s="647"/>
      <c r="L161" s="647"/>
      <c r="M161" s="647"/>
      <c r="N161" s="76"/>
      <c r="O161" s="76"/>
    </row>
    <row r="162" spans="1:15" s="221" customFormat="1" x14ac:dyDescent="0.25">
      <c r="A162" s="467"/>
      <c r="B162" s="467"/>
      <c r="C162" s="653"/>
      <c r="D162" s="653" t="s">
        <v>336</v>
      </c>
      <c r="E162" s="652"/>
      <c r="F162" s="647"/>
      <c r="G162" s="647"/>
      <c r="H162" s="647"/>
      <c r="I162" s="647"/>
      <c r="J162" s="647"/>
      <c r="K162" s="647"/>
      <c r="L162" s="647"/>
      <c r="M162" s="647"/>
      <c r="N162" s="76"/>
      <c r="O162" s="76"/>
    </row>
    <row r="163" spans="1:15" s="221" customFormat="1" x14ac:dyDescent="0.25">
      <c r="A163" s="467"/>
      <c r="B163" s="467"/>
      <c r="C163" s="653"/>
      <c r="D163" s="653" t="s">
        <v>627</v>
      </c>
      <c r="E163" s="652"/>
      <c r="F163" s="647"/>
      <c r="G163" s="647"/>
      <c r="H163" s="647"/>
      <c r="I163" s="647"/>
      <c r="J163" s="647"/>
      <c r="K163" s="647"/>
      <c r="L163" s="647"/>
      <c r="M163" s="647"/>
      <c r="N163" s="76"/>
      <c r="O163" s="76"/>
    </row>
    <row r="164" spans="1:15" s="221" customFormat="1" x14ac:dyDescent="0.25">
      <c r="A164" s="467"/>
      <c r="B164" s="467"/>
      <c r="C164" s="653"/>
      <c r="D164" s="653"/>
      <c r="E164" s="652"/>
      <c r="F164" s="647"/>
      <c r="G164" s="647"/>
      <c r="H164" s="647"/>
      <c r="I164" s="647"/>
      <c r="J164" s="647"/>
      <c r="K164" s="647"/>
      <c r="L164" s="647"/>
      <c r="M164" s="647"/>
      <c r="N164" s="76"/>
      <c r="O164" s="76"/>
    </row>
    <row r="165" spans="1:15" ht="15" customHeight="1" x14ac:dyDescent="0.25">
      <c r="A165" s="478" t="s">
        <v>624</v>
      </c>
      <c r="B165" s="467"/>
      <c r="C165" s="652" t="s">
        <v>334</v>
      </c>
      <c r="D165" s="652" t="s">
        <v>335</v>
      </c>
      <c r="E165" s="652"/>
      <c r="F165" s="647"/>
      <c r="G165" s="647"/>
      <c r="H165" s="647"/>
      <c r="I165" s="647"/>
      <c r="J165" s="647"/>
      <c r="K165" s="647"/>
      <c r="L165" s="647"/>
      <c r="M165" s="647"/>
      <c r="N165" s="76"/>
      <c r="O165" s="76"/>
    </row>
    <row r="166" spans="1:15" x14ac:dyDescent="0.25">
      <c r="A166" s="479" t="s">
        <v>617</v>
      </c>
      <c r="B166" s="467"/>
      <c r="C166" s="653"/>
      <c r="D166" s="652" t="s">
        <v>336</v>
      </c>
      <c r="E166" s="652"/>
      <c r="F166" s="647"/>
      <c r="G166" s="647"/>
      <c r="H166" s="647"/>
      <c r="I166" s="647"/>
      <c r="J166" s="647"/>
      <c r="K166" s="647"/>
      <c r="L166" s="647"/>
      <c r="M166" s="647"/>
      <c r="N166" s="76"/>
      <c r="O166" s="76"/>
    </row>
    <row r="167" spans="1:15" x14ac:dyDescent="0.25">
      <c r="A167" s="467"/>
      <c r="B167" s="467"/>
      <c r="C167" s="652"/>
      <c r="D167" s="652" t="s">
        <v>614</v>
      </c>
      <c r="E167" s="652"/>
      <c r="F167" s="647"/>
      <c r="G167" s="647"/>
      <c r="H167" s="647"/>
      <c r="I167" s="647"/>
      <c r="J167" s="647"/>
      <c r="K167" s="647"/>
      <c r="L167" s="647"/>
      <c r="M167" s="647"/>
      <c r="N167" s="76"/>
      <c r="O167" s="76"/>
    </row>
    <row r="168" spans="1:15" x14ac:dyDescent="0.25">
      <c r="A168" s="467"/>
      <c r="B168" s="467"/>
      <c r="C168" s="652"/>
      <c r="D168" s="652"/>
      <c r="E168" s="652"/>
      <c r="F168" s="647"/>
      <c r="G168" s="647"/>
      <c r="H168" s="647"/>
      <c r="I168" s="647"/>
      <c r="J168" s="647"/>
      <c r="K168" s="647"/>
      <c r="L168" s="647"/>
      <c r="M168" s="647"/>
      <c r="N168" s="76"/>
      <c r="O168" s="76"/>
    </row>
    <row r="169" spans="1:15" s="221" customFormat="1" x14ac:dyDescent="0.25">
      <c r="A169" s="1121" t="s">
        <v>615</v>
      </c>
      <c r="B169" s="1121"/>
      <c r="C169" s="652" t="s">
        <v>338</v>
      </c>
      <c r="D169" s="652" t="s">
        <v>332</v>
      </c>
      <c r="E169" s="652"/>
      <c r="F169" s="647"/>
      <c r="G169" s="647"/>
      <c r="H169" s="647"/>
      <c r="I169" s="647"/>
      <c r="J169" s="647"/>
      <c r="K169" s="647"/>
      <c r="L169" s="647"/>
      <c r="M169" s="647"/>
      <c r="N169" s="76"/>
      <c r="O169" s="76"/>
    </row>
    <row r="170" spans="1:15" s="221" customFormat="1" x14ac:dyDescent="0.25">
      <c r="A170" s="470" t="s">
        <v>607</v>
      </c>
      <c r="B170" s="470"/>
      <c r="C170" s="652"/>
      <c r="D170" s="652" t="s">
        <v>333</v>
      </c>
      <c r="E170" s="652"/>
      <c r="F170" s="647"/>
      <c r="G170" s="647"/>
      <c r="H170" s="647"/>
      <c r="I170" s="647"/>
      <c r="J170" s="647"/>
      <c r="K170" s="647"/>
      <c r="L170" s="647"/>
      <c r="M170" s="647"/>
      <c r="N170" s="76"/>
      <c r="O170" s="76"/>
    </row>
    <row r="171" spans="1:15" s="221" customFormat="1" x14ac:dyDescent="0.25">
      <c r="A171" s="467"/>
      <c r="B171" s="467"/>
      <c r="C171" s="652"/>
      <c r="D171" s="652"/>
      <c r="E171" s="652"/>
      <c r="F171" s="647"/>
      <c r="G171" s="647"/>
      <c r="H171" s="647"/>
      <c r="I171" s="647"/>
      <c r="J171" s="647"/>
      <c r="K171" s="647"/>
      <c r="L171" s="647"/>
      <c r="M171" s="647"/>
      <c r="N171" s="76"/>
      <c r="O171" s="76"/>
    </row>
    <row r="172" spans="1:15" s="221" customFormat="1" x14ac:dyDescent="0.25">
      <c r="A172" s="471" t="s">
        <v>625</v>
      </c>
      <c r="B172" s="467"/>
      <c r="C172" s="652" t="s">
        <v>334</v>
      </c>
      <c r="D172" s="652" t="s">
        <v>603</v>
      </c>
      <c r="E172" s="652"/>
      <c r="F172" s="647"/>
      <c r="G172" s="647"/>
      <c r="H172" s="647"/>
      <c r="I172" s="647"/>
      <c r="J172" s="647"/>
      <c r="K172" s="647"/>
      <c r="L172" s="647"/>
      <c r="M172" s="647"/>
      <c r="N172" s="76"/>
      <c r="O172" s="76"/>
    </row>
    <row r="173" spans="1:15" s="221" customFormat="1" x14ac:dyDescent="0.25">
      <c r="A173" s="470" t="s">
        <v>616</v>
      </c>
      <c r="B173" s="470"/>
      <c r="C173" s="652"/>
      <c r="D173" s="652" t="s">
        <v>604</v>
      </c>
      <c r="E173" s="652"/>
      <c r="F173" s="647"/>
      <c r="G173" s="647"/>
      <c r="H173" s="647"/>
      <c r="I173" s="647"/>
      <c r="J173" s="647"/>
      <c r="K173" s="647"/>
      <c r="L173" s="647"/>
      <c r="M173" s="647"/>
      <c r="N173" s="76"/>
      <c r="O173" s="76"/>
    </row>
    <row r="174" spans="1:15" x14ac:dyDescent="0.25">
      <c r="A174" s="159"/>
      <c r="B174" s="159"/>
      <c r="C174" s="652"/>
      <c r="D174" s="652"/>
      <c r="E174" s="652"/>
      <c r="F174" s="647"/>
      <c r="G174" s="647"/>
      <c r="H174" s="647"/>
      <c r="I174" s="647"/>
      <c r="J174" s="647"/>
      <c r="K174" s="647"/>
      <c r="L174" s="647"/>
      <c r="M174" s="647"/>
      <c r="N174" s="76"/>
      <c r="O174" s="76"/>
    </row>
    <row r="175" spans="1:15" s="221" customFormat="1" x14ac:dyDescent="0.25">
      <c r="A175" s="472">
        <v>8</v>
      </c>
      <c r="B175" s="159"/>
      <c r="C175" s="652" t="s">
        <v>2</v>
      </c>
      <c r="D175" s="652" t="s">
        <v>605</v>
      </c>
      <c r="E175" s="652"/>
      <c r="F175" s="647" t="s">
        <v>606</v>
      </c>
      <c r="G175" s="647"/>
      <c r="H175" s="647"/>
      <c r="I175" s="647"/>
      <c r="J175" s="647"/>
      <c r="K175" s="647"/>
      <c r="L175" s="647"/>
      <c r="M175" s="647"/>
      <c r="N175" s="76"/>
      <c r="O175" s="76"/>
    </row>
    <row r="176" spans="1:15" s="221" customFormat="1" x14ac:dyDescent="0.25">
      <c r="A176" s="472"/>
      <c r="B176" s="159"/>
      <c r="C176" s="652"/>
      <c r="D176" s="652"/>
      <c r="E176" s="652"/>
      <c r="F176" s="647"/>
      <c r="G176" s="647"/>
      <c r="H176" s="647"/>
      <c r="I176" s="647"/>
      <c r="J176" s="647"/>
      <c r="K176" s="647"/>
      <c r="L176" s="647"/>
      <c r="M176" s="647"/>
      <c r="N176" s="76"/>
      <c r="O176" s="76"/>
    </row>
    <row r="177" spans="1:15" s="221" customFormat="1" x14ac:dyDescent="0.25">
      <c r="A177" s="159"/>
      <c r="B177" s="159"/>
      <c r="C177" s="652"/>
      <c r="D177" s="652"/>
      <c r="E177" s="652"/>
      <c r="F177" s="647"/>
      <c r="G177" s="647"/>
      <c r="H177" s="647"/>
      <c r="I177" s="647"/>
      <c r="J177" s="647"/>
      <c r="K177" s="647"/>
      <c r="L177" s="647"/>
      <c r="M177" s="647"/>
      <c r="N177" s="76"/>
      <c r="O177" s="76"/>
    </row>
    <row r="178" spans="1:15" s="221" customFormat="1" x14ac:dyDescent="0.25">
      <c r="A178" s="159"/>
      <c r="B178" s="159"/>
      <c r="C178" s="652"/>
      <c r="D178" s="652"/>
      <c r="E178" s="652"/>
      <c r="F178" s="647"/>
      <c r="G178" s="647"/>
      <c r="H178" s="647"/>
      <c r="I178" s="647"/>
      <c r="J178" s="647"/>
      <c r="K178" s="647"/>
      <c r="L178" s="647"/>
      <c r="M178" s="647"/>
      <c r="N178" s="76"/>
      <c r="O178" s="76"/>
    </row>
    <row r="179" spans="1:15" x14ac:dyDescent="0.25">
      <c r="A179" s="159"/>
      <c r="B179" s="159"/>
      <c r="C179" s="652"/>
      <c r="D179" s="652"/>
      <c r="E179" s="652"/>
      <c r="F179" s="647"/>
      <c r="G179" s="647"/>
      <c r="H179" s="647"/>
      <c r="I179" s="647"/>
      <c r="J179" s="647"/>
      <c r="K179" s="647"/>
      <c r="L179" s="647"/>
      <c r="M179" s="647"/>
      <c r="N179" s="76"/>
      <c r="O179" s="76"/>
    </row>
    <row r="180" spans="1:15" x14ac:dyDescent="0.25">
      <c r="A180" s="158" t="s">
        <v>134</v>
      </c>
      <c r="B180" s="159"/>
      <c r="C180" s="652" t="s">
        <v>339</v>
      </c>
      <c r="D180" s="652"/>
      <c r="E180" s="652"/>
      <c r="F180" s="647"/>
      <c r="G180" s="647"/>
      <c r="H180" s="647"/>
      <c r="I180" s="647"/>
      <c r="J180" s="647"/>
      <c r="K180" s="647"/>
      <c r="L180" s="647"/>
      <c r="M180" s="647"/>
      <c r="N180" s="76"/>
      <c r="O180" s="76"/>
    </row>
    <row r="181" spans="1:15" x14ac:dyDescent="0.25">
      <c r="A181" s="159"/>
      <c r="B181" s="159"/>
      <c r="C181" s="652" t="s">
        <v>340</v>
      </c>
      <c r="D181" s="652"/>
      <c r="E181" s="652"/>
      <c r="F181" s="647"/>
      <c r="G181" s="647"/>
      <c r="H181" s="647"/>
      <c r="I181" s="647"/>
      <c r="J181" s="647"/>
      <c r="K181" s="647"/>
      <c r="L181" s="647"/>
      <c r="M181" s="647"/>
      <c r="N181" s="76"/>
      <c r="O181" s="76"/>
    </row>
    <row r="182" spans="1:15" x14ac:dyDescent="0.25">
      <c r="A182" s="159"/>
      <c r="B182" s="159"/>
      <c r="C182" s="652" t="s">
        <v>135</v>
      </c>
      <c r="D182" s="652"/>
      <c r="E182" s="652"/>
      <c r="F182" s="647"/>
      <c r="G182" s="647"/>
      <c r="H182" s="647"/>
      <c r="I182" s="647"/>
      <c r="J182" s="647"/>
      <c r="K182" s="647"/>
      <c r="L182" s="647"/>
      <c r="M182" s="647"/>
      <c r="N182" s="76"/>
      <c r="O182" s="76"/>
    </row>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mergeCells count="1">
    <mergeCell ref="A169:B169"/>
  </mergeCells>
  <phoneticPr fontId="41" type="noConversion"/>
  <conditionalFormatting sqref="M27:O28 O42:O43">
    <cfRule type="cellIs" dxfId="176" priority="2019" operator="equal">
      <formula>$G$4</formula>
    </cfRule>
    <cfRule type="cellIs" dxfId="175" priority="2020" operator="equal">
      <formula>$F$4</formula>
    </cfRule>
    <cfRule type="cellIs" dxfId="174" priority="2021" operator="equal">
      <formula>$E$4</formula>
    </cfRule>
    <cfRule type="cellIs" dxfId="173" priority="2022" operator="equal">
      <formula>$D$4</formula>
    </cfRule>
  </conditionalFormatting>
  <conditionalFormatting sqref="O30:O31 O36:O37 O87:O88">
    <cfRule type="cellIs" dxfId="172" priority="71" operator="equal">
      <formula>$G$4</formula>
    </cfRule>
    <cfRule type="cellIs" dxfId="171" priority="72" operator="equal">
      <formula>$F$4</formula>
    </cfRule>
    <cfRule type="cellIs" dxfId="170" priority="73" operator="equal">
      <formula>$E$4</formula>
    </cfRule>
    <cfRule type="cellIs" dxfId="169" priority="74" operator="equal">
      <formula>$D$4</formula>
    </cfRule>
  </conditionalFormatting>
  <conditionalFormatting sqref="O34:O35">
    <cfRule type="cellIs" dxfId="168" priority="55" operator="equal">
      <formula>$G$4</formula>
    </cfRule>
    <cfRule type="cellIs" dxfId="167" priority="56" operator="equal">
      <formula>$F$4</formula>
    </cfRule>
    <cfRule type="cellIs" dxfId="166" priority="57" operator="equal">
      <formula>$E$4</formula>
    </cfRule>
    <cfRule type="cellIs" dxfId="165" priority="58" operator="equal">
      <formula>$D$4</formula>
    </cfRule>
  </conditionalFormatting>
  <conditionalFormatting sqref="O99:O100">
    <cfRule type="cellIs" dxfId="164" priority="9" operator="equal">
      <formula>$G$4</formula>
    </cfRule>
    <cfRule type="cellIs" dxfId="163" priority="10" operator="equal">
      <formula>$F$4</formula>
    </cfRule>
    <cfRule type="cellIs" dxfId="162" priority="11" operator="equal">
      <formula>$E$4</formula>
    </cfRule>
    <cfRule type="cellIs" dxfId="161" priority="12" operator="equal">
      <formula>$D$4</formula>
    </cfRule>
  </conditionalFormatting>
  <conditionalFormatting sqref="O102:O103">
    <cfRule type="cellIs" dxfId="160" priority="5" operator="equal">
      <formula>$G$4</formula>
    </cfRule>
    <cfRule type="cellIs" dxfId="159" priority="6" operator="equal">
      <formula>$F$4</formula>
    </cfRule>
    <cfRule type="cellIs" dxfId="158" priority="7" operator="equal">
      <formula>$E$4</formula>
    </cfRule>
    <cfRule type="cellIs" dxfId="157" priority="8" operator="equal">
      <formula>$D$4</formula>
    </cfRule>
  </conditionalFormatting>
  <pageMargins left="0.7" right="0.7" top="0.78740157499999996" bottom="0.78740157499999996" header="0.3" footer="0.3"/>
  <pageSetup paperSize="9" orientation="portrait"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N40"/>
  <sheetViews>
    <sheetView showGridLines="0" showWhiteSpace="0" topLeftCell="A2" zoomScaleNormal="100" zoomScaleSheetLayoutView="41" workbookViewId="0">
      <selection activeCell="Q11" sqref="Q11"/>
    </sheetView>
  </sheetViews>
  <sheetFormatPr baseColWidth="10" defaultColWidth="11.42578125" defaultRowHeight="15" x14ac:dyDescent="0.25"/>
  <cols>
    <col min="1" max="1" width="0.85546875" style="485" customWidth="1"/>
    <col min="2" max="2" width="5" style="383" customWidth="1"/>
    <col min="3" max="3" width="21.28515625" customWidth="1"/>
    <col min="4" max="4" width="6.85546875" customWidth="1"/>
    <col min="5" max="5" width="9.140625" customWidth="1"/>
    <col min="6" max="7" width="6.7109375" customWidth="1"/>
    <col min="8" max="8" width="6" customWidth="1"/>
    <col min="9" max="9" width="7" customWidth="1"/>
    <col min="10" max="10" width="10.140625" customWidth="1"/>
    <col min="11" max="11" width="30.85546875" style="382" customWidth="1"/>
    <col min="12" max="12" width="30.85546875" customWidth="1"/>
    <col min="13" max="13" width="0.5703125" customWidth="1"/>
    <col min="14" max="14" width="14.140625" hidden="1" customWidth="1"/>
  </cols>
  <sheetData>
    <row r="1" spans="2:14" s="6" customFormat="1" ht="12" hidden="1" customHeight="1" x14ac:dyDescent="0.2">
      <c r="B1" s="17"/>
      <c r="C1" s="391" t="str">
        <f ca="1">IF(N11=TRUE,"A1:L15",CONCATENATE("A1:L",(MATCH("",B:B,-1)-1)))</f>
        <v>A1:L22</v>
      </c>
    </row>
    <row r="2" spans="2:14" s="10" customFormat="1" ht="18" customHeight="1" x14ac:dyDescent="0.2">
      <c r="B2" s="214" t="s">
        <v>965</v>
      </c>
      <c r="C2" s="213"/>
      <c r="D2" s="213"/>
      <c r="E2" s="213"/>
      <c r="F2" s="213"/>
      <c r="G2" s="213"/>
      <c r="H2" s="213"/>
      <c r="I2" s="213"/>
      <c r="L2" s="6"/>
    </row>
    <row r="3" spans="2:14" s="6" customFormat="1" ht="15.75" x14ac:dyDescent="0.2">
      <c r="B3" s="390" t="s">
        <v>439</v>
      </c>
      <c r="L3" s="30"/>
    </row>
    <row r="4" spans="2:14" s="6" customFormat="1" ht="12.75" customHeight="1" x14ac:dyDescent="0.2">
      <c r="B4" s="17"/>
      <c r="L4" s="30"/>
    </row>
    <row r="5" spans="2:14" s="6" customFormat="1" ht="12.75" customHeight="1" x14ac:dyDescent="0.2">
      <c r="B5" s="17"/>
      <c r="D5" s="15"/>
      <c r="E5" s="15"/>
      <c r="F5" s="15"/>
      <c r="G5" s="15"/>
      <c r="H5" s="15"/>
      <c r="I5" s="15"/>
      <c r="J5" s="15"/>
      <c r="K5" s="15"/>
      <c r="L5" s="30"/>
    </row>
    <row r="6" spans="2:14" s="32" customFormat="1" ht="15" customHeight="1" x14ac:dyDescent="0.2">
      <c r="B6" s="87"/>
      <c r="C6" s="35" t="s">
        <v>140</v>
      </c>
      <c r="D6" s="1122" t="str">
        <f>IF(Basisdaten!C8=0,"",Basisdaten!C8)</f>
        <v/>
      </c>
      <c r="E6" s="1123"/>
      <c r="F6" s="1123"/>
      <c r="G6" s="1123"/>
      <c r="H6" s="1123"/>
      <c r="I6" s="1123"/>
      <c r="J6" s="1123"/>
      <c r="K6" s="1124"/>
      <c r="L6" s="30"/>
    </row>
    <row r="7" spans="2:14" s="32" customFormat="1" ht="6.95" customHeight="1" x14ac:dyDescent="0.2">
      <c r="B7" s="87"/>
      <c r="C7" s="8"/>
      <c r="D7" s="15"/>
      <c r="E7" s="15"/>
      <c r="F7" s="15"/>
      <c r="G7" s="15"/>
      <c r="H7" s="15"/>
      <c r="I7" s="15"/>
      <c r="J7" s="15"/>
      <c r="K7" s="15"/>
      <c r="L7" s="30"/>
    </row>
    <row r="8" spans="2:14" s="32" customFormat="1" ht="15" customHeight="1" x14ac:dyDescent="0.25">
      <c r="B8" s="87"/>
      <c r="C8" s="35" t="s">
        <v>85</v>
      </c>
      <c r="D8" s="998" t="str">
        <f>IF(Basisdaten!C6=0,"",Basisdaten!C6)</f>
        <v/>
      </c>
      <c r="E8" s="1130"/>
      <c r="F8" s="1001"/>
      <c r="G8" s="30"/>
      <c r="I8" s="7" t="s">
        <v>543</v>
      </c>
      <c r="K8" s="57" t="str">
        <f>IF(Basisdaten!M12=0,"",Basisdaten!M12)</f>
        <v/>
      </c>
      <c r="L8" s="30"/>
    </row>
    <row r="9" spans="2:14" s="6" customFormat="1" ht="15.75" customHeight="1" x14ac:dyDescent="0.2">
      <c r="B9" s="17"/>
      <c r="L9" s="30"/>
    </row>
    <row r="10" spans="2:14" s="6" customFormat="1" ht="15.75" customHeight="1" x14ac:dyDescent="0.2">
      <c r="B10" s="17"/>
      <c r="C10" s="417" t="str">
        <f ca="1">IF($N$11=TRUE,"Kein Datendefizit vorhanden","")</f>
        <v/>
      </c>
      <c r="L10" s="30"/>
      <c r="N10" s="408" t="s">
        <v>542</v>
      </c>
    </row>
    <row r="11" spans="2:14" s="6" customFormat="1" ht="15.75" customHeight="1" x14ac:dyDescent="0.2">
      <c r="B11" s="17"/>
      <c r="C11" s="387" t="str">
        <f ca="1">IF($N$11=TRUE,"","Übertragung erfolgt automatisch aus Kennzahlenbogen (Ist-Werte, Begründungen und Aktionen)")</f>
        <v>Übertragung erfolgt automatisch aus Kennzahlenbogen (Ist-Werte, Begründungen und Aktionen)</v>
      </c>
      <c r="L11" s="30"/>
      <c r="N11" s="407" t="b">
        <f t="array" aca="1" ref="N11" ca="1">$B$14:$L$40=""</f>
        <v>0</v>
      </c>
    </row>
    <row r="12" spans="2:14" ht="15" customHeight="1" x14ac:dyDescent="0.25">
      <c r="B12" s="1125" t="str">
        <f ca="1">IF($N$11=TRUE,"","KN")</f>
        <v>KN</v>
      </c>
      <c r="C12" s="1129" t="str">
        <f ca="1">IF($N$11=TRUE,"","Kennzahlendefinition")</f>
        <v>Kennzahlendefinition</v>
      </c>
      <c r="D12" s="1129" t="str">
        <f ca="1">IF($N$11=TRUE,"","Vorgaben Datenqualität")</f>
        <v>Vorgaben Datenqualität</v>
      </c>
      <c r="E12" s="1129"/>
      <c r="F12" s="1129"/>
      <c r="G12" s="1129" t="str">
        <f ca="1">IF($N$11=TRUE,"","Ist-Werte")</f>
        <v>Ist-Werte</v>
      </c>
      <c r="H12" s="1129"/>
      <c r="I12" s="1129"/>
      <c r="J12" s="1127" t="str">
        <f ca="1">IF($N$11=TRUE,"","Daten-qualität")</f>
        <v>Daten-qualität</v>
      </c>
      <c r="K12" s="1131" t="str">
        <f ca="1">IF($N$11=TRUE,"","Verifizierung Zentrum")</f>
        <v>Verifizierung Zentrum</v>
      </c>
      <c r="L12" s="1131"/>
      <c r="N12" s="406"/>
    </row>
    <row r="13" spans="2:14" ht="22.5" customHeight="1" x14ac:dyDescent="0.25">
      <c r="B13" s="1126"/>
      <c r="C13" s="1128"/>
      <c r="D13" s="385" t="str">
        <f ca="1">IF($N$11=TRUE,"","Plausi unklar")</f>
        <v>Plausi unklar</v>
      </c>
      <c r="E13" s="385" t="str">
        <f ca="1">IF($N$11=TRUE,"","Sollvorgabe")</f>
        <v>Sollvorgabe</v>
      </c>
      <c r="F13" s="385" t="str">
        <f ca="1">IF($N$11=TRUE,"","Plausi unklar")</f>
        <v>Plausi unklar</v>
      </c>
      <c r="G13" s="385" t="str">
        <f ca="1">IF($N$11=TRUE,"","Zähler / Anzahl")</f>
        <v>Zähler / Anzahl</v>
      </c>
      <c r="H13" s="385" t="str">
        <f ca="1">IF($N$11=TRUE,"","Nenner")</f>
        <v>Nenner</v>
      </c>
      <c r="I13" s="385" t="str">
        <f ca="1">IF($N$11=TRUE,"","Quote")</f>
        <v>Quote</v>
      </c>
      <c r="J13" s="1128"/>
      <c r="K13" s="490" t="str">
        <f ca="1">IF($N$11=TRUE,"","Begründung / Ursache")</f>
        <v>Begründung / Ursache</v>
      </c>
      <c r="L13" s="489" t="str">
        <f ca="1">IF($N$11=TRUE,"","Eingeleitete / geplante Aktionen")</f>
        <v>Eingeleitete / geplante Aktionen</v>
      </c>
    </row>
    <row r="14" spans="2:14" ht="170.25" customHeight="1" x14ac:dyDescent="0.25">
      <c r="B14" s="388" t="str">
        <f ca="1">'Hilfstabelle Datendef KB'!O2</f>
        <v>1a)</v>
      </c>
      <c r="C14" s="389" t="str">
        <f ca="1">'Hilfstabelle Datendef KB'!P2</f>
        <v xml:space="preserve">Anzahl Primärfälle Prostatakarzinom </v>
      </c>
      <c r="D14" s="398" t="str">
        <f ca="1">'Hilfstabelle Datendef KB'!Q2</f>
        <v>-----</v>
      </c>
      <c r="E14" s="398" t="str">
        <f ca="1">'Hilfstabelle Datendef KB'!R2</f>
        <v xml:space="preserve">≥ 100 </v>
      </c>
      <c r="F14" s="398" t="str">
        <f ca="1">'Hilfstabelle Datendef KB'!S2</f>
        <v>-----</v>
      </c>
      <c r="G14" s="388">
        <f ca="1">'Hilfstabelle Datendef KB'!T2</f>
        <v>0</v>
      </c>
      <c r="H14" s="388" t="str">
        <f ca="1">'Hilfstabelle Datendef KB'!U2</f>
        <v>-----</v>
      </c>
      <c r="I14" s="397" t="str">
        <f ca="1">'Hilfstabelle Datendef KB'!V2</f>
        <v>-----</v>
      </c>
      <c r="J14" s="388" t="str">
        <f ca="1">'Hilfstabelle Datendef KB'!W2</f>
        <v>Unvollständig</v>
      </c>
      <c r="K14" s="416" t="str">
        <f ca="1">'Hilfstabelle Datendef KB'!X2</f>
        <v>-----</v>
      </c>
      <c r="L14" s="389" t="str">
        <f ca="1">'Hilfstabelle Datendef KB'!Y2</f>
        <v>-----</v>
      </c>
    </row>
    <row r="15" spans="2:14" ht="170.25" customHeight="1" x14ac:dyDescent="0.25">
      <c r="B15" s="388" t="str">
        <f ca="1">'Hilfstabelle Datendef KB'!O3</f>
        <v>1b) 1</v>
      </c>
      <c r="C15" s="389" t="str">
        <f ca="1">'Hilfstabelle Datendef KB'!P3</f>
        <v>Aufteilung Primärfälle mit lokal begrenztem Prostatakarzinom - niedrigem Risiko</v>
      </c>
      <c r="D15" s="398" t="str">
        <f ca="1">'Hilfstabelle Datendef KB'!Q3</f>
        <v>-----</v>
      </c>
      <c r="E15" s="398" t="str">
        <f ca="1">'Hilfstabelle Datendef KB'!R3</f>
        <v>Derzeit keine
Vorgaben</v>
      </c>
      <c r="F15" s="398" t="str">
        <f ca="1">'Hilfstabelle Datendef KB'!S3</f>
        <v>-----</v>
      </c>
      <c r="G15" s="388">
        <f ca="1">'Hilfstabelle Datendef KB'!T3</f>
        <v>0</v>
      </c>
      <c r="H15" s="388" t="str">
        <f ca="1">'Hilfstabelle Datendef KB'!U3</f>
        <v>-----</v>
      </c>
      <c r="I15" s="397" t="str">
        <f ca="1">'Hilfstabelle Datendef KB'!V3</f>
        <v>-----</v>
      </c>
      <c r="J15" s="388" t="str">
        <f ca="1">'Hilfstabelle Datendef KB'!W3</f>
        <v>Unvollständig</v>
      </c>
      <c r="K15" s="416" t="str">
        <f ca="1">'Hilfstabelle Datendef KB'!X3</f>
        <v>-----</v>
      </c>
      <c r="L15" s="389" t="str">
        <f ca="1">'Hilfstabelle Datendef KB'!Y3</f>
        <v>-----</v>
      </c>
    </row>
    <row r="16" spans="2:14" ht="170.25" customHeight="1" x14ac:dyDescent="0.25">
      <c r="B16" s="388" t="str">
        <f ca="1">'Hilfstabelle Datendef KB'!O4</f>
        <v>1b) 2</v>
      </c>
      <c r="C16" s="389" t="str">
        <f ca="1">'Hilfstabelle Datendef KB'!P4</f>
        <v>Aufteilung Primärfälle mit lokal begrenztem Prostatakarzinom - mittlerem Risiko</v>
      </c>
      <c r="D16" s="398" t="str">
        <f ca="1">'Hilfstabelle Datendef KB'!Q4</f>
        <v>-----</v>
      </c>
      <c r="E16" s="398" t="str">
        <f ca="1">'Hilfstabelle Datendef KB'!R4</f>
        <v>Derzeit keine
Vorgaben</v>
      </c>
      <c r="F16" s="398" t="str">
        <f ca="1">'Hilfstabelle Datendef KB'!S4</f>
        <v>-----</v>
      </c>
      <c r="G16" s="388">
        <f ca="1">'Hilfstabelle Datendef KB'!T4</f>
        <v>0</v>
      </c>
      <c r="H16" s="388" t="str">
        <f ca="1">'Hilfstabelle Datendef KB'!U4</f>
        <v>-----</v>
      </c>
      <c r="I16" s="397" t="str">
        <f ca="1">'Hilfstabelle Datendef KB'!V4</f>
        <v>-----</v>
      </c>
      <c r="J16" s="388" t="str">
        <f ca="1">'Hilfstabelle Datendef KB'!W4</f>
        <v>Unvollständig</v>
      </c>
      <c r="K16" s="416" t="str">
        <f ca="1">'Hilfstabelle Datendef KB'!X4</f>
        <v>-----</v>
      </c>
      <c r="L16" s="389" t="str">
        <f ca="1">'Hilfstabelle Datendef KB'!Y4</f>
        <v>-----</v>
      </c>
    </row>
    <row r="17" spans="2:12" ht="170.25" customHeight="1" x14ac:dyDescent="0.25">
      <c r="B17" s="388" t="str">
        <f ca="1">'Hilfstabelle Datendef KB'!O5</f>
        <v>1b) 3</v>
      </c>
      <c r="C17" s="389" t="str">
        <f ca="1">'Hilfstabelle Datendef KB'!P5</f>
        <v>Aufteilung Primärfälle mit lokal begrenztem Prostatakarzinom - hohem Risiko</v>
      </c>
      <c r="D17" s="398" t="str">
        <f ca="1">'Hilfstabelle Datendef KB'!Q5</f>
        <v>-----</v>
      </c>
      <c r="E17" s="398" t="str">
        <f ca="1">'Hilfstabelle Datendef KB'!R5</f>
        <v>Derzeit keine
Vorgaben</v>
      </c>
      <c r="F17" s="398" t="str">
        <f ca="1">'Hilfstabelle Datendef KB'!S5</f>
        <v>-----</v>
      </c>
      <c r="G17" s="388">
        <f ca="1">'Hilfstabelle Datendef KB'!T5</f>
        <v>0</v>
      </c>
      <c r="H17" s="388" t="str">
        <f ca="1">'Hilfstabelle Datendef KB'!U5</f>
        <v>-----</v>
      </c>
      <c r="I17" s="397" t="str">
        <f ca="1">'Hilfstabelle Datendef KB'!V5</f>
        <v>-----</v>
      </c>
      <c r="J17" s="388" t="str">
        <f ca="1">'Hilfstabelle Datendef KB'!W5</f>
        <v>Unvollständig</v>
      </c>
      <c r="K17" s="416" t="str">
        <f ca="1">'Hilfstabelle Datendef KB'!X5</f>
        <v>-----</v>
      </c>
      <c r="L17" s="389" t="str">
        <f ca="1">'Hilfstabelle Datendef KB'!Y5</f>
        <v>-----</v>
      </c>
    </row>
    <row r="18" spans="2:12" s="663" customFormat="1" ht="170.25" customHeight="1" x14ac:dyDescent="0.25">
      <c r="B18" s="388" t="str">
        <f ca="1">'Hilfstabelle Datendef KB'!O6</f>
        <v>1c)</v>
      </c>
      <c r="C18" s="389" t="str">
        <f ca="1">'Hilfstabelle Datendef KB'!P6</f>
        <v>Pat. mit neuaufgetretenem Rezidiv und/oder 
Fernmetastasen</v>
      </c>
      <c r="D18" s="398" t="str">
        <f ca="1">'Hilfstabelle Datendef KB'!Q6</f>
        <v>-----</v>
      </c>
      <c r="E18" s="398" t="str">
        <f ca="1">'Hilfstabelle Datendef KB'!R6</f>
        <v>Derzeit keine
Vorgaben</v>
      </c>
      <c r="F18" s="398" t="str">
        <f ca="1">'Hilfstabelle Datendef KB'!S6</f>
        <v>-----</v>
      </c>
      <c r="G18" s="388">
        <f ca="1">'Hilfstabelle Datendef KB'!T6</f>
        <v>0</v>
      </c>
      <c r="H18" s="388" t="str">
        <f ca="1">'Hilfstabelle Datendef KB'!U6</f>
        <v>-----</v>
      </c>
      <c r="I18" s="397" t="str">
        <f ca="1">'Hilfstabelle Datendef KB'!V6</f>
        <v>-----</v>
      </c>
      <c r="J18" s="388" t="str">
        <f ca="1">'Hilfstabelle Datendef KB'!W6</f>
        <v>Unvollständig</v>
      </c>
      <c r="K18" s="416" t="str">
        <f ca="1">'Hilfstabelle Datendef KB'!X6</f>
        <v>-----</v>
      </c>
      <c r="L18" s="389" t="str">
        <f ca="1">'Hilfstabelle Datendef KB'!Y6</f>
        <v>-----</v>
      </c>
    </row>
    <row r="19" spans="2:12" ht="170.25" customHeight="1" x14ac:dyDescent="0.25">
      <c r="B19" s="388" t="str">
        <f ca="1">'Hilfstabelle Datendef KB'!O7</f>
        <v>2a</v>
      </c>
      <c r="C19" s="389" t="str">
        <f ca="1">'Hilfstabelle Datendef KB'!P7</f>
        <v>Vorstellung in der wöchentlichen prätherapeutischen Konferenz - Urologie</v>
      </c>
      <c r="D19" s="398" t="str">
        <f ca="1">'Hilfstabelle Datendef KB'!Q7</f>
        <v>-----</v>
      </c>
      <c r="E19" s="398" t="str">
        <f ca="1">'Hilfstabelle Datendef KB'!R7</f>
        <v>≥ 95%</v>
      </c>
      <c r="F19" s="398" t="str">
        <f ca="1">'Hilfstabelle Datendef KB'!S7</f>
        <v>-----</v>
      </c>
      <c r="G19" s="388" t="str">
        <f ca="1">'Hilfstabelle Datendef KB'!T7</f>
        <v>-----</v>
      </c>
      <c r="H19" s="388" t="str">
        <f ca="1">'Hilfstabelle Datendef KB'!U7</f>
        <v>-----</v>
      </c>
      <c r="I19" s="397" t="str">
        <f ca="1">'Hilfstabelle Datendef KB'!V7</f>
        <v>n.d.</v>
      </c>
      <c r="J19" s="388" t="str">
        <f ca="1">'Hilfstabelle Datendef KB'!W7</f>
        <v>Unvollständig</v>
      </c>
      <c r="K19" s="416" t="str">
        <f ca="1">'Hilfstabelle Datendef KB'!X7</f>
        <v>-----</v>
      </c>
      <c r="L19" s="389" t="str">
        <f ca="1">'Hilfstabelle Datendef KB'!Y7</f>
        <v>-----</v>
      </c>
    </row>
    <row r="20" spans="2:12" ht="170.25" customHeight="1" x14ac:dyDescent="0.25">
      <c r="B20" s="388" t="str">
        <f ca="1">'Hilfstabelle Datendef KB'!O8</f>
        <v>2b</v>
      </c>
      <c r="C20" s="389" t="str">
        <f ca="1">'Hilfstabelle Datendef KB'!P8</f>
        <v>Vorstellung in der wöchentlichen prätherapeutischen Konferenz - Strahlentherapie</v>
      </c>
      <c r="D20" s="398" t="str">
        <f ca="1">'Hilfstabelle Datendef KB'!Q8</f>
        <v>-----</v>
      </c>
      <c r="E20" s="398" t="str">
        <f ca="1">'Hilfstabelle Datendef KB'!R8</f>
        <v>≥ 95%</v>
      </c>
      <c r="F20" s="398" t="str">
        <f ca="1">'Hilfstabelle Datendef KB'!S8</f>
        <v>-----</v>
      </c>
      <c r="G20" s="388" t="str">
        <f ca="1">'Hilfstabelle Datendef KB'!T8</f>
        <v>-----</v>
      </c>
      <c r="H20" s="388" t="str">
        <f ca="1">'Hilfstabelle Datendef KB'!U8</f>
        <v>-----</v>
      </c>
      <c r="I20" s="397" t="str">
        <f ca="1">'Hilfstabelle Datendef KB'!V8</f>
        <v>n.d.</v>
      </c>
      <c r="J20" s="388" t="str">
        <f ca="1">'Hilfstabelle Datendef KB'!W8</f>
        <v>Unvollständig</v>
      </c>
      <c r="K20" s="416" t="str">
        <f ca="1">'Hilfstabelle Datendef KB'!X8</f>
        <v>-----</v>
      </c>
      <c r="L20" s="389" t="str">
        <f ca="1">'Hilfstabelle Datendef KB'!Y8</f>
        <v>-----</v>
      </c>
    </row>
    <row r="21" spans="2:12" ht="170.25" customHeight="1" x14ac:dyDescent="0.25">
      <c r="B21" s="388" t="str">
        <f ca="1">'Hilfstabelle Datendef KB'!O9</f>
        <v>3a</v>
      </c>
      <c r="C21" s="389" t="str">
        <f ca="1">'Hilfstabelle Datendef KB'!P9</f>
        <v>Vorstellung in der monatlichen Tumorkonferenz - Primärfälle &gt; pT3a u/o R1 u/o pN+</v>
      </c>
      <c r="D21" s="398" t="str">
        <f ca="1">'Hilfstabelle Datendef KB'!Q9</f>
        <v>-----</v>
      </c>
      <c r="E21" s="398" t="str">
        <f ca="1">'Hilfstabelle Datendef KB'!R9</f>
        <v>100%</v>
      </c>
      <c r="F21" s="398" t="str">
        <f ca="1">'Hilfstabelle Datendef KB'!S9</f>
        <v>-----</v>
      </c>
      <c r="G21" s="388" t="str">
        <f ca="1">'Hilfstabelle Datendef KB'!T9</f>
        <v>-----</v>
      </c>
      <c r="H21" s="388" t="str">
        <f ca="1">'Hilfstabelle Datendef KB'!U9</f>
        <v>-----</v>
      </c>
      <c r="I21" s="397" t="str">
        <f ca="1">'Hilfstabelle Datendef KB'!V9</f>
        <v>n.d.</v>
      </c>
      <c r="J21" s="388" t="str">
        <f ca="1">'Hilfstabelle Datendef KB'!W9</f>
        <v>Unvollständig</v>
      </c>
      <c r="K21" s="416" t="str">
        <f ca="1">'Hilfstabelle Datendef KB'!X9</f>
        <v>-----</v>
      </c>
      <c r="L21" s="389" t="str">
        <f ca="1">'Hilfstabelle Datendef KB'!Y9</f>
        <v>-----</v>
      </c>
    </row>
    <row r="22" spans="2:12" ht="170.25" customHeight="1" x14ac:dyDescent="0.25">
      <c r="B22" s="388" t="str">
        <f ca="1">'Hilfstabelle Datendef KB'!O10</f>
        <v>3b</v>
      </c>
      <c r="C22" s="389" t="str">
        <f ca="1">'Hilfstabelle Datendef KB'!P10</f>
        <v>Vorstellung in der monatlichen Tumorkonferenz - Primärfälle mit primär M1</v>
      </c>
      <c r="D22" s="398" t="str">
        <f ca="1">'Hilfstabelle Datendef KB'!Q10</f>
        <v>-----</v>
      </c>
      <c r="E22" s="398" t="str">
        <f ca="1">'Hilfstabelle Datendef KB'!R10</f>
        <v>100%</v>
      </c>
      <c r="F22" s="398" t="str">
        <f ca="1">'Hilfstabelle Datendef KB'!S10</f>
        <v>-----</v>
      </c>
      <c r="G22" s="388" t="str">
        <f ca="1">'Hilfstabelle Datendef KB'!T10</f>
        <v>-----</v>
      </c>
      <c r="H22" s="388" t="str">
        <f ca="1">'Hilfstabelle Datendef KB'!U10</f>
        <v>-----</v>
      </c>
      <c r="I22" s="397" t="str">
        <f ca="1">'Hilfstabelle Datendef KB'!V10</f>
        <v>n.d.</v>
      </c>
      <c r="J22" s="388" t="str">
        <f ca="1">'Hilfstabelle Datendef KB'!W10</f>
        <v>Unvollständig</v>
      </c>
      <c r="K22" s="416" t="str">
        <f ca="1">'Hilfstabelle Datendef KB'!X10</f>
        <v>-----</v>
      </c>
      <c r="L22" s="389" t="str">
        <f ca="1">'Hilfstabelle Datendef KB'!Y10</f>
        <v>-----</v>
      </c>
    </row>
    <row r="23" spans="2:12" ht="170.25" customHeight="1" x14ac:dyDescent="0.25">
      <c r="B23" s="388" t="str">
        <f ca="1">'Hilfstabelle Datendef KB'!O11</f>
        <v>3c</v>
      </c>
      <c r="C23" s="389" t="str">
        <f ca="1">'Hilfstabelle Datendef KB'!P11</f>
        <v>Vorstellung in der monatlichen Tumorkonferenz - Patienten mit neuaufgetretenem Rezidiv und/oder 
Fernmetastasen (= Kennzahl 1c)</v>
      </c>
      <c r="D23" s="398" t="str">
        <f ca="1">'Hilfstabelle Datendef KB'!Q11</f>
        <v>-----</v>
      </c>
      <c r="E23" s="398" t="str">
        <f ca="1">'Hilfstabelle Datendef KB'!R11</f>
        <v>100%</v>
      </c>
      <c r="F23" s="398" t="str">
        <f ca="1">'Hilfstabelle Datendef KB'!S11</f>
        <v>-----</v>
      </c>
      <c r="G23" s="388" t="str">
        <f ca="1">'Hilfstabelle Datendef KB'!T11</f>
        <v>-----</v>
      </c>
      <c r="H23" s="388">
        <f ca="1">'Hilfstabelle Datendef KB'!U11</f>
        <v>0</v>
      </c>
      <c r="I23" s="397" t="str">
        <f ca="1">'Hilfstabelle Datendef KB'!V11</f>
        <v>n.d.</v>
      </c>
      <c r="J23" s="388" t="str">
        <f ca="1">'Hilfstabelle Datendef KB'!W11</f>
        <v>Unvollständig</v>
      </c>
      <c r="K23" s="416" t="str">
        <f ca="1">'Hilfstabelle Datendef KB'!X11</f>
        <v>-----</v>
      </c>
      <c r="L23" s="389" t="str">
        <f ca="1">'Hilfstabelle Datendef KB'!Y11</f>
        <v>-----</v>
      </c>
    </row>
    <row r="24" spans="2:12" ht="170.25" customHeight="1" x14ac:dyDescent="0.25">
      <c r="B24" s="388">
        <f ca="1">'Hilfstabelle Datendef KB'!O12</f>
        <v>4</v>
      </c>
      <c r="C24" s="389" t="str">
        <f ca="1">'Hilfstabelle Datendef KB'!P12</f>
        <v>Active-Surveillance (AS)</v>
      </c>
      <c r="D24" s="398" t="str">
        <f ca="1">'Hilfstabelle Datendef KB'!Q12</f>
        <v>&lt; 0,01%</v>
      </c>
      <c r="E24" s="398" t="str">
        <f ca="1">'Hilfstabelle Datendef KB'!R12</f>
        <v>Derzeit keine
Vorgaben</v>
      </c>
      <c r="F24" s="398" t="str">
        <f ca="1">'Hilfstabelle Datendef KB'!S12</f>
        <v>-----</v>
      </c>
      <c r="G24" s="388">
        <f ca="1">'Hilfstabelle Datendef KB'!T12</f>
        <v>0</v>
      </c>
      <c r="H24" s="388">
        <f ca="1">'Hilfstabelle Datendef KB'!U12</f>
        <v>0</v>
      </c>
      <c r="I24" s="397" t="str">
        <f ca="1">'Hilfstabelle Datendef KB'!V12</f>
        <v>n.d.</v>
      </c>
      <c r="J24" s="388" t="str">
        <f ca="1">'Hilfstabelle Datendef KB'!W12</f>
        <v>Unvollständig</v>
      </c>
      <c r="K24" s="416" t="str">
        <f ca="1">'Hilfstabelle Datendef KB'!X12</f>
        <v>-----</v>
      </c>
      <c r="L24" s="389" t="str">
        <f ca="1">'Hilfstabelle Datendef KB'!Y12</f>
        <v>-----</v>
      </c>
    </row>
    <row r="25" spans="2:12" ht="170.25" customHeight="1" x14ac:dyDescent="0.25">
      <c r="B25" s="388">
        <f ca="1">'Hilfstabelle Datendef KB'!O13</f>
        <v>5</v>
      </c>
      <c r="C25" s="389" t="str">
        <f ca="1">'Hilfstabelle Datendef KB'!P13</f>
        <v>Strahlentherapie und hormonablative Therapie bei lokal begrenztem PCa mit hohem Risiko</v>
      </c>
      <c r="D25" s="398" t="str">
        <f ca="1">'Hilfstabelle Datendef KB'!Q13</f>
        <v>-----</v>
      </c>
      <c r="E25" s="398" t="str">
        <f ca="1">'Hilfstabelle Datendef KB'!R13</f>
        <v>≥ 70%</v>
      </c>
      <c r="F25" s="398" t="str">
        <f ca="1">'Hilfstabelle Datendef KB'!S13</f>
        <v>-----</v>
      </c>
      <c r="G25" s="388" t="str">
        <f ca="1">'Hilfstabelle Datendef KB'!T13</f>
        <v>-----</v>
      </c>
      <c r="H25" s="388">
        <f ca="1">'Hilfstabelle Datendef KB'!U13</f>
        <v>0</v>
      </c>
      <c r="I25" s="397" t="str">
        <f ca="1">'Hilfstabelle Datendef KB'!V13</f>
        <v>n.d.</v>
      </c>
      <c r="J25" s="388" t="str">
        <f ca="1">'Hilfstabelle Datendef KB'!W13</f>
        <v>Unvollständig</v>
      </c>
      <c r="K25" s="416" t="str">
        <f ca="1">'Hilfstabelle Datendef KB'!X13</f>
        <v>-----</v>
      </c>
      <c r="L25" s="389" t="str">
        <f ca="1">'Hilfstabelle Datendef KB'!Y13</f>
        <v>-----</v>
      </c>
    </row>
    <row r="26" spans="2:12" ht="170.25" customHeight="1" x14ac:dyDescent="0.25">
      <c r="B26" s="388">
        <f ca="1">'Hilfstabelle Datendef KB'!O14</f>
        <v>6</v>
      </c>
      <c r="C26" s="389" t="str">
        <f ca="1">'Hilfstabelle Datendef KB'!P14</f>
        <v>Psychoonkologische Betreuung</v>
      </c>
      <c r="D26" s="398" t="str">
        <f ca="1">'Hilfstabelle Datendef KB'!Q14</f>
        <v>&lt; 4%</v>
      </c>
      <c r="E26" s="398" t="str">
        <f ca="1">'Hilfstabelle Datendef KB'!R14</f>
        <v>Derzeit keine
Vorgaben</v>
      </c>
      <c r="F26" s="398" t="str">
        <f ca="1">'Hilfstabelle Datendef KB'!S14</f>
        <v>&gt; 80%</v>
      </c>
      <c r="G26" s="388" t="str">
        <f ca="1">'Hilfstabelle Datendef KB'!T14</f>
        <v>-----</v>
      </c>
      <c r="H26" s="388">
        <f ca="1">'Hilfstabelle Datendef KB'!U14</f>
        <v>0</v>
      </c>
      <c r="I26" s="397" t="str">
        <f ca="1">'Hilfstabelle Datendef KB'!V14</f>
        <v>n.d.</v>
      </c>
      <c r="J26" s="388" t="str">
        <f ca="1">'Hilfstabelle Datendef KB'!W14</f>
        <v>Unvollständig</v>
      </c>
      <c r="K26" s="416" t="str">
        <f ca="1">'Hilfstabelle Datendef KB'!X14</f>
        <v>-----</v>
      </c>
      <c r="L26" s="389" t="str">
        <f ca="1">'Hilfstabelle Datendef KB'!Y14</f>
        <v>-----</v>
      </c>
    </row>
    <row r="27" spans="2:12" ht="170.25" customHeight="1" x14ac:dyDescent="0.25">
      <c r="B27" s="388">
        <f ca="1">'Hilfstabelle Datendef KB'!O15</f>
        <v>7</v>
      </c>
      <c r="C27" s="389" t="str">
        <f ca="1">'Hilfstabelle Datendef KB'!P15</f>
        <v>Beratung Sozialdienst</v>
      </c>
      <c r="D27" s="398" t="str">
        <f ca="1">'Hilfstabelle Datendef KB'!Q15</f>
        <v>&lt; 50%</v>
      </c>
      <c r="E27" s="398" t="str">
        <f ca="1">'Hilfstabelle Datendef KB'!R15</f>
        <v>Derzeit keine
Vorgaben</v>
      </c>
      <c r="F27" s="398" t="str">
        <f ca="1">'Hilfstabelle Datendef KB'!S15</f>
        <v>-----</v>
      </c>
      <c r="G27" s="388" t="str">
        <f ca="1">'Hilfstabelle Datendef KB'!T15</f>
        <v>-----</v>
      </c>
      <c r="H27" s="388">
        <f ca="1">'Hilfstabelle Datendef KB'!U15</f>
        <v>0</v>
      </c>
      <c r="I27" s="397" t="str">
        <f ca="1">'Hilfstabelle Datendef KB'!V15</f>
        <v>n.d.</v>
      </c>
      <c r="J27" s="388" t="str">
        <f ca="1">'Hilfstabelle Datendef KB'!W15</f>
        <v>Unvollständig</v>
      </c>
      <c r="K27" s="416" t="str">
        <f ca="1">'Hilfstabelle Datendef KB'!X15</f>
        <v>-----</v>
      </c>
      <c r="L27" s="389" t="str">
        <f ca="1">'Hilfstabelle Datendef KB'!Y15</f>
        <v>-----</v>
      </c>
    </row>
    <row r="28" spans="2:12" ht="170.25" customHeight="1" x14ac:dyDescent="0.25">
      <c r="B28" s="388">
        <f ca="1">'Hilfstabelle Datendef KB'!O16</f>
        <v>8</v>
      </c>
      <c r="C28" s="389" t="str">
        <f ca="1">'Hilfstabelle Datendef KB'!P16</f>
        <v>Anteil Studienpat.</v>
      </c>
      <c r="D28" s="398" t="str">
        <f ca="1">'Hilfstabelle Datendef KB'!Q16</f>
        <v>-----</v>
      </c>
      <c r="E28" s="398" t="str">
        <f ca="1">'Hilfstabelle Datendef KB'!R16</f>
        <v>≥ 5%</v>
      </c>
      <c r="F28" s="398" t="str">
        <f ca="1">'Hilfstabelle Datendef KB'!S16</f>
        <v>-----</v>
      </c>
      <c r="G28" s="388" t="str">
        <f ca="1">'Hilfstabelle Datendef KB'!T16</f>
        <v>-----</v>
      </c>
      <c r="H28" s="388">
        <f ca="1">'Hilfstabelle Datendef KB'!U16</f>
        <v>0</v>
      </c>
      <c r="I28" s="397" t="str">
        <f ca="1">'Hilfstabelle Datendef KB'!V16</f>
        <v>n.d.</v>
      </c>
      <c r="J28" s="388" t="str">
        <f ca="1">'Hilfstabelle Datendef KB'!W16</f>
        <v>Unvollständig</v>
      </c>
      <c r="K28" s="416" t="str">
        <f ca="1">'Hilfstabelle Datendef KB'!X16</f>
        <v>-----</v>
      </c>
      <c r="L28" s="389" t="str">
        <f ca="1">'Hilfstabelle Datendef KB'!Y16</f>
        <v>-----</v>
      </c>
    </row>
    <row r="29" spans="2:12" ht="170.25" customHeight="1" x14ac:dyDescent="0.25">
      <c r="B29" s="388">
        <f ca="1">'Hilfstabelle Datendef KB'!O17</f>
        <v>9</v>
      </c>
      <c r="C29" s="389" t="str">
        <f ca="1">'Hilfstabelle Datendef KB'!P17</f>
        <v>Anzahl Prostatektomien Zentrum</v>
      </c>
      <c r="D29" s="398" t="str">
        <f ca="1">'Hilfstabelle Datendef KB'!Q17</f>
        <v>-----</v>
      </c>
      <c r="E29" s="398" t="str">
        <f ca="1">'Hilfstabelle Datendef KB'!R17</f>
        <v>≥ 50</v>
      </c>
      <c r="F29" s="398" t="str">
        <f ca="1">'Hilfstabelle Datendef KB'!S17</f>
        <v>-----</v>
      </c>
      <c r="G29" s="388">
        <f ca="1">'Hilfstabelle Datendef KB'!T17</f>
        <v>0</v>
      </c>
      <c r="H29" s="388" t="str">
        <f ca="1">'Hilfstabelle Datendef KB'!U17</f>
        <v>-----</v>
      </c>
      <c r="I29" s="397" t="str">
        <f ca="1">'Hilfstabelle Datendef KB'!V17</f>
        <v>-----</v>
      </c>
      <c r="J29" s="388" t="str">
        <f ca="1">'Hilfstabelle Datendef KB'!W17</f>
        <v>Unvollständig</v>
      </c>
      <c r="K29" s="416" t="str">
        <f ca="1">'Hilfstabelle Datendef KB'!X17</f>
        <v>-----</v>
      </c>
      <c r="L29" s="389" t="str">
        <f ca="1">'Hilfstabelle Datendef KB'!Y17</f>
        <v>-----</v>
      </c>
    </row>
    <row r="30" spans="2:12" ht="170.25" customHeight="1" x14ac:dyDescent="0.25">
      <c r="B30" s="388">
        <f ca="1">'Hilfstabelle Datendef KB'!O18</f>
        <v>10</v>
      </c>
      <c r="C30" s="389" t="str">
        <f ca="1">'Hilfstabelle Datendef KB'!P18</f>
        <v>Erfassung der R1 Resektionen bei pT2 c/pN0 oder Nx M0</v>
      </c>
      <c r="D30" s="398" t="str">
        <f ca="1">'Hilfstabelle Datendef KB'!Q18</f>
        <v>-----</v>
      </c>
      <c r="E30" s="398" t="str">
        <f ca="1">'Hilfstabelle Datendef KB'!R18</f>
        <v>≤ 15%</v>
      </c>
      <c r="F30" s="398" t="str">
        <f ca="1">'Hilfstabelle Datendef KB'!S18</f>
        <v>-----</v>
      </c>
      <c r="G30" s="388" t="str">
        <f ca="1">'Hilfstabelle Datendef KB'!T18</f>
        <v>-----</v>
      </c>
      <c r="H30" s="388" t="str">
        <f ca="1">'Hilfstabelle Datendef KB'!U18</f>
        <v>-----</v>
      </c>
      <c r="I30" s="397" t="str">
        <f ca="1">'Hilfstabelle Datendef KB'!V18</f>
        <v>n.d.</v>
      </c>
      <c r="J30" s="388" t="str">
        <f ca="1">'Hilfstabelle Datendef KB'!W18</f>
        <v>Unvollständig</v>
      </c>
      <c r="K30" s="416" t="str">
        <f ca="1">'Hilfstabelle Datendef KB'!X18</f>
        <v>-----</v>
      </c>
      <c r="L30" s="389" t="str">
        <f ca="1">'Hilfstabelle Datendef KB'!Y18</f>
        <v>-----</v>
      </c>
    </row>
    <row r="31" spans="2:12" ht="170.25" customHeight="1" x14ac:dyDescent="0.25">
      <c r="B31" s="388">
        <f ca="1">'Hilfstabelle Datendef KB'!O19</f>
        <v>11</v>
      </c>
      <c r="C31" s="389" t="str">
        <f ca="1">'Hilfstabelle Datendef KB'!P19</f>
        <v>Definitive Strahlentherapie</v>
      </c>
      <c r="D31" s="398" t="str">
        <f ca="1">'Hilfstabelle Datendef KB'!Q19</f>
        <v>&lt; 10%</v>
      </c>
      <c r="E31" s="398" t="str">
        <f ca="1">'Hilfstabelle Datendef KB'!R19</f>
        <v>Derzeit keine
Vorgaben</v>
      </c>
      <c r="F31" s="398" t="str">
        <f ca="1">'Hilfstabelle Datendef KB'!S19</f>
        <v>&gt; 90%</v>
      </c>
      <c r="G31" s="388">
        <f ca="1">'Hilfstabelle Datendef KB'!T19</f>
        <v>0</v>
      </c>
      <c r="H31" s="388">
        <f ca="1">'Hilfstabelle Datendef KB'!U19</f>
        <v>0</v>
      </c>
      <c r="I31" s="397" t="str">
        <f ca="1">'Hilfstabelle Datendef KB'!V19</f>
        <v>n.d.</v>
      </c>
      <c r="J31" s="388" t="str">
        <f ca="1">'Hilfstabelle Datendef KB'!W19</f>
        <v>Unvollständig</v>
      </c>
      <c r="K31" s="416" t="str">
        <f ca="1">'Hilfstabelle Datendef KB'!X19</f>
        <v>-----</v>
      </c>
      <c r="L31" s="389" t="str">
        <f ca="1">'Hilfstabelle Datendef KB'!Y19</f>
        <v>-----</v>
      </c>
    </row>
    <row r="32" spans="2:12" ht="170.25" customHeight="1" x14ac:dyDescent="0.25">
      <c r="B32" s="388">
        <f ca="1">'Hilfstabelle Datendef KB'!O20</f>
        <v>12</v>
      </c>
      <c r="C32" s="389" t="str">
        <f ca="1">'Hilfstabelle Datendef KB'!P20</f>
        <v xml:space="preserve">Permanente Seedimplantation – 
D 90 &gt; 130 Gy
* Durchführung dieser Therapieform ist freiwillig!    </v>
      </c>
      <c r="D32" s="398" t="str">
        <f ca="1">'Hilfstabelle Datendef KB'!Q20</f>
        <v>-----</v>
      </c>
      <c r="E32" s="398" t="str">
        <f ca="1">'Hilfstabelle Datendef KB'!R20</f>
        <v>≥ 90%</v>
      </c>
      <c r="F32" s="398" t="str">
        <f ca="1">'Hilfstabelle Datendef KB'!S20</f>
        <v>-----</v>
      </c>
      <c r="G32" s="388" t="str">
        <f ca="1">'Hilfstabelle Datendef KB'!T20</f>
        <v>-----</v>
      </c>
      <c r="H32" s="388" t="str">
        <f ca="1">'Hilfstabelle Datendef KB'!U20</f>
        <v>-----</v>
      </c>
      <c r="I32" s="397" t="str">
        <f ca="1">'Hilfstabelle Datendef KB'!V20</f>
        <v>n.d.</v>
      </c>
      <c r="J32" s="388" t="str">
        <f ca="1">'Hilfstabelle Datendef KB'!W20</f>
        <v>Unvollständig</v>
      </c>
      <c r="K32" s="416" t="str">
        <f ca="1">'Hilfstabelle Datendef KB'!X20</f>
        <v>-----</v>
      </c>
      <c r="L32" s="389" t="str">
        <f ca="1">'Hilfstabelle Datendef KB'!Y20</f>
        <v>-----</v>
      </c>
    </row>
    <row r="33" spans="2:12" ht="170.25" customHeight="1" x14ac:dyDescent="0.25">
      <c r="B33" s="388">
        <f ca="1">'Hilfstabelle Datendef KB'!O21</f>
        <v>13</v>
      </c>
      <c r="C33" s="389" t="str">
        <f ca="1">'Hilfstabelle Datendef KB'!P21</f>
        <v>HDR-Brachytherapie
* Durchführung dieser Therapieform ist freiwillig!</v>
      </c>
      <c r="D33" s="398" t="str">
        <f ca="1">'Hilfstabelle Datendef KB'!Q21</f>
        <v>-----</v>
      </c>
      <c r="E33" s="398" t="str">
        <f ca="1">'Hilfstabelle Datendef KB'!R21</f>
        <v>Derzeit keine
Vorgaben</v>
      </c>
      <c r="F33" s="398" t="str">
        <f ca="1">'Hilfstabelle Datendef KB'!S21</f>
        <v>-----</v>
      </c>
      <c r="G33" s="388">
        <f ca="1">'Hilfstabelle Datendef KB'!T21</f>
        <v>0</v>
      </c>
      <c r="H33" s="388">
        <f ca="1">'Hilfstabelle Datendef KB'!U21</f>
        <v>0</v>
      </c>
      <c r="I33" s="397" t="str">
        <f ca="1">'Hilfstabelle Datendef KB'!V21</f>
        <v>n.d.</v>
      </c>
      <c r="J33" s="388" t="str">
        <f ca="1">'Hilfstabelle Datendef KB'!W21</f>
        <v>Unvollständig</v>
      </c>
      <c r="K33" s="416" t="str">
        <f ca="1">'Hilfstabelle Datendef KB'!X21</f>
        <v>-----</v>
      </c>
      <c r="L33" s="389" t="str">
        <f ca="1">'Hilfstabelle Datendef KB'!Y21</f>
        <v>-----</v>
      </c>
    </row>
    <row r="34" spans="2:12" ht="170.25" customHeight="1" x14ac:dyDescent="0.25">
      <c r="B34" s="388">
        <f ca="1">'Hilfstabelle Datendef KB'!O22</f>
        <v>14</v>
      </c>
      <c r="C34" s="389" t="str">
        <f ca="1">'Hilfstabelle Datendef KB'!P22</f>
        <v>Befundbericht Stanzbiopsie</v>
      </c>
      <c r="D34" s="398" t="str">
        <f ca="1">'Hilfstabelle Datendef KB'!Q22</f>
        <v>-----</v>
      </c>
      <c r="E34" s="398" t="str">
        <f ca="1">'Hilfstabelle Datendef KB'!R22</f>
        <v>≥ 80%</v>
      </c>
      <c r="F34" s="398" t="str">
        <f ca="1">'Hilfstabelle Datendef KB'!S22</f>
        <v>-----</v>
      </c>
      <c r="G34" s="388" t="str">
        <f ca="1">'Hilfstabelle Datendef KB'!T22</f>
        <v>-----</v>
      </c>
      <c r="H34" s="388" t="str">
        <f ca="1">'Hilfstabelle Datendef KB'!U22</f>
        <v>-----</v>
      </c>
      <c r="I34" s="397" t="str">
        <f ca="1">'Hilfstabelle Datendef KB'!V22</f>
        <v>n.d.</v>
      </c>
      <c r="J34" s="388" t="str">
        <f ca="1">'Hilfstabelle Datendef KB'!W22</f>
        <v>Unvollständig</v>
      </c>
      <c r="K34" s="416" t="str">
        <f ca="1">'Hilfstabelle Datendef KB'!X22</f>
        <v>-----</v>
      </c>
      <c r="L34" s="389" t="str">
        <f ca="1">'Hilfstabelle Datendef KB'!Y22</f>
        <v>-----</v>
      </c>
    </row>
    <row r="35" spans="2:12" ht="170.25" customHeight="1" x14ac:dyDescent="0.25">
      <c r="B35" s="388">
        <f ca="1">'Hilfstabelle Datendef KB'!O23</f>
        <v>15</v>
      </c>
      <c r="C35" s="389" t="str">
        <f ca="1">'Hilfstabelle Datendef KB'!P23</f>
        <v>Befundbericht Lymphknoten</v>
      </c>
      <c r="D35" s="398" t="str">
        <f ca="1">'Hilfstabelle Datendef KB'!Q23</f>
        <v>-----</v>
      </c>
      <c r="E35" s="398" t="str">
        <f ca="1">'Hilfstabelle Datendef KB'!R23</f>
        <v>≥ 80%</v>
      </c>
      <c r="F35" s="398" t="str">
        <f ca="1">'Hilfstabelle Datendef KB'!S23</f>
        <v>-----</v>
      </c>
      <c r="G35" s="388" t="str">
        <f ca="1">'Hilfstabelle Datendef KB'!T23</f>
        <v>-----</v>
      </c>
      <c r="H35" s="388" t="str">
        <f ca="1">'Hilfstabelle Datendef KB'!U23</f>
        <v>-----</v>
      </c>
      <c r="I35" s="397" t="str">
        <f ca="1">'Hilfstabelle Datendef KB'!V23</f>
        <v>n.d.</v>
      </c>
      <c r="J35" s="388" t="str">
        <f ca="1">'Hilfstabelle Datendef KB'!W23</f>
        <v>Unvollständig</v>
      </c>
      <c r="K35" s="416" t="str">
        <f ca="1">'Hilfstabelle Datendef KB'!X23</f>
        <v>-----</v>
      </c>
      <c r="L35" s="389" t="str">
        <f ca="1">'Hilfstabelle Datendef KB'!Y23</f>
        <v>-----</v>
      </c>
    </row>
    <row r="36" spans="2:12" ht="170.25" customHeight="1" x14ac:dyDescent="0.25">
      <c r="B36" s="388">
        <f ca="1">'Hilfstabelle Datendef KB'!O24</f>
        <v>16</v>
      </c>
      <c r="C36" s="389" t="str">
        <f ca="1">'Hilfstabelle Datendef KB'!P24</f>
        <v>Beginn Salvage-Radiotherapie bei rezidiviertem PCa</v>
      </c>
      <c r="D36" s="398" t="str">
        <f ca="1">'Hilfstabelle Datendef KB'!Q24</f>
        <v>-----</v>
      </c>
      <c r="E36" s="398" t="str">
        <f ca="1">'Hilfstabelle Datendef KB'!R24</f>
        <v>≥ 70%</v>
      </c>
      <c r="F36" s="398" t="str">
        <f ca="1">'Hilfstabelle Datendef KB'!S24</f>
        <v>-----</v>
      </c>
      <c r="G36" s="388" t="str">
        <f ca="1">'Hilfstabelle Datendef KB'!T24</f>
        <v>-----</v>
      </c>
      <c r="H36" s="388" t="str">
        <f ca="1">'Hilfstabelle Datendef KB'!U24</f>
        <v>-----</v>
      </c>
      <c r="I36" s="397" t="str">
        <f ca="1">'Hilfstabelle Datendef KB'!V24</f>
        <v>n.d.</v>
      </c>
      <c r="J36" s="388" t="str">
        <f ca="1">'Hilfstabelle Datendef KB'!W24</f>
        <v>Unvollständig</v>
      </c>
      <c r="K36" s="416" t="str">
        <f ca="1">'Hilfstabelle Datendef KB'!X24</f>
        <v>-----</v>
      </c>
      <c r="L36" s="389" t="str">
        <f ca="1">'Hilfstabelle Datendef KB'!Y24</f>
        <v>-----</v>
      </c>
    </row>
    <row r="37" spans="2:12" ht="170.25" customHeight="1" x14ac:dyDescent="0.25">
      <c r="B37" s="388">
        <f ca="1">'Hilfstabelle Datendef KB'!O25</f>
        <v>18</v>
      </c>
      <c r="C37" s="389" t="str">
        <f ca="1">'Hilfstabelle Datendef KB'!P25</f>
        <v>Postoperative Komplikationen nach Radikaler Prostatektomie</v>
      </c>
      <c r="D37" s="398" t="str">
        <f ca="1">'Hilfstabelle Datendef KB'!Q25</f>
        <v>-----</v>
      </c>
      <c r="E37" s="398" t="str">
        <f ca="1">'Hilfstabelle Datendef KB'!R25</f>
        <v>≤ 15%</v>
      </c>
      <c r="F37" s="398" t="str">
        <f ca="1">'Hilfstabelle Datendef KB'!S25</f>
        <v>-----</v>
      </c>
      <c r="G37" s="388" t="str">
        <f ca="1">'Hilfstabelle Datendef KB'!T25</f>
        <v>-----</v>
      </c>
      <c r="H37" s="388" t="str">
        <f ca="1">'Hilfstabelle Datendef KB'!U25</f>
        <v>-----</v>
      </c>
      <c r="I37" s="397" t="str">
        <f ca="1">'Hilfstabelle Datendef KB'!V25</f>
        <v>n.d.</v>
      </c>
      <c r="J37" s="388" t="str">
        <f ca="1">'Hilfstabelle Datendef KB'!W25</f>
        <v>Unvollständig</v>
      </c>
      <c r="K37" s="416" t="str">
        <f ca="1">'Hilfstabelle Datendef KB'!X25</f>
        <v>-----</v>
      </c>
      <c r="L37" s="389" t="str">
        <f ca="1">'Hilfstabelle Datendef KB'!Y25</f>
        <v>-----</v>
      </c>
    </row>
    <row r="38" spans="2:12" ht="170.25" customHeight="1" x14ac:dyDescent="0.25">
      <c r="B38" s="388">
        <f ca="1">'Hilfstabelle Datendef KB'!O26</f>
        <v>19</v>
      </c>
      <c r="C38" s="389" t="str">
        <f ca="1">'Hilfstabelle Datendef KB'!P26</f>
        <v>Unerwünschte Wirkungen nach Strahlentherapie</v>
      </c>
      <c r="D38" s="398" t="str">
        <f ca="1">'Hilfstabelle Datendef KB'!Q26</f>
        <v>-----</v>
      </c>
      <c r="E38" s="398" t="str">
        <f ca="1">'Hilfstabelle Datendef KB'!R26</f>
        <v>≤ 3%</v>
      </c>
      <c r="F38" s="398" t="str">
        <f ca="1">'Hilfstabelle Datendef KB'!S26</f>
        <v>-----</v>
      </c>
      <c r="G38" s="388" t="str">
        <f ca="1">'Hilfstabelle Datendef KB'!T26</f>
        <v>-----</v>
      </c>
      <c r="H38" s="388" t="str">
        <f ca="1">'Hilfstabelle Datendef KB'!U26</f>
        <v>-----</v>
      </c>
      <c r="I38" s="397" t="str">
        <f ca="1">'Hilfstabelle Datendef KB'!V26</f>
        <v>n.d.</v>
      </c>
      <c r="J38" s="388" t="str">
        <f ca="1">'Hilfstabelle Datendef KB'!W26</f>
        <v>Unvollständig</v>
      </c>
      <c r="K38" s="416" t="str">
        <f ca="1">'Hilfstabelle Datendef KB'!X26</f>
        <v>-----</v>
      </c>
      <c r="L38" s="389" t="str">
        <f ca="1">'Hilfstabelle Datendef KB'!Y26</f>
        <v>-----</v>
      </c>
    </row>
    <row r="39" spans="2:12" ht="170.25" customHeight="1" x14ac:dyDescent="0.25">
      <c r="B39" s="388">
        <f ca="1">'Hilfstabelle Datendef KB'!O27</f>
        <v>20</v>
      </c>
      <c r="C39" s="389" t="str">
        <f ca="1">'Hilfstabelle Datendef KB'!P27</f>
        <v>Zahnärztlicher Untersuchung 
vor Beginn der Bisphosphonat oder Denosumab-Therapie</v>
      </c>
      <c r="D39" s="398" t="str">
        <f ca="1">'Hilfstabelle Datendef KB'!Q27</f>
        <v>-----</v>
      </c>
      <c r="E39" s="398" t="str">
        <f ca="1">'Hilfstabelle Datendef KB'!R27</f>
        <v>≥ 90%</v>
      </c>
      <c r="F39" s="398" t="str">
        <f ca="1">'Hilfstabelle Datendef KB'!S27</f>
        <v>-----</v>
      </c>
      <c r="G39" s="388" t="str">
        <f ca="1">'Hilfstabelle Datendef KB'!T27</f>
        <v>-----</v>
      </c>
      <c r="H39" s="388" t="str">
        <f ca="1">'Hilfstabelle Datendef KB'!U27</f>
        <v>-----</v>
      </c>
      <c r="I39" s="397" t="str">
        <f ca="1">'Hilfstabelle Datendef KB'!V27</f>
        <v>n.d.</v>
      </c>
      <c r="J39" s="388" t="str">
        <f ca="1">'Hilfstabelle Datendef KB'!W27</f>
        <v>Unvollständig</v>
      </c>
      <c r="K39" s="416" t="str">
        <f ca="1">'Hilfstabelle Datendef KB'!X27</f>
        <v>-----</v>
      </c>
      <c r="L39" s="389" t="str">
        <f ca="1">'Hilfstabelle Datendef KB'!Y27</f>
        <v>-----</v>
      </c>
    </row>
    <row r="40" spans="2:12" ht="170.25" customHeight="1" x14ac:dyDescent="0.25">
      <c r="B40" s="388">
        <f ca="1">'Hilfstabelle Datendef KB'!O28</f>
        <v>21</v>
      </c>
      <c r="C40" s="389" t="str">
        <f ca="1">'Hilfstabelle Datendef KB'!P28</f>
        <v>Keine hormonablative Therapie bei lokal fortgeschrittenem Prostatakarzinom mit radikaler Prostatektomie</v>
      </c>
      <c r="D40" s="398" t="str">
        <f ca="1">'Hilfstabelle Datendef KB'!Q28</f>
        <v>-----</v>
      </c>
      <c r="E40" s="398" t="str">
        <f ca="1">'Hilfstabelle Datendef KB'!R28</f>
        <v>&lt; 0,1%</v>
      </c>
      <c r="F40" s="398" t="str">
        <f ca="1">'Hilfstabelle Datendef KB'!S28</f>
        <v>-----</v>
      </c>
      <c r="G40" s="388" t="str">
        <f ca="1">'Hilfstabelle Datendef KB'!T28</f>
        <v>-----</v>
      </c>
      <c r="H40" s="388" t="str">
        <f ca="1">'Hilfstabelle Datendef KB'!U28</f>
        <v>-----</v>
      </c>
      <c r="I40" s="397" t="str">
        <f ca="1">'Hilfstabelle Datendef KB'!V28</f>
        <v>n.d.</v>
      </c>
      <c r="J40" s="388" t="str">
        <f ca="1">'Hilfstabelle Datendef KB'!W28</f>
        <v>Unvollständig</v>
      </c>
      <c r="K40" s="416" t="str">
        <f ca="1">'Hilfstabelle Datendef KB'!X28</f>
        <v>-----</v>
      </c>
      <c r="L40" s="389" t="str">
        <f ca="1">'Hilfstabelle Datendef KB'!Y28</f>
        <v>-----</v>
      </c>
    </row>
  </sheetData>
  <sheetProtection algorithmName="SHA-512" hashValue="nDOheKPDACciDMd+4frXa5XF1j33Z/z2CqtSFV/dkEgqs281zei+fNmQukdXQmCUg/LZyKw1eFAYPKAnostjYg==" saltValue="psWseD02kbYD797k35/M/A==" spinCount="100000" sheet="1" objects="1" scenarios="1"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8">
    <mergeCell ref="D6:K6"/>
    <mergeCell ref="B12:B13"/>
    <mergeCell ref="J12:J13"/>
    <mergeCell ref="C12:C13"/>
    <mergeCell ref="D8:F8"/>
    <mergeCell ref="D12:F12"/>
    <mergeCell ref="G12:I12"/>
    <mergeCell ref="K12:L12"/>
  </mergeCells>
  <phoneticPr fontId="41" type="noConversion"/>
  <conditionalFormatting sqref="J14:J40">
    <cfRule type="expression" dxfId="156" priority="1">
      <formula>AND($J14&lt;&gt;"",$J14="Ausnahme (Plausibilität unklar)")</formula>
    </cfRule>
    <cfRule type="expression" dxfId="155" priority="3" stopIfTrue="1">
      <formula>AND($J14&lt;&gt;"",$J14="Sollvorgabe nicht erfüllt")</formula>
    </cfRule>
    <cfRule type="expression" dxfId="154" priority="4" stopIfTrue="1">
      <formula>AND($J14&lt;&gt;"",$J14="I.O. (Plausibilität unklar)")</formula>
    </cfRule>
    <cfRule type="expression" dxfId="153" priority="15" stopIfTrue="1">
      <formula>OR(AND($J14&lt;&gt;"",$J14="Unvollständig"),AND($J14&lt;&gt;"",$J14="Inkorrekt"))</formula>
    </cfRule>
    <cfRule type="expression" dxfId="152" priority="28" stopIfTrue="1">
      <formula>AND($J14&lt;&gt;"",$J14="optional - Sollvorgabe nicht erfüllt")</formula>
    </cfRule>
    <cfRule type="expression" dxfId="151" priority="29" stopIfTrue="1">
      <formula>AND($J14&lt;&gt;"",$J14="optional - I.O. (Plausibilität unklar)")</formula>
    </cfRule>
    <cfRule type="expression" dxfId="150" priority="30" stopIfTrue="1">
      <formula>AND($J14&lt;&gt;"",$J14="optional - Unvollständig")</formula>
    </cfRule>
  </conditionalFormatting>
  <conditionalFormatting sqref="B14:I40 K14:L40">
    <cfRule type="notContainsBlanks" dxfId="149" priority="27" stopIfTrue="1">
      <formula>LEN(TRIM(B14))&gt;0</formula>
    </cfRule>
  </conditionalFormatting>
  <conditionalFormatting sqref="K12">
    <cfRule type="expression" dxfId="148" priority="25" stopIfTrue="1">
      <formula>$C$10="Kein Datendefizit vorhanden"</formula>
    </cfRule>
  </conditionalFormatting>
  <conditionalFormatting sqref="C12:C13">
    <cfRule type="expression" dxfId="147" priority="24" stopIfTrue="1">
      <formula>$C$10="Kein Datendefizit vorhanden"</formula>
    </cfRule>
  </conditionalFormatting>
  <conditionalFormatting sqref="D12:F12">
    <cfRule type="expression" dxfId="146" priority="23" stopIfTrue="1">
      <formula>$C$10="Kein Datendefizit vorhanden"</formula>
    </cfRule>
  </conditionalFormatting>
  <conditionalFormatting sqref="D13">
    <cfRule type="expression" dxfId="145" priority="22" stopIfTrue="1">
      <formula>$C$10="Kein Datendefizit vorhanden"</formula>
    </cfRule>
  </conditionalFormatting>
  <conditionalFormatting sqref="E13">
    <cfRule type="expression" dxfId="144" priority="21" stopIfTrue="1">
      <formula>$C$10="Kein Datendefizit vorhanden"</formula>
    </cfRule>
  </conditionalFormatting>
  <conditionalFormatting sqref="F13">
    <cfRule type="expression" dxfId="143" priority="20" stopIfTrue="1">
      <formula>$C$10="Kein Datendefizit vorhanden"</formula>
    </cfRule>
  </conditionalFormatting>
  <conditionalFormatting sqref="G12:I12">
    <cfRule type="expression" dxfId="142" priority="19" stopIfTrue="1">
      <formula>$C$10="Kein Datendefizit vorhanden"</formula>
    </cfRule>
  </conditionalFormatting>
  <conditionalFormatting sqref="G13">
    <cfRule type="expression" dxfId="141" priority="18" stopIfTrue="1">
      <formula>$C$10="Kein Datendefizit vorhanden"</formula>
    </cfRule>
  </conditionalFormatting>
  <conditionalFormatting sqref="H13">
    <cfRule type="expression" dxfId="140" priority="17" stopIfTrue="1">
      <formula>$C$10="Kein Datendefizit vorhanden"</formula>
    </cfRule>
  </conditionalFormatting>
  <conditionalFormatting sqref="I13">
    <cfRule type="expression" dxfId="139" priority="16" stopIfTrue="1">
      <formula>$C$10="Kein Datendefizit vorhanden"</formula>
    </cfRule>
  </conditionalFormatting>
  <conditionalFormatting sqref="J12:J13">
    <cfRule type="expression" dxfId="138" priority="2" stopIfTrue="1">
      <formula>$C$10="Kein Datendefizit vorhanden"</formula>
    </cfRule>
  </conditionalFormatting>
  <conditionalFormatting sqref="K13">
    <cfRule type="expression" dxfId="137" priority="13" stopIfTrue="1">
      <formula>$C$10="Kein Datendefizit vorhanden"</formula>
    </cfRule>
  </conditionalFormatting>
  <conditionalFormatting sqref="L13">
    <cfRule type="expression" dxfId="136" priority="12" stopIfTrue="1">
      <formula>$C$10="Kein Datendefizit vorhanden"</formula>
    </cfRule>
  </conditionalFormatting>
  <conditionalFormatting sqref="B12:B13">
    <cfRule type="expression" dxfId="135" priority="10" stopIfTrue="1">
      <formula>$C$10="Kein Datendefizit vorhanden"</formula>
    </cfRule>
  </conditionalFormatting>
  <conditionalFormatting sqref="K12:L12">
    <cfRule type="expression" dxfId="134" priority="5" stopIfTrue="1">
      <formula>K12&lt;&gt;""</formula>
    </cfRule>
  </conditionalFormatting>
  <conditionalFormatting sqref="J36:J37">
    <cfRule type="expression" dxfId="133" priority="2940">
      <formula>AND($J34&lt;&gt;"",$J34="Ausnahme (Plausibilität unklar)")</formula>
    </cfRule>
  </conditionalFormatting>
  <conditionalFormatting sqref="J38:J40">
    <cfRule type="expression" dxfId="132" priority="2941">
      <formula>AND(#REF!&lt;&gt;"",#REF!="Ausnahme (Plausibilität unklar)")</formula>
    </cfRule>
  </conditionalFormatting>
  <pageMargins left="0.39370078740157483" right="3.937007874015748E-2" top="0.59055118110236227" bottom="0.39370078740157483" header="0.31496062992125984" footer="0.11811023622047245"/>
  <pageSetup paperSize="9" scale="98"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2" manualBreakCount="2">
    <brk id="15" min="1" max="12" man="1"/>
    <brk id="18" min="1" max="11" man="1"/>
  </rowBreaks>
  <ignoredErrors>
    <ignoredError sqref="E13" formula="1"/>
  </ignoredErrors>
  <drawing r:id="rId4"/>
  <legacy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Y29"/>
  <sheetViews>
    <sheetView topLeftCell="A19" workbookViewId="0">
      <selection activeCell="J36" sqref="J36"/>
    </sheetView>
  </sheetViews>
  <sheetFormatPr baseColWidth="10" defaultColWidth="11.42578125" defaultRowHeight="11.25" x14ac:dyDescent="0.25"/>
  <cols>
    <col min="1" max="1" width="22.42578125" style="623" customWidth="1"/>
    <col min="2" max="2" width="9.140625" style="623" customWidth="1"/>
    <col min="3" max="3" width="7.5703125" style="627" customWidth="1"/>
    <col min="4" max="4" width="29.85546875" style="637" customWidth="1"/>
    <col min="5" max="5" width="9.140625" style="627" customWidth="1"/>
    <col min="6" max="6" width="11" style="638" customWidth="1"/>
    <col min="7" max="10" width="9.140625" style="627" customWidth="1"/>
    <col min="11" max="11" width="12.42578125" style="627" customWidth="1"/>
    <col min="12" max="12" width="33.7109375" style="637" customWidth="1"/>
    <col min="13" max="13" width="33.85546875" style="637" customWidth="1"/>
    <col min="14" max="14" width="9.140625" style="623" customWidth="1"/>
    <col min="15" max="15" width="6.7109375" style="628" customWidth="1"/>
    <col min="16" max="16" width="30.140625" style="627" customWidth="1"/>
    <col min="17" max="22" width="9.140625" style="628" customWidth="1"/>
    <col min="23" max="23" width="9.140625" style="627" customWidth="1"/>
    <col min="24" max="24" width="25" style="627" customWidth="1"/>
    <col min="25" max="25" width="24.5703125" style="627" customWidth="1"/>
    <col min="26" max="16384" width="11.42578125" style="623"/>
  </cols>
  <sheetData>
    <row r="1" spans="1:25" ht="27" customHeight="1" x14ac:dyDescent="0.25">
      <c r="A1" s="622" t="s">
        <v>64</v>
      </c>
      <c r="C1" s="624" t="s">
        <v>552</v>
      </c>
      <c r="D1" s="624" t="s">
        <v>539</v>
      </c>
      <c r="E1" s="624" t="s">
        <v>499</v>
      </c>
      <c r="F1" s="625" t="s">
        <v>3</v>
      </c>
      <c r="G1" s="624" t="s">
        <v>499</v>
      </c>
      <c r="H1" s="624" t="s">
        <v>321</v>
      </c>
      <c r="I1" s="624" t="s">
        <v>4</v>
      </c>
      <c r="J1" s="624" t="s">
        <v>17</v>
      </c>
      <c r="K1" s="624" t="s">
        <v>64</v>
      </c>
      <c r="L1" s="624" t="s">
        <v>473</v>
      </c>
      <c r="M1" s="624" t="s">
        <v>474</v>
      </c>
      <c r="O1" s="626" t="s">
        <v>541</v>
      </c>
    </row>
    <row r="2" spans="1:25" ht="46.5" customHeight="1" x14ac:dyDescent="0.25">
      <c r="A2" s="629" t="str">
        <f>IF('Kennzahlenbogen_(KB)'!R12=0,"",'Kennzahlenbogen_(KB)'!R12)</f>
        <v>Unvollständig</v>
      </c>
      <c r="C2" s="630" t="str">
        <f>IF($A2="I.O.","",'Kennzahlenbogen_(KB)'!B12)</f>
        <v>1a)</v>
      </c>
      <c r="D2" s="631" t="str">
        <f>IF($A2="I.O.","",'Kennzahlenbogen_(KB)'!E12)</f>
        <v xml:space="preserve">Anzahl Primärfälle Prostatakarzinom </v>
      </c>
      <c r="E2" s="632" t="str">
        <f>IF(AND('Kennzahlenbogen_(KB)'!L12="",$A2&lt;&gt;"I.O."),"-----",IF($A2="I.O.","",'Kennzahlenbogen_(KB)'!L12))</f>
        <v>-----</v>
      </c>
      <c r="F2" s="632" t="str">
        <f>IF($A2="I.O.","",'Kennzahlenbogen_(KB)'!M12)</f>
        <v xml:space="preserve">≥ 100 </v>
      </c>
      <c r="G2" s="632" t="str">
        <f>IF(AND('Kennzahlenbogen_(KB)'!O12="",$A2&lt;&gt;"I.O."),"-----",IF($A2="I.O.","",'Kennzahlenbogen_(KB)'!O12))</f>
        <v>-----</v>
      </c>
      <c r="H2" s="630">
        <f>IF($A2="I.O.","",IF('Kennzahlenbogen_(KB)'!Q12="","-----",'Kennzahlenbogen_(KB)'!Q12))</f>
        <v>0</v>
      </c>
      <c r="I2" s="630" t="str">
        <f>IF($A2="I.O.","","-----")</f>
        <v>-----</v>
      </c>
      <c r="J2" s="630" t="str">
        <f>IF($A2="I.O.","","-----")</f>
        <v>-----</v>
      </c>
      <c r="K2" s="630" t="str">
        <f>IF($A2="I.O.","",'Kennzahlenbogen_(KB)'!R12)</f>
        <v>Unvollständig</v>
      </c>
      <c r="L2" s="631" t="str">
        <f>IF(AND('Kennzahlenbogen_(KB)'!S12="",$A2&lt;&gt;"I.O."),"-----",IF($A2="I.O.","",'Kennzahlenbogen_(KB)'!S12))</f>
        <v>-----</v>
      </c>
      <c r="M2" s="631" t="str">
        <f>IF(AND('Kennzahlenbogen_(KB)'!T12="",$A2&lt;&gt;"I.O."),"-----",IF($A2="I.O.","",'Kennzahlenbogen_(KB)'!T12))</f>
        <v>-----</v>
      </c>
      <c r="O2" s="633" t="str">
        <f t="array" aca="1" ref="O2" ca="1">IF(ROW()-ROW($D$2:$D$28)+1&gt;ROWS($C$2:$C$28)-COUNTBLANK($C$2:$C$28),"",INDIRECT(ADDRESS(SMALL((IF($C$2:$C$28&lt;&gt;"",ROW($C$2:$C$28),ROW()+ROWS($C$2:$C$28))),ROW()-ROW($D$2:$D$28)+1),COLUMN($C$2:$C$28),4)))</f>
        <v>1a)</v>
      </c>
      <c r="P2" s="634" t="str">
        <f t="array" aca="1" ref="P2" ca="1">IF(ROW()-ROW($E$2:$E$28)+1&gt;ROWS($D$2:$D$28)-COUNTBLANK($D$2:$D$28),"",INDIRECT(ADDRESS(SMALL((IF($D$2:$D$28&gt;"",ROW($D$2:$D$28),ROW()+ROWS($D$2:$D$28))),ROW()-ROW($E$2:$E$28)+1),COLUMN($D$2:$D$28),4)))</f>
        <v xml:space="preserve">Anzahl Primärfälle Prostatakarzinom </v>
      </c>
      <c r="Q2" s="630" t="str">
        <f t="array" aca="1" ref="Q2" ca="1">IF(ROW()-ROW($F$2:$F$28)+1&gt;ROWS($E$2:$E$28)-COUNTBLANK($E$2:$E$28),"",INDIRECT(ADDRESS(SMALL((IF($E$2:$E$28&gt;"",ROW($E$2:$E$28),ROW()+ROWS($E$2:$E$28))),ROW()-ROW($F$2:$F$28)+1),COLUMN($E$2:$E$28),4)))</f>
        <v>-----</v>
      </c>
      <c r="R2" s="630" t="str">
        <f t="array" aca="1" ref="R2" ca="1">IF(ROW()-ROW($G$2:$G$28)+1&gt;ROWS($F$2:$F$28)-COUNTBLANK($F$2:$F$28),"",INDIRECT(ADDRESS(SMALL((IF($F$2:$F$28&gt;"",ROW($F$2:$F$28),ROW()+ROWS($F$2:$F$28))),ROW()-ROW($G$2:$G$28)+1),COLUMN($F$2:$F$28),4)))</f>
        <v xml:space="preserve">≥ 100 </v>
      </c>
      <c r="S2" s="630" t="str">
        <f t="array" aca="1" ref="S2" ca="1">IF(ROW()-ROW($H$2:$H$28)+1&gt;ROWS($G$2:$G$28)-COUNTBLANK($G$2:$G$28),"",INDIRECT(ADDRESS(SMALL((IF($G$2:$G$28&lt;&gt;"",ROW($G$2:$G$28),ROW()+ROWS($G$2:$G$28))),ROW()-ROW($H$2:$H$28)+1),COLUMN($G$2:$G$28),4)))</f>
        <v>-----</v>
      </c>
      <c r="T2" s="630">
        <f t="array" aca="1" ref="T2" ca="1">IF(ROW()-ROW($I$2:$I$28)+1&gt;ROWS($H$2:$H$28)-COUNTBLANK($H$2:$H$28),"",INDIRECT(ADDRESS(SMALL((IF($H$2:$H$28&lt;&gt;"",ROW($H$2:$H$28),ROW()+ROWS($H$2:$H$28))),ROW()-ROW($I$2:$I$28)+1),COLUMN($H$2:$H$28),4)))</f>
        <v>0</v>
      </c>
      <c r="U2" s="630" t="str">
        <f t="array" aca="1" ref="U2" ca="1">IF(ROW()-ROW($J$2:$J$28)+1&gt;ROWS($I$2:$I$28)-COUNTBLANK($I$2:$I$28),"",INDIRECT(ADDRESS(SMALL((IF($I$2:$I$28&lt;&gt;"",ROW($I$2:$I$28),ROW()+ROWS($I$2:$I$28))),ROW()-ROW($J$2:$J$28)+1),COLUMN($I$2:$I$28),4)))</f>
        <v>-----</v>
      </c>
      <c r="V2" s="630" t="str">
        <f t="array" aca="1" ref="V2" ca="1">IF(ROW()-ROW($K$2:$K$28)+1&gt;ROWS($J$2:$J$28)-COUNTBLANK($J$2:$J$28),"",INDIRECT(ADDRESS(SMALL((IF($J$2:$J$28&lt;&gt;"",ROW($J$2:$J$28),ROW()+ROWS($J$2:$J$28))),ROW()-ROW($K$2:$K$28)+1),COLUMN($J$2:$J$28),4)))</f>
        <v>-----</v>
      </c>
      <c r="W2" s="634" t="str">
        <f t="array" aca="1" ref="W2" ca="1">IF(ROW()-ROW($L$2:$L$28)+1&gt;ROWS($K$2:$K$28)-COUNTBLANK($K$2:$K$28),"",INDIRECT(ADDRESS(SMALL((IF($K$2:$K$28&lt;&gt;"",ROW($K$2:$K$28),ROW()+ROWS($K$2:$K$28))),ROW()-ROW($L$2:$L$28)+1),COLUMN($K$2:$K$28),4)))</f>
        <v>Unvollständig</v>
      </c>
      <c r="X2" s="634" t="str">
        <f t="array" aca="1" ref="X2" ca="1">IF(ROW()-ROW($M$2:$M$28)+1&gt;ROWS($L$2:$L$28)-COUNTBLANK($L$2:$L$28),"",INDIRECT(ADDRESS(SMALL((IF($L$2:$L$28&lt;&gt;"",ROW($L$2:$L$28),ROW()+ROWS($L$2:$L$28))),ROW()-ROW($M$2:$M$28)+1),COLUMN($L$2:$L$28),4)))</f>
        <v>-----</v>
      </c>
      <c r="Y2" s="634" t="str">
        <f t="array" aca="1" ref="Y2" ca="1">IF(ROW()-ROW($N$2:$N$28)+1&gt;ROWS($M$2:$M$28)-COUNTBLANK($M$2:$M$28),"",INDIRECT(ADDRESS(SMALL((IF($M$2:$M$28&lt;&gt;"",ROW($M$2:$M$28),ROW()+ROWS($M$2:$M$28))),ROW()-ROW($N$2:$N$28)+1),COLUMN($M$2:$M$28),4)))</f>
        <v>-----</v>
      </c>
    </row>
    <row r="3" spans="1:25" ht="46.5" customHeight="1" x14ac:dyDescent="0.25">
      <c r="A3" s="629" t="str">
        <f>IF('Kennzahlenbogen_(KB)'!R15=0,"",'Kennzahlenbogen_(KB)'!R15)</f>
        <v>Unvollständig</v>
      </c>
      <c r="C3" s="630" t="str">
        <f>IF($A3="I.O.","",CONCATENATE('Kennzahlenbogen_(KB)'!B15,'Kennzahlenbogen_(KB)'!C15))</f>
        <v>1b) 1</v>
      </c>
      <c r="D3" s="631" t="str">
        <f>IF($A3="I.O.","",CONCATENATE('Kennzahlenbogen_(KB)'!E15," - niedrigem Risiko"))</f>
        <v>Aufteilung Primärfälle mit lokal begrenztem Prostatakarzinom - niedrigem Risiko</v>
      </c>
      <c r="E3" s="632" t="str">
        <f>IF(AND('Kennzahlenbogen_(KB)'!L15="",$A3&lt;&gt;"I.O."),"-----",IF($A3="I.O.","",'Kennzahlenbogen_(KB)'!L15))</f>
        <v>-----</v>
      </c>
      <c r="F3" s="632" t="str">
        <f>IF($A3="I.O.","",'Kennzahlenbogen_(KB)'!M15)</f>
        <v>Derzeit keine
Vorgaben</v>
      </c>
      <c r="G3" s="632" t="str">
        <f>IF(AND('Kennzahlenbogen_(KB)'!O15="",$A3&lt;&gt;"I.O."),"-----",IF($A3="I.O.","",'Kennzahlenbogen_(KB)'!O15))</f>
        <v>-----</v>
      </c>
      <c r="H3" s="630">
        <f>IF($A3="I.O.","",IF('Kennzahlenbogen_(KB)'!Q15="","-----",'Kennzahlenbogen_(KB)'!Q15))</f>
        <v>0</v>
      </c>
      <c r="I3" s="630" t="str">
        <f t="shared" ref="I3:J6" si="0">IF($A3="I.O.","","-----")</f>
        <v>-----</v>
      </c>
      <c r="J3" s="630" t="str">
        <f t="shared" si="0"/>
        <v>-----</v>
      </c>
      <c r="K3" s="630" t="str">
        <f>IF($A3="I.O.","",'Kennzahlenbogen_(KB)'!R15)</f>
        <v>Unvollständig</v>
      </c>
      <c r="L3" s="631" t="str">
        <f>IF(AND('Kennzahlenbogen_(KB)'!S15="",$A3&lt;&gt;"I.O."),"-----",IF($A3="I.O.","",'Kennzahlenbogen_(KB)'!S15))</f>
        <v>-----</v>
      </c>
      <c r="M3" s="631" t="str">
        <f>IF(AND('Kennzahlenbogen_(KB)'!T15="",$A3&lt;&gt;"I.O."),"-----",IF($A3="I.O.","",'Kennzahlenbogen_(KB)'!T15))</f>
        <v>-----</v>
      </c>
      <c r="O3" s="633" t="str">
        <f t="array" aca="1" ref="O3" ca="1">IF(ROW()-ROW($D$2:$D$28)+1&gt;ROWS($C$2:$C$28)-COUNTBLANK($C$2:$C$28),"",INDIRECT(ADDRESS(SMALL((IF($C$2:$C$28&lt;&gt;"",ROW($C$2:$C$28),ROW()+ROWS($C$2:$C$28))),ROW()-ROW($D$2:$D$28)+1),COLUMN($C$2:$C$28),4)))</f>
        <v>1b) 1</v>
      </c>
      <c r="P3" s="634" t="str">
        <f t="array" aca="1" ref="P3" ca="1">IF(ROW()-ROW($E$2:$E$28)+1&gt;ROWS($D$2:$D$28)-COUNTBLANK($D$2:$D$28),"",INDIRECT(ADDRESS(SMALL((IF($D$2:$D$28&gt;"",ROW($D$2:$D$28),ROW()+ROWS($D$2:$D$28))),ROW()-ROW($E$2:$E$28)+1),COLUMN($D$2:$D$28),4)))</f>
        <v>Aufteilung Primärfälle mit lokal begrenztem Prostatakarzinom - niedrigem Risiko</v>
      </c>
      <c r="Q3" s="630" t="str">
        <f t="array" aca="1" ref="Q3" ca="1">IF(ROW()-ROW($F$2:$F$28)+1&gt;ROWS($E$2:$E$28)-COUNTBLANK($E$2:$E$28),"",INDIRECT(ADDRESS(SMALL((IF($E$2:$E$28&gt;"",ROW($E$2:$E$28),ROW()+ROWS($E$2:$E$28))),ROW()-ROW($F$2:$F$28)+1),COLUMN($E$2:$E$28),4)))</f>
        <v>-----</v>
      </c>
      <c r="R3" s="630" t="str">
        <f t="array" aca="1" ref="R3" ca="1">IF(ROW()-ROW($G$2:$G$28)+1&gt;ROWS($F$2:$F$28)-COUNTBLANK($F$2:$F$28),"",INDIRECT(ADDRESS(SMALL((IF($F$2:$F$28&gt;"",ROW($F$2:$F$28),ROW()+ROWS($F$2:$F$28))),ROW()-ROW($G$2:$G$28)+1),COLUMN($F$2:$F$28),4)))</f>
        <v>Derzeit keine
Vorgaben</v>
      </c>
      <c r="S3" s="630" t="str">
        <f t="array" aca="1" ref="S3" ca="1">IF(ROW()-ROW($H$2:$H$28)+1&gt;ROWS($G$2:$G$28)-COUNTBLANK($G$2:$G$28),"",INDIRECT(ADDRESS(SMALL((IF($G$2:$G$28&lt;&gt;"",ROW($G$2:$G$28),ROW()+ROWS($G$2:$G$28))),ROW()-ROW($H$2:$H$28)+1),COLUMN($G$2:$G$28),4)))</f>
        <v>-----</v>
      </c>
      <c r="T3" s="630">
        <f t="array" aca="1" ref="T3" ca="1">IF(ROW()-ROW($I$2:$I$28)+1&gt;ROWS($H$2:$H$28)-COUNTBLANK($H$2:$H$28),"",INDIRECT(ADDRESS(SMALL((IF($H$2:$H$28&lt;&gt;"",ROW($H$2:$H$28),ROW()+ROWS($H$2:$H$28))),ROW()-ROW($I$2:$I$28)+1),COLUMN($H$2:$H$28),4)))</f>
        <v>0</v>
      </c>
      <c r="U3" s="630" t="str">
        <f t="array" aca="1" ref="U3" ca="1">IF(ROW()-ROW($J$2:$J$28)+1&gt;ROWS($I$2:$I$28)-COUNTBLANK($I$2:$I$28),"",INDIRECT(ADDRESS(SMALL((IF($I$2:$I$28&lt;&gt;"",ROW($I$2:$I$28),ROW()+ROWS($I$2:$I$28))),ROW()-ROW($J$2:$J$28)+1),COLUMN($I$2:$I$28),4)))</f>
        <v>-----</v>
      </c>
      <c r="V3" s="630" t="str">
        <f t="array" aca="1" ref="V3" ca="1">IF(ROW()-ROW($K$2:$K$28)+1&gt;ROWS($J$2:$J$28)-COUNTBLANK($J$2:$J$28),"",INDIRECT(ADDRESS(SMALL((IF($J$2:$J$28&lt;&gt;"",ROW($J$2:$J$28),ROW()+ROWS($J$2:$J$28))),ROW()-ROW($K$2:$K$28)+1),COLUMN($J$2:$J$28),4)))</f>
        <v>-----</v>
      </c>
      <c r="W3" s="634" t="str">
        <f t="array" aca="1" ref="W3" ca="1">IF(ROW()-ROW($L$2:$L$28)+1&gt;ROWS($K$2:$K$28)-COUNTBLANK($K$2:$K$28),"",INDIRECT(ADDRESS(SMALL((IF($K$2:$K$28&lt;&gt;"",ROW($K$2:$K$28),ROW()+ROWS($K$2:$K$28))),ROW()-ROW($L$2:$L$28)+1),COLUMN($K$2:$K$28),4)))</f>
        <v>Unvollständig</v>
      </c>
      <c r="X3" s="634" t="str">
        <f t="array" aca="1" ref="X3" ca="1">IF(ROW()-ROW($M$2:$M$28)+1&gt;ROWS($L$2:$L$28)-COUNTBLANK($L$2:$L$28),"",INDIRECT(ADDRESS(SMALL((IF($L$2:$L$28&lt;&gt;"",ROW($L$2:$L$28),ROW()+ROWS($L$2:$L$28))),ROW()-ROW($M$2:$M$28)+1),COLUMN($L$2:$L$28),4)))</f>
        <v>-----</v>
      </c>
      <c r="Y3" s="634" t="str">
        <f t="array" aca="1" ref="Y3" ca="1">IF(ROW()-ROW($N$2:$N$28)+1&gt;ROWS($M$2:$M$28)-COUNTBLANK($M$2:$M$28),"",INDIRECT(ADDRESS(SMALL((IF($M$2:$M$28&lt;&gt;"",ROW($M$2:$M$28),ROW()+ROWS($M$2:$M$28))),ROW()-ROW($N$2:$N$28)+1),COLUMN($M$2:$M$28),4)))</f>
        <v>-----</v>
      </c>
    </row>
    <row r="4" spans="1:25" ht="46.5" customHeight="1" x14ac:dyDescent="0.25">
      <c r="A4" s="629" t="str">
        <f>IF('Kennzahlenbogen_(KB)'!R18=0,"",'Kennzahlenbogen_(KB)'!R18)</f>
        <v>Unvollständig</v>
      </c>
      <c r="C4" s="630" t="str">
        <f>IF($A4="I.O.","",CONCATENATE('Kennzahlenbogen_(KB)'!B15,'Kennzahlenbogen_(KB)'!C18))</f>
        <v>1b) 2</v>
      </c>
      <c r="D4" s="631" t="str">
        <f>IF($A4="I.O.","",CONCATENATE('Kennzahlenbogen_(KB)'!E18," - mittlerem Risiko"))</f>
        <v>Aufteilung Primärfälle mit lokal begrenztem Prostatakarzinom - mittlerem Risiko</v>
      </c>
      <c r="E4" s="632" t="str">
        <f>IF(AND('Kennzahlenbogen_(KB)'!L18="",$A4&lt;&gt;"I.O."),"-----",IF($A4="I.O.","",'Kennzahlenbogen_(KB)'!L18))</f>
        <v>-----</v>
      </c>
      <c r="F4" s="632" t="str">
        <f>IF($A4="I.O.","",'Kennzahlenbogen_(KB)'!M18)</f>
        <v>Derzeit keine
Vorgaben</v>
      </c>
      <c r="G4" s="632" t="str">
        <f>IF(AND('Kennzahlenbogen_(KB)'!O18="",$A4&lt;&gt;"I.O."),"-----",IF($A4="I.O.","",'Kennzahlenbogen_(KB)'!O18))</f>
        <v>-----</v>
      </c>
      <c r="H4" s="630">
        <f>IF($A4="I.O.","",IF('Kennzahlenbogen_(KB)'!Q18="","-----",'Kennzahlenbogen_(KB)'!Q18))</f>
        <v>0</v>
      </c>
      <c r="I4" s="630" t="str">
        <f t="shared" si="0"/>
        <v>-----</v>
      </c>
      <c r="J4" s="630" t="str">
        <f t="shared" si="0"/>
        <v>-----</v>
      </c>
      <c r="K4" s="630" t="str">
        <f>IF($A4="I.O.","",'Kennzahlenbogen_(KB)'!R18)</f>
        <v>Unvollständig</v>
      </c>
      <c r="L4" s="631" t="str">
        <f>IF(AND('Kennzahlenbogen_(KB)'!S18="",$A4&lt;&gt;"I.O."),"-----",IF($A4="I.O.","",'Kennzahlenbogen_(KB)'!S18))</f>
        <v>-----</v>
      </c>
      <c r="M4" s="631" t="str">
        <f>IF(AND('Kennzahlenbogen_(KB)'!T18="",$A4&lt;&gt;"I.O."),"-----",IF($A4="I.O.","",'Kennzahlenbogen_(KB)'!T18))</f>
        <v>-----</v>
      </c>
      <c r="O4" s="633" t="str">
        <f t="array" aca="1" ref="O4" ca="1">IF(ROW()-ROW($D$2:$D$28)+1&gt;ROWS($C$2:$C$28)-COUNTBLANK($C$2:$C$28),"",INDIRECT(ADDRESS(SMALL((IF($C$2:$C$28&lt;&gt;"",ROW($C$2:$C$28),ROW()+ROWS($C$2:$C$28))),ROW()-ROW($D$2:$D$28)+1),COLUMN($C$2:$C$28),4)))</f>
        <v>1b) 2</v>
      </c>
      <c r="P4" s="634" t="str">
        <f t="array" aca="1" ref="P4" ca="1">IF(ROW()-ROW($E$2:$E$28)+1&gt;ROWS($D$2:$D$28)-COUNTBLANK($D$2:$D$28),"",INDIRECT(ADDRESS(SMALL((IF($D$2:$D$28&gt;"",ROW($D$2:$D$28),ROW()+ROWS($D$2:$D$28))),ROW()-ROW($E$2:$E$28)+1),COLUMN($D$2:$D$28),4)))</f>
        <v>Aufteilung Primärfälle mit lokal begrenztem Prostatakarzinom - mittlerem Risiko</v>
      </c>
      <c r="Q4" s="630" t="str">
        <f t="array" aca="1" ref="Q4" ca="1">IF(ROW()-ROW($F$2:$F$28)+1&gt;ROWS($E$2:$E$28)-COUNTBLANK($E$2:$E$28),"",INDIRECT(ADDRESS(SMALL((IF($E$2:$E$28&gt;"",ROW($E$2:$E$28),ROW()+ROWS($E$2:$E$28))),ROW()-ROW($F$2:$F$28)+1),COLUMN($E$2:$E$28),4)))</f>
        <v>-----</v>
      </c>
      <c r="R4" s="630" t="str">
        <f t="array" aca="1" ref="R4" ca="1">IF(ROW()-ROW($G$2:$G$28)+1&gt;ROWS($F$2:$F$28)-COUNTBLANK($F$2:$F$28),"",INDIRECT(ADDRESS(SMALL((IF($F$2:$F$28&gt;"",ROW($F$2:$F$28),ROW()+ROWS($F$2:$F$28))),ROW()-ROW($G$2:$G$28)+1),COLUMN($F$2:$F$28),4)))</f>
        <v>Derzeit keine
Vorgaben</v>
      </c>
      <c r="S4" s="630" t="str">
        <f t="array" aca="1" ref="S4" ca="1">IF(ROW()-ROW($H$2:$H$28)+1&gt;ROWS($G$2:$G$28)-COUNTBLANK($G$2:$G$28),"",INDIRECT(ADDRESS(SMALL((IF($G$2:$G$28&lt;&gt;"",ROW($G$2:$G$28),ROW()+ROWS($G$2:$G$28))),ROW()-ROW($H$2:$H$28)+1),COLUMN($G$2:$G$28),4)))</f>
        <v>-----</v>
      </c>
      <c r="T4" s="630">
        <f t="array" aca="1" ref="T4" ca="1">IF(ROW()-ROW($I$2:$I$28)+1&gt;ROWS($H$2:$H$28)-COUNTBLANK($H$2:$H$28),"",INDIRECT(ADDRESS(SMALL((IF($H$2:$H$28&lt;&gt;"",ROW($H$2:$H$28),ROW()+ROWS($H$2:$H$28))),ROW()-ROW($I$2:$I$28)+1),COLUMN($H$2:$H$28),4)))</f>
        <v>0</v>
      </c>
      <c r="U4" s="630" t="str">
        <f t="array" aca="1" ref="U4" ca="1">IF(ROW()-ROW($J$2:$J$28)+1&gt;ROWS($I$2:$I$28)-COUNTBLANK($I$2:$I$28),"",INDIRECT(ADDRESS(SMALL((IF($I$2:$I$28&lt;&gt;"",ROW($I$2:$I$28),ROW()+ROWS($I$2:$I$28))),ROW()-ROW($J$2:$J$28)+1),COLUMN($I$2:$I$28),4)))</f>
        <v>-----</v>
      </c>
      <c r="V4" s="630" t="str">
        <f t="array" aca="1" ref="V4" ca="1">IF(ROW()-ROW($K$2:$K$28)+1&gt;ROWS($J$2:$J$28)-COUNTBLANK($J$2:$J$28),"",INDIRECT(ADDRESS(SMALL((IF($J$2:$J$28&lt;&gt;"",ROW($J$2:$J$28),ROW()+ROWS($J$2:$J$28))),ROW()-ROW($K$2:$K$28)+1),COLUMN($J$2:$J$28),4)))</f>
        <v>-----</v>
      </c>
      <c r="W4" s="634" t="str">
        <f t="array" aca="1" ref="W4" ca="1">IF(ROW()-ROW($L$2:$L$28)+1&gt;ROWS($K$2:$K$28)-COUNTBLANK($K$2:$K$28),"",INDIRECT(ADDRESS(SMALL((IF($K$2:$K$28&lt;&gt;"",ROW($K$2:$K$28),ROW()+ROWS($K$2:$K$28))),ROW()-ROW($L$2:$L$28)+1),COLUMN($K$2:$K$28),4)))</f>
        <v>Unvollständig</v>
      </c>
      <c r="X4" s="634" t="str">
        <f t="array" aca="1" ref="X4" ca="1">IF(ROW()-ROW($M$2:$M$28)+1&gt;ROWS($L$2:$L$28)-COUNTBLANK($L$2:$L$28),"",INDIRECT(ADDRESS(SMALL((IF($L$2:$L$28&lt;&gt;"",ROW($L$2:$L$28),ROW()+ROWS($L$2:$L$28))),ROW()-ROW($M$2:$M$28)+1),COLUMN($L$2:$L$28),4)))</f>
        <v>-----</v>
      </c>
      <c r="Y4" s="634" t="str">
        <f t="array" aca="1" ref="Y4" ca="1">IF(ROW()-ROW($N$2:$N$28)+1&gt;ROWS($M$2:$M$28)-COUNTBLANK($M$2:$M$28),"",INDIRECT(ADDRESS(SMALL((IF($M$2:$M$28&lt;&gt;"",ROW($M$2:$M$28),ROW()+ROWS($M$2:$M$28))),ROW()-ROW($N$2:$N$28)+1),COLUMN($M$2:$M$28),4)))</f>
        <v>-----</v>
      </c>
    </row>
    <row r="5" spans="1:25" ht="46.5" customHeight="1" x14ac:dyDescent="0.25">
      <c r="A5" s="629" t="str">
        <f>IF('Kennzahlenbogen_(KB)'!R21=0,"",'Kennzahlenbogen_(KB)'!R21)</f>
        <v>Unvollständig</v>
      </c>
      <c r="C5" s="630" t="str">
        <f>IF($A5="I.O.","",CONCATENATE('Kennzahlenbogen_(KB)'!B15,'Kennzahlenbogen_(KB)'!C21))</f>
        <v>1b) 3</v>
      </c>
      <c r="D5" s="631" t="str">
        <f>IF($A5="I.O.","",CONCATENATE('Kennzahlenbogen_(KB)'!E21," - hohem Risiko"))</f>
        <v>Aufteilung Primärfälle mit lokal begrenztem Prostatakarzinom - hohem Risiko</v>
      </c>
      <c r="E5" s="632" t="str">
        <f>IF(AND('Kennzahlenbogen_(KB)'!L21="",$A5&lt;&gt;"I.O."),"-----",IF($A5="I.O.","",'Kennzahlenbogen_(KB)'!L21))</f>
        <v>-----</v>
      </c>
      <c r="F5" s="632" t="str">
        <f>IF($A5="I.O.","",'Kennzahlenbogen_(KB)'!M21)</f>
        <v>Derzeit keine
Vorgaben</v>
      </c>
      <c r="G5" s="632" t="str">
        <f>IF(AND('Kennzahlenbogen_(KB)'!O21="",$A5&lt;&gt;"I.O."),"-----",IF($A5="I.O.","",'Kennzahlenbogen_(KB)'!O21))</f>
        <v>-----</v>
      </c>
      <c r="H5" s="630">
        <f>IF($A5="I.O.","",IF('Kennzahlenbogen_(KB)'!Q21="","-----",'Kennzahlenbogen_(KB)'!Q21))</f>
        <v>0</v>
      </c>
      <c r="I5" s="630" t="str">
        <f t="shared" si="0"/>
        <v>-----</v>
      </c>
      <c r="J5" s="630" t="str">
        <f>IF($A5="I.O.","","-----")</f>
        <v>-----</v>
      </c>
      <c r="K5" s="630" t="str">
        <f>IF($A5="I.O.","",'Kennzahlenbogen_(KB)'!R21)</f>
        <v>Unvollständig</v>
      </c>
      <c r="L5" s="631" t="str">
        <f>IF(AND('Kennzahlenbogen_(KB)'!S21="",$A5&lt;&gt;"I.O."),"-----",IF($A5="I.O.","",'Kennzahlenbogen_(KB)'!S21))</f>
        <v>-----</v>
      </c>
      <c r="M5" s="631" t="str">
        <f>IF(AND('Kennzahlenbogen_(KB)'!T21="",$A5&lt;&gt;"I.O."),"-----",IF($A5="I.O.","",'Kennzahlenbogen_(KB)'!T21))</f>
        <v>-----</v>
      </c>
      <c r="O5" s="633" t="str">
        <f t="array" aca="1" ref="O5" ca="1">IF(ROW()-ROW($D$2:$D$28)+1&gt;ROWS($C$2:$C$28)-COUNTBLANK($C$2:$C$28),"",INDIRECT(ADDRESS(SMALL((IF($C$2:$C$28&lt;&gt;"",ROW($C$2:$C$28),ROW()+ROWS($C$2:$C$28))),ROW()-ROW($D$2:$D$28)+1),COLUMN($C$2:$C$28),4)))</f>
        <v>1b) 3</v>
      </c>
      <c r="P5" s="634" t="str">
        <f t="array" aca="1" ref="P5" ca="1">IF(ROW()-ROW($E$2:$E$28)+1&gt;ROWS($D$2:$D$28)-COUNTBLANK($D$2:$D$28),"",INDIRECT(ADDRESS(SMALL((IF($D$2:$D$28&gt;"",ROW($D$2:$D$28),ROW()+ROWS($D$2:$D$28))),ROW()-ROW($E$2:$E$28)+1),COLUMN($D$2:$D$28),4)))</f>
        <v>Aufteilung Primärfälle mit lokal begrenztem Prostatakarzinom - hohem Risiko</v>
      </c>
      <c r="Q5" s="630" t="str">
        <f t="array" aca="1" ref="Q5" ca="1">IF(ROW()-ROW($F$2:$F$28)+1&gt;ROWS($E$2:$E$28)-COUNTBLANK($E$2:$E$28),"",INDIRECT(ADDRESS(SMALL((IF($E$2:$E$28&gt;"",ROW($E$2:$E$28),ROW()+ROWS($E$2:$E$28))),ROW()-ROW($F$2:$F$28)+1),COLUMN($E$2:$E$28),4)))</f>
        <v>-----</v>
      </c>
      <c r="R5" s="630" t="str">
        <f t="array" aca="1" ref="R5" ca="1">IF(ROW()-ROW($G$2:$G$28)+1&gt;ROWS($F$2:$F$28)-COUNTBLANK($F$2:$F$28),"",INDIRECT(ADDRESS(SMALL((IF($F$2:$F$28&gt;"",ROW($F$2:$F$28),ROW()+ROWS($F$2:$F$28))),ROW()-ROW($G$2:$G$28)+1),COLUMN($F$2:$F$28),4)))</f>
        <v>Derzeit keine
Vorgaben</v>
      </c>
      <c r="S5" s="630" t="str">
        <f t="array" aca="1" ref="S5" ca="1">IF(ROW()-ROW($H$2:$H$28)+1&gt;ROWS($G$2:$G$28)-COUNTBLANK($G$2:$G$28),"",INDIRECT(ADDRESS(SMALL((IF($G$2:$G$28&lt;&gt;"",ROW($G$2:$G$28),ROW()+ROWS($G$2:$G$28))),ROW()-ROW($H$2:$H$28)+1),COLUMN($G$2:$G$28),4)))</f>
        <v>-----</v>
      </c>
      <c r="T5" s="630">
        <f t="array" aca="1" ref="T5" ca="1">IF(ROW()-ROW($I$2:$I$28)+1&gt;ROWS($H$2:$H$28)-COUNTBLANK($H$2:$H$28),"",INDIRECT(ADDRESS(SMALL((IF($H$2:$H$28&lt;&gt;"",ROW($H$2:$H$28),ROW()+ROWS($H$2:$H$28))),ROW()-ROW($I$2:$I$28)+1),COLUMN($H$2:$H$28),4)))</f>
        <v>0</v>
      </c>
      <c r="U5" s="630" t="str">
        <f t="array" aca="1" ref="U5" ca="1">IF(ROW()-ROW($J$2:$J$28)+1&gt;ROWS($I$2:$I$28)-COUNTBLANK($I$2:$I$28),"",INDIRECT(ADDRESS(SMALL((IF($I$2:$I$28&lt;&gt;"",ROW($I$2:$I$28),ROW()+ROWS($I$2:$I$28))),ROW()-ROW($J$2:$J$28)+1),COLUMN($I$2:$I$28),4)))</f>
        <v>-----</v>
      </c>
      <c r="V5" s="630" t="str">
        <f t="array" aca="1" ref="V5" ca="1">IF(ROW()-ROW($K$2:$K$28)+1&gt;ROWS($J$2:$J$28)-COUNTBLANK($J$2:$J$28),"",INDIRECT(ADDRESS(SMALL((IF($J$2:$J$28&lt;&gt;"",ROW($J$2:$J$28),ROW()+ROWS($J$2:$J$28))),ROW()-ROW($K$2:$K$28)+1),COLUMN($J$2:$J$28),4)))</f>
        <v>-----</v>
      </c>
      <c r="W5" s="634" t="str">
        <f t="array" aca="1" ref="W5" ca="1">IF(ROW()-ROW($L$2:$L$28)+1&gt;ROWS($K$2:$K$28)-COUNTBLANK($K$2:$K$28),"",INDIRECT(ADDRESS(SMALL((IF($K$2:$K$28&lt;&gt;"",ROW($K$2:$K$28),ROW()+ROWS($K$2:$K$28))),ROW()-ROW($L$2:$L$28)+1),COLUMN($K$2:$K$28),4)))</f>
        <v>Unvollständig</v>
      </c>
      <c r="X5" s="634" t="str">
        <f t="array" aca="1" ref="X5" ca="1">IF(ROW()-ROW($M$2:$M$28)+1&gt;ROWS($L$2:$L$28)-COUNTBLANK($L$2:$L$28),"",INDIRECT(ADDRESS(SMALL((IF($L$2:$L$28&lt;&gt;"",ROW($L$2:$L$28),ROW()+ROWS($L$2:$L$28))),ROW()-ROW($M$2:$M$28)+1),COLUMN($L$2:$L$28),4)))</f>
        <v>-----</v>
      </c>
      <c r="Y5" s="634" t="str">
        <f t="array" aca="1" ref="Y5" ca="1">IF(ROW()-ROW($N$2:$N$28)+1&gt;ROWS($M$2:$M$28)-COUNTBLANK($M$2:$M$28),"",INDIRECT(ADDRESS(SMALL((IF($M$2:$M$28&lt;&gt;"",ROW($M$2:$M$28),ROW()+ROWS($M$2:$M$28))),ROW()-ROW($N$2:$N$28)+1),COLUMN($M$2:$M$28),4)))</f>
        <v>-----</v>
      </c>
    </row>
    <row r="6" spans="1:25" ht="46.5" customHeight="1" x14ac:dyDescent="0.25">
      <c r="A6" s="629" t="str">
        <f>IF('Kennzahlenbogen_(KB)'!R24=0,"",'Kennzahlenbogen_(KB)'!R24)</f>
        <v>Unvollständig</v>
      </c>
      <c r="C6" s="635" t="str">
        <f>IF($A6="I.O.","",'Kennzahlenbogen_(KB)'!B24)</f>
        <v>1c)</v>
      </c>
      <c r="D6" s="631" t="str">
        <f>IF($A6="I.O.","",CONCATENATE('Kennzahlenbogen_(KB)'!E24))</f>
        <v>Pat. mit neuaufgetretenem Rezidiv und/oder 
Fernmetastasen</v>
      </c>
      <c r="E6" s="632" t="str">
        <f>IF(AND('Kennzahlenbogen_(KB)'!L24="",$A6&lt;&gt;"I.O."),"-----",IF($A6="I.O.","",'Kennzahlenbogen_(KB)'!L24))</f>
        <v>-----</v>
      </c>
      <c r="F6" s="632" t="str">
        <f>IF($A6="I.O.","",'Kennzahlenbogen_(KB)'!M24)</f>
        <v>Derzeit keine
Vorgaben</v>
      </c>
      <c r="G6" s="632" t="str">
        <f>IF(AND('Kennzahlenbogen_(KB)'!O24="",$A6&lt;&gt;"I.O."),"-----",IF($A6="I.O.","",'Kennzahlenbogen_(KB)'!O24))</f>
        <v>-----</v>
      </c>
      <c r="H6" s="630">
        <f>IF($A6="I.O.","",IF('Kennzahlenbogen_(KB)'!Q24="","-----",'Kennzahlenbogen_(KB)'!Q24))</f>
        <v>0</v>
      </c>
      <c r="I6" s="630" t="str">
        <f t="shared" si="0"/>
        <v>-----</v>
      </c>
      <c r="J6" s="630" t="str">
        <f t="shared" si="0"/>
        <v>-----</v>
      </c>
      <c r="K6" s="630" t="str">
        <f>IF($A6="I.O.","",'Kennzahlenbogen_(KB)'!R24)</f>
        <v>Unvollständig</v>
      </c>
      <c r="L6" s="631" t="str">
        <f>IF(AND('Kennzahlenbogen_(KB)'!S24="",$A6&lt;&gt;"I.O."),"-----",IF($A6="I.O.","",'Kennzahlenbogen_(KB)'!S24))</f>
        <v>-----</v>
      </c>
      <c r="M6" s="631" t="str">
        <f>IF(AND('Kennzahlenbogen_(KB)'!T24="",$A6&lt;&gt;"I.O."),"-----",IF($A6="I.O.","",'Kennzahlenbogen_(KB)'!T24))</f>
        <v>-----</v>
      </c>
      <c r="O6" s="633" t="str">
        <f t="array" aca="1" ref="O6" ca="1">IF(ROW()-ROW($D$2:$D$28)+1&gt;ROWS($C$2:$C$28)-COUNTBLANK($C$2:$C$28),"",INDIRECT(ADDRESS(SMALL((IF($C$2:$C$28&lt;&gt;"",ROW($C$2:$C$28),ROW()+ROWS($C$2:$C$28))),ROW()-ROW($D$2:$D$28)+1),COLUMN($C$2:$C$28),4)))</f>
        <v>1c)</v>
      </c>
      <c r="P6" s="634" t="str">
        <f t="array" aca="1" ref="P6" ca="1">IF(ROW()-ROW($E$2:$E$28)+1&gt;ROWS($D$2:$D$28)-COUNTBLANK($D$2:$D$28),"",INDIRECT(ADDRESS(SMALL((IF($D$2:$D$28&gt;"",ROW($D$2:$D$28),ROW()+ROWS($D$2:$D$28))),ROW()-ROW($E$2:$E$28)+1),COLUMN($D$2:$D$28),4)))</f>
        <v>Pat. mit neuaufgetretenem Rezidiv und/oder 
Fernmetastasen</v>
      </c>
      <c r="Q6" s="630" t="str">
        <f t="array" aca="1" ref="Q6" ca="1">IF(ROW()-ROW($F$2:$F$28)+1&gt;ROWS($E$2:$E$28)-COUNTBLANK($E$2:$E$28),"",INDIRECT(ADDRESS(SMALL((IF($E$2:$E$28&gt;"",ROW($E$2:$E$28),ROW()+ROWS($E$2:$E$28))),ROW()-ROW($F$2:$F$28)+1),COLUMN($E$2:$E$28),4)))</f>
        <v>-----</v>
      </c>
      <c r="R6" s="630" t="str">
        <f t="array" aca="1" ref="R6" ca="1">IF(ROW()-ROW($G$2:$G$28)+1&gt;ROWS($F$2:$F$28)-COUNTBLANK($F$2:$F$28),"",INDIRECT(ADDRESS(SMALL((IF($F$2:$F$28&gt;"",ROW($F$2:$F$28),ROW()+ROWS($F$2:$F$28))),ROW()-ROW($G$2:$G$28)+1),COLUMN($F$2:$F$28),4)))</f>
        <v>Derzeit keine
Vorgaben</v>
      </c>
      <c r="S6" s="630" t="str">
        <f t="array" aca="1" ref="S6" ca="1">IF(ROW()-ROW($H$2:$H$28)+1&gt;ROWS($G$2:$G$28)-COUNTBLANK($G$2:$G$28),"",INDIRECT(ADDRESS(SMALL((IF($G$2:$G$28&lt;&gt;"",ROW($G$2:$G$28),ROW()+ROWS($G$2:$G$28))),ROW()-ROW($H$2:$H$28)+1),COLUMN($G$2:$G$28),4)))</f>
        <v>-----</v>
      </c>
      <c r="T6" s="630">
        <f t="array" aca="1" ref="T6" ca="1">IF(ROW()-ROW($I$2:$I$28)+1&gt;ROWS($H$2:$H$28)-COUNTBLANK($H$2:$H$28),"",INDIRECT(ADDRESS(SMALL((IF($H$2:$H$28&lt;&gt;"",ROW($H$2:$H$28),ROW()+ROWS($H$2:$H$28))),ROW()-ROW($I$2:$I$28)+1),COLUMN($H$2:$H$28),4)))</f>
        <v>0</v>
      </c>
      <c r="U6" s="630" t="str">
        <f t="array" aca="1" ref="U6" ca="1">IF(ROW()-ROW($J$2:$J$28)+1&gt;ROWS($I$2:$I$28)-COUNTBLANK($I$2:$I$28),"",INDIRECT(ADDRESS(SMALL((IF($I$2:$I$28&lt;&gt;"",ROW($I$2:$I$28),ROW()+ROWS($I$2:$I$28))),ROW()-ROW($J$2:$J$28)+1),COLUMN($I$2:$I$28),4)))</f>
        <v>-----</v>
      </c>
      <c r="V6" s="630" t="str">
        <f t="array" aca="1" ref="V6" ca="1">IF(ROW()-ROW($K$2:$K$28)+1&gt;ROWS($J$2:$J$28)-COUNTBLANK($J$2:$J$28),"",INDIRECT(ADDRESS(SMALL((IF($J$2:$J$28&lt;&gt;"",ROW($J$2:$J$28),ROW()+ROWS($J$2:$J$28))),ROW()-ROW($K$2:$K$28)+1),COLUMN($J$2:$J$28),4)))</f>
        <v>-----</v>
      </c>
      <c r="W6" s="634" t="str">
        <f t="array" aca="1" ref="W6" ca="1">IF(ROW()-ROW($L$2:$L$28)+1&gt;ROWS($K$2:$K$28)-COUNTBLANK($K$2:$K$28),"",INDIRECT(ADDRESS(SMALL((IF($K$2:$K$28&lt;&gt;"",ROW($K$2:$K$28),ROW()+ROWS($K$2:$K$28))),ROW()-ROW($L$2:$L$28)+1),COLUMN($K$2:$K$28),4)))</f>
        <v>Unvollständig</v>
      </c>
      <c r="X6" s="634" t="str">
        <f t="array" aca="1" ref="X6" ca="1">IF(ROW()-ROW($M$2:$M$28)+1&gt;ROWS($L$2:$L$28)-COUNTBLANK($L$2:$L$28),"",INDIRECT(ADDRESS(SMALL((IF($L$2:$L$28&lt;&gt;"",ROW($L$2:$L$28),ROW()+ROWS($L$2:$L$28))),ROW()-ROW($M$2:$M$28)+1),COLUMN($L$2:$L$28),4)))</f>
        <v>-----</v>
      </c>
      <c r="Y6" s="634" t="str">
        <f t="array" aca="1" ref="Y6" ca="1">IF(ROW()-ROW($N$2:$N$28)+1&gt;ROWS($M$2:$M$28)-COUNTBLANK($M$2:$M$28),"",INDIRECT(ADDRESS(SMALL((IF($M$2:$M$28&lt;&gt;"",ROW($M$2:$M$28),ROW()+ROWS($M$2:$M$28))),ROW()-ROW($N$2:$N$28)+1),COLUMN($M$2:$M$28),4)))</f>
        <v>-----</v>
      </c>
    </row>
    <row r="7" spans="1:25" ht="46.5" customHeight="1" x14ac:dyDescent="0.25">
      <c r="A7" s="629" t="str">
        <f>IF('Kennzahlenbogen_(KB)'!R27=0,"",'Kennzahlenbogen_(KB)'!R27)</f>
        <v>Unvollständig</v>
      </c>
      <c r="C7" s="635" t="str">
        <f>IF($A7="I.O.","",CONCATENATE('Kennzahlenbogen_(KB)'!B27,'Kennzahlenbogen_(KB)'!C27))</f>
        <v>2a</v>
      </c>
      <c r="D7" s="631" t="str">
        <f>IF($A7="I.O.","",CONCATENATE('Kennzahlenbogen_(KB)'!E27," - Urologie"))</f>
        <v>Vorstellung in der wöchentlichen prätherapeutischen Konferenz - Urologie</v>
      </c>
      <c r="E7" s="632" t="str">
        <f>IF(AND('Kennzahlenbogen_(KB)'!L27="",$A7&lt;&gt;"I.O."),"-----",IF($A7="I.O.","",'Kennzahlenbogen_(KB)'!L27))</f>
        <v>-----</v>
      </c>
      <c r="F7" s="632" t="str">
        <f>IF($A7="I.O.","",'Kennzahlenbogen_(KB)'!M27)</f>
        <v>≥ 95%</v>
      </c>
      <c r="G7" s="632" t="str">
        <f>IF(AND('Kennzahlenbogen_(KB)'!O27="",$A7&lt;&gt;"I.O."),"-----",IF($A7="I.O.","",'Kennzahlenbogen_(KB)'!O27))</f>
        <v>-----</v>
      </c>
      <c r="H7" s="630" t="str">
        <f>IF($A7="I.O.","",IF('Kennzahlenbogen_(KB)'!Q27="","-----",'Kennzahlenbogen_(KB)'!Q27))</f>
        <v>-----</v>
      </c>
      <c r="I7" s="630" t="str">
        <f>IF($A7="I.O.","",IF('Kennzahlenbogen_(KB)'!Q28="","-----",'Kennzahlenbogen_(KB)'!Q28))</f>
        <v>-----</v>
      </c>
      <c r="J7" s="630" t="str">
        <f>IF($A7="I.O.","",IF('Kennzahlenbogen_(KB)'!Q29="","-----",'Kennzahlenbogen_(KB)'!Q29))</f>
        <v>n.d.</v>
      </c>
      <c r="K7" s="630" t="str">
        <f>IF($A7="I.O.","",'Kennzahlenbogen_(KB)'!R27)</f>
        <v>Unvollständig</v>
      </c>
      <c r="L7" s="631" t="str">
        <f>IF(AND('Kennzahlenbogen_(KB)'!S27="",$A7&lt;&gt;"I.O."),"-----",IF($A7="I.O.","",'Kennzahlenbogen_(KB)'!S27))</f>
        <v>-----</v>
      </c>
      <c r="M7" s="631" t="str">
        <f>IF(AND('Kennzahlenbogen_(KB)'!T27="",$A7&lt;&gt;"I.O."),"-----",IF($A7="I.O.","",'Kennzahlenbogen_(KB)'!T27))</f>
        <v>-----</v>
      </c>
      <c r="O7" s="633" t="str">
        <f t="array" aca="1" ref="O7" ca="1">IF(ROW()-ROW($D$2:$D$28)+1&gt;ROWS($C$2:$C$28)-COUNTBLANK($C$2:$C$28),"",INDIRECT(ADDRESS(SMALL((IF($C$2:$C$28&lt;&gt;"",ROW($C$2:$C$28),ROW()+ROWS($C$2:$C$28))),ROW()-ROW($D$2:$D$28)+1),COLUMN($C$2:$C$28),4)))</f>
        <v>2a</v>
      </c>
      <c r="P7" s="634" t="str">
        <f t="array" aca="1" ref="P7" ca="1">IF(ROW()-ROW($E$2:$E$28)+1&gt;ROWS($D$2:$D$28)-COUNTBLANK($D$2:$D$28),"",INDIRECT(ADDRESS(SMALL((IF($D$2:$D$28&gt;"",ROW($D$2:$D$28),ROW()+ROWS($D$2:$D$28))),ROW()-ROW($E$2:$E$28)+1),COLUMN($D$2:$D$28),4)))</f>
        <v>Vorstellung in der wöchentlichen prätherapeutischen Konferenz - Urologie</v>
      </c>
      <c r="Q7" s="630" t="str">
        <f t="array" aca="1" ref="Q7" ca="1">IF(ROW()-ROW($F$2:$F$28)+1&gt;ROWS($E$2:$E$28)-COUNTBLANK($E$2:$E$28),"",INDIRECT(ADDRESS(SMALL((IF($E$2:$E$28&gt;"",ROW($E$2:$E$28),ROW()+ROWS($E$2:$E$28))),ROW()-ROW($F$2:$F$28)+1),COLUMN($E$2:$E$28),4)))</f>
        <v>-----</v>
      </c>
      <c r="R7" s="630" t="str">
        <f t="array" aca="1" ref="R7" ca="1">IF(ROW()-ROW($G$2:$G$28)+1&gt;ROWS($F$2:$F$28)-COUNTBLANK($F$2:$F$28),"",INDIRECT(ADDRESS(SMALL((IF($F$2:$F$28&gt;"",ROW($F$2:$F$28),ROW()+ROWS($F$2:$F$28))),ROW()-ROW($G$2:$G$28)+1),COLUMN($F$2:$F$28),4)))</f>
        <v>≥ 95%</v>
      </c>
      <c r="S7" s="630" t="str">
        <f t="array" aca="1" ref="S7" ca="1">IF(ROW()-ROW($H$2:$H$28)+1&gt;ROWS($G$2:$G$28)-COUNTBLANK($G$2:$G$28),"",INDIRECT(ADDRESS(SMALL((IF($G$2:$G$28&lt;&gt;"",ROW($G$2:$G$28),ROW()+ROWS($G$2:$G$28))),ROW()-ROW($H$2:$H$28)+1),COLUMN($G$2:$G$28),4)))</f>
        <v>-----</v>
      </c>
      <c r="T7" s="630" t="str">
        <f t="array" aca="1" ref="T7" ca="1">IF(ROW()-ROW($I$2:$I$28)+1&gt;ROWS($H$2:$H$28)-COUNTBLANK($H$2:$H$28),"",INDIRECT(ADDRESS(SMALL((IF($H$2:$H$28&lt;&gt;"",ROW($H$2:$H$28),ROW()+ROWS($H$2:$H$28))),ROW()-ROW($I$2:$I$28)+1),COLUMN($H$2:$H$28),4)))</f>
        <v>-----</v>
      </c>
      <c r="U7" s="630" t="str">
        <f t="array" aca="1" ref="U7" ca="1">IF(ROW()-ROW($J$2:$J$28)+1&gt;ROWS($I$2:$I$28)-COUNTBLANK($I$2:$I$28),"",INDIRECT(ADDRESS(SMALL((IF($I$2:$I$28&lt;&gt;"",ROW($I$2:$I$28),ROW()+ROWS($I$2:$I$28))),ROW()-ROW($J$2:$J$28)+1),COLUMN($I$2:$I$28),4)))</f>
        <v>-----</v>
      </c>
      <c r="V7" s="630" t="str">
        <f t="array" aca="1" ref="V7" ca="1">IF(ROW()-ROW($K$2:$K$28)+1&gt;ROWS($J$2:$J$28)-COUNTBLANK($J$2:$J$28),"",INDIRECT(ADDRESS(SMALL((IF($J$2:$J$28&lt;&gt;"",ROW($J$2:$J$28),ROW()+ROWS($J$2:$J$28))),ROW()-ROW($K$2:$K$28)+1),COLUMN($J$2:$J$28),4)))</f>
        <v>n.d.</v>
      </c>
      <c r="W7" s="634" t="str">
        <f t="array" aca="1" ref="W7" ca="1">IF(ROW()-ROW($L$2:$L$28)+1&gt;ROWS($K$2:$K$28)-COUNTBLANK($K$2:$K$28),"",INDIRECT(ADDRESS(SMALL((IF($K$2:$K$28&lt;&gt;"",ROW($K$2:$K$28),ROW()+ROWS($K$2:$K$28))),ROW()-ROW($L$2:$L$28)+1),COLUMN($K$2:$K$28),4)))</f>
        <v>Unvollständig</v>
      </c>
      <c r="X7" s="634" t="str">
        <f t="array" aca="1" ref="X7" ca="1">IF(ROW()-ROW($M$2:$M$28)+1&gt;ROWS($L$2:$L$28)-COUNTBLANK($L$2:$L$28),"",INDIRECT(ADDRESS(SMALL((IF($L$2:$L$28&lt;&gt;"",ROW($L$2:$L$28),ROW()+ROWS($L$2:$L$28))),ROW()-ROW($M$2:$M$28)+1),COLUMN($L$2:$L$28),4)))</f>
        <v>-----</v>
      </c>
      <c r="Y7" s="634" t="str">
        <f t="array" aca="1" ref="Y7" ca="1">IF(ROW()-ROW($N$2:$N$28)+1&gt;ROWS($M$2:$M$28)-COUNTBLANK($M$2:$M$28),"",INDIRECT(ADDRESS(SMALL((IF($M$2:$M$28&lt;&gt;"",ROW($M$2:$M$28),ROW()+ROWS($M$2:$M$28))),ROW()-ROW($N$2:$N$28)+1),COLUMN($M$2:$M$28),4)))</f>
        <v>-----</v>
      </c>
    </row>
    <row r="8" spans="1:25" ht="46.5" customHeight="1" x14ac:dyDescent="0.25">
      <c r="A8" s="629" t="str">
        <f>IF('Kennzahlenbogen_(KB)'!R30=0,"",'Kennzahlenbogen_(KB)'!R30)</f>
        <v>Unvollständig</v>
      </c>
      <c r="C8" s="635" t="str">
        <f>IF($A8="I.O.","",CONCATENATE('Kennzahlenbogen_(KB)'!B27,'Kennzahlenbogen_(KB)'!C30))</f>
        <v>2b</v>
      </c>
      <c r="D8" s="631" t="str">
        <f>IF($A8="I.O.","",CONCATENATE('Kennzahlenbogen_(KB)'!E27," - Strahlentherapie"))</f>
        <v>Vorstellung in der wöchentlichen prätherapeutischen Konferenz - Strahlentherapie</v>
      </c>
      <c r="E8" s="632" t="str">
        <f>IF(AND('Kennzahlenbogen_(KB)'!L30="",$A8&lt;&gt;"I.O."),"-----",IF($A8="I.O.","",'Kennzahlenbogen_(KB)'!L30))</f>
        <v>-----</v>
      </c>
      <c r="F8" s="632" t="str">
        <f>IF($A8="I.O.","",'Kennzahlenbogen_(KB)'!M30)</f>
        <v>≥ 95%</v>
      </c>
      <c r="G8" s="632" t="str">
        <f>IF(AND('Kennzahlenbogen_(KB)'!O30="",$A8&lt;&gt;"I.O."),"-----",IF($A8="I.O.","",'Kennzahlenbogen_(KB)'!O30))</f>
        <v>-----</v>
      </c>
      <c r="H8" s="630" t="str">
        <f>IF($A8="I.O.","",IF('Kennzahlenbogen_(KB)'!Q30="","-----",'Kennzahlenbogen_(KB)'!Q30))</f>
        <v>-----</v>
      </c>
      <c r="I8" s="630" t="str">
        <f>IF($A8="I.O.","",IF('Kennzahlenbogen_(KB)'!Q31="","-----",'Kennzahlenbogen_(KB)'!Q31))</f>
        <v>-----</v>
      </c>
      <c r="J8" s="630" t="str">
        <f>IF($A8="I.O.","",IF('Kennzahlenbogen_(KB)'!Q32="","-----",'Kennzahlenbogen_(KB)'!Q32))</f>
        <v>n.d.</v>
      </c>
      <c r="K8" s="630" t="str">
        <f>IF($A8="I.O.","",'Kennzahlenbogen_(KB)'!R30)</f>
        <v>Unvollständig</v>
      </c>
      <c r="L8" s="631" t="str">
        <f>IF(AND('Kennzahlenbogen_(KB)'!S30="",$A8&lt;&gt;"I.O."),"-----",IF($A8="I.O.","",'Kennzahlenbogen_(KB)'!S30))</f>
        <v>-----</v>
      </c>
      <c r="M8" s="631" t="str">
        <f>IF(AND('Kennzahlenbogen_(KB)'!T30="",$A8&lt;&gt;"I.O."),"-----",IF($A8="I.O.","",'Kennzahlenbogen_(KB)'!T30))</f>
        <v>-----</v>
      </c>
      <c r="O8" s="633" t="str">
        <f t="array" aca="1" ref="O8" ca="1">IF(ROW()-ROW($D$2:$D$28)+1&gt;ROWS($C$2:$C$28)-COUNTBLANK($C$2:$C$28),"",INDIRECT(ADDRESS(SMALL((IF($C$2:$C$28&lt;&gt;"",ROW($C$2:$C$28),ROW()+ROWS($C$2:$C$28))),ROW()-ROW($D$2:$D$28)+1),COLUMN($C$2:$C$28),4)))</f>
        <v>2b</v>
      </c>
      <c r="P8" s="634" t="str">
        <f t="array" aca="1" ref="P8" ca="1">IF(ROW()-ROW($E$2:$E$28)+1&gt;ROWS($D$2:$D$28)-COUNTBLANK($D$2:$D$28),"",INDIRECT(ADDRESS(SMALL((IF($D$2:$D$28&gt;"",ROW($D$2:$D$28),ROW()+ROWS($D$2:$D$28))),ROW()-ROW($E$2:$E$28)+1),COLUMN($D$2:$D$28),4)))</f>
        <v>Vorstellung in der wöchentlichen prätherapeutischen Konferenz - Strahlentherapie</v>
      </c>
      <c r="Q8" s="630" t="str">
        <f t="array" aca="1" ref="Q8" ca="1">IF(ROW()-ROW($F$2:$F$28)+1&gt;ROWS($E$2:$E$28)-COUNTBLANK($E$2:$E$28),"",INDIRECT(ADDRESS(SMALL((IF($E$2:$E$28&gt;"",ROW($E$2:$E$28),ROW()+ROWS($E$2:$E$28))),ROW()-ROW($F$2:$F$28)+1),COLUMN($E$2:$E$28),4)))</f>
        <v>-----</v>
      </c>
      <c r="R8" s="630" t="str">
        <f t="array" aca="1" ref="R8" ca="1">IF(ROW()-ROW($G$2:$G$28)+1&gt;ROWS($F$2:$F$28)-COUNTBLANK($F$2:$F$28),"",INDIRECT(ADDRESS(SMALL((IF($F$2:$F$28&gt;"",ROW($F$2:$F$28),ROW()+ROWS($F$2:$F$28))),ROW()-ROW($G$2:$G$28)+1),COLUMN($F$2:$F$28),4)))</f>
        <v>≥ 95%</v>
      </c>
      <c r="S8" s="630" t="str">
        <f t="array" aca="1" ref="S8" ca="1">IF(ROW()-ROW($H$2:$H$28)+1&gt;ROWS($G$2:$G$28)-COUNTBLANK($G$2:$G$28),"",INDIRECT(ADDRESS(SMALL((IF($G$2:$G$28&lt;&gt;"",ROW($G$2:$G$28),ROW()+ROWS($G$2:$G$28))),ROW()-ROW($H$2:$H$28)+1),COLUMN($G$2:$G$28),4)))</f>
        <v>-----</v>
      </c>
      <c r="T8" s="630" t="str">
        <f t="array" aca="1" ref="T8" ca="1">IF(ROW()-ROW($I$2:$I$28)+1&gt;ROWS($H$2:$H$28)-COUNTBLANK($H$2:$H$28),"",INDIRECT(ADDRESS(SMALL((IF($H$2:$H$28&lt;&gt;"",ROW($H$2:$H$28),ROW()+ROWS($H$2:$H$28))),ROW()-ROW($I$2:$I$28)+1),COLUMN($H$2:$H$28),4)))</f>
        <v>-----</v>
      </c>
      <c r="U8" s="630" t="str">
        <f t="array" aca="1" ref="U8" ca="1">IF(ROW()-ROW($J$2:$J$28)+1&gt;ROWS($I$2:$I$28)-COUNTBLANK($I$2:$I$28),"",INDIRECT(ADDRESS(SMALL((IF($I$2:$I$28&lt;&gt;"",ROW($I$2:$I$28),ROW()+ROWS($I$2:$I$28))),ROW()-ROW($J$2:$J$28)+1),COLUMN($I$2:$I$28),4)))</f>
        <v>-----</v>
      </c>
      <c r="V8" s="630" t="str">
        <f t="array" aca="1" ref="V8" ca="1">IF(ROW()-ROW($K$2:$K$28)+1&gt;ROWS($J$2:$J$28)-COUNTBLANK($J$2:$J$28),"",INDIRECT(ADDRESS(SMALL((IF($J$2:$J$28&lt;&gt;"",ROW($J$2:$J$28),ROW()+ROWS($J$2:$J$28))),ROW()-ROW($K$2:$K$28)+1),COLUMN($J$2:$J$28),4)))</f>
        <v>n.d.</v>
      </c>
      <c r="W8" s="634" t="str">
        <f t="array" aca="1" ref="W8" ca="1">IF(ROW()-ROW($L$2:$L$28)+1&gt;ROWS($K$2:$K$28)-COUNTBLANK($K$2:$K$28),"",INDIRECT(ADDRESS(SMALL((IF($K$2:$K$28&lt;&gt;"",ROW($K$2:$K$28),ROW()+ROWS($K$2:$K$28))),ROW()-ROW($L$2:$L$28)+1),COLUMN($K$2:$K$28),4)))</f>
        <v>Unvollständig</v>
      </c>
      <c r="X8" s="634" t="str">
        <f t="array" aca="1" ref="X8" ca="1">IF(ROW()-ROW($M$2:$M$28)+1&gt;ROWS($L$2:$L$28)-COUNTBLANK($L$2:$L$28),"",INDIRECT(ADDRESS(SMALL((IF($L$2:$L$28&lt;&gt;"",ROW($L$2:$L$28),ROW()+ROWS($L$2:$L$28))),ROW()-ROW($M$2:$M$28)+1),COLUMN($L$2:$L$28),4)))</f>
        <v>-----</v>
      </c>
      <c r="Y8" s="634" t="str">
        <f t="array" aca="1" ref="Y8" ca="1">IF(ROW()-ROW($N$2:$N$28)+1&gt;ROWS($M$2:$M$28)-COUNTBLANK($M$2:$M$28),"",INDIRECT(ADDRESS(SMALL((IF($M$2:$M$28&lt;&gt;"",ROW($M$2:$M$28),ROW()+ROWS($M$2:$M$28))),ROW()-ROW($N$2:$N$28)+1),COLUMN($M$2:$M$28),4)))</f>
        <v>-----</v>
      </c>
    </row>
    <row r="9" spans="1:25" ht="46.5" customHeight="1" x14ac:dyDescent="0.25">
      <c r="A9" s="629" t="str">
        <f>IF('Kennzahlenbogen_(KB)'!R33=0,"",'Kennzahlenbogen_(KB)'!R33)</f>
        <v>Unvollständig</v>
      </c>
      <c r="C9" s="635" t="str">
        <f>IF($A9="I.O.","",CONCATENATE('Kennzahlenbogen_(KB)'!B33,'Kennzahlenbogen_(KB)'!C33))</f>
        <v>3a</v>
      </c>
      <c r="D9" s="631" t="str">
        <f>IF($A9="I.O.","",CONCATENATE('Kennzahlenbogen_(KB)'!E33," - Primärfälle &gt; pT3a u/o R1 u/o pN+"))</f>
        <v>Vorstellung in der monatlichen Tumorkonferenz - Primärfälle &gt; pT3a u/o R1 u/o pN+</v>
      </c>
      <c r="E9" s="632" t="str">
        <f>IF(AND('Kennzahlenbogen_(KB)'!L33="",$A9&lt;&gt;"I.O."),"-----",IF($A9="I.O.","",'Kennzahlenbogen_(KB)'!L33))</f>
        <v>-----</v>
      </c>
      <c r="F9" s="636" t="str">
        <f>IF($A9="I.O.","","100%")</f>
        <v>100%</v>
      </c>
      <c r="G9" s="632" t="str">
        <f>IF(AND('Kennzahlenbogen_(KB)'!O33="",$A9&lt;&gt;"I.O."),"-----",IF($A9="I.O.","",'Kennzahlenbogen_(KB)'!O33))</f>
        <v>-----</v>
      </c>
      <c r="H9" s="630" t="str">
        <f>IF($A9="I.O.","",IF('Kennzahlenbogen_(KB)'!Q33="","-----",'Kennzahlenbogen_(KB)'!Q33))</f>
        <v>-----</v>
      </c>
      <c r="I9" s="630" t="str">
        <f>IF($A9="I.O.","",IF('Kennzahlenbogen_(KB)'!Q34="","-----",'Kennzahlenbogen_(KB)'!Q34))</f>
        <v>-----</v>
      </c>
      <c r="J9" s="630" t="str">
        <f>IF($A9="I.O.","",IF('Kennzahlenbogen_(KB)'!Q35="","-----",'Kennzahlenbogen_(KB)'!Q35))</f>
        <v>n.d.</v>
      </c>
      <c r="K9" s="630" t="str">
        <f>IF($A9="I.O.","",'Kennzahlenbogen_(KB)'!R33)</f>
        <v>Unvollständig</v>
      </c>
      <c r="L9" s="631" t="str">
        <f>IF(AND('Kennzahlenbogen_(KB)'!S33="",$A9&lt;&gt;"I.O."),"-----",IF($A9="I.O.","",'Kennzahlenbogen_(KB)'!S33))</f>
        <v>-----</v>
      </c>
      <c r="M9" s="631" t="str">
        <f>IF(AND('Kennzahlenbogen_(KB)'!T33="",$A9&lt;&gt;"I.O."),"-----",IF($A9="I.O.","",'Kennzahlenbogen_(KB)'!T33))</f>
        <v>-----</v>
      </c>
      <c r="O9" s="633" t="str">
        <f t="array" aca="1" ref="O9" ca="1">IF(ROW()-ROW($D$2:$D$28)+1&gt;ROWS($C$2:$C$28)-COUNTBLANK($C$2:$C$28),"",INDIRECT(ADDRESS(SMALL((IF($C$2:$C$28&lt;&gt;"",ROW($C$2:$C$28),ROW()+ROWS($C$2:$C$28))),ROW()-ROW($D$2:$D$28)+1),COLUMN($C$2:$C$28),4)))</f>
        <v>3a</v>
      </c>
      <c r="P9" s="634" t="str">
        <f t="array" aca="1" ref="P9" ca="1">IF(ROW()-ROW($E$2:$E$28)+1&gt;ROWS($D$2:$D$28)-COUNTBLANK($D$2:$D$28),"",INDIRECT(ADDRESS(SMALL((IF($D$2:$D$28&gt;"",ROW($D$2:$D$28),ROW()+ROWS($D$2:$D$28))),ROW()-ROW($E$2:$E$28)+1),COLUMN($D$2:$D$28),4)))</f>
        <v>Vorstellung in der monatlichen Tumorkonferenz - Primärfälle &gt; pT3a u/o R1 u/o pN+</v>
      </c>
      <c r="Q9" s="630" t="str">
        <f t="array" aca="1" ref="Q9" ca="1">IF(ROW()-ROW($F$2:$F$28)+1&gt;ROWS($E$2:$E$28)-COUNTBLANK($E$2:$E$28),"",INDIRECT(ADDRESS(SMALL((IF($E$2:$E$28&gt;"",ROW($E$2:$E$28),ROW()+ROWS($E$2:$E$28))),ROW()-ROW($F$2:$F$28)+1),COLUMN($E$2:$E$28),4)))</f>
        <v>-----</v>
      </c>
      <c r="R9" s="630" t="str">
        <f t="array" aca="1" ref="R9" ca="1">IF(ROW()-ROW($G$2:$G$28)+1&gt;ROWS($F$2:$F$28)-COUNTBLANK($F$2:$F$28),"",INDIRECT(ADDRESS(SMALL((IF($F$2:$F$28&gt;"",ROW($F$2:$F$28),ROW()+ROWS($F$2:$F$28))),ROW()-ROW($G$2:$G$28)+1),COLUMN($F$2:$F$28),4)))</f>
        <v>100%</v>
      </c>
      <c r="S9" s="630" t="str">
        <f t="array" aca="1" ref="S9" ca="1">IF(ROW()-ROW($H$2:$H$28)+1&gt;ROWS($G$2:$G$28)-COUNTBLANK($G$2:$G$28),"",INDIRECT(ADDRESS(SMALL((IF($G$2:$G$28&lt;&gt;"",ROW($G$2:$G$28),ROW()+ROWS($G$2:$G$28))),ROW()-ROW($H$2:$H$28)+1),COLUMN($G$2:$G$28),4)))</f>
        <v>-----</v>
      </c>
      <c r="T9" s="630" t="str">
        <f t="array" aca="1" ref="T9" ca="1">IF(ROW()-ROW($I$2:$I$28)+1&gt;ROWS($H$2:$H$28)-COUNTBLANK($H$2:$H$28),"",INDIRECT(ADDRESS(SMALL((IF($H$2:$H$28&lt;&gt;"",ROW($H$2:$H$28),ROW()+ROWS($H$2:$H$28))),ROW()-ROW($I$2:$I$28)+1),COLUMN($H$2:$H$28),4)))</f>
        <v>-----</v>
      </c>
      <c r="U9" s="630" t="str">
        <f t="array" aca="1" ref="U9" ca="1">IF(ROW()-ROW($J$2:$J$28)+1&gt;ROWS($I$2:$I$28)-COUNTBLANK($I$2:$I$28),"",INDIRECT(ADDRESS(SMALL((IF($I$2:$I$28&lt;&gt;"",ROW($I$2:$I$28),ROW()+ROWS($I$2:$I$28))),ROW()-ROW($J$2:$J$28)+1),COLUMN($I$2:$I$28),4)))</f>
        <v>-----</v>
      </c>
      <c r="V9" s="630" t="str">
        <f t="array" aca="1" ref="V9" ca="1">IF(ROW()-ROW($K$2:$K$28)+1&gt;ROWS($J$2:$J$28)-COUNTBLANK($J$2:$J$28),"",INDIRECT(ADDRESS(SMALL((IF($J$2:$J$28&lt;&gt;"",ROW($J$2:$J$28),ROW()+ROWS($J$2:$J$28))),ROW()-ROW($K$2:$K$28)+1),COLUMN($J$2:$J$28),4)))</f>
        <v>n.d.</v>
      </c>
      <c r="W9" s="634" t="str">
        <f t="array" aca="1" ref="W9" ca="1">IF(ROW()-ROW($L$2:$L$28)+1&gt;ROWS($K$2:$K$28)-COUNTBLANK($K$2:$K$28),"",INDIRECT(ADDRESS(SMALL((IF($K$2:$K$28&lt;&gt;"",ROW($K$2:$K$28),ROW()+ROWS($K$2:$K$28))),ROW()-ROW($L$2:$L$28)+1),COLUMN($K$2:$K$28),4)))</f>
        <v>Unvollständig</v>
      </c>
      <c r="X9" s="634" t="str">
        <f t="array" aca="1" ref="X9" ca="1">IF(ROW()-ROW($M$2:$M$28)+1&gt;ROWS($L$2:$L$28)-COUNTBLANK($L$2:$L$28),"",INDIRECT(ADDRESS(SMALL((IF($L$2:$L$28&lt;&gt;"",ROW($L$2:$L$28),ROW()+ROWS($L$2:$L$28))),ROW()-ROW($M$2:$M$28)+1),COLUMN($L$2:$L$28),4)))</f>
        <v>-----</v>
      </c>
      <c r="Y9" s="634" t="str">
        <f t="array" aca="1" ref="Y9" ca="1">IF(ROW()-ROW($N$2:$N$28)+1&gt;ROWS($M$2:$M$28)-COUNTBLANK($M$2:$M$28),"",INDIRECT(ADDRESS(SMALL((IF($M$2:$M$28&lt;&gt;"",ROW($M$2:$M$28),ROW()+ROWS($M$2:$M$28))),ROW()-ROW($N$2:$N$28)+1),COLUMN($M$2:$M$28),4)))</f>
        <v>-----</v>
      </c>
    </row>
    <row r="10" spans="1:25" ht="46.5" customHeight="1" x14ac:dyDescent="0.25">
      <c r="A10" s="629" t="str">
        <f>IF('Kennzahlenbogen_(KB)'!R36=0,"",'Kennzahlenbogen_(KB)'!R36)</f>
        <v>Unvollständig</v>
      </c>
      <c r="C10" s="635" t="str">
        <f>IF($A10="I.O.","",CONCATENATE('Kennzahlenbogen_(KB)'!B33,'Kennzahlenbogen_(KB)'!C36))</f>
        <v>3b</v>
      </c>
      <c r="D10" s="631" t="str">
        <f>IF($A10="I.O.","",CONCATENATE('Kennzahlenbogen_(KB)'!E33," - Primärfälle mit primär M1"))</f>
        <v>Vorstellung in der monatlichen Tumorkonferenz - Primärfälle mit primär M1</v>
      </c>
      <c r="E10" s="632" t="str">
        <f>IF(AND('Kennzahlenbogen_(KB)'!L36="",$A10&lt;&gt;"I.O."),"-----",IF($A10="I.O.","",'Kennzahlenbogen_(KB)'!L36))</f>
        <v>-----</v>
      </c>
      <c r="F10" s="636" t="str">
        <f>IF($A10="I.O.","","100%")</f>
        <v>100%</v>
      </c>
      <c r="G10" s="632" t="str">
        <f>IF(AND('Kennzahlenbogen_(KB)'!O36="",$A10&lt;&gt;"I.O."),"-----",IF($A10="I.O.","",'Kennzahlenbogen_(KB)'!O36))</f>
        <v>-----</v>
      </c>
      <c r="H10" s="630" t="str">
        <f>IF($A10="I.O.","",IF('Kennzahlenbogen_(KB)'!Q36="","-----",'Kennzahlenbogen_(KB)'!Q36))</f>
        <v>-----</v>
      </c>
      <c r="I10" s="630" t="str">
        <f>IF($A10="I.O.","",IF('Kennzahlenbogen_(KB)'!Q37="","-----",'Kennzahlenbogen_(KB)'!Q37))</f>
        <v>-----</v>
      </c>
      <c r="J10" s="630" t="str">
        <f>IF($A10="I.O.","",IF('Kennzahlenbogen_(KB)'!Q38="","-----",'Kennzahlenbogen_(KB)'!Q38))</f>
        <v>n.d.</v>
      </c>
      <c r="K10" s="630" t="str">
        <f>IF($A10="I.O.","",'Kennzahlenbogen_(KB)'!R36)</f>
        <v>Unvollständig</v>
      </c>
      <c r="L10" s="631" t="str">
        <f>IF(AND('Kennzahlenbogen_(KB)'!S36="",$A10&lt;&gt;"I.O."),"-----",IF($A10="I.O.","",'Kennzahlenbogen_(KB)'!S36))</f>
        <v>-----</v>
      </c>
      <c r="M10" s="631" t="str">
        <f>IF(AND('Kennzahlenbogen_(KB)'!T36="",$A10&lt;&gt;"I.O."),"-----",IF($A10="I.O.","",'Kennzahlenbogen_(KB)'!T36))</f>
        <v>-----</v>
      </c>
      <c r="O10" s="633" t="str">
        <f t="array" aca="1" ref="O10" ca="1">IF(ROW()-ROW($D$2:$D$28)+1&gt;ROWS($C$2:$C$28)-COUNTBLANK($C$2:$C$28),"",INDIRECT(ADDRESS(SMALL((IF($C$2:$C$28&lt;&gt;"",ROW($C$2:$C$28),ROW()+ROWS($C$2:$C$28))),ROW()-ROW($D$2:$D$28)+1),COLUMN($C$2:$C$28),4)))</f>
        <v>3b</v>
      </c>
      <c r="P10" s="634" t="str">
        <f t="array" aca="1" ref="P10" ca="1">IF(ROW()-ROW($E$2:$E$28)+1&gt;ROWS($D$2:$D$28)-COUNTBLANK($D$2:$D$28),"",INDIRECT(ADDRESS(SMALL((IF($D$2:$D$28&gt;"",ROW($D$2:$D$28),ROW()+ROWS($D$2:$D$28))),ROW()-ROW($E$2:$E$28)+1),COLUMN($D$2:$D$28),4)))</f>
        <v>Vorstellung in der monatlichen Tumorkonferenz - Primärfälle mit primär M1</v>
      </c>
      <c r="Q10" s="630" t="str">
        <f t="array" aca="1" ref="Q10" ca="1">IF(ROW()-ROW($F$2:$F$28)+1&gt;ROWS($E$2:$E$28)-COUNTBLANK($E$2:$E$28),"",INDIRECT(ADDRESS(SMALL((IF($E$2:$E$28&gt;"",ROW($E$2:$E$28),ROW()+ROWS($E$2:$E$28))),ROW()-ROW($F$2:$F$28)+1),COLUMN($E$2:$E$28),4)))</f>
        <v>-----</v>
      </c>
      <c r="R10" s="630" t="str">
        <f t="array" aca="1" ref="R10" ca="1">IF(ROW()-ROW($G$2:$G$28)+1&gt;ROWS($F$2:$F$28)-COUNTBLANK($F$2:$F$28),"",INDIRECT(ADDRESS(SMALL((IF($F$2:$F$28&gt;"",ROW($F$2:$F$28),ROW()+ROWS($F$2:$F$28))),ROW()-ROW($G$2:$G$28)+1),COLUMN($F$2:$F$28),4)))</f>
        <v>100%</v>
      </c>
      <c r="S10" s="630" t="str">
        <f t="array" aca="1" ref="S10" ca="1">IF(ROW()-ROW($H$2:$H$28)+1&gt;ROWS($G$2:$G$28)-COUNTBLANK($G$2:$G$28),"",INDIRECT(ADDRESS(SMALL((IF($G$2:$G$28&lt;&gt;"",ROW($G$2:$G$28),ROW()+ROWS($G$2:$G$28))),ROW()-ROW($H$2:$H$28)+1),COLUMN($G$2:$G$28),4)))</f>
        <v>-----</v>
      </c>
      <c r="T10" s="630" t="str">
        <f t="array" aca="1" ref="T10" ca="1">IF(ROW()-ROW($I$2:$I$28)+1&gt;ROWS($H$2:$H$28)-COUNTBLANK($H$2:$H$28),"",INDIRECT(ADDRESS(SMALL((IF($H$2:$H$28&lt;&gt;"",ROW($H$2:$H$28),ROW()+ROWS($H$2:$H$28))),ROW()-ROW($I$2:$I$28)+1),COLUMN($H$2:$H$28),4)))</f>
        <v>-----</v>
      </c>
      <c r="U10" s="630" t="str">
        <f t="array" aca="1" ref="U10" ca="1">IF(ROW()-ROW($J$2:$J$28)+1&gt;ROWS($I$2:$I$28)-COUNTBLANK($I$2:$I$28),"",INDIRECT(ADDRESS(SMALL((IF($I$2:$I$28&lt;&gt;"",ROW($I$2:$I$28),ROW()+ROWS($I$2:$I$28))),ROW()-ROW($J$2:$J$28)+1),COLUMN($I$2:$I$28),4)))</f>
        <v>-----</v>
      </c>
      <c r="V10" s="630" t="str">
        <f t="array" aca="1" ref="V10" ca="1">IF(ROW()-ROW($K$2:$K$28)+1&gt;ROWS($J$2:$J$28)-COUNTBLANK($J$2:$J$28),"",INDIRECT(ADDRESS(SMALL((IF($J$2:$J$28&lt;&gt;"",ROW($J$2:$J$28),ROW()+ROWS($J$2:$J$28))),ROW()-ROW($K$2:$K$28)+1),COLUMN($J$2:$J$28),4)))</f>
        <v>n.d.</v>
      </c>
      <c r="W10" s="634" t="str">
        <f t="array" aca="1" ref="W10" ca="1">IF(ROW()-ROW($L$2:$L$28)+1&gt;ROWS($K$2:$K$28)-COUNTBLANK($K$2:$K$28),"",INDIRECT(ADDRESS(SMALL((IF($K$2:$K$28&lt;&gt;"",ROW($K$2:$K$28),ROW()+ROWS($K$2:$K$28))),ROW()-ROW($L$2:$L$28)+1),COLUMN($K$2:$K$28),4)))</f>
        <v>Unvollständig</v>
      </c>
      <c r="X10" s="634" t="str">
        <f t="array" aca="1" ref="X10" ca="1">IF(ROW()-ROW($M$2:$M$28)+1&gt;ROWS($L$2:$L$28)-COUNTBLANK($L$2:$L$28),"",INDIRECT(ADDRESS(SMALL((IF($L$2:$L$28&lt;&gt;"",ROW($L$2:$L$28),ROW()+ROWS($L$2:$L$28))),ROW()-ROW($M$2:$M$28)+1),COLUMN($L$2:$L$28),4)))</f>
        <v>-----</v>
      </c>
      <c r="Y10" s="634" t="str">
        <f t="array" aca="1" ref="Y10" ca="1">IF(ROW()-ROW($N$2:$N$28)+1&gt;ROWS($M$2:$M$28)-COUNTBLANK($M$2:$M$28),"",INDIRECT(ADDRESS(SMALL((IF($M$2:$M$28&lt;&gt;"",ROW($M$2:$M$28),ROW()+ROWS($M$2:$M$28))),ROW()-ROW($N$2:$N$28)+1),COLUMN($M$2:$M$28),4)))</f>
        <v>-----</v>
      </c>
    </row>
    <row r="11" spans="1:25" ht="46.5" customHeight="1" x14ac:dyDescent="0.25">
      <c r="A11" s="629" t="str">
        <f>IF('Kennzahlenbogen_(KB)'!R39=0,"",'Kennzahlenbogen_(KB)'!R39)</f>
        <v>Unvollständig</v>
      </c>
      <c r="C11" s="635" t="str">
        <f>IF($A11="I.O.","",CONCATENATE('Kennzahlenbogen_(KB)'!B33,'Kennzahlenbogen_(KB)'!C39))</f>
        <v>3c</v>
      </c>
      <c r="D11" s="631" t="str">
        <f>IF($A11="I.O.","",CONCATENATE('Kennzahlenbogen_(KB)'!E33," - Patienten mit neuaufgetretenem Rezidiv und/oder 
Fernmetastasen (= Kennzahl 1c)"))</f>
        <v>Vorstellung in der monatlichen Tumorkonferenz - Patienten mit neuaufgetretenem Rezidiv und/oder 
Fernmetastasen (= Kennzahl 1c)</v>
      </c>
      <c r="E11" s="632" t="str">
        <f>IF(AND('Kennzahlenbogen_(KB)'!L39="",$A11&lt;&gt;"I.O."),"-----",IF($A11="I.O.","",'Kennzahlenbogen_(KB)'!L39))</f>
        <v>-----</v>
      </c>
      <c r="F11" s="636" t="str">
        <f t="shared" ref="F11" si="1">IF($A11="I.O.","","100%")</f>
        <v>100%</v>
      </c>
      <c r="G11" s="632" t="str">
        <f>IF(AND('Kennzahlenbogen_(KB)'!O39="",$A11&lt;&gt;"I.O."),"-----",IF($A11="I.O.","",'Kennzahlenbogen_(KB)'!O39))</f>
        <v>-----</v>
      </c>
      <c r="H11" s="630" t="str">
        <f>IF($A11="I.O.","",IF('Kennzahlenbogen_(KB)'!Q39="","-----",'Kennzahlenbogen_(KB)'!Q39))</f>
        <v>-----</v>
      </c>
      <c r="I11" s="630">
        <f>IF($A11="I.O.","",IF('Kennzahlenbogen_(KB)'!Q40="","-----",'Kennzahlenbogen_(KB)'!Q40))</f>
        <v>0</v>
      </c>
      <c r="J11" s="630" t="str">
        <f>IF($A11="I.O.","",IF('Kennzahlenbogen_(KB)'!Q41="","-----",'Kennzahlenbogen_(KB)'!Q41))</f>
        <v>n.d.</v>
      </c>
      <c r="K11" s="630" t="str">
        <f>IF($A11="I.O.","",'Kennzahlenbogen_(KB)'!R39)</f>
        <v>Unvollständig</v>
      </c>
      <c r="L11" s="631" t="str">
        <f>IF(AND('Kennzahlenbogen_(KB)'!S39="",$A11&lt;&gt;"I.O."),"-----",IF($A11="I.O.","",'Kennzahlenbogen_(KB)'!S39))</f>
        <v>-----</v>
      </c>
      <c r="M11" s="631" t="str">
        <f>IF(AND('Kennzahlenbogen_(KB)'!T39="",$A11&lt;&gt;"I.O."),"-----",IF($A11="I.O.","",'Kennzahlenbogen_(KB)'!T39))</f>
        <v>-----</v>
      </c>
      <c r="O11" s="633" t="str">
        <f t="array" aca="1" ref="O11" ca="1">IF(ROW()-ROW($D$2:$D$28)+1&gt;ROWS($C$2:$C$28)-COUNTBLANK($C$2:$C$28),"",INDIRECT(ADDRESS(SMALL((IF($C$2:$C$28&lt;&gt;"",ROW($C$2:$C$28),ROW()+ROWS($C$2:$C$28))),ROW()-ROW($D$2:$D$28)+1),COLUMN($C$2:$C$28),4)))</f>
        <v>3c</v>
      </c>
      <c r="P11" s="634" t="str">
        <f t="array" aca="1" ref="P11" ca="1">IF(ROW()-ROW($E$2:$E$28)+1&gt;ROWS($D$2:$D$28)-COUNTBLANK($D$2:$D$28),"",INDIRECT(ADDRESS(SMALL((IF($D$2:$D$28&gt;"",ROW($D$2:$D$28),ROW()+ROWS($D$2:$D$28))),ROW()-ROW($E$2:$E$28)+1),COLUMN($D$2:$D$28),4)))</f>
        <v>Vorstellung in der monatlichen Tumorkonferenz - Patienten mit neuaufgetretenem Rezidiv und/oder 
Fernmetastasen (= Kennzahl 1c)</v>
      </c>
      <c r="Q11" s="630" t="str">
        <f t="array" aca="1" ref="Q11" ca="1">IF(ROW()-ROW($F$2:$F$28)+1&gt;ROWS($E$2:$E$28)-COUNTBLANK($E$2:$E$28),"",INDIRECT(ADDRESS(SMALL((IF($E$2:$E$28&gt;"",ROW($E$2:$E$28),ROW()+ROWS($E$2:$E$28))),ROW()-ROW($F$2:$F$28)+1),COLUMN($E$2:$E$28),4)))</f>
        <v>-----</v>
      </c>
      <c r="R11" s="630" t="str">
        <f t="array" aca="1" ref="R11" ca="1">IF(ROW()-ROW($G$2:$G$28)+1&gt;ROWS($F$2:$F$28)-COUNTBLANK($F$2:$F$28),"",INDIRECT(ADDRESS(SMALL((IF($F$2:$F$28&gt;"",ROW($F$2:$F$28),ROW()+ROWS($F$2:$F$28))),ROW()-ROW($G$2:$G$28)+1),COLUMN($F$2:$F$28),4)))</f>
        <v>100%</v>
      </c>
      <c r="S11" s="630" t="str">
        <f t="array" aca="1" ref="S11" ca="1">IF(ROW()-ROW($H$2:$H$28)+1&gt;ROWS($G$2:$G$28)-COUNTBLANK($G$2:$G$28),"",INDIRECT(ADDRESS(SMALL((IF($G$2:$G$28&lt;&gt;"",ROW($G$2:$G$28),ROW()+ROWS($G$2:$G$28))),ROW()-ROW($H$2:$H$28)+1),COLUMN($G$2:$G$28),4)))</f>
        <v>-----</v>
      </c>
      <c r="T11" s="630" t="str">
        <f t="array" aca="1" ref="T11" ca="1">IF(ROW()-ROW($I$2:$I$28)+1&gt;ROWS($H$2:$H$28)-COUNTBLANK($H$2:$H$28),"",INDIRECT(ADDRESS(SMALL((IF($H$2:$H$28&lt;&gt;"",ROW($H$2:$H$28),ROW()+ROWS($H$2:$H$28))),ROW()-ROW($I$2:$I$28)+1),COLUMN($H$2:$H$28),4)))</f>
        <v>-----</v>
      </c>
      <c r="U11" s="630">
        <f t="array" aca="1" ref="U11" ca="1">IF(ROW()-ROW($J$2:$J$28)+1&gt;ROWS($I$2:$I$28)-COUNTBLANK($I$2:$I$28),"",INDIRECT(ADDRESS(SMALL((IF($I$2:$I$28&lt;&gt;"",ROW($I$2:$I$28),ROW()+ROWS($I$2:$I$28))),ROW()-ROW($J$2:$J$28)+1),COLUMN($I$2:$I$28),4)))</f>
        <v>0</v>
      </c>
      <c r="V11" s="630" t="str">
        <f t="array" aca="1" ref="V11" ca="1">IF(ROW()-ROW($K$2:$K$28)+1&gt;ROWS($J$2:$J$28)-COUNTBLANK($J$2:$J$28),"",INDIRECT(ADDRESS(SMALL((IF($J$2:$J$28&lt;&gt;"",ROW($J$2:$J$28),ROW()+ROWS($J$2:$J$28))),ROW()-ROW($K$2:$K$28)+1),COLUMN($J$2:$J$28),4)))</f>
        <v>n.d.</v>
      </c>
      <c r="W11" s="634" t="str">
        <f t="array" aca="1" ref="W11" ca="1">IF(ROW()-ROW($L$2:$L$28)+1&gt;ROWS($K$2:$K$28)-COUNTBLANK($K$2:$K$28),"",INDIRECT(ADDRESS(SMALL((IF($K$2:$K$28&lt;&gt;"",ROW($K$2:$K$28),ROW()+ROWS($K$2:$K$28))),ROW()-ROW($L$2:$L$28)+1),COLUMN($K$2:$K$28),4)))</f>
        <v>Unvollständig</v>
      </c>
      <c r="X11" s="634" t="str">
        <f t="array" aca="1" ref="X11" ca="1">IF(ROW()-ROW($M$2:$M$28)+1&gt;ROWS($L$2:$L$28)-COUNTBLANK($L$2:$L$28),"",INDIRECT(ADDRESS(SMALL((IF($L$2:$L$28&lt;&gt;"",ROW($L$2:$L$28),ROW()+ROWS($L$2:$L$28))),ROW()-ROW($M$2:$M$28)+1),COLUMN($L$2:$L$28),4)))</f>
        <v>-----</v>
      </c>
      <c r="Y11" s="634" t="str">
        <f t="array" aca="1" ref="Y11" ca="1">IF(ROW()-ROW($N$2:$N$28)+1&gt;ROWS($M$2:$M$28)-COUNTBLANK($M$2:$M$28),"",INDIRECT(ADDRESS(SMALL((IF($M$2:$M$28&lt;&gt;"",ROW($M$2:$M$28),ROW()+ROWS($M$2:$M$28))),ROW()-ROW($N$2:$N$28)+1),COLUMN($M$2:$M$28),4)))</f>
        <v>-----</v>
      </c>
    </row>
    <row r="12" spans="1:25" ht="46.5" customHeight="1" x14ac:dyDescent="0.25">
      <c r="A12" s="629" t="str">
        <f>IF('Kennzahlenbogen_(KB)'!R42=0,"",'Kennzahlenbogen_(KB)'!R42)</f>
        <v>Unvollständig</v>
      </c>
      <c r="C12" s="630">
        <f>IF($A12="I.O.","",'Kennzahlenbogen_(KB)'!B42)</f>
        <v>4</v>
      </c>
      <c r="D12" s="631" t="str">
        <f>IF($A12="I.O.","",'Kennzahlenbogen_(KB)'!E42)</f>
        <v>Active-Surveillance (AS)</v>
      </c>
      <c r="E12" s="632" t="str">
        <f>IF(AND('Kennzahlenbogen_(KB)'!L42="",$A12&lt;&gt;"I.O."),"-----",IF($A12="I.O.","",'Kennzahlenbogen_(KB)'!L42))</f>
        <v>&lt; 0,01%</v>
      </c>
      <c r="F12" s="632" t="str">
        <f>IF($A12="I.O.","",'Kennzahlenbogen_(KB)'!M42)</f>
        <v>Derzeit keine
Vorgaben</v>
      </c>
      <c r="G12" s="632" t="str">
        <f>IF(AND('Kennzahlenbogen_(KB)'!O42="",$A12&lt;&gt;"I.O."),"-----",IF($A12="I.O.","",'Kennzahlenbogen_(KB)'!O42))</f>
        <v>-----</v>
      </c>
      <c r="H12" s="630">
        <f>IF($A12="I.O.","",IF('Kennzahlenbogen_(KB)'!Q42="","-----",'Kennzahlenbogen_(KB)'!Q42))</f>
        <v>0</v>
      </c>
      <c r="I12" s="630">
        <f>IF($A12="I.O.","",IF('Kennzahlenbogen_(KB)'!Q43="","-----",'Kennzahlenbogen_(KB)'!Q43))</f>
        <v>0</v>
      </c>
      <c r="J12" s="630" t="str">
        <f>IF($A12="I.O.","",IF('Kennzahlenbogen_(KB)'!Q44="",0,'Kennzahlenbogen_(KB)'!Q44))</f>
        <v>n.d.</v>
      </c>
      <c r="K12" s="630" t="str">
        <f>IF($A12="I.O.","",'Kennzahlenbogen_(KB)'!R42)</f>
        <v>Unvollständig</v>
      </c>
      <c r="L12" s="631" t="str">
        <f>IF(AND('Kennzahlenbogen_(KB)'!S42="",$A12&lt;&gt;"I.O."),"-----",IF($A12="I.O.","",'Kennzahlenbogen_(KB)'!S42))</f>
        <v>-----</v>
      </c>
      <c r="M12" s="631" t="str">
        <f>IF(AND('Kennzahlenbogen_(KB)'!T42="",$A12&lt;&gt;"I.O."),"-----",IF($A12="I.O.","",'Kennzahlenbogen_(KB)'!T42))</f>
        <v>-----</v>
      </c>
      <c r="O12" s="633">
        <f t="array" aca="1" ref="O12" ca="1">IF(ROW()-ROW($D$2:$D$28)+1&gt;ROWS($C$2:$C$28)-COUNTBLANK($C$2:$C$28),"",INDIRECT(ADDRESS(SMALL((IF($C$2:$C$28&lt;&gt;"",ROW($C$2:$C$28),ROW()+ROWS($C$2:$C$28))),ROW()-ROW($D$2:$D$28)+1),COLUMN($C$2:$C$28),4)))</f>
        <v>4</v>
      </c>
      <c r="P12" s="634" t="str">
        <f t="array" aca="1" ref="P12" ca="1">IF(ROW()-ROW($E$2:$E$28)+1&gt;ROWS($D$2:$D$28)-COUNTBLANK($D$2:$D$28),"",INDIRECT(ADDRESS(SMALL((IF($D$2:$D$28&gt;"",ROW($D$2:$D$28),ROW()+ROWS($D$2:$D$28))),ROW()-ROW($E$2:$E$28)+1),COLUMN($D$2:$D$28),4)))</f>
        <v>Active-Surveillance (AS)</v>
      </c>
      <c r="Q12" s="630" t="str">
        <f t="array" aca="1" ref="Q12" ca="1">IF(ROW()-ROW($F$2:$F$28)+1&gt;ROWS($E$2:$E$28)-COUNTBLANK($E$2:$E$28),"",INDIRECT(ADDRESS(SMALL((IF($E$2:$E$28&gt;"",ROW($E$2:$E$28),ROW()+ROWS($E$2:$E$28))),ROW()-ROW($F$2:$F$28)+1),COLUMN($E$2:$E$28),4)))</f>
        <v>&lt; 0,01%</v>
      </c>
      <c r="R12" s="630" t="str">
        <f t="array" aca="1" ref="R12" ca="1">IF(ROW()-ROW($G$2:$G$28)+1&gt;ROWS($F$2:$F$28)-COUNTBLANK($F$2:$F$28),"",INDIRECT(ADDRESS(SMALL((IF($F$2:$F$28&gt;"",ROW($F$2:$F$28),ROW()+ROWS($F$2:$F$28))),ROW()-ROW($G$2:$G$28)+1),COLUMN($F$2:$F$28),4)))</f>
        <v>Derzeit keine
Vorgaben</v>
      </c>
      <c r="S12" s="630" t="str">
        <f t="array" aca="1" ref="S12" ca="1">IF(ROW()-ROW($H$2:$H$28)+1&gt;ROWS($G$2:$G$28)-COUNTBLANK($G$2:$G$28),"",INDIRECT(ADDRESS(SMALL((IF($G$2:$G$28&lt;&gt;"",ROW($G$2:$G$28),ROW()+ROWS($G$2:$G$28))),ROW()-ROW($H$2:$H$28)+1),COLUMN($G$2:$G$28),4)))</f>
        <v>-----</v>
      </c>
      <c r="T12" s="630">
        <f t="array" aca="1" ref="T12" ca="1">IF(ROW()-ROW($I$2:$I$28)+1&gt;ROWS($H$2:$H$28)-COUNTBLANK($H$2:$H$28),"",INDIRECT(ADDRESS(SMALL((IF($H$2:$H$28&lt;&gt;"",ROW($H$2:$H$28),ROW()+ROWS($H$2:$H$28))),ROW()-ROW($I$2:$I$28)+1),COLUMN($H$2:$H$28),4)))</f>
        <v>0</v>
      </c>
      <c r="U12" s="630">
        <f t="array" aca="1" ref="U12" ca="1">IF(ROW()-ROW($J$2:$J$28)+1&gt;ROWS($I$2:$I$28)-COUNTBLANK($I$2:$I$28),"",INDIRECT(ADDRESS(SMALL((IF($I$2:$I$28&lt;&gt;"",ROW($I$2:$I$28),ROW()+ROWS($I$2:$I$28))),ROW()-ROW($J$2:$J$28)+1),COLUMN($I$2:$I$28),4)))</f>
        <v>0</v>
      </c>
      <c r="V12" s="630" t="str">
        <f t="array" aca="1" ref="V12" ca="1">IF(ROW()-ROW($K$2:$K$28)+1&gt;ROWS($J$2:$J$28)-COUNTBLANK($J$2:$J$28),"",INDIRECT(ADDRESS(SMALL((IF($J$2:$J$28&lt;&gt;"",ROW($J$2:$J$28),ROW()+ROWS($J$2:$J$28))),ROW()-ROW($K$2:$K$28)+1),COLUMN($J$2:$J$28),4)))</f>
        <v>n.d.</v>
      </c>
      <c r="W12" s="634" t="str">
        <f t="array" aca="1" ref="W12" ca="1">IF(ROW()-ROW($L$2:$L$28)+1&gt;ROWS($K$2:$K$28)-COUNTBLANK($K$2:$K$28),"",INDIRECT(ADDRESS(SMALL((IF($K$2:$K$28&lt;&gt;"",ROW($K$2:$K$28),ROW()+ROWS($K$2:$K$28))),ROW()-ROW($L$2:$L$28)+1),COLUMN($K$2:$K$28),4)))</f>
        <v>Unvollständig</v>
      </c>
      <c r="X12" s="634" t="str">
        <f t="array" aca="1" ref="X12" ca="1">IF(ROW()-ROW($M$2:$M$28)+1&gt;ROWS($L$2:$L$28)-COUNTBLANK($L$2:$L$28),"",INDIRECT(ADDRESS(SMALL((IF($L$2:$L$28&lt;&gt;"",ROW($L$2:$L$28),ROW()+ROWS($L$2:$L$28))),ROW()-ROW($M$2:$M$28)+1),COLUMN($L$2:$L$28),4)))</f>
        <v>-----</v>
      </c>
      <c r="Y12" s="634" t="str">
        <f t="array" aca="1" ref="Y12" ca="1">IF(ROW()-ROW($N$2:$N$28)+1&gt;ROWS($M$2:$M$28)-COUNTBLANK($M$2:$M$28),"",INDIRECT(ADDRESS(SMALL((IF($M$2:$M$28&lt;&gt;"",ROW($M$2:$M$28),ROW()+ROWS($M$2:$M$28))),ROW()-ROW($N$2:$N$28)+1),COLUMN($M$2:$M$28),4)))</f>
        <v>-----</v>
      </c>
    </row>
    <row r="13" spans="1:25" ht="46.5" customHeight="1" x14ac:dyDescent="0.25">
      <c r="A13" s="629" t="str">
        <f>IF('Kennzahlenbogen_(KB)'!R45=0,"",'Kennzahlenbogen_(KB)'!R45)</f>
        <v>Unvollständig</v>
      </c>
      <c r="C13" s="635">
        <f>IF($A13="I.O.","",'Kennzahlenbogen_(KB)'!B45)</f>
        <v>5</v>
      </c>
      <c r="D13" s="631" t="str">
        <f>IF($A13="I.O.","",'Kennzahlenbogen_(KB)'!E45)</f>
        <v>Strahlentherapie und hormonablative Therapie bei lokal begrenztem PCa mit hohem Risiko</v>
      </c>
      <c r="E13" s="632" t="str">
        <f>IF(AND('Kennzahlenbogen_(KB)'!L45="",$A13&lt;&gt;"I.O."),"-----",IF($A13="I.O.","",'Kennzahlenbogen_(KB)'!L45))</f>
        <v>-----</v>
      </c>
      <c r="F13" s="632" t="str">
        <f>IF($A13="I.O.","",'Kennzahlenbogen_(KB)'!M45)</f>
        <v>≥ 70%</v>
      </c>
      <c r="G13" s="632" t="str">
        <f>IF(AND('Kennzahlenbogen_(KB)'!O45="",$A13&lt;&gt;"I.O."),"-----",IF($A13="I.O.","",'Kennzahlenbogen_(KB)'!O45))</f>
        <v>-----</v>
      </c>
      <c r="H13" s="630" t="str">
        <f>IF($A13="I.O.","",IF('Kennzahlenbogen_(KB)'!Q45="","-----",'Kennzahlenbogen_(KB)'!Q45))</f>
        <v>-----</v>
      </c>
      <c r="I13" s="630">
        <f>IF($A13="I.O.","",IF('Kennzahlenbogen_(KB)'!Q46="","-----",'Kennzahlenbogen_(KB)'!Q46))</f>
        <v>0</v>
      </c>
      <c r="J13" s="630" t="str">
        <f>IF($A13="I.O.","",IF('Kennzahlenbogen_(KB)'!Q47="","-----",'Kennzahlenbogen_(KB)'!Q47))</f>
        <v>n.d.</v>
      </c>
      <c r="K13" s="630" t="str">
        <f>IF($A13="I.O.","",'Kennzahlenbogen_(KB)'!R45)</f>
        <v>Unvollständig</v>
      </c>
      <c r="L13" s="631" t="str">
        <f>IF(AND('Kennzahlenbogen_(KB)'!S45="",$A13&lt;&gt;"I.O."),"-----",IF($A13="I.O.","",'Kennzahlenbogen_(KB)'!S45))</f>
        <v>-----</v>
      </c>
      <c r="M13" s="631" t="str">
        <f>IF(AND('Kennzahlenbogen_(KB)'!T45="",$A13&lt;&gt;"I.O."),"-----",IF($A13="I.O.","",'Kennzahlenbogen_(KB)'!T45))</f>
        <v>-----</v>
      </c>
      <c r="O13" s="633">
        <f t="array" aca="1" ref="O13" ca="1">IF(ROW()-ROW($D$2:$D$28)+1&gt;ROWS($C$2:$C$28)-COUNTBLANK($C$2:$C$28),"",INDIRECT(ADDRESS(SMALL((IF($C$2:$C$28&lt;&gt;"",ROW($C$2:$C$28),ROW()+ROWS($C$2:$C$28))),ROW()-ROW($D$2:$D$28)+1),COLUMN($C$2:$C$28),4)))</f>
        <v>5</v>
      </c>
      <c r="P13" s="634" t="str">
        <f t="array" aca="1" ref="P13" ca="1">IF(ROW()-ROW($E$2:$E$28)+1&gt;ROWS($D$2:$D$28)-COUNTBLANK($D$2:$D$28),"",INDIRECT(ADDRESS(SMALL((IF($D$2:$D$28&gt;"",ROW($D$2:$D$28),ROW()+ROWS($D$2:$D$28))),ROW()-ROW($E$2:$E$28)+1),COLUMN($D$2:$D$28),4)))</f>
        <v>Strahlentherapie und hormonablative Therapie bei lokal begrenztem PCa mit hohem Risiko</v>
      </c>
      <c r="Q13" s="630" t="str">
        <f t="array" aca="1" ref="Q13" ca="1">IF(ROW()-ROW($F$2:$F$28)+1&gt;ROWS($E$2:$E$28)-COUNTBLANK($E$2:$E$28),"",INDIRECT(ADDRESS(SMALL((IF($E$2:$E$28&gt;"",ROW($E$2:$E$28),ROW()+ROWS($E$2:$E$28))),ROW()-ROW($F$2:$F$28)+1),COLUMN($E$2:$E$28),4)))</f>
        <v>-----</v>
      </c>
      <c r="R13" s="630" t="str">
        <f t="array" aca="1" ref="R13" ca="1">IF(ROW()-ROW($G$2:$G$28)+1&gt;ROWS($F$2:$F$28)-COUNTBLANK($F$2:$F$28),"",INDIRECT(ADDRESS(SMALL((IF($F$2:$F$28&gt;"",ROW($F$2:$F$28),ROW()+ROWS($F$2:$F$28))),ROW()-ROW($G$2:$G$28)+1),COLUMN($F$2:$F$28),4)))</f>
        <v>≥ 70%</v>
      </c>
      <c r="S13" s="630" t="str">
        <f t="array" aca="1" ref="S13" ca="1">IF(ROW()-ROW($H$2:$H$28)+1&gt;ROWS($G$2:$G$28)-COUNTBLANK($G$2:$G$28),"",INDIRECT(ADDRESS(SMALL((IF($G$2:$G$28&lt;&gt;"",ROW($G$2:$G$28),ROW()+ROWS($G$2:$G$28))),ROW()-ROW($H$2:$H$28)+1),COLUMN($G$2:$G$28),4)))</f>
        <v>-----</v>
      </c>
      <c r="T13" s="630" t="str">
        <f t="array" aca="1" ref="T13" ca="1">IF(ROW()-ROW($I$2:$I$28)+1&gt;ROWS($H$2:$H$28)-COUNTBLANK($H$2:$H$28),"",INDIRECT(ADDRESS(SMALL((IF($H$2:$H$28&lt;&gt;"",ROW($H$2:$H$28),ROW()+ROWS($H$2:$H$28))),ROW()-ROW($I$2:$I$28)+1),COLUMN($H$2:$H$28),4)))</f>
        <v>-----</v>
      </c>
      <c r="U13" s="630">
        <f t="array" aca="1" ref="U13" ca="1">IF(ROW()-ROW($J$2:$J$28)+1&gt;ROWS($I$2:$I$28)-COUNTBLANK($I$2:$I$28),"",INDIRECT(ADDRESS(SMALL((IF($I$2:$I$28&lt;&gt;"",ROW($I$2:$I$28),ROW()+ROWS($I$2:$I$28))),ROW()-ROW($J$2:$J$28)+1),COLUMN($I$2:$I$28),4)))</f>
        <v>0</v>
      </c>
      <c r="V13" s="630" t="str">
        <f t="array" aca="1" ref="V13" ca="1">IF(ROW()-ROW($K$2:$K$28)+1&gt;ROWS($J$2:$J$28)-COUNTBLANK($J$2:$J$28),"",INDIRECT(ADDRESS(SMALL((IF($J$2:$J$28&lt;&gt;"",ROW($J$2:$J$28),ROW()+ROWS($J$2:$J$28))),ROW()-ROW($K$2:$K$28)+1),COLUMN($J$2:$J$28),4)))</f>
        <v>n.d.</v>
      </c>
      <c r="W13" s="634" t="str">
        <f t="array" aca="1" ref="W13" ca="1">IF(ROW()-ROW($L$2:$L$28)+1&gt;ROWS($K$2:$K$28)-COUNTBLANK($K$2:$K$28),"",INDIRECT(ADDRESS(SMALL((IF($K$2:$K$28&lt;&gt;"",ROW($K$2:$K$28),ROW()+ROWS($K$2:$K$28))),ROW()-ROW($L$2:$L$28)+1),COLUMN($K$2:$K$28),4)))</f>
        <v>Unvollständig</v>
      </c>
      <c r="X13" s="634" t="str">
        <f t="array" aca="1" ref="X13" ca="1">IF(ROW()-ROW($M$2:$M$28)+1&gt;ROWS($L$2:$L$28)-COUNTBLANK($L$2:$L$28),"",INDIRECT(ADDRESS(SMALL((IF($L$2:$L$28&lt;&gt;"",ROW($L$2:$L$28),ROW()+ROWS($L$2:$L$28))),ROW()-ROW($M$2:$M$28)+1),COLUMN($L$2:$L$28),4)))</f>
        <v>-----</v>
      </c>
      <c r="Y13" s="634" t="str">
        <f t="array" aca="1" ref="Y13" ca="1">IF(ROW()-ROW($N$2:$N$28)+1&gt;ROWS($M$2:$M$28)-COUNTBLANK($M$2:$M$28),"",INDIRECT(ADDRESS(SMALL((IF($M$2:$M$28&lt;&gt;"",ROW($M$2:$M$28),ROW()+ROWS($M$2:$M$28))),ROW()-ROW($N$2:$N$28)+1),COLUMN($M$2:$M$28),4)))</f>
        <v>-----</v>
      </c>
    </row>
    <row r="14" spans="1:25" ht="46.5" customHeight="1" x14ac:dyDescent="0.25">
      <c r="A14" s="629" t="str">
        <f>IF('Kennzahlenbogen_(KB)'!R48=0,"",'Kennzahlenbogen_(KB)'!R48)</f>
        <v>Unvollständig</v>
      </c>
      <c r="C14" s="630">
        <f>IF($A14="I.O.","",'Kennzahlenbogen_(KB)'!B48)</f>
        <v>6</v>
      </c>
      <c r="D14" s="631" t="str">
        <f>IF($A14="I.O.","",('Kennzahlenbogen_(KB)'!E48))</f>
        <v>Psychoonkologische Betreuung</v>
      </c>
      <c r="E14" s="632" t="str">
        <f>IF(AND('Kennzahlenbogen_(KB)'!L48="",$A14&lt;&gt;"I.O."),"-----",IF($A14="I.O.","",'Kennzahlenbogen_(KB)'!L48))</f>
        <v>&lt; 4%</v>
      </c>
      <c r="F14" s="632" t="str">
        <f>IF($A14="I.O.","",'Kennzahlenbogen_(KB)'!M48)</f>
        <v>Derzeit keine
Vorgaben</v>
      </c>
      <c r="G14" s="632" t="str">
        <f>IF(AND('Kennzahlenbogen_(KB)'!O48="",$A14&lt;&gt;"I.O."),"-----",IF($A14="I.O.","",'Kennzahlenbogen_(KB)'!O48))</f>
        <v>&gt; 80%</v>
      </c>
      <c r="H14" s="630" t="str">
        <f>IF($A14="I.O.","",IF('Kennzahlenbogen_(KB)'!Q48="","-----",'Kennzahlenbogen_(KB)'!Q48))</f>
        <v>-----</v>
      </c>
      <c r="I14" s="630">
        <f>IF($A14="I.O.","",IF('Kennzahlenbogen_(KB)'!Q49="","-----",'Kennzahlenbogen_(KB)'!Q49))</f>
        <v>0</v>
      </c>
      <c r="J14" s="630" t="str">
        <f>IF($A14="I.O.","",IF('Kennzahlenbogen_(KB)'!Q50="",0,'Kennzahlenbogen_(KB)'!Q50))</f>
        <v>n.d.</v>
      </c>
      <c r="K14" s="630" t="str">
        <f>IF($A14="I.O.","",'Kennzahlenbogen_(KB)'!R48)</f>
        <v>Unvollständig</v>
      </c>
      <c r="L14" s="631" t="str">
        <f>IF(AND('Kennzahlenbogen_(KB)'!S48="",$A14&lt;&gt;"I.O."),"-----",IF($A14="I.O.","",'Kennzahlenbogen_(KB)'!S48))</f>
        <v>-----</v>
      </c>
      <c r="M14" s="631" t="str">
        <f>IF(AND('Kennzahlenbogen_(KB)'!T48="",$A14&lt;&gt;"I.O."),"-----",IF($A14="I.O.","",'Kennzahlenbogen_(KB)'!T48))</f>
        <v>-----</v>
      </c>
      <c r="O14" s="633">
        <f t="array" aca="1" ref="O14" ca="1">IF(ROW()-ROW($D$2:$D$28)+1&gt;ROWS($C$2:$C$28)-COUNTBLANK($C$2:$C$28),"",INDIRECT(ADDRESS(SMALL((IF($C$2:$C$28&lt;&gt;"",ROW($C$2:$C$28),ROW()+ROWS($C$2:$C$28))),ROW()-ROW($D$2:$D$28)+1),COLUMN($C$2:$C$28),4)))</f>
        <v>6</v>
      </c>
      <c r="P14" s="634" t="str">
        <f t="array" aca="1" ref="P14" ca="1">IF(ROW()-ROW($E$2:$E$28)+1&gt;ROWS($D$2:$D$28)-COUNTBLANK($D$2:$D$28),"",INDIRECT(ADDRESS(SMALL((IF($D$2:$D$28&gt;"",ROW($D$2:$D$28),ROW()+ROWS($D$2:$D$28))),ROW()-ROW($E$2:$E$28)+1),COLUMN($D$2:$D$28),4)))</f>
        <v>Psychoonkologische Betreuung</v>
      </c>
      <c r="Q14" s="630" t="str">
        <f t="array" aca="1" ref="Q14" ca="1">IF(ROW()-ROW($F$2:$F$28)+1&gt;ROWS($E$2:$E$28)-COUNTBLANK($E$2:$E$28),"",INDIRECT(ADDRESS(SMALL((IF($E$2:$E$28&gt;"",ROW($E$2:$E$28),ROW()+ROWS($E$2:$E$28))),ROW()-ROW($F$2:$F$28)+1),COLUMN($E$2:$E$28),4)))</f>
        <v>&lt; 4%</v>
      </c>
      <c r="R14" s="630" t="str">
        <f t="array" aca="1" ref="R14" ca="1">IF(ROW()-ROW($G$2:$G$28)+1&gt;ROWS($F$2:$F$28)-COUNTBLANK($F$2:$F$28),"",INDIRECT(ADDRESS(SMALL((IF($F$2:$F$28&gt;"",ROW($F$2:$F$28),ROW()+ROWS($F$2:$F$28))),ROW()-ROW($G$2:$G$28)+1),COLUMN($F$2:$F$28),4)))</f>
        <v>Derzeit keine
Vorgaben</v>
      </c>
      <c r="S14" s="630" t="str">
        <f t="array" aca="1" ref="S14" ca="1">IF(ROW()-ROW($H$2:$H$28)+1&gt;ROWS($G$2:$G$28)-COUNTBLANK($G$2:$G$28),"",INDIRECT(ADDRESS(SMALL((IF($G$2:$G$28&lt;&gt;"",ROW($G$2:$G$28),ROW()+ROWS($G$2:$G$28))),ROW()-ROW($H$2:$H$28)+1),COLUMN($G$2:$G$28),4)))</f>
        <v>&gt; 80%</v>
      </c>
      <c r="T14" s="630" t="str">
        <f t="array" aca="1" ref="T14" ca="1">IF(ROW()-ROW($I$2:$I$28)+1&gt;ROWS($H$2:$H$28)-COUNTBLANK($H$2:$H$28),"",INDIRECT(ADDRESS(SMALL((IF($H$2:$H$28&lt;&gt;"",ROW($H$2:$H$28),ROW()+ROWS($H$2:$H$28))),ROW()-ROW($I$2:$I$28)+1),COLUMN($H$2:$H$28),4)))</f>
        <v>-----</v>
      </c>
      <c r="U14" s="630">
        <f t="array" aca="1" ref="U14" ca="1">IF(ROW()-ROW($J$2:$J$28)+1&gt;ROWS($I$2:$I$28)-COUNTBLANK($I$2:$I$28),"",INDIRECT(ADDRESS(SMALL((IF($I$2:$I$28&lt;&gt;"",ROW($I$2:$I$28),ROW()+ROWS($I$2:$I$28))),ROW()-ROW($J$2:$J$28)+1),COLUMN($I$2:$I$28),4)))</f>
        <v>0</v>
      </c>
      <c r="V14" s="630" t="str">
        <f t="array" aca="1" ref="V14" ca="1">IF(ROW()-ROW($K$2:$K$28)+1&gt;ROWS($J$2:$J$28)-COUNTBLANK($J$2:$J$28),"",INDIRECT(ADDRESS(SMALL((IF($J$2:$J$28&lt;&gt;"",ROW($J$2:$J$28),ROW()+ROWS($J$2:$J$28))),ROW()-ROW($K$2:$K$28)+1),COLUMN($J$2:$J$28),4)))</f>
        <v>n.d.</v>
      </c>
      <c r="W14" s="634" t="str">
        <f t="array" aca="1" ref="W14" ca="1">IF(ROW()-ROW($L$2:$L$28)+1&gt;ROWS($K$2:$K$28)-COUNTBLANK($K$2:$K$28),"",INDIRECT(ADDRESS(SMALL((IF($K$2:$K$28&lt;&gt;"",ROW($K$2:$K$28),ROW()+ROWS($K$2:$K$28))),ROW()-ROW($L$2:$L$28)+1),COLUMN($K$2:$K$28),4)))</f>
        <v>Unvollständig</v>
      </c>
      <c r="X14" s="634" t="str">
        <f t="array" aca="1" ref="X14" ca="1">IF(ROW()-ROW($M$2:$M$28)+1&gt;ROWS($L$2:$L$28)-COUNTBLANK($L$2:$L$28),"",INDIRECT(ADDRESS(SMALL((IF($L$2:$L$28&lt;&gt;"",ROW($L$2:$L$28),ROW()+ROWS($L$2:$L$28))),ROW()-ROW($M$2:$M$28)+1),COLUMN($L$2:$L$28),4)))</f>
        <v>-----</v>
      </c>
      <c r="Y14" s="634" t="str">
        <f t="array" aca="1" ref="Y14" ca="1">IF(ROW()-ROW($N$2:$N$28)+1&gt;ROWS($M$2:$M$28)-COUNTBLANK($M$2:$M$28),"",INDIRECT(ADDRESS(SMALL((IF($M$2:$M$28&lt;&gt;"",ROW($M$2:$M$28),ROW()+ROWS($M$2:$M$28))),ROW()-ROW($N$2:$N$28)+1),COLUMN($M$2:$M$28),4)))</f>
        <v>-----</v>
      </c>
    </row>
    <row r="15" spans="1:25" ht="46.5" customHeight="1" x14ac:dyDescent="0.25">
      <c r="A15" s="629" t="str">
        <f>IF('Kennzahlenbogen_(KB)'!R51=0,"",'Kennzahlenbogen_(KB)'!R51)</f>
        <v>Unvollständig</v>
      </c>
      <c r="C15" s="630">
        <f>IF($A15="I.O.","",'Kennzahlenbogen_(KB)'!B51)</f>
        <v>7</v>
      </c>
      <c r="D15" s="631" t="str">
        <f>IF($A15="I.O.","",'Kennzahlenbogen_(KB)'!E51)</f>
        <v>Beratung Sozialdienst</v>
      </c>
      <c r="E15" s="632" t="str">
        <f>IF(AND('Kennzahlenbogen_(KB)'!L51="",$A15&lt;&gt;"I.O."),"-----",IF($A15="I.O.","",'Kennzahlenbogen_(KB)'!L51))</f>
        <v>&lt; 50%</v>
      </c>
      <c r="F15" s="632" t="str">
        <f>IF($A15="I.O.","",'Kennzahlenbogen_(KB)'!M51)</f>
        <v>Derzeit keine
Vorgaben</v>
      </c>
      <c r="G15" s="632" t="str">
        <f>IF(AND('Kennzahlenbogen_(KB)'!O51="",$A15&lt;&gt;"I.O."),"-----",IF($A15="I.O.","",'Kennzahlenbogen_(KB)'!O51))</f>
        <v>-----</v>
      </c>
      <c r="H15" s="630" t="str">
        <f>IF($A15="I.O.","",IF('Kennzahlenbogen_(KB)'!Q51="","-----",'Kennzahlenbogen_(KB)'!Q51))</f>
        <v>-----</v>
      </c>
      <c r="I15" s="630">
        <f>IF($A15="I.O.","",IF('Kennzahlenbogen_(KB)'!Q52="","-----",'Kennzahlenbogen_(KB)'!Q52))</f>
        <v>0</v>
      </c>
      <c r="J15" s="630" t="str">
        <f>IF($A15="I.O.","",IF('Kennzahlenbogen_(KB)'!Q53="",0,'Kennzahlenbogen_(KB)'!Q53))</f>
        <v>n.d.</v>
      </c>
      <c r="K15" s="630" t="str">
        <f>IF($A15="I.O.","",'Kennzahlenbogen_(KB)'!R51)</f>
        <v>Unvollständig</v>
      </c>
      <c r="L15" s="631" t="str">
        <f>IF(AND('Kennzahlenbogen_(KB)'!S51="",$A15&lt;&gt;"I.O."),"-----",IF($A15="I.O.","",'Kennzahlenbogen_(KB)'!S51))</f>
        <v>-----</v>
      </c>
      <c r="M15" s="631" t="str">
        <f>IF(AND('Kennzahlenbogen_(KB)'!T51="",$A15&lt;&gt;"I.O."),"-----",IF($A15="I.O.","",'Kennzahlenbogen_(KB)'!T51))</f>
        <v>-----</v>
      </c>
      <c r="O15" s="633">
        <f t="array" aca="1" ref="O15" ca="1">IF(ROW()-ROW($D$2:$D$28)+1&gt;ROWS($C$2:$C$28)-COUNTBLANK($C$2:$C$28),"",INDIRECT(ADDRESS(SMALL((IF($C$2:$C$28&lt;&gt;"",ROW($C$2:$C$28),ROW()+ROWS($C$2:$C$28))),ROW()-ROW($D$2:$D$28)+1),COLUMN($C$2:$C$28),4)))</f>
        <v>7</v>
      </c>
      <c r="P15" s="634" t="str">
        <f t="array" aca="1" ref="P15" ca="1">IF(ROW()-ROW($E$2:$E$28)+1&gt;ROWS($D$2:$D$28)-COUNTBLANK($D$2:$D$28),"",INDIRECT(ADDRESS(SMALL((IF($D$2:$D$28&gt;"",ROW($D$2:$D$28),ROW()+ROWS($D$2:$D$28))),ROW()-ROW($E$2:$E$28)+1),COLUMN($D$2:$D$28),4)))</f>
        <v>Beratung Sozialdienst</v>
      </c>
      <c r="Q15" s="630" t="str">
        <f t="array" aca="1" ref="Q15" ca="1">IF(ROW()-ROW($F$2:$F$28)+1&gt;ROWS($E$2:$E$28)-COUNTBLANK($E$2:$E$28),"",INDIRECT(ADDRESS(SMALL((IF($E$2:$E$28&gt;"",ROW($E$2:$E$28),ROW()+ROWS($E$2:$E$28))),ROW()-ROW($F$2:$F$28)+1),COLUMN($E$2:$E$28),4)))</f>
        <v>&lt; 50%</v>
      </c>
      <c r="R15" s="630" t="str">
        <f t="array" aca="1" ref="R15" ca="1">IF(ROW()-ROW($G$2:$G$28)+1&gt;ROWS($F$2:$F$28)-COUNTBLANK($F$2:$F$28),"",INDIRECT(ADDRESS(SMALL((IF($F$2:$F$28&gt;"",ROW($F$2:$F$28),ROW()+ROWS($F$2:$F$28))),ROW()-ROW($G$2:$G$28)+1),COLUMN($F$2:$F$28),4)))</f>
        <v>Derzeit keine
Vorgaben</v>
      </c>
      <c r="S15" s="630" t="str">
        <f t="array" aca="1" ref="S15" ca="1">IF(ROW()-ROW($H$2:$H$28)+1&gt;ROWS($G$2:$G$28)-COUNTBLANK($G$2:$G$28),"",INDIRECT(ADDRESS(SMALL((IF($G$2:$G$28&lt;&gt;"",ROW($G$2:$G$28),ROW()+ROWS($G$2:$G$28))),ROW()-ROW($H$2:$H$28)+1),COLUMN($G$2:$G$28),4)))</f>
        <v>-----</v>
      </c>
      <c r="T15" s="630" t="str">
        <f t="array" aca="1" ref="T15" ca="1">IF(ROW()-ROW($I$2:$I$28)+1&gt;ROWS($H$2:$H$28)-COUNTBLANK($H$2:$H$28),"",INDIRECT(ADDRESS(SMALL((IF($H$2:$H$28&lt;&gt;"",ROW($H$2:$H$28),ROW()+ROWS($H$2:$H$28))),ROW()-ROW($I$2:$I$28)+1),COLUMN($H$2:$H$28),4)))</f>
        <v>-----</v>
      </c>
      <c r="U15" s="630">
        <f t="array" aca="1" ref="U15" ca="1">IF(ROW()-ROW($J$2:$J$28)+1&gt;ROWS($I$2:$I$28)-COUNTBLANK($I$2:$I$28),"",INDIRECT(ADDRESS(SMALL((IF($I$2:$I$28&lt;&gt;"",ROW($I$2:$I$28),ROW()+ROWS($I$2:$I$28))),ROW()-ROW($J$2:$J$28)+1),COLUMN($I$2:$I$28),4)))</f>
        <v>0</v>
      </c>
      <c r="V15" s="630" t="str">
        <f t="array" aca="1" ref="V15" ca="1">IF(ROW()-ROW($K$2:$K$28)+1&gt;ROWS($J$2:$J$28)-COUNTBLANK($J$2:$J$28),"",INDIRECT(ADDRESS(SMALL((IF($J$2:$J$28&lt;&gt;"",ROW($J$2:$J$28),ROW()+ROWS($J$2:$J$28))),ROW()-ROW($K$2:$K$28)+1),COLUMN($J$2:$J$28),4)))</f>
        <v>n.d.</v>
      </c>
      <c r="W15" s="634" t="str">
        <f t="array" aca="1" ref="W15" ca="1">IF(ROW()-ROW($L$2:$L$28)+1&gt;ROWS($K$2:$K$28)-COUNTBLANK($K$2:$K$28),"",INDIRECT(ADDRESS(SMALL((IF($K$2:$K$28&lt;&gt;"",ROW($K$2:$K$28),ROW()+ROWS($K$2:$K$28))),ROW()-ROW($L$2:$L$28)+1),COLUMN($K$2:$K$28),4)))</f>
        <v>Unvollständig</v>
      </c>
      <c r="X15" s="634" t="str">
        <f t="array" aca="1" ref="X15" ca="1">IF(ROW()-ROW($M$2:$M$28)+1&gt;ROWS($L$2:$L$28)-COUNTBLANK($L$2:$L$28),"",INDIRECT(ADDRESS(SMALL((IF($L$2:$L$28&lt;&gt;"",ROW($L$2:$L$28),ROW()+ROWS($L$2:$L$28))),ROW()-ROW($M$2:$M$28)+1),COLUMN($L$2:$L$28),4)))</f>
        <v>-----</v>
      </c>
      <c r="Y15" s="634" t="str">
        <f t="array" aca="1" ref="Y15" ca="1">IF(ROW()-ROW($N$2:$N$28)+1&gt;ROWS($M$2:$M$28)-COUNTBLANK($M$2:$M$28),"",INDIRECT(ADDRESS(SMALL((IF($M$2:$M$28&lt;&gt;"",ROW($M$2:$M$28),ROW()+ROWS($M$2:$M$28))),ROW()-ROW($N$2:$N$28)+1),COLUMN($M$2:$M$28),4)))</f>
        <v>-----</v>
      </c>
    </row>
    <row r="16" spans="1:25" ht="46.5" customHeight="1" x14ac:dyDescent="0.25">
      <c r="A16" s="629" t="str">
        <f>IF('Kennzahlenbogen_(KB)'!R54=0,"",'Kennzahlenbogen_(KB)'!R54)</f>
        <v>Unvollständig</v>
      </c>
      <c r="C16" s="630">
        <f>IF($A16="I.O.","",'Kennzahlenbogen_(KB)'!B54)</f>
        <v>8</v>
      </c>
      <c r="D16" s="631" t="str">
        <f>IF($A16="I.O.","",'Kennzahlenbogen_(KB)'!E54)</f>
        <v>Anteil Studienpat.</v>
      </c>
      <c r="E16" s="632" t="str">
        <f>IF(AND('Kennzahlenbogen_(KB)'!L54="",$A16&lt;&gt;"I.O."),"-----",IF($A16="I.O.","",'Kennzahlenbogen_(KB)'!L54))</f>
        <v>-----</v>
      </c>
      <c r="F16" s="632" t="str">
        <f>IF($A16="I.O.","",'Kennzahlenbogen_(KB)'!M54)</f>
        <v>≥ 5%</v>
      </c>
      <c r="G16" s="632" t="str">
        <f>IF(AND('Kennzahlenbogen_(KB)'!O54="",$A16&lt;&gt;"I.O."),"-----",IF($A16="I.O.","",'Kennzahlenbogen_(KB)'!O54))</f>
        <v>-----</v>
      </c>
      <c r="H16" s="630" t="str">
        <f>IF($A16="I.O.","",IF('Kennzahlenbogen_(KB)'!Q54="","-----",'Kennzahlenbogen_(KB)'!Q54))</f>
        <v>-----</v>
      </c>
      <c r="I16" s="630">
        <f>IF($A16="I.O.","",IF('Kennzahlenbogen_(KB)'!Q55="","-----",'Kennzahlenbogen_(KB)'!Q55))</f>
        <v>0</v>
      </c>
      <c r="J16" s="630" t="str">
        <f>IF($A16="I.O.","",IF('Kennzahlenbogen_(KB)'!Q56="",0,'Kennzahlenbogen_(KB)'!Q56))</f>
        <v>n.d.</v>
      </c>
      <c r="K16" s="630" t="str">
        <f>IF($A16="I.O.","",'Kennzahlenbogen_(KB)'!R54)</f>
        <v>Unvollständig</v>
      </c>
      <c r="L16" s="631" t="str">
        <f>IF(AND('Kennzahlenbogen_(KB)'!S54="",$A16&lt;&gt;"I.O."),"-----",IF($A16="I.O.","",'Kennzahlenbogen_(KB)'!S54))</f>
        <v>-----</v>
      </c>
      <c r="M16" s="631" t="str">
        <f>IF(AND('Kennzahlenbogen_(KB)'!T54="",$A16&lt;&gt;"I.O."),"-----",IF($A16="I.O.","",'Kennzahlenbogen_(KB)'!T54))</f>
        <v>-----</v>
      </c>
      <c r="O16" s="633">
        <f t="array" aca="1" ref="O16" ca="1">IF(ROW()-ROW($D$2:$D$28)+1&gt;ROWS($C$2:$C$28)-COUNTBLANK($C$2:$C$28),"",INDIRECT(ADDRESS(SMALL((IF($C$2:$C$28&lt;&gt;"",ROW($C$2:$C$28),ROW()+ROWS($C$2:$C$28))),ROW()-ROW($D$2:$D$28)+1),COLUMN($C$2:$C$28),4)))</f>
        <v>8</v>
      </c>
      <c r="P16" s="634" t="str">
        <f t="array" aca="1" ref="P16" ca="1">IF(ROW()-ROW($E$2:$E$28)+1&gt;ROWS($D$2:$D$28)-COUNTBLANK($D$2:$D$28),"",INDIRECT(ADDRESS(SMALL((IF($D$2:$D$28&gt;"",ROW($D$2:$D$28),ROW()+ROWS($D$2:$D$28))),ROW()-ROW($E$2:$E$28)+1),COLUMN($D$2:$D$28),4)))</f>
        <v>Anteil Studienpat.</v>
      </c>
      <c r="Q16" s="630" t="str">
        <f t="array" aca="1" ref="Q16" ca="1">IF(ROW()-ROW($F$2:$F$28)+1&gt;ROWS($E$2:$E$28)-COUNTBLANK($E$2:$E$28),"",INDIRECT(ADDRESS(SMALL((IF($E$2:$E$28&gt;"",ROW($E$2:$E$28),ROW()+ROWS($E$2:$E$28))),ROW()-ROW($F$2:$F$28)+1),COLUMN($E$2:$E$28),4)))</f>
        <v>-----</v>
      </c>
      <c r="R16" s="630" t="str">
        <f t="array" aca="1" ref="R16" ca="1">IF(ROW()-ROW($G$2:$G$28)+1&gt;ROWS($F$2:$F$28)-COUNTBLANK($F$2:$F$28),"",INDIRECT(ADDRESS(SMALL((IF($F$2:$F$28&gt;"",ROW($F$2:$F$28),ROW()+ROWS($F$2:$F$28))),ROW()-ROW($G$2:$G$28)+1),COLUMN($F$2:$F$28),4)))</f>
        <v>≥ 5%</v>
      </c>
      <c r="S16" s="630" t="str">
        <f t="array" aca="1" ref="S16" ca="1">IF(ROW()-ROW($H$2:$H$28)+1&gt;ROWS($G$2:$G$28)-COUNTBLANK($G$2:$G$28),"",INDIRECT(ADDRESS(SMALL((IF($G$2:$G$28&lt;&gt;"",ROW($G$2:$G$28),ROW()+ROWS($G$2:$G$28))),ROW()-ROW($H$2:$H$28)+1),COLUMN($G$2:$G$28),4)))</f>
        <v>-----</v>
      </c>
      <c r="T16" s="630" t="str">
        <f t="array" aca="1" ref="T16" ca="1">IF(ROW()-ROW($I$2:$I$28)+1&gt;ROWS($H$2:$H$28)-COUNTBLANK($H$2:$H$28),"",INDIRECT(ADDRESS(SMALL((IF($H$2:$H$28&lt;&gt;"",ROW($H$2:$H$28),ROW()+ROWS($H$2:$H$28))),ROW()-ROW($I$2:$I$28)+1),COLUMN($H$2:$H$28),4)))</f>
        <v>-----</v>
      </c>
      <c r="U16" s="630">
        <f t="array" aca="1" ref="U16" ca="1">IF(ROW()-ROW($J$2:$J$28)+1&gt;ROWS($I$2:$I$28)-COUNTBLANK($I$2:$I$28),"",INDIRECT(ADDRESS(SMALL((IF($I$2:$I$28&lt;&gt;"",ROW($I$2:$I$28),ROW()+ROWS($I$2:$I$28))),ROW()-ROW($J$2:$J$28)+1),COLUMN($I$2:$I$28),4)))</f>
        <v>0</v>
      </c>
      <c r="V16" s="630" t="str">
        <f t="array" aca="1" ref="V16" ca="1">IF(ROW()-ROW($K$2:$K$28)+1&gt;ROWS($J$2:$J$28)-COUNTBLANK($J$2:$J$28),"",INDIRECT(ADDRESS(SMALL((IF($J$2:$J$28&lt;&gt;"",ROW($J$2:$J$28),ROW()+ROWS($J$2:$J$28))),ROW()-ROW($K$2:$K$28)+1),COLUMN($J$2:$J$28),4)))</f>
        <v>n.d.</v>
      </c>
      <c r="W16" s="634" t="str">
        <f t="array" aca="1" ref="W16" ca="1">IF(ROW()-ROW($L$2:$L$28)+1&gt;ROWS($K$2:$K$28)-COUNTBLANK($K$2:$K$28),"",INDIRECT(ADDRESS(SMALL((IF($K$2:$K$28&lt;&gt;"",ROW($K$2:$K$28),ROW()+ROWS($K$2:$K$28))),ROW()-ROW($L$2:$L$28)+1),COLUMN($K$2:$K$28),4)))</f>
        <v>Unvollständig</v>
      </c>
      <c r="X16" s="634" t="str">
        <f t="array" aca="1" ref="X16" ca="1">IF(ROW()-ROW($M$2:$M$28)+1&gt;ROWS($L$2:$L$28)-COUNTBLANK($L$2:$L$28),"",INDIRECT(ADDRESS(SMALL((IF($L$2:$L$28&lt;&gt;"",ROW($L$2:$L$28),ROW()+ROWS($L$2:$L$28))),ROW()-ROW($M$2:$M$28)+1),COLUMN($L$2:$L$28),4)))</f>
        <v>-----</v>
      </c>
      <c r="Y16" s="634" t="str">
        <f t="array" aca="1" ref="Y16" ca="1">IF(ROW()-ROW($N$2:$N$28)+1&gt;ROWS($M$2:$M$28)-COUNTBLANK($M$2:$M$28),"",INDIRECT(ADDRESS(SMALL((IF($M$2:$M$28&lt;&gt;"",ROW($M$2:$M$28),ROW()+ROWS($M$2:$M$28))),ROW()-ROW($N$2:$N$28)+1),COLUMN($M$2:$M$28),4)))</f>
        <v>-----</v>
      </c>
    </row>
    <row r="17" spans="1:25" ht="46.5" customHeight="1" x14ac:dyDescent="0.25">
      <c r="A17" s="629" t="str">
        <f>IF('Kennzahlenbogen_(KB)'!R57=0,"",'Kennzahlenbogen_(KB)'!R57)</f>
        <v>Unvollständig</v>
      </c>
      <c r="C17" s="630">
        <f>IF($A17="I.O.","",'Kennzahlenbogen_(KB)'!B57)</f>
        <v>9</v>
      </c>
      <c r="D17" s="631" t="str">
        <f>IF($A17="I.O.","",'Kennzahlenbogen_(KB)'!E57)</f>
        <v>Anzahl Prostatektomien Zentrum</v>
      </c>
      <c r="E17" s="632" t="str">
        <f>IF(AND('Kennzahlenbogen_(KB)'!L57="",$A17&lt;&gt;"I.O."),"-----",IF($A17="I.O.","",'Kennzahlenbogen_(KB)'!L57))</f>
        <v>-----</v>
      </c>
      <c r="F17" s="632" t="str">
        <f>IF($A17="I.O.","",'Kennzahlenbogen_(KB)'!M57)</f>
        <v>≥ 50</v>
      </c>
      <c r="G17" s="632" t="str">
        <f>IF(AND('Kennzahlenbogen_(KB)'!O57="",$A17&lt;&gt;"I.O."),"-----",IF($A17="I.O.","",'Kennzahlenbogen_(KB)'!O57))</f>
        <v>-----</v>
      </c>
      <c r="H17" s="630">
        <f>IF($A17="I.O.","",IF('Kennzahlenbogen_(KB)'!Q57="","-----",'Kennzahlenbogen_(KB)'!Q57))</f>
        <v>0</v>
      </c>
      <c r="I17" s="630" t="str">
        <f>IF($A17="I.O.","",IF('Kennzahlenbogen_(KB)'!Q58="","-----",'Kennzahlenbogen_(KB)'!Q58))</f>
        <v>-----</v>
      </c>
      <c r="J17" s="630" t="str">
        <f>IF($A17="I.O.","",IF('Kennzahlenbogen_(KB)'!Q59="","-----",'Kennzahlenbogen_(KB)'!Q59))</f>
        <v>-----</v>
      </c>
      <c r="K17" s="630" t="str">
        <f>IF($A17="I.O.","",'Kennzahlenbogen_(KB)'!R57)</f>
        <v>Unvollständig</v>
      </c>
      <c r="L17" s="631" t="str">
        <f>IF(AND('Kennzahlenbogen_(KB)'!S57="",$A17&lt;&gt;"I.O."),"-----",IF($A17="I.O.","",'Kennzahlenbogen_(KB)'!S57))</f>
        <v>-----</v>
      </c>
      <c r="M17" s="631" t="str">
        <f>IF(AND('Kennzahlenbogen_(KB)'!T57="",$A17&lt;&gt;"I.O."),"-----",IF($A17="I.O.","",'Kennzahlenbogen_(KB)'!T57))</f>
        <v>-----</v>
      </c>
      <c r="O17" s="633">
        <f t="array" aca="1" ref="O17" ca="1">IF(ROW()-ROW($D$2:$D$28)+1&gt;ROWS($C$2:$C$28)-COUNTBLANK($C$2:$C$28),"",INDIRECT(ADDRESS(SMALL((IF($C$2:$C$28&lt;&gt;"",ROW($C$2:$C$28),ROW()+ROWS($C$2:$C$28))),ROW()-ROW($D$2:$D$28)+1),COLUMN($C$2:$C$28),4)))</f>
        <v>9</v>
      </c>
      <c r="P17" s="634" t="str">
        <f t="array" aca="1" ref="P17" ca="1">IF(ROW()-ROW($E$2:$E$28)+1&gt;ROWS($D$2:$D$28)-COUNTBLANK($D$2:$D$28),"",INDIRECT(ADDRESS(SMALL((IF($D$2:$D$28&gt;"",ROW($D$2:$D$28),ROW()+ROWS($D$2:$D$28))),ROW()-ROW($E$2:$E$28)+1),COLUMN($D$2:$D$28),4)))</f>
        <v>Anzahl Prostatektomien Zentrum</v>
      </c>
      <c r="Q17" s="630" t="str">
        <f t="array" aca="1" ref="Q17" ca="1">IF(ROW()-ROW($F$2:$F$28)+1&gt;ROWS($E$2:$E$28)-COUNTBLANK($E$2:$E$28),"",INDIRECT(ADDRESS(SMALL((IF($E$2:$E$28&gt;"",ROW($E$2:$E$28),ROW()+ROWS($E$2:$E$28))),ROW()-ROW($F$2:$F$28)+1),COLUMN($E$2:$E$28),4)))</f>
        <v>-----</v>
      </c>
      <c r="R17" s="630" t="str">
        <f t="array" aca="1" ref="R17" ca="1">IF(ROW()-ROW($G$2:$G$28)+1&gt;ROWS($F$2:$F$28)-COUNTBLANK($F$2:$F$28),"",INDIRECT(ADDRESS(SMALL((IF($F$2:$F$28&gt;"",ROW($F$2:$F$28),ROW()+ROWS($F$2:$F$28))),ROW()-ROW($G$2:$G$28)+1),COLUMN($F$2:$F$28),4)))</f>
        <v>≥ 50</v>
      </c>
      <c r="S17" s="630" t="str">
        <f t="array" aca="1" ref="S17" ca="1">IF(ROW()-ROW($H$2:$H$28)+1&gt;ROWS($G$2:$G$28)-COUNTBLANK($G$2:$G$28),"",INDIRECT(ADDRESS(SMALL((IF($G$2:$G$28&lt;&gt;"",ROW($G$2:$G$28),ROW()+ROWS($G$2:$G$28))),ROW()-ROW($H$2:$H$28)+1),COLUMN($G$2:$G$28),4)))</f>
        <v>-----</v>
      </c>
      <c r="T17" s="630">
        <f t="array" aca="1" ref="T17" ca="1">IF(ROW()-ROW($I$2:$I$28)+1&gt;ROWS($H$2:$H$28)-COUNTBLANK($H$2:$H$28),"",INDIRECT(ADDRESS(SMALL((IF($H$2:$H$28&lt;&gt;"",ROW($H$2:$H$28),ROW()+ROWS($H$2:$H$28))),ROW()-ROW($I$2:$I$28)+1),COLUMN($H$2:$H$28),4)))</f>
        <v>0</v>
      </c>
      <c r="U17" s="630" t="str">
        <f t="array" aca="1" ref="U17" ca="1">IF(ROW()-ROW($J$2:$J$28)+1&gt;ROWS($I$2:$I$28)-COUNTBLANK($I$2:$I$28),"",INDIRECT(ADDRESS(SMALL((IF($I$2:$I$28&lt;&gt;"",ROW($I$2:$I$28),ROW()+ROWS($I$2:$I$28))),ROW()-ROW($J$2:$J$28)+1),COLUMN($I$2:$I$28),4)))</f>
        <v>-----</v>
      </c>
      <c r="V17" s="630" t="str">
        <f t="array" aca="1" ref="V17" ca="1">IF(ROW()-ROW($K$2:$K$28)+1&gt;ROWS($J$2:$J$28)-COUNTBLANK($J$2:$J$28),"",INDIRECT(ADDRESS(SMALL((IF($J$2:$J$28&lt;&gt;"",ROW($J$2:$J$28),ROW()+ROWS($J$2:$J$28))),ROW()-ROW($K$2:$K$28)+1),COLUMN($J$2:$J$28),4)))</f>
        <v>-----</v>
      </c>
      <c r="W17" s="634" t="str">
        <f t="array" aca="1" ref="W17" ca="1">IF(ROW()-ROW($L$2:$L$28)+1&gt;ROWS($K$2:$K$28)-COUNTBLANK($K$2:$K$28),"",INDIRECT(ADDRESS(SMALL((IF($K$2:$K$28&lt;&gt;"",ROW($K$2:$K$28),ROW()+ROWS($K$2:$K$28))),ROW()-ROW($L$2:$L$28)+1),COLUMN($K$2:$K$28),4)))</f>
        <v>Unvollständig</v>
      </c>
      <c r="X17" s="634" t="str">
        <f t="array" aca="1" ref="X17" ca="1">IF(ROW()-ROW($M$2:$M$28)+1&gt;ROWS($L$2:$L$28)-COUNTBLANK($L$2:$L$28),"",INDIRECT(ADDRESS(SMALL((IF($L$2:$L$28&lt;&gt;"",ROW($L$2:$L$28),ROW()+ROWS($L$2:$L$28))),ROW()-ROW($M$2:$M$28)+1),COLUMN($L$2:$L$28),4)))</f>
        <v>-----</v>
      </c>
      <c r="Y17" s="634" t="str">
        <f t="array" aca="1" ref="Y17" ca="1">IF(ROW()-ROW($N$2:$N$28)+1&gt;ROWS($M$2:$M$28)-COUNTBLANK($M$2:$M$28),"",INDIRECT(ADDRESS(SMALL((IF($M$2:$M$28&lt;&gt;"",ROW($M$2:$M$28),ROW()+ROWS($M$2:$M$28))),ROW()-ROW($N$2:$N$28)+1),COLUMN($M$2:$M$28),4)))</f>
        <v>-----</v>
      </c>
    </row>
    <row r="18" spans="1:25" ht="46.5" customHeight="1" x14ac:dyDescent="0.25">
      <c r="A18" s="629" t="str">
        <f>IF('Kennzahlenbogen_(KB)'!R60=0,"",'Kennzahlenbogen_(KB)'!R60)</f>
        <v>Unvollständig</v>
      </c>
      <c r="C18" s="635">
        <f>IF($A18="I.O.","",'Kennzahlenbogen_(KB)'!B60)</f>
        <v>10</v>
      </c>
      <c r="D18" s="631" t="str">
        <f>IF($A18="I.O.","",'Kennzahlenbogen_(KB)'!E60)</f>
        <v>Erfassung der R1 Resektionen bei pT2 c/pN0 oder Nx M0</v>
      </c>
      <c r="E18" s="632" t="str">
        <f>IF(AND('Kennzahlenbogen_(KB)'!L60="",$A18&lt;&gt;"I.O."),"-----",IF($A18="I.O.","",'Kennzahlenbogen_(KB)'!L60))</f>
        <v>-----</v>
      </c>
      <c r="F18" s="632" t="str">
        <f>IF($A18="I.O.","",'Kennzahlenbogen_(KB)'!M60)</f>
        <v>≤ 15%</v>
      </c>
      <c r="G18" s="632" t="str">
        <f>IF(AND('Kennzahlenbogen_(KB)'!O60="",$A18&lt;&gt;"I.O."),"-----",IF($A18="I.O.","",'Kennzahlenbogen_(KB)'!O60))</f>
        <v>-----</v>
      </c>
      <c r="H18" s="630" t="str">
        <f>IF($A18="I.O.","",IF('Kennzahlenbogen_(KB)'!Q60="","-----",'Kennzahlenbogen_(KB)'!Q60))</f>
        <v>-----</v>
      </c>
      <c r="I18" s="630" t="str">
        <f>IF($A18="I.O.","",IF('Kennzahlenbogen_(KB)'!Q61="","-----",'Kennzahlenbogen_(KB)'!Q61))</f>
        <v>-----</v>
      </c>
      <c r="J18" s="630" t="str">
        <f>IF($A18="I.O.","",IF('Kennzahlenbogen_(KB)'!Q62="","-----",'Kennzahlenbogen_(KB)'!Q62))</f>
        <v>n.d.</v>
      </c>
      <c r="K18" s="630" t="str">
        <f>IF($A18="I.O.","",'Kennzahlenbogen_(KB)'!R60)</f>
        <v>Unvollständig</v>
      </c>
      <c r="L18" s="631" t="str">
        <f>IF(AND('Kennzahlenbogen_(KB)'!S60="",$A18&lt;&gt;"I.O."),"-----",IF($A18="I.O.","",'Kennzahlenbogen_(KB)'!S60))</f>
        <v>-----</v>
      </c>
      <c r="M18" s="631" t="str">
        <f>IF(AND('Kennzahlenbogen_(KB)'!T60="",$A18&lt;&gt;"I.O."),"-----",IF($A18="I.O.","",'Kennzahlenbogen_(KB)'!T60))</f>
        <v>-----</v>
      </c>
      <c r="O18" s="633">
        <f t="array" aca="1" ref="O18" ca="1">IF(ROW()-ROW($D$2:$D$28)+1&gt;ROWS($C$2:$C$28)-COUNTBLANK($C$2:$C$28),"",INDIRECT(ADDRESS(SMALL((IF($C$2:$C$28&lt;&gt;"",ROW($C$2:$C$28),ROW()+ROWS($C$2:$C$28))),ROW()-ROW($D$2:$D$28)+1),COLUMN($C$2:$C$28),4)))</f>
        <v>10</v>
      </c>
      <c r="P18" s="634" t="str">
        <f t="array" aca="1" ref="P18" ca="1">IF(ROW()-ROW($E$2:$E$28)+1&gt;ROWS($D$2:$D$28)-COUNTBLANK($D$2:$D$28),"",INDIRECT(ADDRESS(SMALL((IF($D$2:$D$28&gt;"",ROW($D$2:$D$28),ROW()+ROWS($D$2:$D$28))),ROW()-ROW($E$2:$E$28)+1),COLUMN($D$2:$D$28),4)))</f>
        <v>Erfassung der R1 Resektionen bei pT2 c/pN0 oder Nx M0</v>
      </c>
      <c r="Q18" s="630" t="str">
        <f t="array" aca="1" ref="Q18" ca="1">IF(ROW()-ROW($F$2:$F$28)+1&gt;ROWS($E$2:$E$28)-COUNTBLANK($E$2:$E$28),"",INDIRECT(ADDRESS(SMALL((IF($E$2:$E$28&gt;"",ROW($E$2:$E$28),ROW()+ROWS($E$2:$E$28))),ROW()-ROW($F$2:$F$28)+1),COLUMN($E$2:$E$28),4)))</f>
        <v>-----</v>
      </c>
      <c r="R18" s="630" t="str">
        <f t="array" aca="1" ref="R18" ca="1">IF(ROW()-ROW($G$2:$G$28)+1&gt;ROWS($F$2:$F$28)-COUNTBLANK($F$2:$F$28),"",INDIRECT(ADDRESS(SMALL((IF($F$2:$F$28&gt;"",ROW($F$2:$F$28),ROW()+ROWS($F$2:$F$28))),ROW()-ROW($G$2:$G$28)+1),COLUMN($F$2:$F$28),4)))</f>
        <v>≤ 15%</v>
      </c>
      <c r="S18" s="630" t="str">
        <f t="array" aca="1" ref="S18" ca="1">IF(ROW()-ROW($H$2:$H$28)+1&gt;ROWS($G$2:$G$28)-COUNTBLANK($G$2:$G$28),"",INDIRECT(ADDRESS(SMALL((IF($G$2:$G$28&lt;&gt;"",ROW($G$2:$G$28),ROW()+ROWS($G$2:$G$28))),ROW()-ROW($H$2:$H$28)+1),COLUMN($G$2:$G$28),4)))</f>
        <v>-----</v>
      </c>
      <c r="T18" s="630" t="str">
        <f t="array" aca="1" ref="T18" ca="1">IF(ROW()-ROW($I$2:$I$28)+1&gt;ROWS($H$2:$H$28)-COUNTBLANK($H$2:$H$28),"",INDIRECT(ADDRESS(SMALL((IF($H$2:$H$28&lt;&gt;"",ROW($H$2:$H$28),ROW()+ROWS($H$2:$H$28))),ROW()-ROW($I$2:$I$28)+1),COLUMN($H$2:$H$28),4)))</f>
        <v>-----</v>
      </c>
      <c r="U18" s="630" t="str">
        <f t="array" aca="1" ref="U18" ca="1">IF(ROW()-ROW($J$2:$J$28)+1&gt;ROWS($I$2:$I$28)-COUNTBLANK($I$2:$I$28),"",INDIRECT(ADDRESS(SMALL((IF($I$2:$I$28&lt;&gt;"",ROW($I$2:$I$28),ROW()+ROWS($I$2:$I$28))),ROW()-ROW($J$2:$J$28)+1),COLUMN($I$2:$I$28),4)))</f>
        <v>-----</v>
      </c>
      <c r="V18" s="630" t="str">
        <f t="array" aca="1" ref="V18" ca="1">IF(ROW()-ROW($K$2:$K$28)+1&gt;ROWS($J$2:$J$28)-COUNTBLANK($J$2:$J$28),"",INDIRECT(ADDRESS(SMALL((IF($J$2:$J$28&lt;&gt;"",ROW($J$2:$J$28),ROW()+ROWS($J$2:$J$28))),ROW()-ROW($K$2:$K$28)+1),COLUMN($J$2:$J$28),4)))</f>
        <v>n.d.</v>
      </c>
      <c r="W18" s="634" t="str">
        <f t="array" aca="1" ref="W18" ca="1">IF(ROW()-ROW($L$2:$L$28)+1&gt;ROWS($K$2:$K$28)-COUNTBLANK($K$2:$K$28),"",INDIRECT(ADDRESS(SMALL((IF($K$2:$K$28&lt;&gt;"",ROW($K$2:$K$28),ROW()+ROWS($K$2:$K$28))),ROW()-ROW($L$2:$L$28)+1),COLUMN($K$2:$K$28),4)))</f>
        <v>Unvollständig</v>
      </c>
      <c r="X18" s="634" t="str">
        <f t="array" aca="1" ref="X18" ca="1">IF(ROW()-ROW($M$2:$M$28)+1&gt;ROWS($L$2:$L$28)-COUNTBLANK($L$2:$L$28),"",INDIRECT(ADDRESS(SMALL((IF($L$2:$L$28&lt;&gt;"",ROW($L$2:$L$28),ROW()+ROWS($L$2:$L$28))),ROW()-ROW($M$2:$M$28)+1),COLUMN($L$2:$L$28),4)))</f>
        <v>-----</v>
      </c>
      <c r="Y18" s="634" t="str">
        <f t="array" aca="1" ref="Y18" ca="1">IF(ROW()-ROW($N$2:$N$28)+1&gt;ROWS($M$2:$M$28)-COUNTBLANK($M$2:$M$28),"",INDIRECT(ADDRESS(SMALL((IF($M$2:$M$28&lt;&gt;"",ROW($M$2:$M$28),ROW()+ROWS($M$2:$M$28))),ROW()-ROW($N$2:$N$28)+1),COLUMN($M$2:$M$28),4)))</f>
        <v>-----</v>
      </c>
    </row>
    <row r="19" spans="1:25" ht="58.5" customHeight="1" x14ac:dyDescent="0.25">
      <c r="A19" s="629" t="str">
        <f>IF('Kennzahlenbogen_(KB)'!R63=0,"",'Kennzahlenbogen_(KB)'!R63)</f>
        <v>Unvollständig</v>
      </c>
      <c r="C19" s="630">
        <f>IF($A19="I.O.","",'Kennzahlenbogen_(KB)'!B63)</f>
        <v>11</v>
      </c>
      <c r="D19" s="631" t="str">
        <f>IF($A19="I.O.","",'Kennzahlenbogen_(KB)'!E63)</f>
        <v>Definitive Strahlentherapie</v>
      </c>
      <c r="E19" s="632" t="str">
        <f>IF(AND('Kennzahlenbogen_(KB)'!L63="",$A19&lt;&gt;"I.O."),"-----",IF($A19="I.O.","",'Kennzahlenbogen_(KB)'!L63))</f>
        <v>&lt; 10%</v>
      </c>
      <c r="F19" s="632" t="str">
        <f>IF($A19="I.O.","",'Kennzahlenbogen_(KB)'!M63)</f>
        <v>Derzeit keine
Vorgaben</v>
      </c>
      <c r="G19" s="632" t="str">
        <f>IF(AND('Kennzahlenbogen_(KB)'!O63="",$A19&lt;&gt;"I.O."),"-----",IF($A19="I.O.","",'Kennzahlenbogen_(KB)'!O63))</f>
        <v>&gt; 90%</v>
      </c>
      <c r="H19" s="630">
        <f>IF($A19="I.O.","",IF('Kennzahlenbogen_(KB)'!Q63="","-----",'Kennzahlenbogen_(KB)'!Q63))</f>
        <v>0</v>
      </c>
      <c r="I19" s="630">
        <f>IF($A19="I.O.","",IF('Kennzahlenbogen_(KB)'!Q64="","-----",'Kennzahlenbogen_(KB)'!Q64))</f>
        <v>0</v>
      </c>
      <c r="J19" s="630" t="str">
        <f>IF($A19="I.O.","",IF('Kennzahlenbogen_(KB)'!Q65="",0,'Kennzahlenbogen_(KB)'!Q65))</f>
        <v>n.d.</v>
      </c>
      <c r="K19" s="630" t="str">
        <f>IF($A19="I.O.","",'Kennzahlenbogen_(KB)'!R63)</f>
        <v>Unvollständig</v>
      </c>
      <c r="L19" s="631" t="str">
        <f>IF(AND('Kennzahlenbogen_(KB)'!S63="",$A19&lt;&gt;"I.O."),"-----",IF($A19="I.O.","",'Kennzahlenbogen_(KB)'!S63))</f>
        <v>-----</v>
      </c>
      <c r="M19" s="631" t="str">
        <f>IF(AND('Kennzahlenbogen_(KB)'!T63="",$A19&lt;&gt;"I.O."),"-----",IF($A19="I.O.","",'Kennzahlenbogen_(KB)'!T63))</f>
        <v>-----</v>
      </c>
      <c r="O19" s="633">
        <f t="array" aca="1" ref="O19" ca="1">IF(ROW()-ROW($D$2:$D$28)+1&gt;ROWS($C$2:$C$28)-COUNTBLANK($C$2:$C$28),"",INDIRECT(ADDRESS(SMALL((IF($C$2:$C$28&lt;&gt;"",ROW($C$2:$C$28),ROW()+ROWS($C$2:$C$28))),ROW()-ROW($D$2:$D$28)+1),COLUMN($C$2:$C$28),4)))</f>
        <v>11</v>
      </c>
      <c r="P19" s="634" t="str">
        <f t="array" aca="1" ref="P19" ca="1">IF(ROW()-ROW($E$2:$E$28)+1&gt;ROWS($D$2:$D$28)-COUNTBLANK($D$2:$D$28),"",INDIRECT(ADDRESS(SMALL((IF($D$2:$D$28&gt;"",ROW($D$2:$D$28),ROW()+ROWS($D$2:$D$28))),ROW()-ROW($E$2:$E$28)+1),COLUMN($D$2:$D$28),4)))</f>
        <v>Definitive Strahlentherapie</v>
      </c>
      <c r="Q19" s="630" t="str">
        <f t="array" aca="1" ref="Q19" ca="1">IF(ROW()-ROW($F$2:$F$28)+1&gt;ROWS($E$2:$E$28)-COUNTBLANK($E$2:$E$28),"",INDIRECT(ADDRESS(SMALL((IF($E$2:$E$28&gt;"",ROW($E$2:$E$28),ROW()+ROWS($E$2:$E$28))),ROW()-ROW($F$2:$F$28)+1),COLUMN($E$2:$E$28),4)))</f>
        <v>&lt; 10%</v>
      </c>
      <c r="R19" s="630" t="str">
        <f t="array" aca="1" ref="R19" ca="1">IF(ROW()-ROW($G$2:$G$28)+1&gt;ROWS($F$2:$F$28)-COUNTBLANK($F$2:$F$28),"",INDIRECT(ADDRESS(SMALL((IF($F$2:$F$28&gt;"",ROW($F$2:$F$28),ROW()+ROWS($F$2:$F$28))),ROW()-ROW($G$2:$G$28)+1),COLUMN($F$2:$F$28),4)))</f>
        <v>Derzeit keine
Vorgaben</v>
      </c>
      <c r="S19" s="630" t="str">
        <f t="array" aca="1" ref="S19" ca="1">IF(ROW()-ROW($H$2:$H$28)+1&gt;ROWS($G$2:$G$28)-COUNTBLANK($G$2:$G$28),"",INDIRECT(ADDRESS(SMALL((IF($G$2:$G$28&lt;&gt;"",ROW($G$2:$G$28),ROW()+ROWS($G$2:$G$28))),ROW()-ROW($H$2:$H$28)+1),COLUMN($G$2:$G$28),4)))</f>
        <v>&gt; 90%</v>
      </c>
      <c r="T19" s="630">
        <f t="array" aca="1" ref="T19" ca="1">IF(ROW()-ROW($I$2:$I$28)+1&gt;ROWS($H$2:$H$28)-COUNTBLANK($H$2:$H$28),"",INDIRECT(ADDRESS(SMALL((IF($H$2:$H$28&lt;&gt;"",ROW($H$2:$H$28),ROW()+ROWS($H$2:$H$28))),ROW()-ROW($I$2:$I$28)+1),COLUMN($H$2:$H$28),4)))</f>
        <v>0</v>
      </c>
      <c r="U19" s="630">
        <f t="array" aca="1" ref="U19" ca="1">IF(ROW()-ROW($J$2:$J$28)+1&gt;ROWS($I$2:$I$28)-COUNTBLANK($I$2:$I$28),"",INDIRECT(ADDRESS(SMALL((IF($I$2:$I$28&lt;&gt;"",ROW($I$2:$I$28),ROW()+ROWS($I$2:$I$28))),ROW()-ROW($J$2:$J$28)+1),COLUMN($I$2:$I$28),4)))</f>
        <v>0</v>
      </c>
      <c r="V19" s="630" t="str">
        <f t="array" aca="1" ref="V19" ca="1">IF(ROW()-ROW($K$2:$K$28)+1&gt;ROWS($J$2:$J$28)-COUNTBLANK($J$2:$J$28),"",INDIRECT(ADDRESS(SMALL((IF($J$2:$J$28&lt;&gt;"",ROW($J$2:$J$28),ROW()+ROWS($J$2:$J$28))),ROW()-ROW($K$2:$K$28)+1),COLUMN($J$2:$J$28),4)))</f>
        <v>n.d.</v>
      </c>
      <c r="W19" s="634" t="str">
        <f t="array" aca="1" ref="W19" ca="1">IF(ROW()-ROW($L$2:$L$28)+1&gt;ROWS($K$2:$K$28)-COUNTBLANK($K$2:$K$28),"",INDIRECT(ADDRESS(SMALL((IF($K$2:$K$28&lt;&gt;"",ROW($K$2:$K$28),ROW()+ROWS($K$2:$K$28))),ROW()-ROW($L$2:$L$28)+1),COLUMN($K$2:$K$28),4)))</f>
        <v>Unvollständig</v>
      </c>
      <c r="X19" s="634" t="str">
        <f t="array" aca="1" ref="X19" ca="1">IF(ROW()-ROW($M$2:$M$28)+1&gt;ROWS($L$2:$L$28)-COUNTBLANK($L$2:$L$28),"",INDIRECT(ADDRESS(SMALL((IF($L$2:$L$28&lt;&gt;"",ROW($L$2:$L$28),ROW()+ROWS($L$2:$L$28))),ROW()-ROW($M$2:$M$28)+1),COLUMN($L$2:$L$28),4)))</f>
        <v>-----</v>
      </c>
      <c r="Y19" s="634" t="str">
        <f t="array" aca="1" ref="Y19" ca="1">IF(ROW()-ROW($N$2:$N$28)+1&gt;ROWS($M$2:$M$28)-COUNTBLANK($M$2:$M$28),"",INDIRECT(ADDRESS(SMALL((IF($M$2:$M$28&lt;&gt;"",ROW($M$2:$M$28),ROW()+ROWS($M$2:$M$28))),ROW()-ROW($N$2:$N$28)+1),COLUMN($M$2:$M$28),4)))</f>
        <v>-----</v>
      </c>
    </row>
    <row r="20" spans="1:25" ht="56.25" x14ac:dyDescent="0.25">
      <c r="A20" s="629" t="str">
        <f>IF('Kennzahlenbogen_(KB)'!R66=0,"",'Kennzahlenbogen_(KB)'!R66)</f>
        <v>Unvollständig</v>
      </c>
      <c r="C20" s="635">
        <f>IF($A20="I.O.","",'Kennzahlenbogen_(KB)'!B66)</f>
        <v>12</v>
      </c>
      <c r="D20" s="631" t="str">
        <f>IF($A20="I.O.","",'Kennzahlenbogen_(KB)'!E66)</f>
        <v xml:space="preserve">Permanente Seedimplantation – 
D 90 &gt; 130 Gy
* Durchführung dieser Therapieform ist freiwillig!    </v>
      </c>
      <c r="E20" s="632" t="str">
        <f>IF(AND('Kennzahlenbogen_(KB)'!L66="",$A20&lt;&gt;"I.O."),"-----",IF($A20="I.O.","",'Kennzahlenbogen_(KB)'!L66))</f>
        <v>-----</v>
      </c>
      <c r="F20" s="632" t="str">
        <f>IF($A20="I.O.","",'Kennzahlenbogen_(KB)'!M66)</f>
        <v>≥ 90%</v>
      </c>
      <c r="G20" s="632" t="str">
        <f>IF(AND('Kennzahlenbogen_(KB)'!O66="",$A20&lt;&gt;"I.O."),"-----",IF($A20="I.O.","",'Kennzahlenbogen_(KB)'!O66))</f>
        <v>-----</v>
      </c>
      <c r="H20" s="630" t="str">
        <f>IF($A20="I.O.","",IF('Kennzahlenbogen_(KB)'!Q66="","-----",'Kennzahlenbogen_(KB)'!Q66))</f>
        <v>-----</v>
      </c>
      <c r="I20" s="630" t="str">
        <f>IF($A20="I.O.","",IF('Kennzahlenbogen_(KB)'!Q67="","-----",'Kennzahlenbogen_(KB)'!Q67))</f>
        <v>-----</v>
      </c>
      <c r="J20" s="630" t="str">
        <f>IF($A20="I.O.","",IF('Kennzahlenbogen_(KB)'!Q68="","-----",'Kennzahlenbogen_(KB)'!Q68))</f>
        <v>n.d.</v>
      </c>
      <c r="K20" s="630" t="str">
        <f>IF($A20="I.O.","",'Kennzahlenbogen_(KB)'!R66)</f>
        <v>Unvollständig</v>
      </c>
      <c r="L20" s="631" t="str">
        <f>IF(AND('Kennzahlenbogen_(KB)'!S66="",$A20&lt;&gt;"I.O."),"-----",IF($A20="I.O.","",'Kennzahlenbogen_(KB)'!S66))</f>
        <v>-----</v>
      </c>
      <c r="M20" s="631" t="str">
        <f>IF(AND('Kennzahlenbogen_(KB)'!T66="",$A20&lt;&gt;"I.O."),"-----",IF($A20="I.O.","",'Kennzahlenbogen_(KB)'!T66))</f>
        <v>-----</v>
      </c>
      <c r="O20" s="633">
        <f t="array" aca="1" ref="O20" ca="1">IF(ROW()-ROW($D$2:$D$28)+1&gt;ROWS($C$2:$C$28)-COUNTBLANK($C$2:$C$28),"",INDIRECT(ADDRESS(SMALL((IF($C$2:$C$28&lt;&gt;"",ROW($C$2:$C$28),ROW()+ROWS($C$2:$C$28))),ROW()-ROW($D$2:$D$28)+1),COLUMN($C$2:$C$28),4)))</f>
        <v>12</v>
      </c>
      <c r="P20" s="634" t="str">
        <f t="array" aca="1" ref="P20" ca="1">IF(ROW()-ROW($E$2:$E$28)+1&gt;ROWS($D$2:$D$28)-COUNTBLANK($D$2:$D$28),"",INDIRECT(ADDRESS(SMALL((IF($D$2:$D$28&gt;"",ROW($D$2:$D$28),ROW()+ROWS($D$2:$D$28))),ROW()-ROW($E$2:$E$28)+1),COLUMN($D$2:$D$28),4)))</f>
        <v xml:space="preserve">Permanente Seedimplantation – 
D 90 &gt; 130 Gy
* Durchführung dieser Therapieform ist freiwillig!    </v>
      </c>
      <c r="Q20" s="630" t="str">
        <f t="array" aca="1" ref="Q20" ca="1">IF(ROW()-ROW($F$2:$F$28)+1&gt;ROWS($E$2:$E$28)-COUNTBLANK($E$2:$E$28),"",INDIRECT(ADDRESS(SMALL((IF($E$2:$E$28&gt;"",ROW($E$2:$E$28),ROW()+ROWS($E$2:$E$28))),ROW()-ROW($F$2:$F$28)+1),COLUMN($E$2:$E$28),4)))</f>
        <v>-----</v>
      </c>
      <c r="R20" s="630" t="str">
        <f t="array" aca="1" ref="R20" ca="1">IF(ROW()-ROW($G$2:$G$28)+1&gt;ROWS($F$2:$F$28)-COUNTBLANK($F$2:$F$28),"",INDIRECT(ADDRESS(SMALL((IF($F$2:$F$28&gt;"",ROW($F$2:$F$28),ROW()+ROWS($F$2:$F$28))),ROW()-ROW($G$2:$G$28)+1),COLUMN($F$2:$F$28),4)))</f>
        <v>≥ 90%</v>
      </c>
      <c r="S20" s="630" t="str">
        <f t="array" aca="1" ref="S20" ca="1">IF(ROW()-ROW($H$2:$H$28)+1&gt;ROWS($G$2:$G$28)-COUNTBLANK($G$2:$G$28),"",INDIRECT(ADDRESS(SMALL((IF($G$2:$G$28&lt;&gt;"",ROW($G$2:$G$28),ROW()+ROWS($G$2:$G$28))),ROW()-ROW($H$2:$H$28)+1),COLUMN($G$2:$G$28),4)))</f>
        <v>-----</v>
      </c>
      <c r="T20" s="630" t="str">
        <f t="array" aca="1" ref="T20" ca="1">IF(ROW()-ROW($I$2:$I$28)+1&gt;ROWS($H$2:$H$28)-COUNTBLANK($H$2:$H$28),"",INDIRECT(ADDRESS(SMALL((IF($H$2:$H$28&lt;&gt;"",ROW($H$2:$H$28),ROW()+ROWS($H$2:$H$28))),ROW()-ROW($I$2:$I$28)+1),COLUMN($H$2:$H$28),4)))</f>
        <v>-----</v>
      </c>
      <c r="U20" s="630" t="str">
        <f t="array" aca="1" ref="U20" ca="1">IF(ROW()-ROW($J$2:$J$28)+1&gt;ROWS($I$2:$I$28)-COUNTBLANK($I$2:$I$28),"",INDIRECT(ADDRESS(SMALL((IF($I$2:$I$28&lt;&gt;"",ROW($I$2:$I$28),ROW()+ROWS($I$2:$I$28))),ROW()-ROW($J$2:$J$28)+1),COLUMN($I$2:$I$28),4)))</f>
        <v>-----</v>
      </c>
      <c r="V20" s="630" t="str">
        <f t="array" aca="1" ref="V20" ca="1">IF(ROW()-ROW($K$2:$K$28)+1&gt;ROWS($J$2:$J$28)-COUNTBLANK($J$2:$J$28),"",INDIRECT(ADDRESS(SMALL((IF($J$2:$J$28&lt;&gt;"",ROW($J$2:$J$28),ROW()+ROWS($J$2:$J$28))),ROW()-ROW($K$2:$K$28)+1),COLUMN($J$2:$J$28),4)))</f>
        <v>n.d.</v>
      </c>
      <c r="W20" s="634" t="str">
        <f t="array" aca="1" ref="W20" ca="1">IF(ROW()-ROW($L$2:$L$28)+1&gt;ROWS($K$2:$K$28)-COUNTBLANK($K$2:$K$28),"",INDIRECT(ADDRESS(SMALL((IF($K$2:$K$28&lt;&gt;"",ROW($K$2:$K$28),ROW()+ROWS($K$2:$K$28))),ROW()-ROW($L$2:$L$28)+1),COLUMN($K$2:$K$28),4)))</f>
        <v>Unvollständig</v>
      </c>
      <c r="X20" s="634" t="str">
        <f t="array" aca="1" ref="X20" ca="1">IF(ROW()-ROW($M$2:$M$28)+1&gt;ROWS($L$2:$L$28)-COUNTBLANK($L$2:$L$28),"",INDIRECT(ADDRESS(SMALL((IF($L$2:$L$28&lt;&gt;"",ROW($L$2:$L$28),ROW()+ROWS($L$2:$L$28))),ROW()-ROW($M$2:$M$28)+1),COLUMN($L$2:$L$28),4)))</f>
        <v>-----</v>
      </c>
      <c r="Y20" s="634" t="str">
        <f t="array" aca="1" ref="Y20" ca="1">IF(ROW()-ROW($N$2:$N$28)+1&gt;ROWS($M$2:$M$28)-COUNTBLANK($M$2:$M$28),"",INDIRECT(ADDRESS(SMALL((IF($M$2:$M$28&lt;&gt;"",ROW($M$2:$M$28),ROW()+ROWS($M$2:$M$28))),ROW()-ROW($N$2:$N$28)+1),COLUMN($M$2:$M$28),4)))</f>
        <v>-----</v>
      </c>
    </row>
    <row r="21" spans="1:25" ht="45" x14ac:dyDescent="0.25">
      <c r="A21" s="629" t="str">
        <f>IF('Kennzahlenbogen_(KB)'!R69=0,"",'Kennzahlenbogen_(KB)'!R69)</f>
        <v>Unvollständig</v>
      </c>
      <c r="C21" s="630">
        <f>IF($A21="I.O.","",'Kennzahlenbogen_(KB)'!B69)</f>
        <v>13</v>
      </c>
      <c r="D21" s="631" t="str">
        <f>IF($A21="I.O.","",'Kennzahlenbogen_(KB)'!E69)</f>
        <v>HDR-Brachytherapie
* Durchführung dieser Therapieform ist freiwillig!</v>
      </c>
      <c r="E21" s="632" t="str">
        <f>IF(AND('Kennzahlenbogen_(KB)'!L69="",$A21&lt;&gt;"I.O."),"-----",IF($A21="I.O.","",'Kennzahlenbogen_(KB)'!L69))</f>
        <v>-----</v>
      </c>
      <c r="F21" s="632" t="str">
        <f>IF($A21="I.O.","",'Kennzahlenbogen_(KB)'!M69)</f>
        <v>Derzeit keine
Vorgaben</v>
      </c>
      <c r="G21" s="632" t="str">
        <f>IF(AND('Kennzahlenbogen_(KB)'!O69="",$A21&lt;&gt;"I.O."),"-----",IF($A21="I.O.","",'Kennzahlenbogen_(KB)'!O69))</f>
        <v>-----</v>
      </c>
      <c r="H21" s="630">
        <f>IF($A21="I.O.","",IF('Kennzahlenbogen_(KB)'!Q69="","-----",'Kennzahlenbogen_(KB)'!Q69))</f>
        <v>0</v>
      </c>
      <c r="I21" s="630">
        <f>IF($A21="I.O.","",IF('Kennzahlenbogen_(KB)'!Q70="","-----",'Kennzahlenbogen_(KB)'!Q70))</f>
        <v>0</v>
      </c>
      <c r="J21" s="630" t="str">
        <f>IF($A21="I.O.","",IF('Kennzahlenbogen_(KB)'!Q71="",0,'Kennzahlenbogen_(KB)'!Q71))</f>
        <v>n.d.</v>
      </c>
      <c r="K21" s="630" t="str">
        <f>IF($A21="I.O.","",'Kennzahlenbogen_(KB)'!R69)</f>
        <v>Unvollständig</v>
      </c>
      <c r="L21" s="631" t="str">
        <f>IF(AND('Kennzahlenbogen_(KB)'!S69="",$A21&lt;&gt;"I.O."),"-----",IF($A21="I.O.","",'Kennzahlenbogen_(KB)'!S69))</f>
        <v>-----</v>
      </c>
      <c r="M21" s="631" t="str">
        <f>IF(AND('Kennzahlenbogen_(KB)'!T69="",$A21&lt;&gt;"I.O."),"-----",IF($A21="I.O.","",'Kennzahlenbogen_(KB)'!T69))</f>
        <v>-----</v>
      </c>
      <c r="O21" s="633">
        <f t="array" aca="1" ref="O21" ca="1">IF(ROW()-ROW($D$2:$D$28)+1&gt;ROWS($C$2:$C$28)-COUNTBLANK($C$2:$C$28),"",INDIRECT(ADDRESS(SMALL((IF($C$2:$C$28&lt;&gt;"",ROW($C$2:$C$28),ROW()+ROWS($C$2:$C$28))),ROW()-ROW($D$2:$D$28)+1),COLUMN($C$2:$C$28),4)))</f>
        <v>13</v>
      </c>
      <c r="P21" s="634" t="str">
        <f t="array" aca="1" ref="P21" ca="1">IF(ROW()-ROW($E$2:$E$28)+1&gt;ROWS($D$2:$D$28)-COUNTBLANK($D$2:$D$28),"",INDIRECT(ADDRESS(SMALL((IF($D$2:$D$28&gt;"",ROW($D$2:$D$28),ROW()+ROWS($D$2:$D$28))),ROW()-ROW($E$2:$E$28)+1),COLUMN($D$2:$D$28),4)))</f>
        <v>HDR-Brachytherapie
* Durchführung dieser Therapieform ist freiwillig!</v>
      </c>
      <c r="Q21" s="630" t="str">
        <f t="array" aca="1" ref="Q21" ca="1">IF(ROW()-ROW($F$2:$F$28)+1&gt;ROWS($E$2:$E$28)-COUNTBLANK($E$2:$E$28),"",INDIRECT(ADDRESS(SMALL((IF($E$2:$E$28&gt;"",ROW($E$2:$E$28),ROW()+ROWS($E$2:$E$28))),ROW()-ROW($F$2:$F$28)+1),COLUMN($E$2:$E$28),4)))</f>
        <v>-----</v>
      </c>
      <c r="R21" s="630" t="str">
        <f t="array" aca="1" ref="R21" ca="1">IF(ROW()-ROW($G$2:$G$28)+1&gt;ROWS($F$2:$F$28)-COUNTBLANK($F$2:$F$28),"",INDIRECT(ADDRESS(SMALL((IF($F$2:$F$28&gt;"",ROW($F$2:$F$28),ROW()+ROWS($F$2:$F$28))),ROW()-ROW($G$2:$G$28)+1),COLUMN($F$2:$F$28),4)))</f>
        <v>Derzeit keine
Vorgaben</v>
      </c>
      <c r="S21" s="630" t="str">
        <f t="array" aca="1" ref="S21" ca="1">IF(ROW()-ROW($H$2:$H$28)+1&gt;ROWS($G$2:$G$28)-COUNTBLANK($G$2:$G$28),"",INDIRECT(ADDRESS(SMALL((IF($G$2:$G$28&lt;&gt;"",ROW($G$2:$G$28),ROW()+ROWS($G$2:$G$28))),ROW()-ROW($H$2:$H$28)+1),COLUMN($G$2:$G$28),4)))</f>
        <v>-----</v>
      </c>
      <c r="T21" s="630">
        <f t="array" aca="1" ref="T21" ca="1">IF(ROW()-ROW($I$2:$I$28)+1&gt;ROWS($H$2:$H$28)-COUNTBLANK($H$2:$H$28),"",INDIRECT(ADDRESS(SMALL((IF($H$2:$H$28&lt;&gt;"",ROW($H$2:$H$28),ROW()+ROWS($H$2:$H$28))),ROW()-ROW($I$2:$I$28)+1),COLUMN($H$2:$H$28),4)))</f>
        <v>0</v>
      </c>
      <c r="U21" s="630">
        <f t="array" aca="1" ref="U21" ca="1">IF(ROW()-ROW($J$2:$J$28)+1&gt;ROWS($I$2:$I$28)-COUNTBLANK($I$2:$I$28),"",INDIRECT(ADDRESS(SMALL((IF($I$2:$I$28&lt;&gt;"",ROW($I$2:$I$28),ROW()+ROWS($I$2:$I$28))),ROW()-ROW($J$2:$J$28)+1),COLUMN($I$2:$I$28),4)))</f>
        <v>0</v>
      </c>
      <c r="V21" s="630" t="str">
        <f t="array" aca="1" ref="V21" ca="1">IF(ROW()-ROW($K$2:$K$28)+1&gt;ROWS($J$2:$J$28)-COUNTBLANK($J$2:$J$28),"",INDIRECT(ADDRESS(SMALL((IF($J$2:$J$28&lt;&gt;"",ROW($J$2:$J$28),ROW()+ROWS($J$2:$J$28))),ROW()-ROW($K$2:$K$28)+1),COLUMN($J$2:$J$28),4)))</f>
        <v>n.d.</v>
      </c>
      <c r="W21" s="634" t="str">
        <f t="array" aca="1" ref="W21" ca="1">IF(ROW()-ROW($L$2:$L$28)+1&gt;ROWS($K$2:$K$28)-COUNTBLANK($K$2:$K$28),"",INDIRECT(ADDRESS(SMALL((IF($K$2:$K$28&lt;&gt;"",ROW($K$2:$K$28),ROW()+ROWS($K$2:$K$28))),ROW()-ROW($L$2:$L$28)+1),COLUMN($K$2:$K$28),4)))</f>
        <v>Unvollständig</v>
      </c>
      <c r="X21" s="634" t="str">
        <f t="array" aca="1" ref="X21" ca="1">IF(ROW()-ROW($M$2:$M$28)+1&gt;ROWS($L$2:$L$28)-COUNTBLANK($L$2:$L$28),"",INDIRECT(ADDRESS(SMALL((IF($L$2:$L$28&lt;&gt;"",ROW($L$2:$L$28),ROW()+ROWS($L$2:$L$28))),ROW()-ROW($M$2:$M$28)+1),COLUMN($L$2:$L$28),4)))</f>
        <v>-----</v>
      </c>
      <c r="Y21" s="634" t="str">
        <f t="array" aca="1" ref="Y21" ca="1">IF(ROW()-ROW($N$2:$N$28)+1&gt;ROWS($M$2:$M$28)-COUNTBLANK($M$2:$M$28),"",INDIRECT(ADDRESS(SMALL((IF($M$2:$M$28&lt;&gt;"",ROW($M$2:$M$28),ROW()+ROWS($M$2:$M$28))),ROW()-ROW($N$2:$N$28)+1),COLUMN($M$2:$M$28),4)))</f>
        <v>-----</v>
      </c>
    </row>
    <row r="22" spans="1:25" ht="46.5" customHeight="1" x14ac:dyDescent="0.25">
      <c r="A22" s="629" t="str">
        <f>IF('Kennzahlenbogen_(KB)'!R72=0,"",'Kennzahlenbogen_(KB)'!R72)</f>
        <v>Unvollständig</v>
      </c>
      <c r="C22" s="630">
        <f>IF($A22="I.O.","",'Kennzahlenbogen_(KB)'!B72)</f>
        <v>14</v>
      </c>
      <c r="D22" s="631" t="str">
        <f>IF($A22="I.O.","",'Kennzahlenbogen_(KB)'!E72)</f>
        <v>Befundbericht Stanzbiopsie</v>
      </c>
      <c r="E22" s="632" t="str">
        <f>IF(AND('Kennzahlenbogen_(KB)'!L72="",$A22&lt;&gt;"I.O."),"-----",IF($A22="I.O.","",'Kennzahlenbogen_(KB)'!L72))</f>
        <v>-----</v>
      </c>
      <c r="F22" s="632" t="str">
        <f>IF($A22="I.O.","",'Kennzahlenbogen_(KB)'!M72)</f>
        <v>≥ 80%</v>
      </c>
      <c r="G22" s="632" t="str">
        <f>IF(AND('Kennzahlenbogen_(KB)'!O72="",$A22&lt;&gt;"I.O."),"-----",IF($A22="I.O.","",'Kennzahlenbogen_(KB)'!O72))</f>
        <v>-----</v>
      </c>
      <c r="H22" s="630" t="str">
        <f>IF($A22="I.O.","",IF('Kennzahlenbogen_(KB)'!Q72="","-----",'Kennzahlenbogen_(KB)'!Q72))</f>
        <v>-----</v>
      </c>
      <c r="I22" s="630" t="str">
        <f>IF($A22="I.O.","",IF('Kennzahlenbogen_(KB)'!Q73="","-----",'Kennzahlenbogen_(KB)'!Q73))</f>
        <v>-----</v>
      </c>
      <c r="J22" s="630" t="str">
        <f>IF($A22="I.O.","",IF('Kennzahlenbogen_(KB)'!Q74="","-----",'Kennzahlenbogen_(KB)'!Q74))</f>
        <v>n.d.</v>
      </c>
      <c r="K22" s="630" t="str">
        <f>IF($A22="I.O.","",'Kennzahlenbogen_(KB)'!R72)</f>
        <v>Unvollständig</v>
      </c>
      <c r="L22" s="631" t="str">
        <f>IF(AND('Kennzahlenbogen_(KB)'!S72="",$A22&lt;&gt;"I.O."),"-----",IF($A22="I.O.","",'Kennzahlenbogen_(KB)'!S72))</f>
        <v>-----</v>
      </c>
      <c r="M22" s="631" t="str">
        <f>IF(AND('Kennzahlenbogen_(KB)'!T72="",$A22&lt;&gt;"I.O."),"-----",IF($A22="I.O.","",'Kennzahlenbogen_(KB)'!T72))</f>
        <v>-----</v>
      </c>
      <c r="O22" s="633">
        <f t="array" aca="1" ref="O22" ca="1">IF(ROW()-ROW($D$2:$D$28)+1&gt;ROWS($C$2:$C$28)-COUNTBLANK($C$2:$C$28),"",INDIRECT(ADDRESS(SMALL((IF($C$2:$C$28&lt;&gt;"",ROW($C$2:$C$28),ROW()+ROWS($C$2:$C$28))),ROW()-ROW($D$2:$D$28)+1),COLUMN($C$2:$C$28),4)))</f>
        <v>14</v>
      </c>
      <c r="P22" s="634" t="str">
        <f t="array" aca="1" ref="P22" ca="1">IF(ROW()-ROW($E$2:$E$28)+1&gt;ROWS($D$2:$D$28)-COUNTBLANK($D$2:$D$28),"",INDIRECT(ADDRESS(SMALL((IF($D$2:$D$28&gt;"",ROW($D$2:$D$28),ROW()+ROWS($D$2:$D$28))),ROW()-ROW($E$2:$E$28)+1),COLUMN($D$2:$D$28),4)))</f>
        <v>Befundbericht Stanzbiopsie</v>
      </c>
      <c r="Q22" s="630" t="str">
        <f t="array" aca="1" ref="Q22" ca="1">IF(ROW()-ROW($F$2:$F$28)+1&gt;ROWS($E$2:$E$28)-COUNTBLANK($E$2:$E$28),"",INDIRECT(ADDRESS(SMALL((IF($E$2:$E$28&gt;"",ROW($E$2:$E$28),ROW()+ROWS($E$2:$E$28))),ROW()-ROW($F$2:$F$28)+1),COLUMN($E$2:$E$28),4)))</f>
        <v>-----</v>
      </c>
      <c r="R22" s="630" t="str">
        <f t="array" aca="1" ref="R22" ca="1">IF(ROW()-ROW($G$2:$G$28)+1&gt;ROWS($F$2:$F$28)-COUNTBLANK($F$2:$F$28),"",INDIRECT(ADDRESS(SMALL((IF($F$2:$F$28&gt;"",ROW($F$2:$F$28),ROW()+ROWS($F$2:$F$28))),ROW()-ROW($G$2:$G$28)+1),COLUMN($F$2:$F$28),4)))</f>
        <v>≥ 80%</v>
      </c>
      <c r="S22" s="630" t="str">
        <f t="array" aca="1" ref="S22" ca="1">IF(ROW()-ROW($H$2:$H$28)+1&gt;ROWS($G$2:$G$28)-COUNTBLANK($G$2:$G$28),"",INDIRECT(ADDRESS(SMALL((IF($G$2:$G$28&lt;&gt;"",ROW($G$2:$G$28),ROW()+ROWS($G$2:$G$28))),ROW()-ROW($H$2:$H$28)+1),COLUMN($G$2:$G$28),4)))</f>
        <v>-----</v>
      </c>
      <c r="T22" s="630" t="str">
        <f t="array" aca="1" ref="T22" ca="1">IF(ROW()-ROW($I$2:$I$28)+1&gt;ROWS($H$2:$H$28)-COUNTBLANK($H$2:$H$28),"",INDIRECT(ADDRESS(SMALL((IF($H$2:$H$28&lt;&gt;"",ROW($H$2:$H$28),ROW()+ROWS($H$2:$H$28))),ROW()-ROW($I$2:$I$28)+1),COLUMN($H$2:$H$28),4)))</f>
        <v>-----</v>
      </c>
      <c r="U22" s="630" t="str">
        <f t="array" aca="1" ref="U22" ca="1">IF(ROW()-ROW($J$2:$J$28)+1&gt;ROWS($I$2:$I$28)-COUNTBLANK($I$2:$I$28),"",INDIRECT(ADDRESS(SMALL((IF($I$2:$I$28&lt;&gt;"",ROW($I$2:$I$28),ROW()+ROWS($I$2:$I$28))),ROW()-ROW($J$2:$J$28)+1),COLUMN($I$2:$I$28),4)))</f>
        <v>-----</v>
      </c>
      <c r="V22" s="630" t="str">
        <f t="array" aca="1" ref="V22" ca="1">IF(ROW()-ROW($K$2:$K$28)+1&gt;ROWS($J$2:$J$28)-COUNTBLANK($J$2:$J$28),"",INDIRECT(ADDRESS(SMALL((IF($J$2:$J$28&lt;&gt;"",ROW($J$2:$J$28),ROW()+ROWS($J$2:$J$28))),ROW()-ROW($K$2:$K$28)+1),COLUMN($J$2:$J$28),4)))</f>
        <v>n.d.</v>
      </c>
      <c r="W22" s="634" t="str">
        <f t="array" aca="1" ref="W22" ca="1">IF(ROW()-ROW($L$2:$L$28)+1&gt;ROWS($K$2:$K$28)-COUNTBLANK($K$2:$K$28),"",INDIRECT(ADDRESS(SMALL((IF($K$2:$K$28&lt;&gt;"",ROW($K$2:$K$28),ROW()+ROWS($K$2:$K$28))),ROW()-ROW($L$2:$L$28)+1),COLUMN($K$2:$K$28),4)))</f>
        <v>Unvollständig</v>
      </c>
      <c r="X22" s="634" t="str">
        <f t="array" aca="1" ref="X22" ca="1">IF(ROW()-ROW($M$2:$M$28)+1&gt;ROWS($L$2:$L$28)-COUNTBLANK($L$2:$L$28),"",INDIRECT(ADDRESS(SMALL((IF($L$2:$L$28&lt;&gt;"",ROW($L$2:$L$28),ROW()+ROWS($L$2:$L$28))),ROW()-ROW($M$2:$M$28)+1),COLUMN($L$2:$L$28),4)))</f>
        <v>-----</v>
      </c>
      <c r="Y22" s="634" t="str">
        <f t="array" aca="1" ref="Y22" ca="1">IF(ROW()-ROW($N$2:$N$28)+1&gt;ROWS($M$2:$M$28)-COUNTBLANK($M$2:$M$28),"",INDIRECT(ADDRESS(SMALL((IF($M$2:$M$28&lt;&gt;"",ROW($M$2:$M$28),ROW()+ROWS($M$2:$M$28))),ROW()-ROW($N$2:$N$28)+1),COLUMN($M$2:$M$28),4)))</f>
        <v>-----</v>
      </c>
    </row>
    <row r="23" spans="1:25" ht="46.5" customHeight="1" x14ac:dyDescent="0.25">
      <c r="A23" s="629" t="str">
        <f>IF('Kennzahlenbogen_(KB)'!R75=0,"",'Kennzahlenbogen_(KB)'!R75)</f>
        <v>Unvollständig</v>
      </c>
      <c r="C23" s="635">
        <f>IF($A23="I.O.","",'Kennzahlenbogen_(KB)'!B75)</f>
        <v>15</v>
      </c>
      <c r="D23" s="631" t="str">
        <f>IF($A23="I.O.","",'Kennzahlenbogen_(KB)'!E75)</f>
        <v>Befundbericht Lymphknoten</v>
      </c>
      <c r="E23" s="632" t="str">
        <f>IF(AND('Kennzahlenbogen_(KB)'!L75="",$A23&lt;&gt;"I.O."),"-----",IF($A23="I.O.","",'Kennzahlenbogen_(KB)'!L75))</f>
        <v>-----</v>
      </c>
      <c r="F23" s="632" t="str">
        <f>IF($A23="I.O.","",'Kennzahlenbogen_(KB)'!M75)</f>
        <v>≥ 80%</v>
      </c>
      <c r="G23" s="632" t="str">
        <f>IF(AND('Kennzahlenbogen_(KB)'!O75="",$A23&lt;&gt;"I.O."),"-----",IF($A23="I.O.","",'Kennzahlenbogen_(KB)'!O75))</f>
        <v>-----</v>
      </c>
      <c r="H23" s="630" t="str">
        <f>IF($A23="I.O.","",IF('Kennzahlenbogen_(KB)'!Q75="","-----",'Kennzahlenbogen_(KB)'!Q75))</f>
        <v>-----</v>
      </c>
      <c r="I23" s="630" t="str">
        <f>IF($A23="I.O.","",IF('Kennzahlenbogen_(KB)'!Q76="","-----",'Kennzahlenbogen_(KB)'!Q76))</f>
        <v>-----</v>
      </c>
      <c r="J23" s="630" t="str">
        <f>IF($A23="I.O.","",IF('Kennzahlenbogen_(KB)'!Q77="","-----",'Kennzahlenbogen_(KB)'!Q77))</f>
        <v>n.d.</v>
      </c>
      <c r="K23" s="630" t="str">
        <f>IF($A23="I.O.","",'Kennzahlenbogen_(KB)'!R75)</f>
        <v>Unvollständig</v>
      </c>
      <c r="L23" s="631" t="str">
        <f>IF(AND('Kennzahlenbogen_(KB)'!S75="",$A23&lt;&gt;"I.O."),"-----",IF($A23="I.O.","",'Kennzahlenbogen_(KB)'!S75))</f>
        <v>-----</v>
      </c>
      <c r="M23" s="631" t="str">
        <f>IF(AND('Kennzahlenbogen_(KB)'!T75="",$A23&lt;&gt;"I.O."),"-----",IF($A23="I.O.","",'Kennzahlenbogen_(KB)'!T75))</f>
        <v>-----</v>
      </c>
      <c r="O23" s="633">
        <f t="array" aca="1" ref="O23" ca="1">IF(ROW()-ROW($D$2:$D$28)+1&gt;ROWS($C$2:$C$28)-COUNTBLANK($C$2:$C$28),"",INDIRECT(ADDRESS(SMALL((IF($C$2:$C$28&lt;&gt;"",ROW($C$2:$C$28),ROW()+ROWS($C$2:$C$28))),ROW()-ROW($D$2:$D$28)+1),COLUMN($C$2:$C$28),4)))</f>
        <v>15</v>
      </c>
      <c r="P23" s="634" t="str">
        <f t="array" aca="1" ref="P23" ca="1">IF(ROW()-ROW($E$2:$E$28)+1&gt;ROWS($D$2:$D$28)-COUNTBLANK($D$2:$D$28),"",INDIRECT(ADDRESS(SMALL((IF($D$2:$D$28&gt;"",ROW($D$2:$D$28),ROW()+ROWS($D$2:$D$28))),ROW()-ROW($E$2:$E$28)+1),COLUMN($D$2:$D$28),4)))</f>
        <v>Befundbericht Lymphknoten</v>
      </c>
      <c r="Q23" s="630" t="str">
        <f t="array" aca="1" ref="Q23" ca="1">IF(ROW()-ROW($F$2:$F$28)+1&gt;ROWS($E$2:$E$28)-COUNTBLANK($E$2:$E$28),"",INDIRECT(ADDRESS(SMALL((IF($E$2:$E$28&gt;"",ROW($E$2:$E$28),ROW()+ROWS($E$2:$E$28))),ROW()-ROW($F$2:$F$28)+1),COLUMN($E$2:$E$28),4)))</f>
        <v>-----</v>
      </c>
      <c r="R23" s="630" t="str">
        <f t="array" aca="1" ref="R23" ca="1">IF(ROW()-ROW($G$2:$G$28)+1&gt;ROWS($F$2:$F$28)-COUNTBLANK($F$2:$F$28),"",INDIRECT(ADDRESS(SMALL((IF($F$2:$F$28&gt;"",ROW($F$2:$F$28),ROW()+ROWS($F$2:$F$28))),ROW()-ROW($G$2:$G$28)+1),COLUMN($F$2:$F$28),4)))</f>
        <v>≥ 80%</v>
      </c>
      <c r="S23" s="630" t="str">
        <f t="array" aca="1" ref="S23" ca="1">IF(ROW()-ROW($H$2:$H$28)+1&gt;ROWS($G$2:$G$28)-COUNTBLANK($G$2:$G$28),"",INDIRECT(ADDRESS(SMALL((IF($G$2:$G$28&lt;&gt;"",ROW($G$2:$G$28),ROW()+ROWS($G$2:$G$28))),ROW()-ROW($H$2:$H$28)+1),COLUMN($G$2:$G$28),4)))</f>
        <v>-----</v>
      </c>
      <c r="T23" s="630" t="str">
        <f t="array" aca="1" ref="T23" ca="1">IF(ROW()-ROW($I$2:$I$28)+1&gt;ROWS($H$2:$H$28)-COUNTBLANK($H$2:$H$28),"",INDIRECT(ADDRESS(SMALL((IF($H$2:$H$28&lt;&gt;"",ROW($H$2:$H$28),ROW()+ROWS($H$2:$H$28))),ROW()-ROW($I$2:$I$28)+1),COLUMN($H$2:$H$28),4)))</f>
        <v>-----</v>
      </c>
      <c r="U23" s="630" t="str">
        <f t="array" aca="1" ref="U23" ca="1">IF(ROW()-ROW($J$2:$J$28)+1&gt;ROWS($I$2:$I$28)-COUNTBLANK($I$2:$I$28),"",INDIRECT(ADDRESS(SMALL((IF($I$2:$I$28&lt;&gt;"",ROW($I$2:$I$28),ROW()+ROWS($I$2:$I$28))),ROW()-ROW($J$2:$J$28)+1),COLUMN($I$2:$I$28),4)))</f>
        <v>-----</v>
      </c>
      <c r="V23" s="630" t="str">
        <f t="array" aca="1" ref="V23" ca="1">IF(ROW()-ROW($K$2:$K$28)+1&gt;ROWS($J$2:$J$28)-COUNTBLANK($J$2:$J$28),"",INDIRECT(ADDRESS(SMALL((IF($J$2:$J$28&lt;&gt;"",ROW($J$2:$J$28),ROW()+ROWS($J$2:$J$28))),ROW()-ROW($K$2:$K$28)+1),COLUMN($J$2:$J$28),4)))</f>
        <v>n.d.</v>
      </c>
      <c r="W23" s="634" t="str">
        <f t="array" aca="1" ref="W23" ca="1">IF(ROW()-ROW($L$2:$L$28)+1&gt;ROWS($K$2:$K$28)-COUNTBLANK($K$2:$K$28),"",INDIRECT(ADDRESS(SMALL((IF($K$2:$K$28&lt;&gt;"",ROW($K$2:$K$28),ROW()+ROWS($K$2:$K$28))),ROW()-ROW($L$2:$L$28)+1),COLUMN($K$2:$K$28),4)))</f>
        <v>Unvollständig</v>
      </c>
      <c r="X23" s="634" t="str">
        <f t="array" aca="1" ref="X23" ca="1">IF(ROW()-ROW($M$2:$M$28)+1&gt;ROWS($L$2:$L$28)-COUNTBLANK($L$2:$L$28),"",INDIRECT(ADDRESS(SMALL((IF($L$2:$L$28&lt;&gt;"",ROW($L$2:$L$28),ROW()+ROWS($L$2:$L$28))),ROW()-ROW($M$2:$M$28)+1),COLUMN($L$2:$L$28),4)))</f>
        <v>-----</v>
      </c>
      <c r="Y23" s="634" t="str">
        <f t="array" aca="1" ref="Y23" ca="1">IF(ROW()-ROW($N$2:$N$28)+1&gt;ROWS($M$2:$M$28)-COUNTBLANK($M$2:$M$28),"",INDIRECT(ADDRESS(SMALL((IF($M$2:$M$28&lt;&gt;"",ROW($M$2:$M$28),ROW()+ROWS($M$2:$M$28))),ROW()-ROW($N$2:$N$28)+1),COLUMN($M$2:$M$28),4)))</f>
        <v>-----</v>
      </c>
    </row>
    <row r="24" spans="1:25" ht="46.5" customHeight="1" x14ac:dyDescent="0.25">
      <c r="A24" s="629" t="str">
        <f>IF('Kennzahlenbogen_(KB)'!R78=0,"",'Kennzahlenbogen_(KB)'!R78)</f>
        <v>Unvollständig</v>
      </c>
      <c r="C24" s="635">
        <f>IF($A24="I.O.","",'Kennzahlenbogen_(KB)'!B78)</f>
        <v>16</v>
      </c>
      <c r="D24" s="631" t="str">
        <f>IF($A24="I.O.","",'Kennzahlenbogen_(KB)'!E78)</f>
        <v>Beginn Salvage-Radiotherapie bei rezidiviertem PCa</v>
      </c>
      <c r="E24" s="632" t="str">
        <f>IF(AND('Kennzahlenbogen_(KB)'!L78="",$A24&lt;&gt;"I.O."),"-----",IF($A24="I.O.","",'Kennzahlenbogen_(KB)'!L78))</f>
        <v>-----</v>
      </c>
      <c r="F24" s="632" t="str">
        <f>IF($A24="I.O.","",'Kennzahlenbogen_(KB)'!M78)</f>
        <v>≥ 70%</v>
      </c>
      <c r="G24" s="632" t="str">
        <f>IF(AND('Kennzahlenbogen_(KB)'!O78="",$A24&lt;&gt;"I.O."),"-----",IF($A24="I.O.","",'Kennzahlenbogen_(KB)'!O78))</f>
        <v>-----</v>
      </c>
      <c r="H24" s="630" t="str">
        <f>IF($A24="I.O.","",IF('Kennzahlenbogen_(KB)'!Q78="","-----",'Kennzahlenbogen_(KB)'!Q78))</f>
        <v>-----</v>
      </c>
      <c r="I24" s="630" t="str">
        <f>IF($A24="I.O.","",IF('Kennzahlenbogen_(KB)'!Q79="","-----",'Kennzahlenbogen_(KB)'!Q79))</f>
        <v>-----</v>
      </c>
      <c r="J24" s="630" t="str">
        <f>IF($A24="I.O.","",IF('Kennzahlenbogen_(KB)'!Q80="","-----",'Kennzahlenbogen_(KB)'!Q80))</f>
        <v>n.d.</v>
      </c>
      <c r="K24" s="630" t="str">
        <f>IF($A24="I.O.","",'Kennzahlenbogen_(KB)'!R78)</f>
        <v>Unvollständig</v>
      </c>
      <c r="L24" s="631" t="str">
        <f>IF(AND('Kennzahlenbogen_(KB)'!S78="",$A24&lt;&gt;"I.O."),"-----",IF($A24="I.O.","",'Kennzahlenbogen_(KB)'!S78))</f>
        <v>-----</v>
      </c>
      <c r="M24" s="631" t="str">
        <f>IF(AND('Kennzahlenbogen_(KB)'!T78="",$A24&lt;&gt;"I.O."),"-----",IF($A24="I.O.","",'Kennzahlenbogen_(KB)'!T78))</f>
        <v>-----</v>
      </c>
      <c r="O24" s="633">
        <f t="array" aca="1" ref="O24" ca="1">IF(ROW()-ROW($D$2:$D$28)+1&gt;ROWS($C$2:$C$28)-COUNTBLANK($C$2:$C$28),"",INDIRECT(ADDRESS(SMALL((IF($C$2:$C$28&lt;&gt;"",ROW($C$2:$C$28),ROW()+ROWS($C$2:$C$28))),ROW()-ROW($D$2:$D$28)+1),COLUMN($C$2:$C$28),4)))</f>
        <v>16</v>
      </c>
      <c r="P24" s="634" t="str">
        <f t="array" aca="1" ref="P24" ca="1">IF(ROW()-ROW($E$2:$E$28)+1&gt;ROWS($D$2:$D$28)-COUNTBLANK($D$2:$D$28),"",INDIRECT(ADDRESS(SMALL((IF($D$2:$D$28&gt;"",ROW($D$2:$D$28),ROW()+ROWS($D$2:$D$28))),ROW()-ROW($E$2:$E$28)+1),COLUMN($D$2:$D$28),4)))</f>
        <v>Beginn Salvage-Radiotherapie bei rezidiviertem PCa</v>
      </c>
      <c r="Q24" s="630" t="str">
        <f t="array" aca="1" ref="Q24" ca="1">IF(ROW()-ROW($F$2:$F$28)+1&gt;ROWS($E$2:$E$28)-COUNTBLANK($E$2:$E$28),"",INDIRECT(ADDRESS(SMALL((IF($E$2:$E$28&gt;"",ROW($E$2:$E$28),ROW()+ROWS($E$2:$E$28))),ROW()-ROW($F$2:$F$28)+1),COLUMN($E$2:$E$28),4)))</f>
        <v>-----</v>
      </c>
      <c r="R24" s="630" t="str">
        <f t="array" aca="1" ref="R24" ca="1">IF(ROW()-ROW($G$2:$G$28)+1&gt;ROWS($F$2:$F$28)-COUNTBLANK($F$2:$F$28),"",INDIRECT(ADDRESS(SMALL((IF($F$2:$F$28&gt;"",ROW($F$2:$F$28),ROW()+ROWS($F$2:$F$28))),ROW()-ROW($G$2:$G$28)+1),COLUMN($F$2:$F$28),4)))</f>
        <v>≥ 70%</v>
      </c>
      <c r="S24" s="630" t="str">
        <f t="array" aca="1" ref="S24" ca="1">IF(ROW()-ROW($H$2:$H$28)+1&gt;ROWS($G$2:$G$28)-COUNTBLANK($G$2:$G$28),"",INDIRECT(ADDRESS(SMALL((IF($G$2:$G$28&lt;&gt;"",ROW($G$2:$G$28),ROW()+ROWS($G$2:$G$28))),ROW()-ROW($H$2:$H$28)+1),COLUMN($G$2:$G$28),4)))</f>
        <v>-----</v>
      </c>
      <c r="T24" s="630" t="str">
        <f t="array" aca="1" ref="T24" ca="1">IF(ROW()-ROW($I$2:$I$28)+1&gt;ROWS($H$2:$H$28)-COUNTBLANK($H$2:$H$28),"",INDIRECT(ADDRESS(SMALL((IF($H$2:$H$28&lt;&gt;"",ROW($H$2:$H$28),ROW()+ROWS($H$2:$H$28))),ROW()-ROW($I$2:$I$28)+1),COLUMN($H$2:$H$28),4)))</f>
        <v>-----</v>
      </c>
      <c r="U24" s="630" t="str">
        <f t="array" aca="1" ref="U24" ca="1">IF(ROW()-ROW($J$2:$J$28)+1&gt;ROWS($I$2:$I$28)-COUNTBLANK($I$2:$I$28),"",INDIRECT(ADDRESS(SMALL((IF($I$2:$I$28&lt;&gt;"",ROW($I$2:$I$28),ROW()+ROWS($I$2:$I$28))),ROW()-ROW($J$2:$J$28)+1),COLUMN($I$2:$I$28),4)))</f>
        <v>-----</v>
      </c>
      <c r="V24" s="630" t="str">
        <f t="array" aca="1" ref="V24" ca="1">IF(ROW()-ROW($K$2:$K$28)+1&gt;ROWS($J$2:$J$28)-COUNTBLANK($J$2:$J$28),"",INDIRECT(ADDRESS(SMALL((IF($J$2:$J$28&lt;&gt;"",ROW($J$2:$J$28),ROW()+ROWS($J$2:$J$28))),ROW()-ROW($K$2:$K$28)+1),COLUMN($J$2:$J$28),4)))</f>
        <v>n.d.</v>
      </c>
      <c r="W24" s="634" t="str">
        <f t="array" aca="1" ref="W24" ca="1">IF(ROW()-ROW($L$2:$L$28)+1&gt;ROWS($K$2:$K$28)-COUNTBLANK($K$2:$K$28),"",INDIRECT(ADDRESS(SMALL((IF($K$2:$K$28&lt;&gt;"",ROW($K$2:$K$28),ROW()+ROWS($K$2:$K$28))),ROW()-ROW($L$2:$L$28)+1),COLUMN($K$2:$K$28),4)))</f>
        <v>Unvollständig</v>
      </c>
      <c r="X24" s="634" t="str">
        <f t="array" aca="1" ref="X24" ca="1">IF(ROW()-ROW($M$2:$M$28)+1&gt;ROWS($L$2:$L$28)-COUNTBLANK($L$2:$L$28),"",INDIRECT(ADDRESS(SMALL((IF($L$2:$L$28&lt;&gt;"",ROW($L$2:$L$28),ROW()+ROWS($L$2:$L$28))),ROW()-ROW($M$2:$M$28)+1),COLUMN($L$2:$L$28),4)))</f>
        <v>-----</v>
      </c>
      <c r="Y24" s="634" t="str">
        <f t="array" aca="1" ref="Y24" ca="1">IF(ROW()-ROW($N$2:$N$28)+1&gt;ROWS($M$2:$M$28)-COUNTBLANK($M$2:$M$28),"",INDIRECT(ADDRESS(SMALL((IF($M$2:$M$28&lt;&gt;"",ROW($M$2:$M$28),ROW()+ROWS($M$2:$M$28))),ROW()-ROW($N$2:$N$28)+1),COLUMN($M$2:$M$28),4)))</f>
        <v>-----</v>
      </c>
    </row>
    <row r="25" spans="1:25" ht="33.75" customHeight="1" x14ac:dyDescent="0.25">
      <c r="A25" s="629" t="str">
        <f>IF('Kennzahlenbogen_(KB)'!R84=0,"",'Kennzahlenbogen_(KB)'!R84)</f>
        <v>Unvollständig</v>
      </c>
      <c r="C25" s="635">
        <f>IF($A25="I.O.","",'Kennzahlenbogen_(KB)'!B84)</f>
        <v>18</v>
      </c>
      <c r="D25" s="631" t="str">
        <f>IF($A25="I.O.","",'Kennzahlenbogen_(KB)'!E84)</f>
        <v>Postoperative Komplikationen nach Radikaler Prostatektomie</v>
      </c>
      <c r="E25" s="632" t="str">
        <f>IF(AND('Kennzahlenbogen_(KB)'!L84="",$A25&lt;&gt;"I.O."),"-----",IF($A25="I.O.","",'Kennzahlenbogen_(KB)'!L84))</f>
        <v>-----</v>
      </c>
      <c r="F25" s="632" t="str">
        <f>IF($A25="I.O.","",'Kennzahlenbogen_(KB)'!M84)</f>
        <v>≤ 15%</v>
      </c>
      <c r="G25" s="632" t="str">
        <f>IF(AND('Kennzahlenbogen_(KB)'!O84="",$A25&lt;&gt;"I.O."),"-----",IF($A25="I.O.","",'Kennzahlenbogen_(KB)'!O84))</f>
        <v>-----</v>
      </c>
      <c r="H25" s="630" t="str">
        <f>IF($A25="I.O.","",IF('Kennzahlenbogen_(KB)'!Q84="","-----",'Kennzahlenbogen_(KB)'!Q84))</f>
        <v>-----</v>
      </c>
      <c r="I25" s="630" t="str">
        <f>IF($A25="I.O.","",IF('Kennzahlenbogen_(KB)'!Q85="","-----",'Kennzahlenbogen_(KB)'!Q85))</f>
        <v>-----</v>
      </c>
      <c r="J25" s="630" t="str">
        <f>IF($A25="I.O.","",IF('Kennzahlenbogen_(KB)'!Q86="","-----",'Kennzahlenbogen_(KB)'!Q86))</f>
        <v>n.d.</v>
      </c>
      <c r="K25" s="630" t="str">
        <f>IF($A25="I.O.","",'Kennzahlenbogen_(KB)'!R84)</f>
        <v>Unvollständig</v>
      </c>
      <c r="L25" s="631" t="str">
        <f>IF(AND('Kennzahlenbogen_(KB)'!S84="",$A25&lt;&gt;"I.O."),"-----",IF($A25="I.O.","",'Kennzahlenbogen_(KB)'!S84))</f>
        <v>-----</v>
      </c>
      <c r="M25" s="631" t="str">
        <f>IF(AND('Kennzahlenbogen_(KB)'!T84="",$A25&lt;&gt;"I.O."),"-----",IF($A25="I.O.","",'Kennzahlenbogen_(KB)'!T84))</f>
        <v>-----</v>
      </c>
      <c r="O25" s="633">
        <f t="array" aca="1" ref="O25" ca="1">IF(ROW()-ROW($D$2:$D$28)+1&gt;ROWS($C$2:$C$28)-COUNTBLANK($C$2:$C$28),"",INDIRECT(ADDRESS(SMALL((IF($C$2:$C$28&lt;&gt;"",ROW($C$2:$C$28),ROW()+ROWS($C$2:$C$28))),ROW()-ROW($D$2:$D$28)+1),COLUMN($C$2:$C$28),4)))</f>
        <v>18</v>
      </c>
      <c r="P25" s="634" t="str">
        <f t="array" aca="1" ref="P25" ca="1">IF(ROW()-ROW($E$2:$E$28)+1&gt;ROWS($D$2:$D$28)-COUNTBLANK($D$2:$D$28),"",INDIRECT(ADDRESS(SMALL((IF($D$2:$D$28&gt;"",ROW($D$2:$D$28),ROW()+ROWS($D$2:$D$28))),ROW()-ROW($E$2:$E$28)+1),COLUMN($D$2:$D$28),4)))</f>
        <v>Postoperative Komplikationen nach Radikaler Prostatektomie</v>
      </c>
      <c r="Q25" s="630" t="str">
        <f t="array" aca="1" ref="Q25" ca="1">IF(ROW()-ROW($F$2:$F$28)+1&gt;ROWS($E$2:$E$28)-COUNTBLANK($E$2:$E$28),"",INDIRECT(ADDRESS(SMALL((IF($E$2:$E$28&gt;"",ROW($E$2:$E$28),ROW()+ROWS($E$2:$E$28))),ROW()-ROW($F$2:$F$28)+1),COLUMN($E$2:$E$28),4)))</f>
        <v>-----</v>
      </c>
      <c r="R25" s="630" t="str">
        <f t="array" aca="1" ref="R25" ca="1">IF(ROW()-ROW($G$2:$G$28)+1&gt;ROWS($F$2:$F$28)-COUNTBLANK($F$2:$F$28),"",INDIRECT(ADDRESS(SMALL((IF($F$2:$F$28&gt;"",ROW($F$2:$F$28),ROW()+ROWS($F$2:$F$28))),ROW()-ROW($G$2:$G$28)+1),COLUMN($F$2:$F$28),4)))</f>
        <v>≤ 15%</v>
      </c>
      <c r="S25" s="630" t="str">
        <f t="array" aca="1" ref="S25" ca="1">IF(ROW()-ROW($H$2:$H$28)+1&gt;ROWS($G$2:$G$28)-COUNTBLANK($G$2:$G$28),"",INDIRECT(ADDRESS(SMALL((IF($G$2:$G$28&lt;&gt;"",ROW($G$2:$G$28),ROW()+ROWS($G$2:$G$28))),ROW()-ROW($H$2:$H$28)+1),COLUMN($G$2:$G$28),4)))</f>
        <v>-----</v>
      </c>
      <c r="T25" s="630" t="str">
        <f t="array" aca="1" ref="T25" ca="1">IF(ROW()-ROW($I$2:$I$28)+1&gt;ROWS($H$2:$H$28)-COUNTBLANK($H$2:$H$28),"",INDIRECT(ADDRESS(SMALL((IF($H$2:$H$28&lt;&gt;"",ROW($H$2:$H$28),ROW()+ROWS($H$2:$H$28))),ROW()-ROW($I$2:$I$28)+1),COLUMN($H$2:$H$28),4)))</f>
        <v>-----</v>
      </c>
      <c r="U25" s="630" t="str">
        <f t="array" aca="1" ref="U25" ca="1">IF(ROW()-ROW($J$2:$J$28)+1&gt;ROWS($I$2:$I$28)-COUNTBLANK($I$2:$I$28),"",INDIRECT(ADDRESS(SMALL((IF($I$2:$I$28&lt;&gt;"",ROW($I$2:$I$28),ROW()+ROWS($I$2:$I$28))),ROW()-ROW($J$2:$J$28)+1),COLUMN($I$2:$I$28),4)))</f>
        <v>-----</v>
      </c>
      <c r="V25" s="630" t="str">
        <f t="array" aca="1" ref="V25" ca="1">IF(ROW()-ROW($K$2:$K$28)+1&gt;ROWS($J$2:$J$28)-COUNTBLANK($J$2:$J$28),"",INDIRECT(ADDRESS(SMALL((IF($J$2:$J$28&lt;&gt;"",ROW($J$2:$J$28),ROW()+ROWS($J$2:$J$28))),ROW()-ROW($K$2:$K$28)+1),COLUMN($J$2:$J$28),4)))</f>
        <v>n.d.</v>
      </c>
      <c r="W25" s="634" t="str">
        <f t="array" aca="1" ref="W25" ca="1">IF(ROW()-ROW($L$2:$L$28)+1&gt;ROWS($K$2:$K$28)-COUNTBLANK($K$2:$K$28),"",INDIRECT(ADDRESS(SMALL((IF($K$2:$K$28&lt;&gt;"",ROW($K$2:$K$28),ROW()+ROWS($K$2:$K$28))),ROW()-ROW($L$2:$L$28)+1),COLUMN($K$2:$K$28),4)))</f>
        <v>Unvollständig</v>
      </c>
      <c r="X25" s="634" t="str">
        <f t="array" aca="1" ref="X25" ca="1">IF(ROW()-ROW($M$2:$M$28)+1&gt;ROWS($L$2:$L$28)-COUNTBLANK($L$2:$L$28),"",INDIRECT(ADDRESS(SMALL((IF($L$2:$L$28&lt;&gt;"",ROW($L$2:$L$28),ROW()+ROWS($L$2:$L$28))),ROW()-ROW($M$2:$M$28)+1),COLUMN($L$2:$L$28),4)))</f>
        <v>-----</v>
      </c>
      <c r="Y25" s="634" t="str">
        <f t="array" aca="1" ref="Y25" ca="1">IF(ROW()-ROW($N$2:$N$28)+1&gt;ROWS($M$2:$M$28)-COUNTBLANK($M$2:$M$28),"",INDIRECT(ADDRESS(SMALL((IF($M$2:$M$28&lt;&gt;"",ROW($M$2:$M$28),ROW()+ROWS($M$2:$M$28))),ROW()-ROW($N$2:$N$28)+1),COLUMN($M$2:$M$28),4)))</f>
        <v>-----</v>
      </c>
    </row>
    <row r="26" spans="1:25" ht="33.75" customHeight="1" x14ac:dyDescent="0.25">
      <c r="A26" s="629" t="str">
        <f>IF('Kennzahlenbogen_(KB)'!R87=0,"",'Kennzahlenbogen_(KB)'!R87)</f>
        <v>Unvollständig</v>
      </c>
      <c r="C26" s="635">
        <f>IF($A26="I.O.","",'Kennzahlenbogen_(KB)'!B87)</f>
        <v>19</v>
      </c>
      <c r="D26" s="631" t="str">
        <f>IF($A26="I.O.","",'Kennzahlenbogen_(KB)'!E87)</f>
        <v>Unerwünschte Wirkungen nach Strahlentherapie</v>
      </c>
      <c r="E26" s="632" t="str">
        <f>IF(AND('Kennzahlenbogen_(KB)'!L87="",$A26&lt;&gt;"I.O."),"-----",IF($A26="I.O.","",'Kennzahlenbogen_(KB)'!L87))</f>
        <v>-----</v>
      </c>
      <c r="F26" s="632" t="str">
        <f>IF($A26="I.O.","",'Kennzahlenbogen_(KB)'!M87)</f>
        <v>≤ 3%</v>
      </c>
      <c r="G26" s="632" t="str">
        <f>IF(AND('Kennzahlenbogen_(KB)'!O87="",$A26&lt;&gt;"I.O."),"-----",IF($A26="I.O.","",'Kennzahlenbogen_(KB)'!O87))</f>
        <v>-----</v>
      </c>
      <c r="H26" s="630" t="str">
        <f>IF($A26="I.O.","",IF('Kennzahlenbogen_(KB)'!Q87="","-----",'Kennzahlenbogen_(KB)'!Q87))</f>
        <v>-----</v>
      </c>
      <c r="I26" s="630" t="str">
        <f>IF($A26="I.O.","",IF('Kennzahlenbogen_(KB)'!Q88="","-----",'Kennzahlenbogen_(KB)'!Q88))</f>
        <v>-----</v>
      </c>
      <c r="J26" s="630" t="str">
        <f>IF($A26="I.O.","",IF('Kennzahlenbogen_(KB)'!Q89="","-----",'Kennzahlenbogen_(KB)'!Q89))</f>
        <v>n.d.</v>
      </c>
      <c r="K26" s="630" t="str">
        <f>IF($A26="I.O.","",'Kennzahlenbogen_(KB)'!R87)</f>
        <v>Unvollständig</v>
      </c>
      <c r="L26" s="631" t="str">
        <f>IF(AND('Kennzahlenbogen_(KB)'!S87="",$A26&lt;&gt;"I.O."),"-----",IF($A26="I.O.","",'Kennzahlenbogen_(KB)'!S87))</f>
        <v>-----</v>
      </c>
      <c r="M26" s="631" t="str">
        <f>IF(AND('Kennzahlenbogen_(KB)'!T87="",$A26&lt;&gt;"I.O."),"-----",IF($A26="I.O.","",'Kennzahlenbogen_(KB)'!T87))</f>
        <v>-----</v>
      </c>
      <c r="O26" s="633">
        <f t="array" aca="1" ref="O26" ca="1">IF(ROW()-ROW($D$2:$D$28)+1&gt;ROWS($C$2:$C$28)-COUNTBLANK($C$2:$C$28),"",INDIRECT(ADDRESS(SMALL((IF($C$2:$C$28&lt;&gt;"",ROW($C$2:$C$28),ROW()+ROWS($C$2:$C$28))),ROW()-ROW($D$2:$D$28)+1),COLUMN($C$2:$C$28),4)))</f>
        <v>19</v>
      </c>
      <c r="P26" s="634" t="str">
        <f t="array" aca="1" ref="P26" ca="1">IF(ROW()-ROW($E$2:$E$28)+1&gt;ROWS($D$2:$D$28)-COUNTBLANK($D$2:$D$28),"",INDIRECT(ADDRESS(SMALL((IF($D$2:$D$28&gt;"",ROW($D$2:$D$28),ROW()+ROWS($D$2:$D$28))),ROW()-ROW($E$2:$E$28)+1),COLUMN($D$2:$D$28),4)))</f>
        <v>Unerwünschte Wirkungen nach Strahlentherapie</v>
      </c>
      <c r="Q26" s="630" t="str">
        <f t="array" aca="1" ref="Q26" ca="1">IF(ROW()-ROW($F$2:$F$28)+1&gt;ROWS($E$2:$E$28)-COUNTBLANK($E$2:$E$28),"",INDIRECT(ADDRESS(SMALL((IF($E$2:$E$28&gt;"",ROW($E$2:$E$28),ROW()+ROWS($E$2:$E$28))),ROW()-ROW($F$2:$F$28)+1),COLUMN($E$2:$E$28),4)))</f>
        <v>-----</v>
      </c>
      <c r="R26" s="630" t="str">
        <f t="array" aca="1" ref="R26" ca="1">IF(ROW()-ROW($G$2:$G$28)+1&gt;ROWS($F$2:$F$28)-COUNTBLANK($F$2:$F$28),"",INDIRECT(ADDRESS(SMALL((IF($F$2:$F$28&gt;"",ROW($F$2:$F$28),ROW()+ROWS($F$2:$F$28))),ROW()-ROW($G$2:$G$28)+1),COLUMN($F$2:$F$28),4)))</f>
        <v>≤ 3%</v>
      </c>
      <c r="S26" s="630" t="str">
        <f t="array" aca="1" ref="S26" ca="1">IF(ROW()-ROW($H$2:$H$28)+1&gt;ROWS($G$2:$G$28)-COUNTBLANK($G$2:$G$28),"",INDIRECT(ADDRESS(SMALL((IF($G$2:$G$28&lt;&gt;"",ROW($G$2:$G$28),ROW()+ROWS($G$2:$G$28))),ROW()-ROW($H$2:$H$28)+1),COLUMN($G$2:$G$28),4)))</f>
        <v>-----</v>
      </c>
      <c r="T26" s="630" t="str">
        <f t="array" aca="1" ref="T26" ca="1">IF(ROW()-ROW($I$2:$I$28)+1&gt;ROWS($H$2:$H$28)-COUNTBLANK($H$2:$H$28),"",INDIRECT(ADDRESS(SMALL((IF($H$2:$H$28&lt;&gt;"",ROW($H$2:$H$28),ROW()+ROWS($H$2:$H$28))),ROW()-ROW($I$2:$I$28)+1),COLUMN($H$2:$H$28),4)))</f>
        <v>-----</v>
      </c>
      <c r="U26" s="630" t="str">
        <f t="array" aca="1" ref="U26" ca="1">IF(ROW()-ROW($J$2:$J$28)+1&gt;ROWS($I$2:$I$28)-COUNTBLANK($I$2:$I$28),"",INDIRECT(ADDRESS(SMALL((IF($I$2:$I$28&lt;&gt;"",ROW($I$2:$I$28),ROW()+ROWS($I$2:$I$28))),ROW()-ROW($J$2:$J$28)+1),COLUMN($I$2:$I$28),4)))</f>
        <v>-----</v>
      </c>
      <c r="V26" s="630" t="str">
        <f t="array" aca="1" ref="V26" ca="1">IF(ROW()-ROW($K$2:$K$28)+1&gt;ROWS($J$2:$J$28)-COUNTBLANK($J$2:$J$28),"",INDIRECT(ADDRESS(SMALL((IF($J$2:$J$28&lt;&gt;"",ROW($J$2:$J$28),ROW()+ROWS($J$2:$J$28))),ROW()-ROW($K$2:$K$28)+1),COLUMN($J$2:$J$28),4)))</f>
        <v>n.d.</v>
      </c>
      <c r="W26" s="634" t="str">
        <f t="array" aca="1" ref="W26" ca="1">IF(ROW()-ROW($L$2:$L$28)+1&gt;ROWS($K$2:$K$28)-COUNTBLANK($K$2:$K$28),"",INDIRECT(ADDRESS(SMALL((IF($K$2:$K$28&lt;&gt;"",ROW($K$2:$K$28),ROW()+ROWS($K$2:$K$28))),ROW()-ROW($L$2:$L$28)+1),COLUMN($K$2:$K$28),4)))</f>
        <v>Unvollständig</v>
      </c>
      <c r="X26" s="634" t="str">
        <f t="array" aca="1" ref="X26" ca="1">IF(ROW()-ROW($M$2:$M$28)+1&gt;ROWS($L$2:$L$28)-COUNTBLANK($L$2:$L$28),"",INDIRECT(ADDRESS(SMALL((IF($L$2:$L$28&lt;&gt;"",ROW($L$2:$L$28),ROW()+ROWS($L$2:$L$28))),ROW()-ROW($M$2:$M$28)+1),COLUMN($L$2:$L$28),4)))</f>
        <v>-----</v>
      </c>
      <c r="Y26" s="634" t="str">
        <f t="array" aca="1" ref="Y26" ca="1">IF(ROW()-ROW($N$2:$N$28)+1&gt;ROWS($M$2:$M$28)-COUNTBLANK($M$2:$M$28),"",INDIRECT(ADDRESS(SMALL((IF($M$2:$M$28&lt;&gt;"",ROW($M$2:$M$28),ROW()+ROWS($M$2:$M$28))),ROW()-ROW($N$2:$N$28)+1),COLUMN($M$2:$M$28),4)))</f>
        <v>-----</v>
      </c>
    </row>
    <row r="27" spans="1:25" ht="33.75" customHeight="1" x14ac:dyDescent="0.25">
      <c r="A27" s="629" t="str">
        <f>IF('Kennzahlenbogen_(KB)'!R90=0,"",'Kennzahlenbogen_(KB)'!R90)</f>
        <v>Unvollständig</v>
      </c>
      <c r="C27" s="635">
        <f>IF($A27="I.O.","",'Kennzahlenbogen_(KB)'!B90)</f>
        <v>20</v>
      </c>
      <c r="D27" s="631" t="str">
        <f>IF($A27="I.O.","",'Kennzahlenbogen_(KB)'!E90)</f>
        <v>Zahnärztlicher Untersuchung 
vor Beginn der Bisphosphonat oder Denosumab-Therapie</v>
      </c>
      <c r="E27" s="632" t="str">
        <f>IF(AND('Kennzahlenbogen_(KB)'!L90="",$A27&lt;&gt;"I.O."),"-----",IF($A27="I.O.","",'Kennzahlenbogen_(KB)'!L90))</f>
        <v>-----</v>
      </c>
      <c r="F27" s="632" t="str">
        <f>IF($A27="I.O.","",'Kennzahlenbogen_(KB)'!M90)</f>
        <v>≥ 90%</v>
      </c>
      <c r="G27" s="632" t="str">
        <f>IF(AND('Kennzahlenbogen_(KB)'!O90="",$A27&lt;&gt;"I.O."),"-----",IF($A27="I.O.","",'Kennzahlenbogen_(KB)'!O90))</f>
        <v>-----</v>
      </c>
      <c r="H27" s="630" t="str">
        <f>IF($A27="I.O.","",IF('Kennzahlenbogen_(KB)'!Q90="","-----",'Kennzahlenbogen_(KB)'!Q90))</f>
        <v>-----</v>
      </c>
      <c r="I27" s="630" t="str">
        <f>IF($A27="I.O.","",IF('Kennzahlenbogen_(KB)'!Q91="","-----",'Kennzahlenbogen_(KB)'!Q91))</f>
        <v>-----</v>
      </c>
      <c r="J27" s="630" t="str">
        <f>IF($A27="I.O.","",IF('Kennzahlenbogen_(KB)'!Q92="","-----",'Kennzahlenbogen_(KB)'!Q92))</f>
        <v>n.d.</v>
      </c>
      <c r="K27" s="630" t="str">
        <f>IF($A27="I.O.","",'Kennzahlenbogen_(KB)'!R90)</f>
        <v>Unvollständig</v>
      </c>
      <c r="L27" s="631" t="str">
        <f>IF(AND('Kennzahlenbogen_(KB)'!S90="",$A27&lt;&gt;"I.O."),"-----",IF($A27="I.O.","",'Kennzahlenbogen_(KB)'!S90))</f>
        <v>-----</v>
      </c>
      <c r="M27" s="631" t="str">
        <f>IF(AND('Kennzahlenbogen_(KB)'!T90="",$A27&lt;&gt;"I.O."),"-----",IF($A27="I.O.","",'Kennzahlenbogen_(KB)'!T90))</f>
        <v>-----</v>
      </c>
      <c r="O27" s="633">
        <f t="array" aca="1" ref="O27" ca="1">IF(ROW()-ROW($D$2:$D$28)+1&gt;ROWS($C$2:$C$28)-COUNTBLANK($C$2:$C$28),"",INDIRECT(ADDRESS(SMALL((IF($C$2:$C$28&lt;&gt;"",ROW($C$2:$C$28),ROW()+ROWS($C$2:$C$28))),ROW()-ROW($D$2:$D$28)+1),COLUMN($C$2:$C$28),4)))</f>
        <v>20</v>
      </c>
      <c r="P27" s="634" t="str">
        <f t="array" aca="1" ref="P27" ca="1">IF(ROW()-ROW($E$2:$E$28)+1&gt;ROWS($D$2:$D$28)-COUNTBLANK($D$2:$D$28),"",INDIRECT(ADDRESS(SMALL((IF($D$2:$D$28&gt;"",ROW($D$2:$D$28),ROW()+ROWS($D$2:$D$28))),ROW()-ROW($E$2:$E$28)+1),COLUMN($D$2:$D$28),4)))</f>
        <v>Zahnärztlicher Untersuchung 
vor Beginn der Bisphosphonat oder Denosumab-Therapie</v>
      </c>
      <c r="Q27" s="630" t="str">
        <f t="array" aca="1" ref="Q27" ca="1">IF(ROW()-ROW($F$2:$F$28)+1&gt;ROWS($E$2:$E$28)-COUNTBLANK($E$2:$E$28),"",INDIRECT(ADDRESS(SMALL((IF($E$2:$E$28&gt;"",ROW($E$2:$E$28),ROW()+ROWS($E$2:$E$28))),ROW()-ROW($F$2:$F$28)+1),COLUMN($E$2:$E$28),4)))</f>
        <v>-----</v>
      </c>
      <c r="R27" s="630" t="str">
        <f t="array" aca="1" ref="R27" ca="1">IF(ROW()-ROW($G$2:$G$28)+1&gt;ROWS($F$2:$F$28)-COUNTBLANK($F$2:$F$28),"",INDIRECT(ADDRESS(SMALL((IF($F$2:$F$28&gt;"",ROW($F$2:$F$28),ROW()+ROWS($F$2:$F$28))),ROW()-ROW($G$2:$G$28)+1),COLUMN($F$2:$F$28),4)))</f>
        <v>≥ 90%</v>
      </c>
      <c r="S27" s="630" t="str">
        <f t="array" aca="1" ref="S27" ca="1">IF(ROW()-ROW($H$2:$H$28)+1&gt;ROWS($G$2:$G$28)-COUNTBLANK($G$2:$G$28),"",INDIRECT(ADDRESS(SMALL((IF($G$2:$G$28&lt;&gt;"",ROW($G$2:$G$28),ROW()+ROWS($G$2:$G$28))),ROW()-ROW($H$2:$H$28)+1),COLUMN($G$2:$G$28),4)))</f>
        <v>-----</v>
      </c>
      <c r="T27" s="630" t="str">
        <f t="array" aca="1" ref="T27" ca="1">IF(ROW()-ROW($I$2:$I$28)+1&gt;ROWS($H$2:$H$28)-COUNTBLANK($H$2:$H$28),"",INDIRECT(ADDRESS(SMALL((IF($H$2:$H$28&lt;&gt;"",ROW($H$2:$H$28),ROW()+ROWS($H$2:$H$28))),ROW()-ROW($I$2:$I$28)+1),COLUMN($H$2:$H$28),4)))</f>
        <v>-----</v>
      </c>
      <c r="U27" s="630" t="str">
        <f t="array" aca="1" ref="U27" ca="1">IF(ROW()-ROW($J$2:$J$28)+1&gt;ROWS($I$2:$I$28)-COUNTBLANK($I$2:$I$28),"",INDIRECT(ADDRESS(SMALL((IF($I$2:$I$28&lt;&gt;"",ROW($I$2:$I$28),ROW()+ROWS($I$2:$I$28))),ROW()-ROW($J$2:$J$28)+1),COLUMN($I$2:$I$28),4)))</f>
        <v>-----</v>
      </c>
      <c r="V27" s="630" t="str">
        <f t="array" aca="1" ref="V27" ca="1">IF(ROW()-ROW($K$2:$K$28)+1&gt;ROWS($J$2:$J$28)-COUNTBLANK($J$2:$J$28),"",INDIRECT(ADDRESS(SMALL((IF($J$2:$J$28&lt;&gt;"",ROW($J$2:$J$28),ROW()+ROWS($J$2:$J$28))),ROW()-ROW($K$2:$K$28)+1),COLUMN($J$2:$J$28),4)))</f>
        <v>n.d.</v>
      </c>
      <c r="W27" s="634" t="str">
        <f t="array" aca="1" ref="W27" ca="1">IF(ROW()-ROW($L$2:$L$28)+1&gt;ROWS($K$2:$K$28)-COUNTBLANK($K$2:$K$28),"",INDIRECT(ADDRESS(SMALL((IF($K$2:$K$28&lt;&gt;"",ROW($K$2:$K$28),ROW()+ROWS($K$2:$K$28))),ROW()-ROW($L$2:$L$28)+1),COLUMN($K$2:$K$28),4)))</f>
        <v>Unvollständig</v>
      </c>
      <c r="X27" s="634" t="str">
        <f t="array" aca="1" ref="X27" ca="1">IF(ROW()-ROW($M$2:$M$28)+1&gt;ROWS($L$2:$L$28)-COUNTBLANK($L$2:$L$28),"",INDIRECT(ADDRESS(SMALL((IF($L$2:$L$28&lt;&gt;"",ROW($L$2:$L$28),ROW()+ROWS($L$2:$L$28))),ROW()-ROW($M$2:$M$28)+1),COLUMN($L$2:$L$28),4)))</f>
        <v>-----</v>
      </c>
      <c r="Y27" s="634" t="str">
        <f t="array" aca="1" ref="Y27" ca="1">IF(ROW()-ROW($N$2:$N$28)+1&gt;ROWS($M$2:$M$28)-COUNTBLANK($M$2:$M$28),"",INDIRECT(ADDRESS(SMALL((IF($M$2:$M$28&lt;&gt;"",ROW($M$2:$M$28),ROW()+ROWS($M$2:$M$28))),ROW()-ROW($N$2:$N$28)+1),COLUMN($M$2:$M$28),4)))</f>
        <v>-----</v>
      </c>
    </row>
    <row r="28" spans="1:25" ht="33.75" x14ac:dyDescent="0.25">
      <c r="A28" s="629" t="str">
        <f>IF('Kennzahlenbogen_(KB)'!R93=0,"",'Kennzahlenbogen_(KB)'!R93)</f>
        <v>Unvollständig</v>
      </c>
      <c r="C28" s="635">
        <f>IF($A28="I.O.","",'Kennzahlenbogen_(KB)'!B93)</f>
        <v>21</v>
      </c>
      <c r="D28" s="631" t="str">
        <f>IF($A28="I.O.","",'Kennzahlenbogen_(KB)'!E93)</f>
        <v>Keine hormonablative Therapie bei lokal fortgeschrittenem Prostatakarzinom mit radikaler Prostatektomie</v>
      </c>
      <c r="E28" s="632" t="str">
        <f>IF(AND('Kennzahlenbogen_(KB)'!L93="",$A28&lt;&gt;"I.O."),"-----",IF($A28="I.O.","",'Kennzahlenbogen_(KB)'!L93))</f>
        <v>-----</v>
      </c>
      <c r="F28" s="632" t="str">
        <f>IF($A28="I.O.","",'Kennzahlenbogen_(KB)'!M93)</f>
        <v>&lt; 0,1%</v>
      </c>
      <c r="G28" s="632" t="str">
        <f>IF(AND('Kennzahlenbogen_(KB)'!O93="",$A28&lt;&gt;"I.O."),"-----",IF($A28="I.O.","",'Kennzahlenbogen_(KB)'!O93))</f>
        <v>-----</v>
      </c>
      <c r="H28" s="630" t="str">
        <f>IF($A28="I.O.","",IF('Kennzahlenbogen_(KB)'!Q93="","-----",'Kennzahlenbogen_(KB)'!Q93))</f>
        <v>-----</v>
      </c>
      <c r="I28" s="630" t="str">
        <f>IF($A28="I.O.","",IF('Kennzahlenbogen_(KB)'!Q94="","-----",'Kennzahlenbogen_(KB)'!Q94))</f>
        <v>-----</v>
      </c>
      <c r="J28" s="630" t="str">
        <f>IF($A28="I.O.","",IF('Kennzahlenbogen_(KB)'!Q95="","-----",'Kennzahlenbogen_(KB)'!Q95))</f>
        <v>n.d.</v>
      </c>
      <c r="K28" s="630" t="str">
        <f>IF($A28="I.O.","",'Kennzahlenbogen_(KB)'!R93)</f>
        <v>Unvollständig</v>
      </c>
      <c r="L28" s="631" t="str">
        <f>IF(AND('Kennzahlenbogen_(KB)'!S93="",$A28&lt;&gt;"I.O."),"-----",IF($A28="I.O.","",'Kennzahlenbogen_(KB)'!S93))</f>
        <v>-----</v>
      </c>
      <c r="M28" s="631" t="str">
        <f>IF(AND('Kennzahlenbogen_(KB)'!T93="",$A28&lt;&gt;"I.O."),"-----",IF($A28="I.O.","",'Kennzahlenbogen_(KB)'!T93))</f>
        <v>-----</v>
      </c>
      <c r="O28" s="633">
        <f t="array" aca="1" ref="O28" ca="1">IF(ROW()-ROW($D$2:$D$28)+1&gt;ROWS($C$2:$C$28)-COUNTBLANK($C$2:$C$28),"",INDIRECT(ADDRESS(SMALL((IF($C$2:$C$28&lt;&gt;"",ROW($C$2:$C$28),ROW()+ROWS($C$2:$C$28))),ROW()-ROW($D$2:$D$28)+1),COLUMN($C$2:$C$28),4)))</f>
        <v>21</v>
      </c>
      <c r="P28" s="634" t="str">
        <f t="array" aca="1" ref="P28" ca="1">IF(ROW()-ROW($E$2:$E$28)+1&gt;ROWS($D$2:$D$28)-COUNTBLANK($D$2:$D$28),"",INDIRECT(ADDRESS(SMALL((IF($D$2:$D$28&gt;"",ROW($D$2:$D$28),ROW()+ROWS($D$2:$D$28))),ROW()-ROW($E$2:$E$28)+1),COLUMN($D$2:$D$28),4)))</f>
        <v>Keine hormonablative Therapie bei lokal fortgeschrittenem Prostatakarzinom mit radikaler Prostatektomie</v>
      </c>
      <c r="Q28" s="630" t="str">
        <f t="array" aca="1" ref="Q28" ca="1">IF(ROW()-ROW($F$2:$F$28)+1&gt;ROWS($E$2:$E$28)-COUNTBLANK($E$2:$E$28),"",INDIRECT(ADDRESS(SMALL((IF($E$2:$E$28&gt;"",ROW($E$2:$E$28),ROW()+ROWS($E$2:$E$28))),ROW()-ROW($F$2:$F$28)+1),COLUMN($E$2:$E$28),4)))</f>
        <v>-----</v>
      </c>
      <c r="R28" s="630" t="str">
        <f t="array" aca="1" ref="R28" ca="1">IF(ROW()-ROW($G$2:$G$28)+1&gt;ROWS($F$2:$F$28)-COUNTBLANK($F$2:$F$28),"",INDIRECT(ADDRESS(SMALL((IF($F$2:$F$28&gt;"",ROW($F$2:$F$28),ROW()+ROWS($F$2:$F$28))),ROW()-ROW($G$2:$G$28)+1),COLUMN($F$2:$F$28),4)))</f>
        <v>&lt; 0,1%</v>
      </c>
      <c r="S28" s="630" t="str">
        <f t="array" aca="1" ref="S28" ca="1">IF(ROW()-ROW($H$2:$H$28)+1&gt;ROWS($G$2:$G$28)-COUNTBLANK($G$2:$G$28),"",INDIRECT(ADDRESS(SMALL((IF($G$2:$G$28&lt;&gt;"",ROW($G$2:$G$28),ROW()+ROWS($G$2:$G$28))),ROW()-ROW($H$2:$H$28)+1),COLUMN($G$2:$G$28),4)))</f>
        <v>-----</v>
      </c>
      <c r="T28" s="630" t="str">
        <f t="array" aca="1" ref="T28" ca="1">IF(ROW()-ROW($I$2:$I$28)+1&gt;ROWS($H$2:$H$28)-COUNTBLANK($H$2:$H$28),"",INDIRECT(ADDRESS(SMALL((IF($H$2:$H$28&lt;&gt;"",ROW($H$2:$H$28),ROW()+ROWS($H$2:$H$28))),ROW()-ROW($I$2:$I$28)+1),COLUMN($H$2:$H$28),4)))</f>
        <v>-----</v>
      </c>
      <c r="U28" s="630" t="str">
        <f t="array" aca="1" ref="U28" ca="1">IF(ROW()-ROW($J$2:$J$28)+1&gt;ROWS($I$2:$I$28)-COUNTBLANK($I$2:$I$28),"",INDIRECT(ADDRESS(SMALL((IF($I$2:$I$28&lt;&gt;"",ROW($I$2:$I$28),ROW()+ROWS($I$2:$I$28))),ROW()-ROW($J$2:$J$28)+1),COLUMN($I$2:$I$28),4)))</f>
        <v>-----</v>
      </c>
      <c r="V28" s="630" t="str">
        <f t="array" aca="1" ref="V28" ca="1">IF(ROW()-ROW($K$2:$K$28)+1&gt;ROWS($J$2:$J$28)-COUNTBLANK($J$2:$J$28),"",INDIRECT(ADDRESS(SMALL((IF($J$2:$J$28&lt;&gt;"",ROW($J$2:$J$28),ROW()+ROWS($J$2:$J$28))),ROW()-ROW($K$2:$K$28)+1),COLUMN($J$2:$J$28),4)))</f>
        <v>n.d.</v>
      </c>
      <c r="W28" s="634" t="str">
        <f t="array" aca="1" ref="W28" ca="1">IF(ROW()-ROW($L$2:$L$28)+1&gt;ROWS($K$2:$K$28)-COUNTBLANK($K$2:$K$28),"",INDIRECT(ADDRESS(SMALL((IF($K$2:$K$28&lt;&gt;"",ROW($K$2:$K$28),ROW()+ROWS($K$2:$K$28))),ROW()-ROW($L$2:$L$28)+1),COLUMN($K$2:$K$28),4)))</f>
        <v>Unvollständig</v>
      </c>
      <c r="X28" s="634" t="str">
        <f t="array" aca="1" ref="X28" ca="1">IF(ROW()-ROW($M$2:$M$28)+1&gt;ROWS($L$2:$L$28)-COUNTBLANK($L$2:$L$28),"",INDIRECT(ADDRESS(SMALL((IF($L$2:$L$28&lt;&gt;"",ROW($L$2:$L$28),ROW()+ROWS($L$2:$L$28))),ROW()-ROW($M$2:$M$28)+1),COLUMN($L$2:$L$28),4)))</f>
        <v>-----</v>
      </c>
      <c r="Y28" s="634" t="str">
        <f t="array" aca="1" ref="Y28" ca="1">IF(ROW()-ROW($N$2:$N$28)+1&gt;ROWS($M$2:$M$28)-COUNTBLANK($M$2:$M$28),"",INDIRECT(ADDRESS(SMALL((IF($M$2:$M$28&lt;&gt;"",ROW($M$2:$M$28),ROW()+ROWS($M$2:$M$28))),ROW()-ROW($N$2:$N$28)+1),COLUMN($M$2:$M$28),4)))</f>
        <v>-----</v>
      </c>
    </row>
    <row r="29" spans="1:25" ht="33.75" x14ac:dyDescent="0.25">
      <c r="A29" s="629" t="str">
        <f>IF('Kennzahlenbogen_(KB)'!R96=0,"",'Kennzahlenbogen_(KB)'!R96)</f>
        <v>optional - unvollständig</v>
      </c>
      <c r="C29" s="635" t="str">
        <f>IF($A29="I.O.","",'Kennzahlenbogen_(KB)'!B96)</f>
        <v>22
Angabe optional</v>
      </c>
      <c r="D29" s="631" t="str">
        <f>IF($A29="I.O.","",'Kennzahlenbogen_(KB)'!E96)</f>
        <v>Fokale Therapie bei lokal fortgeschrittenem Prostatakarzinom</v>
      </c>
      <c r="E29" s="632" t="str">
        <f>IF(AND('Kennzahlenbogen_(KB)'!L96="",$A29&lt;&gt;"I.O."),"-----",IF($A29="I.O.","",'Kennzahlenbogen_(KB)'!L96))</f>
        <v>-----</v>
      </c>
      <c r="F29" s="632" t="str">
        <f>IF($A29="I.O.","",'Kennzahlenbogen_(KB)'!M96)</f>
        <v>Derzeit keine
Vorgaben</v>
      </c>
      <c r="G29" s="632" t="str">
        <f>IF(AND('Kennzahlenbogen_(KB)'!O96="",$A29&lt;&gt;"I.O."),"-----",IF($A29="I.O.","",'Kennzahlenbogen_(KB)'!O96))</f>
        <v>&gt; 0,01%</v>
      </c>
      <c r="H29" s="630" t="str">
        <f>IF($A29="I.O.","",IF('Kennzahlenbogen_(KB)'!Q96="","-----",'Kennzahlenbogen_(KB)'!Q96))</f>
        <v>-----</v>
      </c>
      <c r="I29" s="630" t="str">
        <f>IF($A29="I.O.","",IF('Kennzahlenbogen_(KB)'!Q97="","-----",'Kennzahlenbogen_(KB)'!Q97))</f>
        <v>-----</v>
      </c>
      <c r="J29" s="630" t="str">
        <f>IF($A29="I.O.","",IF('Kennzahlenbogen_(KB)'!Q98="","-----",'Kennzahlenbogen_(KB)'!Q98))</f>
        <v>n.d.</v>
      </c>
      <c r="K29" s="630" t="str">
        <f>IF($A29="I.O.","",'Kennzahlenbogen_(KB)'!R96)</f>
        <v>optional - unvollständig</v>
      </c>
      <c r="L29" s="631" t="str">
        <f>IF(AND('Kennzahlenbogen_(KB)'!S96="",$A29&lt;&gt;"I.O."),"-----",IF($A29="I.O.","",'Kennzahlenbogen_(KB)'!S96))</f>
        <v>-----</v>
      </c>
      <c r="M29" s="631" t="str">
        <f>IF(AND('Kennzahlenbogen_(KB)'!T96="",$A29&lt;&gt;"I.O."),"-----",IF($A29="I.O.","",'Kennzahlenbogen_(KB)'!T96))</f>
        <v>-----</v>
      </c>
      <c r="O29" s="633" t="str">
        <f t="array" aca="1" ref="O29" ca="1">IF(ROW()-ROW($D$2:$D$28)+1&gt;ROWS($C$2:$C$28)-COUNTBLANK($C$2:$C$28),"",INDIRECT(ADDRESS(SMALL((IF($C$2:$C$28&lt;&gt;"",ROW($C$2:$C$28),ROW()+ROWS($C$2:$C$28))),ROW()-ROW($D$2:$D$28)+1),COLUMN($C$2:$C$28),4)))</f>
        <v/>
      </c>
      <c r="P29" s="634" t="str">
        <f t="array" aca="1" ref="P29" ca="1">IF(ROW()-ROW($E$2:$E$28)+1&gt;ROWS($D$2:$D$28)-COUNTBLANK($D$2:$D$28),"",INDIRECT(ADDRESS(SMALL((IF($D$2:$D$28&gt;"",ROW($D$2:$D$28),ROW()+ROWS($D$2:$D$28))),ROW()-ROW($E$2:$E$28)+1),COLUMN($D$2:$D$28),4)))</f>
        <v/>
      </c>
      <c r="Q29" s="630" t="str">
        <f t="array" aca="1" ref="Q29" ca="1">IF(ROW()-ROW($F$2:$F$28)+1&gt;ROWS($E$2:$E$28)-COUNTBLANK($E$2:$E$28),"",INDIRECT(ADDRESS(SMALL((IF($E$2:$E$28&gt;"",ROW($E$2:$E$28),ROW()+ROWS($E$2:$E$28))),ROW()-ROW($F$2:$F$28)+1),COLUMN($E$2:$E$28),4)))</f>
        <v/>
      </c>
      <c r="R29" s="630" t="str">
        <f t="array" aca="1" ref="R29" ca="1">IF(ROW()-ROW($G$2:$G$28)+1&gt;ROWS($F$2:$F$28)-COUNTBLANK($F$2:$F$28),"",INDIRECT(ADDRESS(SMALL((IF($F$2:$F$28&gt;"",ROW($F$2:$F$28),ROW()+ROWS($F$2:$F$28))),ROW()-ROW($G$2:$G$28)+1),COLUMN($F$2:$F$28),4)))</f>
        <v/>
      </c>
      <c r="S29" s="630" t="str">
        <f t="array" aca="1" ref="S29" ca="1">IF(ROW()-ROW($H$2:$H$28)+1&gt;ROWS($G$2:$G$28)-COUNTBLANK($G$2:$G$28),"",INDIRECT(ADDRESS(SMALL((IF($G$2:$G$28&lt;&gt;"",ROW($G$2:$G$28),ROW()+ROWS($G$2:$G$28))),ROW()-ROW($H$2:$H$28)+1),COLUMN($G$2:$G$28),4)))</f>
        <v/>
      </c>
      <c r="T29" s="630" t="str">
        <f t="array" aca="1" ref="T29" ca="1">IF(ROW()-ROW($I$2:$I$28)+1&gt;ROWS($H$2:$H$28)-COUNTBLANK($H$2:$H$28),"",INDIRECT(ADDRESS(SMALL((IF($H$2:$H$28&lt;&gt;"",ROW($H$2:$H$28),ROW()+ROWS($H$2:$H$28))),ROW()-ROW($I$2:$I$28)+1),COLUMN($H$2:$H$28),4)))</f>
        <v/>
      </c>
      <c r="U29" s="630" t="str">
        <f t="array" aca="1" ref="U29" ca="1">IF(ROW()-ROW($J$2:$J$28)+1&gt;ROWS($I$2:$I$28)-COUNTBLANK($I$2:$I$28),"",INDIRECT(ADDRESS(SMALL((IF($I$2:$I$28&lt;&gt;"",ROW($I$2:$I$28),ROW()+ROWS($I$2:$I$28))),ROW()-ROW($J$2:$J$28)+1),COLUMN($I$2:$I$28),4)))</f>
        <v/>
      </c>
      <c r="V29" s="630" t="str">
        <f t="array" aca="1" ref="V29" ca="1">IF(ROW()-ROW($K$2:$K$28)+1&gt;ROWS($J$2:$J$28)-COUNTBLANK($J$2:$J$28),"",INDIRECT(ADDRESS(SMALL((IF($J$2:$J$28&lt;&gt;"",ROW($J$2:$J$28),ROW()+ROWS($J$2:$J$28))),ROW()-ROW($K$2:$K$28)+1),COLUMN($J$2:$J$28),4)))</f>
        <v/>
      </c>
      <c r="W29" s="634" t="str">
        <f t="array" aca="1" ref="W29" ca="1">IF(ROW()-ROW($L$2:$L$28)+1&gt;ROWS($K$2:$K$28)-COUNTBLANK($K$2:$K$28),"",INDIRECT(ADDRESS(SMALL((IF($K$2:$K$28&lt;&gt;"",ROW($K$2:$K$28),ROW()+ROWS($K$2:$K$28))),ROW()-ROW($L$2:$L$28)+1),COLUMN($K$2:$K$28),4)))</f>
        <v/>
      </c>
      <c r="X29" s="634" t="str">
        <f t="array" aca="1" ref="X29" ca="1">IF(ROW()-ROW($M$2:$M$28)+1&gt;ROWS($L$2:$L$28)-COUNTBLANK($L$2:$L$28),"",INDIRECT(ADDRESS(SMALL((IF($L$2:$L$28&lt;&gt;"",ROW($L$2:$L$28),ROW()+ROWS($L$2:$L$28))),ROW()-ROW($M$2:$M$28)+1),COLUMN($L$2:$L$28),4)))</f>
        <v/>
      </c>
      <c r="Y29" s="634" t="str">
        <f t="array" aca="1" ref="Y29" ca="1">IF(ROW()-ROW($N$2:$N$28)+1&gt;ROWS($M$2:$M$28)-COUNTBLANK($M$2:$M$28),"",INDIRECT(ADDRESS(SMALL((IF($M$2:$M$28&lt;&gt;"",ROW($M$2:$M$28),ROW()+ROWS($M$2:$M$28))),ROW()-ROW($N$2:$N$28)+1),COLUMN($M$2:$M$28),4)))</f>
        <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13</vt:i4>
      </vt:variant>
    </vt:vector>
  </HeadingPairs>
  <TitlesOfParts>
    <vt:vector size="28" baseType="lpstr">
      <vt:lpstr>Basisdaten</vt:lpstr>
      <vt:lpstr>HilfstabelleB</vt:lpstr>
      <vt:lpstr>HilfstabelleSD</vt:lpstr>
      <vt:lpstr>Datenquelle</vt:lpstr>
      <vt:lpstr>Kennzahlenbogen_(KB)</vt:lpstr>
      <vt:lpstr>HilfstabelleKB</vt:lpstr>
      <vt:lpstr>Berechnung1</vt:lpstr>
      <vt:lpstr>Datendefizite_KB</vt:lpstr>
      <vt:lpstr>Hilfstabelle Datendef KB</vt:lpstr>
      <vt:lpstr>Matrix</vt:lpstr>
      <vt:lpstr>Berechnung2</vt:lpstr>
      <vt:lpstr>HilfstabelleM</vt:lpstr>
      <vt:lpstr>Berechnung3</vt:lpstr>
      <vt:lpstr>HilfstabelleDM</vt:lpstr>
      <vt:lpstr>Datendefizite_Matrix</vt:lpstr>
      <vt:lpstr>AngabeKKR</vt:lpstr>
      <vt:lpstr>Basisdaten!Druckbereich</vt:lpstr>
      <vt:lpstr>'Kennzahlenbogen_(KB)'!Druckbereich</vt:lpstr>
      <vt:lpstr>Matrix!Druckbereich</vt:lpstr>
      <vt:lpstr>Datendefizite_KB!Drucktitel</vt:lpstr>
      <vt:lpstr>Datendefizite_Matrix!Drucktitel</vt:lpstr>
      <vt:lpstr>'Kennzahlenbogen_(KB)'!Drucktitel</vt:lpstr>
      <vt:lpstr>Drucktitel</vt:lpstr>
      <vt:lpstr>Keine_Zusammenarbeit</vt:lpstr>
      <vt:lpstr>myCategory</vt:lpstr>
      <vt:lpstr>Tumordokumentation</vt:lpstr>
      <vt:lpstr>Universitätsstatus</vt:lpstr>
      <vt:lpstr>ZentrumRegNr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2022-03-08T08:57:08Z</cp:lastPrinted>
  <dcterms:created xsi:type="dcterms:W3CDTF">2012-04-12T09:13:43Z</dcterms:created>
  <dcterms:modified xsi:type="dcterms:W3CDTF">2022-03-08T08:58:24Z</dcterms:modified>
</cp:coreProperties>
</file>