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showInkAnnotation="0" updateLinks="never" codeName="DieseArbeitsmappe" defaultThemeVersion="124226"/>
  <mc:AlternateContent xmlns:mc="http://schemas.openxmlformats.org/markup-compatibility/2006">
    <mc:Choice Requires="x15">
      <x15ac:absPath xmlns:x15ac="http://schemas.microsoft.com/office/spreadsheetml/2010/11/ac" url="Z:\06_daten\09_excel-kennzahlenbögen\16_excel-kb auditjahr 2022\organe\gyn\"/>
    </mc:Choice>
  </mc:AlternateContent>
  <xr:revisionPtr revIDLastSave="0" documentId="13_ncr:1_{E8EE09A6-2732-4F8B-8579-9E02C4C3EEAB}" xr6:coauthVersionLast="47" xr6:coauthVersionMax="47" xr10:uidLastSave="{00000000-0000-0000-0000-000000000000}"/>
  <workbookProtection workbookAlgorithmName="SHA-512" workbookHashValue="LMw3cMWQRrdXCwDpQJRg60NNqahMh7+/+Uhc7R93Bn+ir8VkpB43KIxiUn7f7FNOS8yhjz9E02K3iNyaO2SnrQ==" workbookSaltValue="wYSeTZ44h6+C3Pbcf9zdtQ==" workbookSpinCount="100000" lockStructure="1"/>
  <bookViews>
    <workbookView xWindow="-108" yWindow="-108" windowWidth="23256" windowHeight="12576" tabRatio="786" firstSheet="1" activeTab="1" xr2:uid="{00000000-000D-0000-FFFF-FFFF00000000}"/>
  </bookViews>
  <sheets>
    <sheet name="Datenquelle" sheetId="13" state="hidden" r:id="rId1"/>
    <sheet name="Basisdaten" sheetId="11" r:id="rId2"/>
    <sheet name="HilfstabelleSD" sheetId="21" state="hidden" r:id="rId3"/>
    <sheet name="HilfstabelleB" sheetId="46" state="hidden" r:id="rId4"/>
    <sheet name="Kennzahlenbogen_(KB)" sheetId="2" r:id="rId5"/>
    <sheet name="HilfstabelleKB" sheetId="45" state="hidden" r:id="rId6"/>
    <sheet name="Berechnung1" sheetId="24" state="hidden" r:id="rId7"/>
    <sheet name="Datendefizite_KB" sheetId="44" r:id="rId8"/>
    <sheet name="Hilfstabelle Datendef_KB" sheetId="49" state="hidden" r:id="rId9"/>
    <sheet name="Matrix" sheetId="12" r:id="rId10"/>
    <sheet name="Datendefizite_Matrix" sheetId="29" r:id="rId11"/>
    <sheet name="Berechnung2" sheetId="31" state="hidden" r:id="rId12"/>
    <sheet name="Berechnung3" sheetId="47" state="hidden" r:id="rId13"/>
    <sheet name="HilfstabelleM" sheetId="20" state="hidden" r:id="rId14"/>
    <sheet name="HilfstabelleDM" sheetId="48" state="hidden" r:id="rId15"/>
  </sheets>
  <definedNames>
    <definedName name="_xlnm._FilterDatabase" localSheetId="11" hidden="1">Berechnung2!#REF!</definedName>
    <definedName name="_xlnm._FilterDatabase" localSheetId="0" hidden="1">Datenquelle!$A$102:$F$283</definedName>
    <definedName name="Keine_Zusammenarbeit">Datenquelle!$B$91</definedName>
    <definedName name="myCategory">Datenquelle!$A$67:$S$67</definedName>
    <definedName name="myItem">OFFSET(myItemList,0,0,COUNTA(myItemList),1)</definedName>
    <definedName name="myItemList">INDEX(Datenquelle!$A$68:$S$88,0,MATCH(Datenquelle!$E$100,Datenquelle!$A$67:$S$67,0))</definedName>
    <definedName name="_xlnm.Print_Area" localSheetId="1">Basisdaten!$A$1:$N$59</definedName>
    <definedName name="_xlnm.Print_Area" localSheetId="7">OFFSET(Datendefizite_KB!$A$1,0,0,SUMPRODUCT((Datendefizite_KB!$A$14:$A$37&lt;&gt;"")+0)+13,11)</definedName>
    <definedName name="_xlnm.Print_Area" localSheetId="4">'Kennzahlenbogen_(KB)'!$A$1:$P$106</definedName>
    <definedName name="_xlnm.Print_Titles" localSheetId="7">Datendefizite_KB!$12:$13</definedName>
    <definedName name="_xlnm.Print_Titles" localSheetId="10">Datendefizite_Matrix!$15:$16</definedName>
    <definedName name="_xlnm.Print_Titles" localSheetId="4">'Kennzahlenbogen_(KB)'!$12:$13</definedName>
    <definedName name="Tumordokumentation">Datenquelle!$B$1:$B$46</definedName>
    <definedName name="Zentrum1">Datenquelle!$A$103:$A$283</definedName>
    <definedName name="zentrumsintern___ohne_Krebsregister">Datenquelle!$B$91:$B$95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1" i="20" l="1"/>
  <c r="N1" i="20" l="1"/>
  <c r="O102" i="24" l="1"/>
  <c r="H37" i="45" s="1"/>
  <c r="O99" i="24"/>
  <c r="H36" i="45" s="1"/>
  <c r="O96" i="24"/>
  <c r="G37" i="45"/>
  <c r="G36" i="45"/>
  <c r="F37" i="45"/>
  <c r="F36" i="45"/>
  <c r="C37" i="45"/>
  <c r="C36" i="45"/>
  <c r="B37" i="45"/>
  <c r="B36" i="45"/>
  <c r="G29" i="45"/>
  <c r="F29" i="45"/>
  <c r="C29" i="45"/>
  <c r="B29" i="45"/>
  <c r="O78" i="24"/>
  <c r="H29" i="45" s="1"/>
  <c r="O94" i="2"/>
  <c r="P92" i="2" s="1"/>
  <c r="M102" i="24" s="1"/>
  <c r="N102" i="24" s="1"/>
  <c r="E37" i="45" s="1"/>
  <c r="O91" i="2"/>
  <c r="P89" i="2" s="1"/>
  <c r="M99" i="24" s="1"/>
  <c r="N99" i="24" s="1"/>
  <c r="E36" i="45" s="1"/>
  <c r="O70" i="2"/>
  <c r="P68" i="2" s="1"/>
  <c r="M78" i="24" s="1"/>
  <c r="N78" i="24" s="1"/>
  <c r="E29" i="45" s="1"/>
  <c r="G18" i="45"/>
  <c r="F18" i="45"/>
  <c r="O45" i="24"/>
  <c r="H18" i="45" s="1"/>
  <c r="D36" i="45" l="1"/>
  <c r="D37" i="45"/>
  <c r="M100" i="24"/>
  <c r="L99" i="24"/>
  <c r="M101" i="24"/>
  <c r="L102" i="24"/>
  <c r="L78" i="24"/>
  <c r="D29" i="45"/>
  <c r="B5" i="20"/>
  <c r="D5" i="20"/>
  <c r="E5" i="20"/>
  <c r="F5" i="20"/>
  <c r="G5" i="20"/>
  <c r="H5" i="20"/>
  <c r="I5" i="20"/>
  <c r="J5" i="20"/>
  <c r="K5" i="20"/>
  <c r="L5" i="20"/>
  <c r="M5" i="20"/>
  <c r="O5" i="20"/>
  <c r="P5" i="20"/>
  <c r="Q5" i="20"/>
  <c r="U5" i="20"/>
  <c r="V5" i="20"/>
  <c r="W5" i="20"/>
  <c r="X5" i="20"/>
  <c r="Y5" i="20"/>
  <c r="Z5" i="20"/>
  <c r="AA5" i="20"/>
  <c r="AC5" i="20"/>
  <c r="AD5" i="20"/>
  <c r="AE26" i="12" l="1"/>
  <c r="AB5" i="20" s="1"/>
  <c r="U26" i="12"/>
  <c r="O26" i="12"/>
  <c r="C26" i="12"/>
  <c r="C5" i="20" s="1"/>
  <c r="G20" i="45"/>
  <c r="F20" i="45"/>
  <c r="B20" i="45"/>
  <c r="S26" i="12" l="1"/>
  <c r="R5" i="20" s="1"/>
  <c r="N5" i="20"/>
  <c r="V26" i="12"/>
  <c r="T5" i="20" s="1"/>
  <c r="S5" i="20"/>
  <c r="O51" i="24"/>
  <c r="H20" i="45" s="1"/>
  <c r="A23" i="46"/>
  <c r="A22" i="46"/>
  <c r="A21" i="46"/>
  <c r="A20" i="46"/>
  <c r="A19" i="46"/>
  <c r="A18" i="46"/>
  <c r="A17" i="46"/>
  <c r="A16" i="46"/>
  <c r="A15" i="46"/>
  <c r="A14" i="46"/>
  <c r="G35" i="45" l="1"/>
  <c r="G34" i="45"/>
  <c r="F35" i="45"/>
  <c r="F34" i="45"/>
  <c r="C35" i="45"/>
  <c r="C34" i="45"/>
  <c r="B35" i="45"/>
  <c r="B34" i="45"/>
  <c r="O88" i="2" l="1"/>
  <c r="P86" i="2" s="1"/>
  <c r="A24" i="49" l="1"/>
  <c r="M96" i="24"/>
  <c r="D35" i="45"/>
  <c r="M94" i="24"/>
  <c r="M95" i="24"/>
  <c r="O93" i="24"/>
  <c r="H34" i="45" s="1"/>
  <c r="H35" i="45"/>
  <c r="E24" i="49" l="1"/>
  <c r="F24" i="49"/>
  <c r="L24" i="49"/>
  <c r="H24" i="49"/>
  <c r="M24" i="49"/>
  <c r="G24" i="49"/>
  <c r="J24" i="49"/>
  <c r="C24" i="49"/>
  <c r="I24" i="49"/>
  <c r="K24" i="49"/>
  <c r="D24" i="49"/>
  <c r="L96" i="24"/>
  <c r="O85" i="2"/>
  <c r="P83" i="2" s="1"/>
  <c r="M93" i="24" l="1"/>
  <c r="A23" i="49"/>
  <c r="D34" i="45"/>
  <c r="L93" i="24"/>
  <c r="N96" i="24"/>
  <c r="E35" i="45" s="1"/>
  <c r="O61" i="2"/>
  <c r="C23" i="49" l="1"/>
  <c r="M23" i="49"/>
  <c r="E23" i="49"/>
  <c r="K23" i="49"/>
  <c r="D23" i="49"/>
  <c r="J23" i="49"/>
  <c r="L23" i="49"/>
  <c r="G23" i="49"/>
  <c r="I23" i="49"/>
  <c r="H23" i="49"/>
  <c r="F23" i="49"/>
  <c r="N93" i="24"/>
  <c r="E34" i="45" s="1"/>
  <c r="P59" i="2"/>
  <c r="M69" i="24" s="1"/>
  <c r="D26" i="45"/>
  <c r="A2" i="12" l="1"/>
  <c r="A2" i="2"/>
  <c r="O82" i="2"/>
  <c r="P80" i="2" s="1"/>
  <c r="M90" i="24" l="1"/>
  <c r="D33" i="45"/>
  <c r="B12" i="45" l="1"/>
  <c r="AE23" i="12" l="1"/>
  <c r="L53" i="11" l="1"/>
  <c r="L52" i="11"/>
  <c r="L51" i="11"/>
  <c r="L50" i="11"/>
  <c r="L38" i="11"/>
  <c r="O95" i="12" l="1"/>
  <c r="G49" i="11" l="1"/>
  <c r="G130" i="2" l="1"/>
  <c r="G54" i="11"/>
  <c r="A22" i="49" l="1"/>
  <c r="F108" i="2"/>
  <c r="F109" i="2"/>
  <c r="F110" i="2"/>
  <c r="F111" i="2"/>
  <c r="F112" i="2"/>
  <c r="F113" i="2"/>
  <c r="F114" i="2"/>
  <c r="F115" i="2"/>
  <c r="F116" i="2"/>
  <c r="F117" i="2"/>
  <c r="M22" i="49" l="1"/>
  <c r="E22" i="49"/>
  <c r="L22" i="49"/>
  <c r="D22" i="49"/>
  <c r="K22" i="49"/>
  <c r="J22" i="49"/>
  <c r="H22" i="49"/>
  <c r="G22" i="49"/>
  <c r="F22" i="49"/>
  <c r="C22" i="49"/>
  <c r="I22" i="49"/>
  <c r="O52" i="2"/>
  <c r="F37" i="11" l="1"/>
  <c r="D3" i="46"/>
  <c r="D4" i="46"/>
  <c r="D5" i="46"/>
  <c r="D6" i="46"/>
  <c r="D7" i="46"/>
  <c r="D8" i="46"/>
  <c r="D9" i="46"/>
  <c r="D10" i="46"/>
  <c r="D11" i="46"/>
  <c r="D2" i="46"/>
  <c r="B6" i="21"/>
  <c r="F118" i="2" l="1"/>
  <c r="F54" i="11"/>
  <c r="F135" i="2" s="1"/>
  <c r="D12" i="46"/>
  <c r="G30" i="45"/>
  <c r="G31" i="45"/>
  <c r="G32" i="45"/>
  <c r="G33" i="45"/>
  <c r="F33" i="45"/>
  <c r="F32" i="45"/>
  <c r="F31" i="45"/>
  <c r="F30" i="45"/>
  <c r="O84" i="24"/>
  <c r="H31" i="45" s="1"/>
  <c r="O81" i="24"/>
  <c r="H30" i="45" s="1"/>
  <c r="O87" i="24"/>
  <c r="H32" i="45" s="1"/>
  <c r="O90" i="24"/>
  <c r="H33" i="45" s="1"/>
  <c r="O79" i="2"/>
  <c r="P77" i="2" s="1"/>
  <c r="M87" i="24" s="1"/>
  <c r="O76" i="2"/>
  <c r="P74" i="2" s="1"/>
  <c r="M84" i="24" s="1"/>
  <c r="C33" i="45"/>
  <c r="C32" i="45"/>
  <c r="C31" i="45"/>
  <c r="C30" i="45"/>
  <c r="B33" i="45"/>
  <c r="B32" i="45"/>
  <c r="B31" i="45"/>
  <c r="B30" i="45"/>
  <c r="O73" i="2"/>
  <c r="O67" i="2"/>
  <c r="P65" i="2" s="1"/>
  <c r="A18" i="49" s="1"/>
  <c r="L18" i="49" l="1"/>
  <c r="H18" i="49"/>
  <c r="D18" i="49"/>
  <c r="J18" i="49"/>
  <c r="I18" i="49"/>
  <c r="K18" i="49"/>
  <c r="G18" i="49"/>
  <c r="C18" i="49"/>
  <c r="F18" i="49"/>
  <c r="M18" i="49"/>
  <c r="E18" i="49"/>
  <c r="M75" i="24"/>
  <c r="D30" i="45"/>
  <c r="P71" i="2"/>
  <c r="M81" i="24" s="1"/>
  <c r="D28" i="45"/>
  <c r="D31" i="45"/>
  <c r="D32" i="45"/>
  <c r="D29" i="46"/>
  <c r="L90" i="24"/>
  <c r="L87" i="24"/>
  <c r="L84" i="24"/>
  <c r="L81" i="24"/>
  <c r="A21" i="49" l="1"/>
  <c r="A20" i="49"/>
  <c r="N81" i="24"/>
  <c r="E30" i="45" s="1"/>
  <c r="A19" i="49"/>
  <c r="N90" i="24"/>
  <c r="E33" i="45" s="1"/>
  <c r="N87" i="24"/>
  <c r="E32" i="45" s="1"/>
  <c r="N84" i="24"/>
  <c r="E31" i="45" s="1"/>
  <c r="M21" i="49" l="1"/>
  <c r="L21" i="49"/>
  <c r="H21" i="49"/>
  <c r="D21" i="49"/>
  <c r="K21" i="49"/>
  <c r="G21" i="49"/>
  <c r="C21" i="49"/>
  <c r="F21" i="49"/>
  <c r="I21" i="49"/>
  <c r="E21" i="49"/>
  <c r="J21" i="49"/>
  <c r="I20" i="49"/>
  <c r="E20" i="49"/>
  <c r="D20" i="49"/>
  <c r="K20" i="49"/>
  <c r="G20" i="49"/>
  <c r="J20" i="49"/>
  <c r="F20" i="49"/>
  <c r="M20" i="49"/>
  <c r="C20" i="49"/>
  <c r="L20" i="49"/>
  <c r="H20" i="49"/>
  <c r="I19" i="49"/>
  <c r="L19" i="49"/>
  <c r="D19" i="49"/>
  <c r="E19" i="49"/>
  <c r="F19" i="49"/>
  <c r="G19" i="49"/>
  <c r="J19" i="49"/>
  <c r="M19" i="49"/>
  <c r="H19" i="49"/>
  <c r="K19" i="49"/>
  <c r="C19" i="49"/>
  <c r="F2" i="46"/>
  <c r="E2" i="46"/>
  <c r="C2" i="46"/>
  <c r="I24" i="46" l="1"/>
  <c r="H24" i="46"/>
  <c r="H13" i="46"/>
  <c r="I13" i="46"/>
  <c r="I12" i="46"/>
  <c r="H12" i="46"/>
  <c r="B2" i="46" l="1"/>
  <c r="I88" i="12" l="1"/>
  <c r="I89" i="12"/>
  <c r="I90" i="12"/>
  <c r="I91" i="12"/>
  <c r="I92" i="12"/>
  <c r="I93" i="12"/>
  <c r="I94" i="12"/>
  <c r="I95" i="12"/>
  <c r="I96" i="12"/>
  <c r="I97" i="12"/>
  <c r="I98" i="12"/>
  <c r="I99" i="12"/>
  <c r="I100" i="12"/>
  <c r="I101" i="12"/>
  <c r="I102" i="12"/>
  <c r="I103" i="12"/>
  <c r="I104" i="12"/>
  <c r="I105" i="12"/>
  <c r="I106" i="12"/>
  <c r="I107" i="12"/>
  <c r="I108" i="12"/>
  <c r="I109" i="12"/>
  <c r="I110" i="12"/>
  <c r="I111" i="12"/>
  <c r="I112" i="12"/>
  <c r="I113" i="12"/>
  <c r="I114" i="12"/>
  <c r="I115" i="12"/>
  <c r="I116" i="12"/>
  <c r="I117" i="12"/>
  <c r="I118" i="12"/>
  <c r="I87" i="12"/>
  <c r="M29" i="12" l="1"/>
  <c r="L29" i="12"/>
  <c r="K29" i="12"/>
  <c r="J29" i="12"/>
  <c r="I29" i="12"/>
  <c r="H29" i="12"/>
  <c r="G29" i="12"/>
  <c r="F29" i="12"/>
  <c r="E29" i="12"/>
  <c r="D29" i="12"/>
  <c r="B116" i="2" l="1"/>
  <c r="B115" i="2"/>
  <c r="B114" i="2"/>
  <c r="B113" i="2"/>
  <c r="B112" i="2"/>
  <c r="B7" i="20"/>
  <c r="M8" i="20"/>
  <c r="J8" i="20"/>
  <c r="G8" i="20"/>
  <c r="F8" i="20"/>
  <c r="L8" i="20"/>
  <c r="E8" i="20"/>
  <c r="H8" i="20"/>
  <c r="K8" i="20"/>
  <c r="D8" i="20"/>
  <c r="K131" i="2"/>
  <c r="K132" i="2"/>
  <c r="K133" i="2"/>
  <c r="K134" i="2"/>
  <c r="J132" i="2"/>
  <c r="J133" i="2"/>
  <c r="J134" i="2"/>
  <c r="J131" i="2"/>
  <c r="K120" i="2"/>
  <c r="J120" i="2"/>
  <c r="K119" i="2"/>
  <c r="J119" i="2"/>
  <c r="K109" i="2"/>
  <c r="J109" i="2"/>
  <c r="G121" i="2"/>
  <c r="H121" i="2"/>
  <c r="I121" i="2"/>
  <c r="G122" i="2"/>
  <c r="H122" i="2"/>
  <c r="I122" i="2"/>
  <c r="G123" i="2"/>
  <c r="H123" i="2"/>
  <c r="I123" i="2"/>
  <c r="G124" i="2"/>
  <c r="H124" i="2"/>
  <c r="I124" i="2"/>
  <c r="G125" i="2"/>
  <c r="H125" i="2"/>
  <c r="I125" i="2"/>
  <c r="G126" i="2"/>
  <c r="H126" i="2"/>
  <c r="I126" i="2"/>
  <c r="G127" i="2"/>
  <c r="H127" i="2"/>
  <c r="I127" i="2"/>
  <c r="G128" i="2"/>
  <c r="H128" i="2"/>
  <c r="I128" i="2"/>
  <c r="G129" i="2"/>
  <c r="H129" i="2"/>
  <c r="I129" i="2"/>
  <c r="G131" i="2"/>
  <c r="H131" i="2"/>
  <c r="I131" i="2"/>
  <c r="G132" i="2"/>
  <c r="H132" i="2"/>
  <c r="I132" i="2"/>
  <c r="G133" i="2"/>
  <c r="H133" i="2"/>
  <c r="I133" i="2"/>
  <c r="G134" i="2"/>
  <c r="H134" i="2"/>
  <c r="I134" i="2"/>
  <c r="H120" i="2"/>
  <c r="I120" i="2"/>
  <c r="G120" i="2"/>
  <c r="I110" i="2"/>
  <c r="I111" i="2"/>
  <c r="I112" i="2"/>
  <c r="I113" i="2"/>
  <c r="I114" i="2"/>
  <c r="I115" i="2"/>
  <c r="I116" i="2"/>
  <c r="I117" i="2"/>
  <c r="I119" i="2"/>
  <c r="I109" i="2"/>
  <c r="E109" i="2"/>
  <c r="E110" i="2"/>
  <c r="E111" i="2"/>
  <c r="E112" i="2"/>
  <c r="E113" i="2"/>
  <c r="E114" i="2"/>
  <c r="E115" i="2"/>
  <c r="E116" i="2"/>
  <c r="E117" i="2"/>
  <c r="E119" i="2"/>
  <c r="D110" i="2"/>
  <c r="D111" i="2"/>
  <c r="D112" i="2"/>
  <c r="D113" i="2"/>
  <c r="D114" i="2"/>
  <c r="D115" i="2"/>
  <c r="D116" i="2"/>
  <c r="D117" i="2"/>
  <c r="D119" i="2"/>
  <c r="D109" i="2"/>
  <c r="M108" i="2"/>
  <c r="K2" i="46"/>
  <c r="L108" i="2"/>
  <c r="J2" i="46"/>
  <c r="K108" i="2"/>
  <c r="I2" i="46"/>
  <c r="J108" i="2"/>
  <c r="H2" i="46"/>
  <c r="I108" i="2"/>
  <c r="G2" i="46"/>
  <c r="H108" i="2"/>
  <c r="G108" i="2"/>
  <c r="E108" i="2"/>
  <c r="D108" i="2"/>
  <c r="B134" i="2"/>
  <c r="A28" i="46"/>
  <c r="B130" i="2"/>
  <c r="B121" i="2"/>
  <c r="B122" i="2"/>
  <c r="B123" i="2"/>
  <c r="B124" i="2"/>
  <c r="B125" i="2"/>
  <c r="B126" i="2"/>
  <c r="B127" i="2"/>
  <c r="B128" i="2"/>
  <c r="B129" i="2"/>
  <c r="B120" i="2"/>
  <c r="A13" i="46"/>
  <c r="B110" i="2"/>
  <c r="B111" i="2"/>
  <c r="B117" i="2"/>
  <c r="B118" i="2"/>
  <c r="B109" i="2"/>
  <c r="A3" i="46"/>
  <c r="I37" i="11"/>
  <c r="M28" i="11" s="1"/>
  <c r="E37" i="11"/>
  <c r="D37" i="11"/>
  <c r="K54" i="11"/>
  <c r="K135" i="2" s="1"/>
  <c r="J54" i="11"/>
  <c r="H49" i="11"/>
  <c r="L39" i="11" s="1"/>
  <c r="I49" i="11"/>
  <c r="H26" i="46"/>
  <c r="I26" i="46"/>
  <c r="H27" i="46"/>
  <c r="I27" i="46"/>
  <c r="H28" i="46"/>
  <c r="I28" i="46"/>
  <c r="I25" i="46"/>
  <c r="H25" i="46"/>
  <c r="E28" i="46"/>
  <c r="G14" i="46"/>
  <c r="G15" i="46"/>
  <c r="G16" i="46"/>
  <c r="G17" i="46"/>
  <c r="G18" i="46"/>
  <c r="G19" i="46"/>
  <c r="G20" i="46"/>
  <c r="G21" i="46"/>
  <c r="G22" i="46"/>
  <c r="G23" i="46"/>
  <c r="G25" i="46"/>
  <c r="G26" i="46"/>
  <c r="G27" i="46"/>
  <c r="G28" i="46"/>
  <c r="G4" i="46"/>
  <c r="G5" i="46"/>
  <c r="G6" i="46"/>
  <c r="G7" i="46"/>
  <c r="G8" i="46"/>
  <c r="G9" i="46"/>
  <c r="G10" i="46"/>
  <c r="G11" i="46"/>
  <c r="G13" i="46"/>
  <c r="G3" i="46"/>
  <c r="C3" i="46"/>
  <c r="E15" i="46"/>
  <c r="F15" i="46"/>
  <c r="E16" i="46"/>
  <c r="F16" i="46"/>
  <c r="E17" i="46"/>
  <c r="F17" i="46"/>
  <c r="E18" i="46"/>
  <c r="F18" i="46"/>
  <c r="E19" i="46"/>
  <c r="F19" i="46"/>
  <c r="E20" i="46"/>
  <c r="F20" i="46"/>
  <c r="E21" i="46"/>
  <c r="F21" i="46"/>
  <c r="E22" i="46"/>
  <c r="F22" i="46"/>
  <c r="E23" i="46"/>
  <c r="F23" i="46"/>
  <c r="E25" i="46"/>
  <c r="F25" i="46"/>
  <c r="E26" i="46"/>
  <c r="F26" i="46"/>
  <c r="E27" i="46"/>
  <c r="F27" i="46"/>
  <c r="F28" i="46"/>
  <c r="F14" i="46"/>
  <c r="E14" i="46"/>
  <c r="B4" i="46"/>
  <c r="C4" i="46"/>
  <c r="B5" i="46"/>
  <c r="C5" i="46"/>
  <c r="B6" i="46"/>
  <c r="C6" i="46"/>
  <c r="B7" i="46"/>
  <c r="C7" i="46"/>
  <c r="B8" i="46"/>
  <c r="C8" i="46"/>
  <c r="B9" i="46"/>
  <c r="C9" i="46"/>
  <c r="B10" i="46"/>
  <c r="C10" i="46"/>
  <c r="B11" i="46"/>
  <c r="C11" i="46"/>
  <c r="B13" i="46"/>
  <c r="C13" i="46"/>
  <c r="B3" i="46"/>
  <c r="A24" i="46"/>
  <c r="A12" i="46"/>
  <c r="A11" i="46"/>
  <c r="A9" i="46"/>
  <c r="A10" i="46"/>
  <c r="A8" i="46"/>
  <c r="A7" i="46"/>
  <c r="A6" i="46"/>
  <c r="A4" i="46"/>
  <c r="A5" i="46"/>
  <c r="A25" i="46"/>
  <c r="A26" i="46"/>
  <c r="A27" i="46"/>
  <c r="L132" i="2"/>
  <c r="M51" i="11"/>
  <c r="M132" i="2" s="1"/>
  <c r="L133" i="2"/>
  <c r="M52" i="11"/>
  <c r="M53" i="11"/>
  <c r="M134" i="2" s="1"/>
  <c r="L131" i="2"/>
  <c r="M50" i="11"/>
  <c r="M131" i="2" s="1"/>
  <c r="M38" i="11"/>
  <c r="M119" i="2" s="1"/>
  <c r="L119" i="2"/>
  <c r="A100" i="13"/>
  <c r="D100" i="13" s="1"/>
  <c r="B28" i="45"/>
  <c r="I8" i="20"/>
  <c r="F27" i="45"/>
  <c r="B133" i="2"/>
  <c r="B131" i="2"/>
  <c r="B132" i="2"/>
  <c r="B119" i="2"/>
  <c r="A1" i="20"/>
  <c r="B1" i="20"/>
  <c r="C1" i="20"/>
  <c r="D1" i="20"/>
  <c r="E1" i="20"/>
  <c r="F1" i="20"/>
  <c r="G1" i="20"/>
  <c r="H1" i="20"/>
  <c r="I1" i="20"/>
  <c r="J1" i="20"/>
  <c r="K1" i="20"/>
  <c r="L1" i="20"/>
  <c r="M1" i="20"/>
  <c r="O1" i="20"/>
  <c r="P1" i="20"/>
  <c r="Q1" i="20"/>
  <c r="R1" i="20"/>
  <c r="S1" i="20"/>
  <c r="T1" i="20"/>
  <c r="U1" i="20"/>
  <c r="V1" i="20"/>
  <c r="W1" i="20"/>
  <c r="X1" i="20"/>
  <c r="Z1" i="20"/>
  <c r="AA1" i="20"/>
  <c r="AB1" i="20"/>
  <c r="AC1" i="20"/>
  <c r="AD1" i="20"/>
  <c r="B2" i="20"/>
  <c r="D2" i="20"/>
  <c r="E2" i="20"/>
  <c r="F2" i="20"/>
  <c r="G2" i="20"/>
  <c r="H2" i="20"/>
  <c r="I2" i="20"/>
  <c r="J2" i="20"/>
  <c r="K2" i="20"/>
  <c r="L2" i="20"/>
  <c r="M2" i="20"/>
  <c r="O2" i="20"/>
  <c r="P2" i="20"/>
  <c r="Q2" i="20"/>
  <c r="U2" i="20"/>
  <c r="V2" i="20"/>
  <c r="W2" i="20"/>
  <c r="X2" i="20"/>
  <c r="Y2" i="20"/>
  <c r="Z2" i="20"/>
  <c r="AA2" i="20"/>
  <c r="AC2" i="20"/>
  <c r="AD2" i="20"/>
  <c r="B3" i="20"/>
  <c r="D3" i="20"/>
  <c r="E3" i="20"/>
  <c r="F3" i="20"/>
  <c r="G3" i="20"/>
  <c r="H3" i="20"/>
  <c r="I3" i="20"/>
  <c r="J3" i="20"/>
  <c r="K3" i="20"/>
  <c r="L3" i="20"/>
  <c r="M3" i="20"/>
  <c r="O3" i="20"/>
  <c r="P3" i="20"/>
  <c r="Q3" i="20"/>
  <c r="U3" i="20"/>
  <c r="V3" i="20"/>
  <c r="W3" i="20"/>
  <c r="X3" i="20"/>
  <c r="Y3" i="20"/>
  <c r="Z3" i="20"/>
  <c r="AA3" i="20"/>
  <c r="AC3" i="20"/>
  <c r="AD3" i="20"/>
  <c r="B4" i="20"/>
  <c r="D4" i="20"/>
  <c r="E4" i="20"/>
  <c r="F4" i="20"/>
  <c r="G4" i="20"/>
  <c r="H4" i="20"/>
  <c r="I4" i="20"/>
  <c r="J4" i="20"/>
  <c r="K4" i="20"/>
  <c r="L4" i="20"/>
  <c r="M4" i="20"/>
  <c r="O4" i="20"/>
  <c r="P4" i="20"/>
  <c r="Q4" i="20"/>
  <c r="U4" i="20"/>
  <c r="V4" i="20"/>
  <c r="W4" i="20"/>
  <c r="X4" i="20"/>
  <c r="Y4" i="20"/>
  <c r="Z4" i="20"/>
  <c r="AA4" i="20"/>
  <c r="AC4" i="20"/>
  <c r="AD4" i="20"/>
  <c r="B6" i="20"/>
  <c r="D6" i="20"/>
  <c r="E6" i="20"/>
  <c r="F6" i="20"/>
  <c r="G6" i="20"/>
  <c r="H6" i="20"/>
  <c r="I6" i="20"/>
  <c r="J6" i="20"/>
  <c r="K6" i="20"/>
  <c r="L6" i="20"/>
  <c r="M6" i="20"/>
  <c r="O6" i="20"/>
  <c r="P6" i="20"/>
  <c r="Q6" i="20"/>
  <c r="U6" i="20"/>
  <c r="V6" i="20"/>
  <c r="W6" i="20"/>
  <c r="X6" i="20"/>
  <c r="Y6" i="20"/>
  <c r="Z6" i="20"/>
  <c r="AA6" i="20"/>
  <c r="AC6" i="20"/>
  <c r="AD6" i="20"/>
  <c r="D7" i="20"/>
  <c r="E7" i="20"/>
  <c r="F7" i="20"/>
  <c r="G7" i="20"/>
  <c r="H7" i="20"/>
  <c r="I7" i="20"/>
  <c r="J7" i="20"/>
  <c r="K7" i="20"/>
  <c r="L7" i="20"/>
  <c r="M7" i="20"/>
  <c r="O7" i="20"/>
  <c r="P7" i="20"/>
  <c r="Q7" i="20"/>
  <c r="U7" i="20"/>
  <c r="V7" i="20"/>
  <c r="W7" i="20"/>
  <c r="X7" i="20"/>
  <c r="Y7" i="20"/>
  <c r="Z7" i="20"/>
  <c r="AA7" i="20"/>
  <c r="AC7" i="20"/>
  <c r="AD7" i="20"/>
  <c r="B8" i="20"/>
  <c r="N8" i="20"/>
  <c r="O8" i="20"/>
  <c r="P8" i="20"/>
  <c r="Q8" i="20"/>
  <c r="R8" i="20"/>
  <c r="S8" i="20"/>
  <c r="T8" i="20"/>
  <c r="U8" i="20"/>
  <c r="V8" i="20"/>
  <c r="W8" i="20"/>
  <c r="X8" i="20"/>
  <c r="Y8" i="20"/>
  <c r="Z8" i="20"/>
  <c r="AA8" i="20"/>
  <c r="AB8" i="20"/>
  <c r="AC8" i="20"/>
  <c r="AD8" i="20"/>
  <c r="I68" i="31"/>
  <c r="J103" i="12" s="1"/>
  <c r="I69" i="31"/>
  <c r="J104" i="12" s="1"/>
  <c r="I70" i="31"/>
  <c r="J105" i="12" s="1"/>
  <c r="I71" i="31"/>
  <c r="J106" i="12" s="1"/>
  <c r="I72" i="31"/>
  <c r="J107" i="12" s="1"/>
  <c r="I73" i="31"/>
  <c r="J108" i="12" s="1"/>
  <c r="I74" i="31"/>
  <c r="J109" i="12" s="1"/>
  <c r="I77" i="31"/>
  <c r="J112" i="12" s="1"/>
  <c r="I78" i="31"/>
  <c r="J113" i="12" s="1"/>
  <c r="I79" i="31"/>
  <c r="J114" i="12" s="1"/>
  <c r="I80" i="31"/>
  <c r="J115" i="12" s="1"/>
  <c r="I81" i="31"/>
  <c r="J116" i="12" s="1"/>
  <c r="I82" i="31"/>
  <c r="J117" i="12" s="1"/>
  <c r="I83" i="31"/>
  <c r="J118" i="12" s="1"/>
  <c r="B8" i="29"/>
  <c r="F8" i="29"/>
  <c r="C8" i="12"/>
  <c r="U8" i="12"/>
  <c r="C23" i="12"/>
  <c r="C2" i="20" s="1"/>
  <c r="O23" i="12"/>
  <c r="U23" i="12"/>
  <c r="S2" i="20" s="1"/>
  <c r="AB2" i="20"/>
  <c r="C24" i="12"/>
  <c r="C3" i="20" s="1"/>
  <c r="O24" i="12"/>
  <c r="N3" i="20" s="1"/>
  <c r="U24" i="12"/>
  <c r="AE24" i="12"/>
  <c r="AB3" i="20" s="1"/>
  <c r="C25" i="12"/>
  <c r="C4" i="20" s="1"/>
  <c r="O25" i="12"/>
  <c r="U25" i="12"/>
  <c r="AE25" i="12"/>
  <c r="AB4" i="20" s="1"/>
  <c r="C27" i="12"/>
  <c r="C6" i="20" s="1"/>
  <c r="O27" i="12"/>
  <c r="U27" i="12"/>
  <c r="V27" i="12" s="1"/>
  <c r="T6" i="20" s="1"/>
  <c r="AE27" i="12"/>
  <c r="AB6" i="20" s="1"/>
  <c r="C28" i="12"/>
  <c r="C7" i="20" s="1"/>
  <c r="R7" i="20"/>
  <c r="AB7" i="20"/>
  <c r="V31" i="12"/>
  <c r="B86" i="12"/>
  <c r="A87" i="12"/>
  <c r="C87" i="12"/>
  <c r="D87" i="12"/>
  <c r="F87" i="12"/>
  <c r="G87" i="12"/>
  <c r="H87" i="12"/>
  <c r="J87" i="12"/>
  <c r="K87" i="12"/>
  <c r="L87" i="12"/>
  <c r="M87" i="12"/>
  <c r="N87" i="12"/>
  <c r="O87" i="12"/>
  <c r="A88" i="12"/>
  <c r="C88" i="12"/>
  <c r="D88" i="12"/>
  <c r="F88" i="12"/>
  <c r="G88" i="12"/>
  <c r="H88" i="12"/>
  <c r="J88" i="12"/>
  <c r="L88" i="12"/>
  <c r="M88" i="12"/>
  <c r="N88" i="12"/>
  <c r="A89" i="12"/>
  <c r="C89" i="12"/>
  <c r="D89" i="12"/>
  <c r="F89" i="12"/>
  <c r="G89" i="12"/>
  <c r="H89" i="12"/>
  <c r="J89" i="12"/>
  <c r="K89" i="12"/>
  <c r="L89" i="12"/>
  <c r="M89" i="12"/>
  <c r="N89" i="12"/>
  <c r="O89" i="12"/>
  <c r="A90" i="12"/>
  <c r="C90" i="12"/>
  <c r="D90" i="12"/>
  <c r="F90" i="12"/>
  <c r="G90" i="12"/>
  <c r="H90" i="12"/>
  <c r="J90" i="12"/>
  <c r="K90" i="12"/>
  <c r="L90" i="12"/>
  <c r="M90" i="12"/>
  <c r="N90" i="12"/>
  <c r="O90" i="12"/>
  <c r="A91" i="12"/>
  <c r="C91" i="12"/>
  <c r="D91" i="12"/>
  <c r="F91" i="12"/>
  <c r="G91" i="12"/>
  <c r="H91" i="12"/>
  <c r="J91" i="12"/>
  <c r="K91" i="12"/>
  <c r="L91" i="12"/>
  <c r="M91" i="12"/>
  <c r="N91" i="12"/>
  <c r="O91" i="12"/>
  <c r="A92" i="12"/>
  <c r="C92" i="12"/>
  <c r="D92" i="12"/>
  <c r="F92" i="12"/>
  <c r="G92" i="12"/>
  <c r="H92" i="12"/>
  <c r="J92" i="12"/>
  <c r="K92" i="12"/>
  <c r="L92" i="12"/>
  <c r="M92" i="12"/>
  <c r="N92" i="12"/>
  <c r="O92" i="12"/>
  <c r="A93" i="12"/>
  <c r="C93" i="12"/>
  <c r="D93" i="12"/>
  <c r="F93" i="12"/>
  <c r="G93" i="12"/>
  <c r="H93" i="12"/>
  <c r="J93" i="12"/>
  <c r="K93" i="12"/>
  <c r="L93" i="12"/>
  <c r="M93" i="12"/>
  <c r="N93" i="12"/>
  <c r="O93" i="12"/>
  <c r="A94" i="12"/>
  <c r="C94" i="12"/>
  <c r="D94" i="12"/>
  <c r="F94" i="12"/>
  <c r="G94" i="12"/>
  <c r="H94" i="12"/>
  <c r="J94" i="12"/>
  <c r="K94" i="12"/>
  <c r="L94" i="12"/>
  <c r="M94" i="12"/>
  <c r="N94" i="12"/>
  <c r="O94" i="12"/>
  <c r="A95" i="12"/>
  <c r="C95" i="12"/>
  <c r="D95" i="12"/>
  <c r="F95" i="12"/>
  <c r="G95" i="12"/>
  <c r="H95" i="12"/>
  <c r="J95" i="12"/>
  <c r="K95" i="12"/>
  <c r="L95" i="12"/>
  <c r="M95" i="12"/>
  <c r="N95" i="12"/>
  <c r="A96" i="12"/>
  <c r="C96" i="12"/>
  <c r="D96" i="12"/>
  <c r="F96" i="12"/>
  <c r="G96" i="12"/>
  <c r="H96" i="12"/>
  <c r="J96" i="12"/>
  <c r="K96" i="12"/>
  <c r="L96" i="12"/>
  <c r="M96" i="12"/>
  <c r="N96" i="12"/>
  <c r="O96" i="12"/>
  <c r="A97" i="12"/>
  <c r="C97" i="12"/>
  <c r="D97" i="12"/>
  <c r="F97" i="12"/>
  <c r="G97" i="12"/>
  <c r="H97" i="12"/>
  <c r="J97" i="12"/>
  <c r="K97" i="12"/>
  <c r="L97" i="12"/>
  <c r="M97" i="12"/>
  <c r="N97" i="12"/>
  <c r="O97" i="12"/>
  <c r="A98" i="12"/>
  <c r="C98" i="12"/>
  <c r="D98" i="12"/>
  <c r="F98" i="12"/>
  <c r="G98" i="12"/>
  <c r="H98" i="12"/>
  <c r="J98" i="12"/>
  <c r="K98" i="12"/>
  <c r="L98" i="12"/>
  <c r="M98" i="12"/>
  <c r="N98" i="12"/>
  <c r="O98" i="12"/>
  <c r="A99" i="12"/>
  <c r="C99" i="12"/>
  <c r="D99" i="12"/>
  <c r="F99" i="12"/>
  <c r="G99" i="12"/>
  <c r="H99" i="12"/>
  <c r="J99" i="12"/>
  <c r="K99" i="12"/>
  <c r="L99" i="12"/>
  <c r="M99" i="12"/>
  <c r="N99" i="12"/>
  <c r="O99" i="12"/>
  <c r="A100" i="12"/>
  <c r="C100" i="12"/>
  <c r="D100" i="12"/>
  <c r="F100" i="12"/>
  <c r="G100" i="12"/>
  <c r="H100" i="12"/>
  <c r="J100" i="12"/>
  <c r="K100" i="12"/>
  <c r="L100" i="12"/>
  <c r="M100" i="12"/>
  <c r="N100" i="12"/>
  <c r="O100" i="12"/>
  <c r="A101" i="12"/>
  <c r="C101" i="12"/>
  <c r="D101" i="12"/>
  <c r="F101" i="12"/>
  <c r="G101" i="12"/>
  <c r="H101" i="12"/>
  <c r="J101" i="12"/>
  <c r="K101" i="12"/>
  <c r="L101" i="12"/>
  <c r="M101" i="12"/>
  <c r="N101" i="12"/>
  <c r="O101" i="12"/>
  <c r="A102" i="12"/>
  <c r="C102" i="12"/>
  <c r="D102" i="12"/>
  <c r="F102" i="12"/>
  <c r="G102" i="12"/>
  <c r="H102" i="12"/>
  <c r="J102" i="12"/>
  <c r="K102" i="12"/>
  <c r="L102" i="12"/>
  <c r="M102" i="12"/>
  <c r="N102" i="12"/>
  <c r="O102" i="12"/>
  <c r="A103" i="12"/>
  <c r="C103" i="12"/>
  <c r="D103" i="12"/>
  <c r="F103" i="12"/>
  <c r="G103" i="12"/>
  <c r="H103" i="12"/>
  <c r="K103" i="12"/>
  <c r="L103" i="12"/>
  <c r="M103" i="12"/>
  <c r="N103" i="12"/>
  <c r="O103" i="12"/>
  <c r="A104" i="12"/>
  <c r="C104" i="12"/>
  <c r="D104" i="12"/>
  <c r="F104" i="12"/>
  <c r="G104" i="12"/>
  <c r="H104" i="12"/>
  <c r="K104" i="12"/>
  <c r="L104" i="12"/>
  <c r="M104" i="12"/>
  <c r="N104" i="12"/>
  <c r="O104" i="12"/>
  <c r="A105" i="12"/>
  <c r="C105" i="12"/>
  <c r="D105" i="12"/>
  <c r="F105" i="12"/>
  <c r="G105" i="12"/>
  <c r="H105" i="12"/>
  <c r="K105" i="12"/>
  <c r="L105" i="12"/>
  <c r="M105" i="12"/>
  <c r="N105" i="12"/>
  <c r="O105" i="12"/>
  <c r="A106" i="12"/>
  <c r="C106" i="12"/>
  <c r="D106" i="12"/>
  <c r="F106" i="12"/>
  <c r="G106" i="12"/>
  <c r="H106" i="12"/>
  <c r="K106" i="12"/>
  <c r="L106" i="12"/>
  <c r="M106" i="12"/>
  <c r="N106" i="12"/>
  <c r="O106" i="12"/>
  <c r="A107" i="12"/>
  <c r="C107" i="12"/>
  <c r="D107" i="12"/>
  <c r="F107" i="12"/>
  <c r="G107" i="12"/>
  <c r="H107" i="12"/>
  <c r="K107" i="12"/>
  <c r="L107" i="12"/>
  <c r="M107" i="12"/>
  <c r="N107" i="12"/>
  <c r="O107" i="12"/>
  <c r="A108" i="12"/>
  <c r="C108" i="12"/>
  <c r="D108" i="12"/>
  <c r="F108" i="12"/>
  <c r="G108" i="12"/>
  <c r="H108" i="12"/>
  <c r="K108" i="12"/>
  <c r="L108" i="12"/>
  <c r="M108" i="12"/>
  <c r="N108" i="12"/>
  <c r="O108" i="12"/>
  <c r="A109" i="12"/>
  <c r="C109" i="12"/>
  <c r="D109" i="12"/>
  <c r="F109" i="12"/>
  <c r="G109" i="12"/>
  <c r="H109" i="12"/>
  <c r="K109" i="12"/>
  <c r="L109" i="12"/>
  <c r="M109" i="12"/>
  <c r="N109" i="12"/>
  <c r="O109" i="12"/>
  <c r="A110" i="12"/>
  <c r="C110" i="12"/>
  <c r="D110" i="12"/>
  <c r="F110" i="12"/>
  <c r="G110" i="12"/>
  <c r="H110" i="12"/>
  <c r="J110" i="12"/>
  <c r="K110" i="12"/>
  <c r="L110" i="12"/>
  <c r="M110" i="12"/>
  <c r="N110" i="12"/>
  <c r="O110" i="12"/>
  <c r="A111" i="12"/>
  <c r="C111" i="12"/>
  <c r="D111" i="12"/>
  <c r="F111" i="12"/>
  <c r="G111" i="12"/>
  <c r="H111" i="12"/>
  <c r="J111" i="12"/>
  <c r="K111" i="12"/>
  <c r="L111" i="12"/>
  <c r="M111" i="12"/>
  <c r="N111" i="12"/>
  <c r="O111" i="12"/>
  <c r="A112" i="12"/>
  <c r="C112" i="12"/>
  <c r="D112" i="12"/>
  <c r="F112" i="12"/>
  <c r="G112" i="12"/>
  <c r="H112" i="12"/>
  <c r="K112" i="12"/>
  <c r="L112" i="12"/>
  <c r="M112" i="12"/>
  <c r="N112" i="12"/>
  <c r="O112" i="12"/>
  <c r="A113" i="12"/>
  <c r="C113" i="12"/>
  <c r="D113" i="12"/>
  <c r="F113" i="12"/>
  <c r="G113" i="12"/>
  <c r="H113" i="12"/>
  <c r="K113" i="12"/>
  <c r="L113" i="12"/>
  <c r="M113" i="12"/>
  <c r="N113" i="12"/>
  <c r="O113" i="12"/>
  <c r="A114" i="12"/>
  <c r="C114" i="12"/>
  <c r="D114" i="12"/>
  <c r="F114" i="12"/>
  <c r="G114" i="12"/>
  <c r="H114" i="12"/>
  <c r="K114" i="12"/>
  <c r="L114" i="12"/>
  <c r="M114" i="12"/>
  <c r="N114" i="12"/>
  <c r="O114" i="12"/>
  <c r="A115" i="12"/>
  <c r="C115" i="12"/>
  <c r="D115" i="12"/>
  <c r="F115" i="12"/>
  <c r="G115" i="12"/>
  <c r="H115" i="12"/>
  <c r="K115" i="12"/>
  <c r="L115" i="12"/>
  <c r="M115" i="12"/>
  <c r="N115" i="12"/>
  <c r="O115" i="12"/>
  <c r="A116" i="12"/>
  <c r="C116" i="12"/>
  <c r="D116" i="12"/>
  <c r="F116" i="12"/>
  <c r="G116" i="12"/>
  <c r="H116" i="12"/>
  <c r="K116" i="12"/>
  <c r="L116" i="12"/>
  <c r="M116" i="12"/>
  <c r="N116" i="12"/>
  <c r="O116" i="12"/>
  <c r="A117" i="12"/>
  <c r="C117" i="12"/>
  <c r="D117" i="12"/>
  <c r="F117" i="12"/>
  <c r="G117" i="12"/>
  <c r="H117" i="12"/>
  <c r="K117" i="12"/>
  <c r="L117" i="12"/>
  <c r="M117" i="12"/>
  <c r="N117" i="12"/>
  <c r="O117" i="12"/>
  <c r="A118" i="12"/>
  <c r="C118" i="12"/>
  <c r="D118" i="12"/>
  <c r="F118" i="12"/>
  <c r="G118" i="12"/>
  <c r="H118" i="12"/>
  <c r="K118" i="12"/>
  <c r="L118" i="12"/>
  <c r="M118" i="12"/>
  <c r="N118" i="12"/>
  <c r="O118" i="12"/>
  <c r="C8" i="44"/>
  <c r="J8" i="44"/>
  <c r="O27" i="24"/>
  <c r="H12" i="45" s="1"/>
  <c r="O30" i="24"/>
  <c r="H13" i="45" s="1"/>
  <c r="O33" i="24"/>
  <c r="H14" i="45" s="1"/>
  <c r="O36" i="24"/>
  <c r="H15" i="45" s="1"/>
  <c r="O39" i="24"/>
  <c r="H16" i="45" s="1"/>
  <c r="O42" i="24"/>
  <c r="H17" i="45" s="1"/>
  <c r="O48" i="24"/>
  <c r="H19" i="45" s="1"/>
  <c r="O54" i="24"/>
  <c r="H21" i="45" s="1"/>
  <c r="O57" i="24"/>
  <c r="H22" i="45" s="1"/>
  <c r="O60" i="24"/>
  <c r="H23" i="45" s="1"/>
  <c r="O63" i="24"/>
  <c r="H24" i="45" s="1"/>
  <c r="O66" i="24"/>
  <c r="H25" i="45" s="1"/>
  <c r="O69" i="24"/>
  <c r="H26" i="45" s="1"/>
  <c r="O72" i="24"/>
  <c r="H27" i="45" s="1"/>
  <c r="O75" i="24"/>
  <c r="H28" i="45" s="1"/>
  <c r="B2" i="45"/>
  <c r="B3" i="45"/>
  <c r="F12" i="45"/>
  <c r="G12" i="45"/>
  <c r="B13" i="45"/>
  <c r="F13" i="45"/>
  <c r="G13" i="45"/>
  <c r="B14" i="45"/>
  <c r="F14" i="45"/>
  <c r="G14" i="45"/>
  <c r="B15" i="45"/>
  <c r="F15" i="45"/>
  <c r="G15" i="45"/>
  <c r="F16" i="45"/>
  <c r="G16" i="45"/>
  <c r="F17" i="45"/>
  <c r="G17" i="45"/>
  <c r="F19" i="45"/>
  <c r="G19" i="45"/>
  <c r="B21" i="45"/>
  <c r="F21" i="45"/>
  <c r="G21" i="45"/>
  <c r="B22" i="45"/>
  <c r="F22" i="45"/>
  <c r="G22" i="45"/>
  <c r="B23" i="45"/>
  <c r="F23" i="45"/>
  <c r="G23" i="45"/>
  <c r="B24" i="45"/>
  <c r="F24" i="45"/>
  <c r="G24" i="45"/>
  <c r="B25" i="45"/>
  <c r="F25" i="45"/>
  <c r="G25" i="45"/>
  <c r="B26" i="45"/>
  <c r="C26" i="45"/>
  <c r="F26" i="45"/>
  <c r="G26" i="45"/>
  <c r="B27" i="45"/>
  <c r="G27" i="45"/>
  <c r="C28" i="45"/>
  <c r="F28" i="45"/>
  <c r="G28" i="45"/>
  <c r="D8" i="2"/>
  <c r="I8" i="2"/>
  <c r="L75" i="24"/>
  <c r="B1" i="21"/>
  <c r="B2" i="21"/>
  <c r="C6" i="21"/>
  <c r="D6" i="21"/>
  <c r="A2" i="46"/>
  <c r="N7" i="20"/>
  <c r="J53" i="31"/>
  <c r="K88" i="12" s="1"/>
  <c r="T7" i="20"/>
  <c r="S7" i="20"/>
  <c r="C29" i="12"/>
  <c r="O54" i="2" l="1"/>
  <c r="C8" i="20"/>
  <c r="O63" i="2"/>
  <c r="O64" i="2" s="1"/>
  <c r="D27" i="45" s="1"/>
  <c r="O48" i="2"/>
  <c r="C23" i="45" s="1"/>
  <c r="O45" i="2"/>
  <c r="C22" i="45" s="1"/>
  <c r="J55" i="11"/>
  <c r="O32" i="2" s="1"/>
  <c r="H54" i="11"/>
  <c r="L28" i="11"/>
  <c r="L109" i="2" s="1"/>
  <c r="I118" i="2"/>
  <c r="I54" i="11"/>
  <c r="I135" i="2" s="1"/>
  <c r="E118" i="2"/>
  <c r="E54" i="11"/>
  <c r="E135" i="2" s="1"/>
  <c r="D118" i="2"/>
  <c r="D54" i="11"/>
  <c r="J28" i="46"/>
  <c r="L134" i="2"/>
  <c r="K27" i="46"/>
  <c r="M133" i="2"/>
  <c r="H29" i="46"/>
  <c r="J135" i="2"/>
  <c r="M39" i="11"/>
  <c r="M120" i="2" s="1"/>
  <c r="I130" i="2"/>
  <c r="H130" i="2"/>
  <c r="N4" i="20"/>
  <c r="S25" i="12"/>
  <c r="R4" i="20" s="1"/>
  <c r="C12" i="46"/>
  <c r="B12" i="46"/>
  <c r="J26" i="46"/>
  <c r="K13" i="46"/>
  <c r="J13" i="46"/>
  <c r="S24" i="12"/>
  <c r="R3" i="20" s="1"/>
  <c r="N75" i="24"/>
  <c r="E28" i="45" s="1"/>
  <c r="O42" i="2"/>
  <c r="O43" i="2" s="1"/>
  <c r="K28" i="46"/>
  <c r="L120" i="2"/>
  <c r="F100" i="13"/>
  <c r="L14" i="11" s="1"/>
  <c r="H1" i="13" s="1"/>
  <c r="S6" i="20"/>
  <c r="E100" i="13"/>
  <c r="A19" i="11" s="1"/>
  <c r="A6" i="21" s="1"/>
  <c r="C100" i="13"/>
  <c r="C10" i="11" s="1"/>
  <c r="B100" i="13"/>
  <c r="C8" i="11" s="1"/>
  <c r="K25" i="46"/>
  <c r="V23" i="12"/>
  <c r="T2" i="20" s="1"/>
  <c r="F24" i="46"/>
  <c r="G24" i="46"/>
  <c r="A16" i="49"/>
  <c r="J16" i="49" s="1"/>
  <c r="N69" i="24"/>
  <c r="E26" i="45" s="1"/>
  <c r="L69" i="24"/>
  <c r="N6" i="20"/>
  <c r="S27" i="12"/>
  <c r="R6" i="20" s="1"/>
  <c r="N2" i="20"/>
  <c r="S23" i="12"/>
  <c r="R2" i="20" s="1"/>
  <c r="J25" i="46"/>
  <c r="J27" i="46"/>
  <c r="G12" i="46"/>
  <c r="S3" i="20"/>
  <c r="V24" i="12"/>
  <c r="T3" i="20" s="1"/>
  <c r="I29" i="46"/>
  <c r="K26" i="46"/>
  <c r="E24" i="46"/>
  <c r="G135" i="2"/>
  <c r="V25" i="12"/>
  <c r="T4" i="20" s="1"/>
  <c r="S4" i="20"/>
  <c r="O49" i="2" l="1"/>
  <c r="P47" i="2" s="1"/>
  <c r="M60" i="24" s="1"/>
  <c r="N60" i="24" s="1"/>
  <c r="E23" i="45" s="1"/>
  <c r="L45" i="24"/>
  <c r="B18" i="45"/>
  <c r="P32" i="2"/>
  <c r="P62" i="2"/>
  <c r="M72" i="24" s="1"/>
  <c r="O39" i="2"/>
  <c r="C20" i="45" s="1"/>
  <c r="O46" i="2"/>
  <c r="P44" i="2" s="1"/>
  <c r="A12" i="49" s="1"/>
  <c r="J12" i="49" s="1"/>
  <c r="O40" i="2"/>
  <c r="P38" i="2" s="1"/>
  <c r="D21" i="45"/>
  <c r="P41" i="2"/>
  <c r="C27" i="45"/>
  <c r="C6" i="12"/>
  <c r="L54" i="11"/>
  <c r="D135" i="2"/>
  <c r="D55" i="11"/>
  <c r="H135" i="2"/>
  <c r="K24" i="46"/>
  <c r="F29" i="46"/>
  <c r="O57" i="2"/>
  <c r="C25" i="45" s="1"/>
  <c r="D23" i="45"/>
  <c r="K12" i="46"/>
  <c r="M109" i="2"/>
  <c r="H30" i="46"/>
  <c r="J136" i="2"/>
  <c r="C24" i="45"/>
  <c r="O55" i="2"/>
  <c r="C21" i="45"/>
  <c r="B29" i="46"/>
  <c r="C29" i="46"/>
  <c r="J12" i="46"/>
  <c r="I16" i="49"/>
  <c r="E16" i="49"/>
  <c r="H16" i="49"/>
  <c r="J24" i="46"/>
  <c r="G3" i="13"/>
  <c r="H3" i="13" s="1"/>
  <c r="B3" i="21"/>
  <c r="B6" i="29"/>
  <c r="C6" i="44"/>
  <c r="D6" i="2"/>
  <c r="K16" i="49"/>
  <c r="G29" i="46"/>
  <c r="M54" i="11"/>
  <c r="G16" i="49"/>
  <c r="M16" i="49"/>
  <c r="L16" i="49"/>
  <c r="C16" i="49"/>
  <c r="F16" i="49"/>
  <c r="D16" i="49"/>
  <c r="E29" i="46"/>
  <c r="L60" i="24" l="1"/>
  <c r="A13" i="49"/>
  <c r="M13" i="49" s="1"/>
  <c r="O58" i="2"/>
  <c r="P56" i="2" s="1"/>
  <c r="A10" i="49"/>
  <c r="M51" i="24"/>
  <c r="N51" i="24" s="1"/>
  <c r="A8" i="49"/>
  <c r="M45" i="24"/>
  <c r="N45" i="24" s="1"/>
  <c r="E18" i="45" s="1"/>
  <c r="L57" i="24"/>
  <c r="D22" i="45"/>
  <c r="M57" i="24"/>
  <c r="N57" i="24" s="1"/>
  <c r="E22" i="45" s="1"/>
  <c r="D20" i="45"/>
  <c r="L51" i="24"/>
  <c r="A3" i="47"/>
  <c r="A5" i="47"/>
  <c r="H12" i="47" s="1"/>
  <c r="E12" i="47" s="1"/>
  <c r="A7" i="47"/>
  <c r="A2" i="47"/>
  <c r="A4" i="47"/>
  <c r="A6" i="47"/>
  <c r="A8" i="47"/>
  <c r="H8" i="47" s="1"/>
  <c r="E8" i="47" s="1"/>
  <c r="A23" i="12"/>
  <c r="A2" i="20" s="1"/>
  <c r="A25" i="12"/>
  <c r="A4" i="20" s="1"/>
  <c r="A27" i="12"/>
  <c r="A26" i="12"/>
  <c r="A5" i="20" s="1"/>
  <c r="A28" i="12"/>
  <c r="A7" i="20" s="1"/>
  <c r="A24" i="12"/>
  <c r="A3" i="20" s="1"/>
  <c r="M54" i="24"/>
  <c r="L72" i="24"/>
  <c r="L135" i="2"/>
  <c r="O35" i="2"/>
  <c r="M12" i="49"/>
  <c r="L55" i="11"/>
  <c r="G12" i="49"/>
  <c r="M135" i="2"/>
  <c r="D12" i="49"/>
  <c r="F12" i="49"/>
  <c r="E12" i="49"/>
  <c r="L12" i="49"/>
  <c r="K12" i="49"/>
  <c r="H12" i="49"/>
  <c r="I12" i="49"/>
  <c r="C12" i="49"/>
  <c r="D136" i="2"/>
  <c r="O24" i="2"/>
  <c r="O25" i="2" s="1"/>
  <c r="L54" i="24"/>
  <c r="P53" i="2"/>
  <c r="D24" i="45"/>
  <c r="L63" i="24"/>
  <c r="A29" i="12"/>
  <c r="A8" i="20" s="1"/>
  <c r="K29" i="46"/>
  <c r="B30" i="46"/>
  <c r="O29" i="2"/>
  <c r="J29" i="46"/>
  <c r="J13" i="49" l="1"/>
  <c r="I13" i="49"/>
  <c r="H13" i="49"/>
  <c r="D25" i="45"/>
  <c r="L66" i="24"/>
  <c r="C13" i="49"/>
  <c r="L13" i="49"/>
  <c r="K13" i="49"/>
  <c r="F13" i="49"/>
  <c r="E13" i="49"/>
  <c r="G13" i="49"/>
  <c r="D13" i="49"/>
  <c r="S31" i="12"/>
  <c r="H24" i="47" s="1"/>
  <c r="E24" i="47" s="1"/>
  <c r="M10" i="49"/>
  <c r="L10" i="49"/>
  <c r="K10" i="49"/>
  <c r="C10" i="49"/>
  <c r="F10" i="49"/>
  <c r="D10" i="49"/>
  <c r="G10" i="49"/>
  <c r="H10" i="49"/>
  <c r="J10" i="49"/>
  <c r="E10" i="49"/>
  <c r="I10" i="49"/>
  <c r="M8" i="49"/>
  <c r="C8" i="49"/>
  <c r="F8" i="49"/>
  <c r="L8" i="49"/>
  <c r="I8" i="49"/>
  <c r="K8" i="49"/>
  <c r="J8" i="49"/>
  <c r="H8" i="49"/>
  <c r="E8" i="49"/>
  <c r="D8" i="49"/>
  <c r="G8" i="49"/>
  <c r="E20" i="45"/>
  <c r="G8" i="47"/>
  <c r="F8" i="47"/>
  <c r="J8" i="47"/>
  <c r="H7" i="47"/>
  <c r="E7" i="47" s="1"/>
  <c r="H30" i="47"/>
  <c r="E30" i="47" s="1"/>
  <c r="H31" i="47"/>
  <c r="E31" i="47" s="1"/>
  <c r="H6" i="47"/>
  <c r="E6" i="47" s="1"/>
  <c r="H29" i="47"/>
  <c r="E29" i="47" s="1"/>
  <c r="H18" i="47"/>
  <c r="E18" i="47" s="1"/>
  <c r="H51" i="47"/>
  <c r="E51" i="47" s="1"/>
  <c r="H46" i="47"/>
  <c r="E46" i="47" s="1"/>
  <c r="H41" i="47"/>
  <c r="E41" i="47" s="1"/>
  <c r="H36" i="47"/>
  <c r="E36" i="47" s="1"/>
  <c r="H28" i="47"/>
  <c r="E28" i="47" s="1"/>
  <c r="H23" i="47"/>
  <c r="E23" i="47" s="1"/>
  <c r="H17" i="47"/>
  <c r="E17" i="47" s="1"/>
  <c r="H13" i="47"/>
  <c r="E13" i="47" s="1"/>
  <c r="H52" i="47"/>
  <c r="E52" i="47" s="1"/>
  <c r="H47" i="47"/>
  <c r="E47" i="47" s="1"/>
  <c r="H42" i="47"/>
  <c r="E42" i="47" s="1"/>
  <c r="H37" i="47"/>
  <c r="E37" i="47" s="1"/>
  <c r="H22" i="47"/>
  <c r="E22" i="47" s="1"/>
  <c r="H5" i="47"/>
  <c r="E5" i="47" s="1"/>
  <c r="N72" i="24"/>
  <c r="E27" i="45" s="1"/>
  <c r="A17" i="49"/>
  <c r="J17" i="49" s="1"/>
  <c r="O15" i="2"/>
  <c r="O16" i="2" s="1"/>
  <c r="O18" i="2"/>
  <c r="O19" i="2" s="1"/>
  <c r="O21" i="2"/>
  <c r="O22" i="2" s="1"/>
  <c r="D15" i="45"/>
  <c r="L36" i="24"/>
  <c r="P23" i="2"/>
  <c r="L136" i="2"/>
  <c r="H49" i="47"/>
  <c r="E49" i="47" s="1"/>
  <c r="H39" i="47"/>
  <c r="E39" i="47" s="1"/>
  <c r="H44" i="47"/>
  <c r="E44" i="47" s="1"/>
  <c r="H14" i="47"/>
  <c r="E14" i="47" s="1"/>
  <c r="H43" i="47"/>
  <c r="E43" i="47" s="1"/>
  <c r="H38" i="47"/>
  <c r="E38" i="47" s="1"/>
  <c r="H48" i="47"/>
  <c r="E48" i="47" s="1"/>
  <c r="H35" i="47"/>
  <c r="E35" i="47" s="1"/>
  <c r="H50" i="47"/>
  <c r="E50" i="47" s="1"/>
  <c r="H40" i="47"/>
  <c r="E40" i="47" s="1"/>
  <c r="H45" i="47"/>
  <c r="E45" i="47" s="1"/>
  <c r="A15" i="49"/>
  <c r="M66" i="24"/>
  <c r="N66" i="24" s="1"/>
  <c r="E25" i="45" s="1"/>
  <c r="N54" i="24"/>
  <c r="E21" i="45" s="1"/>
  <c r="A11" i="49"/>
  <c r="J11" i="49" s="1"/>
  <c r="M63" i="24"/>
  <c r="N63" i="24" s="1"/>
  <c r="E24" i="45" s="1"/>
  <c r="A14" i="49"/>
  <c r="H3" i="47"/>
  <c r="E3" i="47" s="1"/>
  <c r="H10" i="47"/>
  <c r="E10" i="47" s="1"/>
  <c r="H20" i="47"/>
  <c r="E20" i="47" s="1"/>
  <c r="A6" i="20"/>
  <c r="H2" i="47"/>
  <c r="E2" i="47" s="1"/>
  <c r="H19" i="47"/>
  <c r="E19" i="47" s="1"/>
  <c r="H9" i="47"/>
  <c r="E9" i="47" s="1"/>
  <c r="H25" i="47"/>
  <c r="E25" i="47" s="1"/>
  <c r="H15" i="47"/>
  <c r="E15" i="47" s="1"/>
  <c r="H26" i="47"/>
  <c r="E26" i="47" s="1"/>
  <c r="H16" i="47"/>
  <c r="E16" i="47" s="1"/>
  <c r="H21" i="47"/>
  <c r="E21" i="47" s="1"/>
  <c r="H4" i="47"/>
  <c r="E4" i="47" s="1"/>
  <c r="H27" i="47"/>
  <c r="E27" i="47" s="1"/>
  <c r="H11" i="47"/>
  <c r="E11" i="47" s="1"/>
  <c r="C15" i="45"/>
  <c r="J30" i="46"/>
  <c r="O26" i="2"/>
  <c r="P29" i="2"/>
  <c r="B17" i="45"/>
  <c r="L42" i="24"/>
  <c r="L48" i="24"/>
  <c r="B19" i="45"/>
  <c r="P35" i="2"/>
  <c r="H32" i="47" l="1"/>
  <c r="E32" i="47" s="1"/>
  <c r="J17" i="47"/>
  <c r="J41" i="47"/>
  <c r="F51" i="47"/>
  <c r="F41" i="47"/>
  <c r="G36" i="47"/>
  <c r="G41" i="47"/>
  <c r="J36" i="47"/>
  <c r="F46" i="47"/>
  <c r="J28" i="47"/>
  <c r="G51" i="47"/>
  <c r="D15" i="31"/>
  <c r="I41" i="47"/>
  <c r="I51" i="47"/>
  <c r="J51" i="47"/>
  <c r="F28" i="47"/>
  <c r="G5" i="47"/>
  <c r="B15" i="31"/>
  <c r="C15" i="31" s="1"/>
  <c r="J12" i="47"/>
  <c r="J13" i="47"/>
  <c r="G12" i="47"/>
  <c r="F36" i="47"/>
  <c r="F12" i="47"/>
  <c r="J5" i="47"/>
  <c r="F5" i="47"/>
  <c r="G22" i="47"/>
  <c r="G46" i="47"/>
  <c r="J46" i="47"/>
  <c r="F17" i="47"/>
  <c r="G17" i="47"/>
  <c r="J7" i="47"/>
  <c r="F7" i="47"/>
  <c r="I46" i="47"/>
  <c r="I28" i="47"/>
  <c r="G28" i="47"/>
  <c r="F22" i="47"/>
  <c r="I22" i="47"/>
  <c r="J22" i="47"/>
  <c r="G7" i="47"/>
  <c r="J30" i="47"/>
  <c r="I30" i="47"/>
  <c r="F30" i="47"/>
  <c r="G30" i="47"/>
  <c r="D17" i="49"/>
  <c r="H17" i="49"/>
  <c r="M17" i="49"/>
  <c r="I17" i="49"/>
  <c r="G17" i="49"/>
  <c r="K17" i="49"/>
  <c r="F17" i="49"/>
  <c r="E17" i="49"/>
  <c r="L17" i="49"/>
  <c r="C17" i="49"/>
  <c r="F48" i="47"/>
  <c r="F10" i="47"/>
  <c r="F25" i="47"/>
  <c r="J20" i="47"/>
  <c r="F3" i="47"/>
  <c r="F43" i="47"/>
  <c r="I39" i="47"/>
  <c r="M36" i="24"/>
  <c r="N36" i="24" s="1"/>
  <c r="E15" i="45" s="1"/>
  <c r="A5" i="49"/>
  <c r="L30" i="24"/>
  <c r="P17" i="2"/>
  <c r="D13" i="45"/>
  <c r="D12" i="45"/>
  <c r="L27" i="24"/>
  <c r="P14" i="2"/>
  <c r="J31" i="47"/>
  <c r="I31" i="47"/>
  <c r="G31" i="47"/>
  <c r="F31" i="47"/>
  <c r="G44" i="47"/>
  <c r="G6" i="47"/>
  <c r="I44" i="47"/>
  <c r="J6" i="47"/>
  <c r="F44" i="47"/>
  <c r="J3" i="47"/>
  <c r="G14" i="47"/>
  <c r="F6" i="47"/>
  <c r="J14" i="47"/>
  <c r="F14" i="47"/>
  <c r="J44" i="47"/>
  <c r="E14" i="49"/>
  <c r="I14" i="49"/>
  <c r="C14" i="49"/>
  <c r="J14" i="49"/>
  <c r="D14" i="49"/>
  <c r="M14" i="49"/>
  <c r="H14" i="49"/>
  <c r="G14" i="49"/>
  <c r="L14" i="49"/>
  <c r="F14" i="49"/>
  <c r="K14" i="49"/>
  <c r="G11" i="49"/>
  <c r="L11" i="49"/>
  <c r="K11" i="49"/>
  <c r="I11" i="49"/>
  <c r="H11" i="49"/>
  <c r="D11" i="49"/>
  <c r="M11" i="49"/>
  <c r="E11" i="49"/>
  <c r="C11" i="49"/>
  <c r="F11" i="49"/>
  <c r="D15" i="49"/>
  <c r="K15" i="49"/>
  <c r="L15" i="49"/>
  <c r="H15" i="49"/>
  <c r="J15" i="49"/>
  <c r="M15" i="49"/>
  <c r="I15" i="49"/>
  <c r="G15" i="49"/>
  <c r="F15" i="49"/>
  <c r="E15" i="49"/>
  <c r="C15" i="49"/>
  <c r="G3" i="47"/>
  <c r="F49" i="47"/>
  <c r="G49" i="47"/>
  <c r="J49" i="47"/>
  <c r="J18" i="47"/>
  <c r="I49" i="47"/>
  <c r="I18" i="47"/>
  <c r="G18" i="47"/>
  <c r="J10" i="47"/>
  <c r="F18" i="47"/>
  <c r="G10" i="47"/>
  <c r="G20" i="47"/>
  <c r="G39" i="47"/>
  <c r="F39" i="47"/>
  <c r="F20" i="47"/>
  <c r="J39" i="47"/>
  <c r="G13" i="47"/>
  <c r="J2" i="47"/>
  <c r="J38" i="47"/>
  <c r="G47" i="47"/>
  <c r="G52" i="47"/>
  <c r="J43" i="47"/>
  <c r="J25" i="47"/>
  <c r="J29" i="47"/>
  <c r="G48" i="47"/>
  <c r="G2" i="47"/>
  <c r="I48" i="47"/>
  <c r="I42" i="47"/>
  <c r="F23" i="47"/>
  <c r="G25" i="47"/>
  <c r="F13" i="47"/>
  <c r="F2" i="47"/>
  <c r="G26" i="47"/>
  <c r="F19" i="47"/>
  <c r="G43" i="47"/>
  <c r="E23" i="31"/>
  <c r="F42" i="47"/>
  <c r="G42" i="47"/>
  <c r="J23" i="47"/>
  <c r="G19" i="47"/>
  <c r="J19" i="47"/>
  <c r="G38" i="47"/>
  <c r="I38" i="47"/>
  <c r="F47" i="47"/>
  <c r="J42" i="47"/>
  <c r="I43" i="47"/>
  <c r="F29" i="47"/>
  <c r="E15" i="31"/>
  <c r="E18" i="31"/>
  <c r="J52" i="47"/>
  <c r="G23" i="47"/>
  <c r="J48" i="47"/>
  <c r="I23" i="47"/>
  <c r="B25" i="31"/>
  <c r="C25" i="31" s="1"/>
  <c r="F15" i="47"/>
  <c r="B17" i="31"/>
  <c r="C17" i="31" s="1"/>
  <c r="J47" i="47"/>
  <c r="F38" i="47"/>
  <c r="D25" i="31"/>
  <c r="I47" i="47"/>
  <c r="I52" i="47"/>
  <c r="J26" i="47"/>
  <c r="B16" i="31"/>
  <c r="C16" i="31" s="1"/>
  <c r="F9" i="47"/>
  <c r="J15" i="47"/>
  <c r="D16" i="31"/>
  <c r="G9" i="47"/>
  <c r="F26" i="47"/>
  <c r="I25" i="47"/>
  <c r="J9" i="47"/>
  <c r="I29" i="47"/>
  <c r="I26" i="47"/>
  <c r="G15" i="47"/>
  <c r="B18" i="31"/>
  <c r="C18" i="31" s="1"/>
  <c r="G37" i="47"/>
  <c r="J37" i="47"/>
  <c r="F37" i="47"/>
  <c r="E25" i="31"/>
  <c r="F52" i="47"/>
  <c r="G29" i="47"/>
  <c r="D20" i="31"/>
  <c r="L33" i="24"/>
  <c r="D14" i="45"/>
  <c r="P20" i="2"/>
  <c r="E16" i="31"/>
  <c r="F45" i="47"/>
  <c r="J45" i="47"/>
  <c r="I45" i="47"/>
  <c r="G45" i="47"/>
  <c r="D24" i="31"/>
  <c r="F40" i="47"/>
  <c r="G40" i="47"/>
  <c r="I40" i="47"/>
  <c r="J40" i="47"/>
  <c r="J35" i="47"/>
  <c r="G35" i="47"/>
  <c r="F35" i="47"/>
  <c r="B22" i="31"/>
  <c r="C22" i="31" s="1"/>
  <c r="B23" i="31"/>
  <c r="C23" i="31" s="1"/>
  <c r="F11" i="47"/>
  <c r="J11" i="47"/>
  <c r="G11" i="47"/>
  <c r="F16" i="47"/>
  <c r="G16" i="47"/>
  <c r="J16" i="47"/>
  <c r="B24" i="31"/>
  <c r="C24" i="31" s="1"/>
  <c r="E24" i="31"/>
  <c r="G4" i="47"/>
  <c r="F4" i="47"/>
  <c r="J4" i="47"/>
  <c r="E22" i="31"/>
  <c r="E17" i="31"/>
  <c r="J27" i="47"/>
  <c r="G27" i="47"/>
  <c r="F27" i="47"/>
  <c r="I27" i="47"/>
  <c r="B20" i="31"/>
  <c r="C20" i="31" s="1"/>
  <c r="D23" i="31"/>
  <c r="G21" i="47"/>
  <c r="I21" i="47"/>
  <c r="J21" i="47"/>
  <c r="D18" i="31"/>
  <c r="F21" i="47"/>
  <c r="E20" i="31"/>
  <c r="D22" i="31"/>
  <c r="I50" i="47"/>
  <c r="J50" i="47"/>
  <c r="F50" i="47"/>
  <c r="G50" i="47"/>
  <c r="D17" i="31"/>
  <c r="J32" i="47"/>
  <c r="D21" i="31"/>
  <c r="C21" i="31" s="1"/>
  <c r="G32" i="47"/>
  <c r="E21" i="31"/>
  <c r="F32" i="47"/>
  <c r="G24" i="47"/>
  <c r="J24" i="47"/>
  <c r="F24" i="47"/>
  <c r="D19" i="31"/>
  <c r="C19" i="31" s="1"/>
  <c r="E19" i="31"/>
  <c r="C12" i="45"/>
  <c r="A9" i="49"/>
  <c r="M48" i="24"/>
  <c r="N48" i="24" s="1"/>
  <c r="E19" i="45" s="1"/>
  <c r="M42" i="24"/>
  <c r="N42" i="24" s="1"/>
  <c r="E17" i="45" s="1"/>
  <c r="A7" i="49"/>
  <c r="H7" i="49" s="1"/>
  <c r="L39" i="24"/>
  <c r="P26" i="2"/>
  <c r="B16" i="45"/>
  <c r="C14" i="45"/>
  <c r="C13" i="45"/>
  <c r="O34" i="47" a="1"/>
  <c r="O20" i="47" a="1"/>
  <c r="O22" i="47" a="1"/>
  <c r="O24" i="47" a="1"/>
  <c r="O35" i="47" a="1"/>
  <c r="O13" i="47" a="1"/>
  <c r="O21" i="47" a="1"/>
  <c r="O52" i="47" a="1"/>
  <c r="O15" i="47" a="1"/>
  <c r="O32" i="47" a="1"/>
  <c r="O29" i="47" a="1"/>
  <c r="O40" i="47" a="1"/>
  <c r="O33" i="47" a="1"/>
  <c r="O6" i="47" a="1"/>
  <c r="O48" i="47" a="1"/>
  <c r="O45" i="47" a="1"/>
  <c r="O41" i="47" a="1"/>
  <c r="O31" i="47" a="1"/>
  <c r="O11" i="47" a="1"/>
  <c r="O44" i="47" a="1"/>
  <c r="O50" i="47" a="1"/>
  <c r="O10" i="47" a="1"/>
  <c r="O27" i="47" a="1"/>
  <c r="O38" i="47" a="1"/>
  <c r="O36" i="47" a="1"/>
  <c r="O16" i="47" a="1"/>
  <c r="O8" i="47" a="1"/>
  <c r="O51" i="47" a="1"/>
  <c r="O47" i="47" a="1"/>
  <c r="O19" i="47" a="1"/>
  <c r="O7" i="47" a="1"/>
  <c r="O42" i="47" a="1"/>
  <c r="O9" i="47" a="1"/>
  <c r="O39" i="47" a="1"/>
  <c r="O43" i="47" a="1"/>
  <c r="O12" i="47" a="1"/>
  <c r="O4" i="47" a="1"/>
  <c r="O25" i="47" a="1"/>
  <c r="O49" i="47" a="1"/>
  <c r="O5" i="47" a="1"/>
  <c r="O17" i="47" a="1"/>
  <c r="O28" i="47" a="1"/>
  <c r="O18" i="47" a="1"/>
  <c r="O37" i="47" a="1"/>
  <c r="O3" i="47" a="1"/>
  <c r="O46" i="47" a="1"/>
  <c r="O30" i="47" a="1"/>
  <c r="O14" i="47" a="1"/>
  <c r="O23" i="47" a="1"/>
  <c r="O26" i="47" a="1"/>
  <c r="O43" i="47" l="1"/>
  <c r="C43" i="48" s="1"/>
  <c r="O31" i="47"/>
  <c r="C31" i="48" s="1"/>
  <c r="O52" i="47"/>
  <c r="C51" i="48" s="1"/>
  <c r="O32" i="47"/>
  <c r="C32" i="48" s="1"/>
  <c r="O17" i="47"/>
  <c r="C17" i="48" s="1"/>
  <c r="O8" i="47"/>
  <c r="C8" i="48" s="1"/>
  <c r="O40" i="47"/>
  <c r="C40" i="48" s="1"/>
  <c r="O48" i="47"/>
  <c r="C48" i="48" s="1"/>
  <c r="O15" i="47"/>
  <c r="C15" i="48" s="1"/>
  <c r="O35" i="47"/>
  <c r="C35" i="48" s="1"/>
  <c r="O29" i="47"/>
  <c r="C29" i="48" s="1"/>
  <c r="O26" i="47"/>
  <c r="C26" i="48" s="1"/>
  <c r="O16" i="47"/>
  <c r="C16" i="48" s="1"/>
  <c r="C6" i="24"/>
  <c r="G6" i="24"/>
  <c r="G9" i="24" s="1"/>
  <c r="E100" i="2" s="1"/>
  <c r="E6" i="24"/>
  <c r="H6" i="24"/>
  <c r="F6" i="24"/>
  <c r="D6" i="24"/>
  <c r="O50" i="47"/>
  <c r="C50" i="48" s="1"/>
  <c r="O25" i="47"/>
  <c r="C25" i="48" s="1"/>
  <c r="O23" i="47"/>
  <c r="C23" i="48" s="1"/>
  <c r="O45" i="47"/>
  <c r="C45" i="48" s="1"/>
  <c r="O5" i="47"/>
  <c r="C5" i="48" s="1"/>
  <c r="O4" i="47"/>
  <c r="C4" i="48" s="1"/>
  <c r="O22" i="47"/>
  <c r="C22" i="48" s="1"/>
  <c r="O11" i="47"/>
  <c r="C11" i="48" s="1"/>
  <c r="O46" i="47"/>
  <c r="C46" i="48" s="1"/>
  <c r="O36" i="47"/>
  <c r="C36" i="48" s="1"/>
  <c r="O20" i="47"/>
  <c r="C20" i="48" s="1"/>
  <c r="O42" i="47"/>
  <c r="C42" i="48" s="1"/>
  <c r="O34" i="47"/>
  <c r="C34" i="48" s="1"/>
  <c r="O3" i="47"/>
  <c r="C3" i="48" s="1"/>
  <c r="O12" i="47"/>
  <c r="C12" i="48" s="1"/>
  <c r="O27" i="47"/>
  <c r="C27" i="48" s="1"/>
  <c r="O37" i="47"/>
  <c r="C37" i="48" s="1"/>
  <c r="O10" i="47"/>
  <c r="C10" i="48" s="1"/>
  <c r="O30" i="47"/>
  <c r="C30" i="48" s="1"/>
  <c r="O39" i="47"/>
  <c r="C39" i="48" s="1"/>
  <c r="O13" i="47"/>
  <c r="C13" i="48" s="1"/>
  <c r="O6" i="47"/>
  <c r="C6" i="48" s="1"/>
  <c r="O21" i="47"/>
  <c r="C21" i="48" s="1"/>
  <c r="O19" i="47"/>
  <c r="C19" i="48" s="1"/>
  <c r="O24" i="47"/>
  <c r="C24" i="48" s="1"/>
  <c r="O38" i="47"/>
  <c r="C38" i="48" s="1"/>
  <c r="O7" i="47"/>
  <c r="C7" i="48" s="1"/>
  <c r="O9" i="47"/>
  <c r="C9" i="48" s="1"/>
  <c r="O51" i="47"/>
  <c r="O49" i="47"/>
  <c r="C49" i="48" s="1"/>
  <c r="O47" i="47"/>
  <c r="C47" i="48" s="1"/>
  <c r="O18" i="47"/>
  <c r="C18" i="48" s="1"/>
  <c r="O41" i="47"/>
  <c r="C41" i="48" s="1"/>
  <c r="O14" i="47"/>
  <c r="C14" i="48" s="1"/>
  <c r="O28" i="47"/>
  <c r="C28" i="48" s="1"/>
  <c r="O33" i="47"/>
  <c r="C33" i="48" s="1"/>
  <c r="O44" i="47"/>
  <c r="C44" i="48" s="1"/>
  <c r="J54" i="47"/>
  <c r="F6" i="31" s="1"/>
  <c r="AC14" i="12" s="1"/>
  <c r="J57" i="47"/>
  <c r="D6" i="31" s="1"/>
  <c r="O14" i="12" s="1"/>
  <c r="J56" i="47"/>
  <c r="C6" i="31" s="1"/>
  <c r="H14" i="12" s="1"/>
  <c r="J55" i="47"/>
  <c r="E6" i="31" s="1"/>
  <c r="T14" i="12" s="1"/>
  <c r="H9" i="49"/>
  <c r="J9" i="49"/>
  <c r="M30" i="24"/>
  <c r="N30" i="24" s="1"/>
  <c r="E13" i="45" s="1"/>
  <c r="A3" i="49"/>
  <c r="J5" i="49"/>
  <c r="G5" i="49"/>
  <c r="I5" i="49"/>
  <c r="H5" i="49"/>
  <c r="K5" i="49"/>
  <c r="E5" i="49"/>
  <c r="M5" i="49"/>
  <c r="C5" i="49"/>
  <c r="D5" i="49"/>
  <c r="L5" i="49"/>
  <c r="F5" i="49"/>
  <c r="A2" i="49"/>
  <c r="M27" i="24"/>
  <c r="N27" i="24" s="1"/>
  <c r="E12" i="45" s="1"/>
  <c r="M33" i="24"/>
  <c r="N33" i="24" s="1"/>
  <c r="E14" i="45" s="1"/>
  <c r="A4" i="49"/>
  <c r="I18" i="31" a="1"/>
  <c r="I18" i="31" s="1"/>
  <c r="J18" i="31" s="1"/>
  <c r="G19" i="31" a="1"/>
  <c r="G19" i="31" s="1"/>
  <c r="A21" i="29" s="1"/>
  <c r="I17" i="31" a="1"/>
  <c r="I17" i="31" s="1"/>
  <c r="J17" i="31" s="1"/>
  <c r="G17" i="31" a="1"/>
  <c r="G17" i="31" s="1"/>
  <c r="A19" i="29" s="1"/>
  <c r="I19" i="31" a="1"/>
  <c r="I19" i="31" s="1"/>
  <c r="J19" i="31" s="1"/>
  <c r="H25" i="31" a="1"/>
  <c r="H25" i="31" s="1"/>
  <c r="G16" i="31" a="1"/>
  <c r="G16" i="31" s="1"/>
  <c r="A18" i="29" s="1"/>
  <c r="I22" i="31" a="1"/>
  <c r="I22" i="31" s="1"/>
  <c r="J22" i="31" s="1"/>
  <c r="I15" i="31" a="1"/>
  <c r="I15" i="31" s="1"/>
  <c r="I25" i="31" a="1"/>
  <c r="I25" i="31" s="1"/>
  <c r="J25" i="31" s="1"/>
  <c r="H20" i="31" a="1"/>
  <c r="H20" i="31" s="1"/>
  <c r="B22" i="29" s="1"/>
  <c r="I21" i="31" a="1"/>
  <c r="I21" i="31" s="1"/>
  <c r="J21" i="31" s="1"/>
  <c r="G18" i="31" a="1"/>
  <c r="G18" i="31" s="1"/>
  <c r="A20" i="29" s="1"/>
  <c r="H16" i="31" a="1"/>
  <c r="H16" i="31" s="1"/>
  <c r="B18" i="29" s="1"/>
  <c r="H23" i="31" a="1"/>
  <c r="H23" i="31" s="1"/>
  <c r="B25" i="29" s="1"/>
  <c r="G15" i="31" a="1"/>
  <c r="G15" i="31" s="1"/>
  <c r="A17" i="29" s="1"/>
  <c r="I20" i="31" a="1"/>
  <c r="I20" i="31" s="1"/>
  <c r="J20" i="31" s="1"/>
  <c r="G21" i="31" a="1"/>
  <c r="G21" i="31" s="1"/>
  <c r="A23" i="29" s="1"/>
  <c r="H24" i="31" a="1"/>
  <c r="H24" i="31" s="1"/>
  <c r="I16" i="31" a="1"/>
  <c r="I16" i="31" s="1"/>
  <c r="J16" i="31" s="1"/>
  <c r="G22" i="31" a="1"/>
  <c r="G22" i="31" s="1"/>
  <c r="A24" i="29" s="1"/>
  <c r="H19" i="31" a="1"/>
  <c r="H19" i="31" s="1"/>
  <c r="B21" i="29" s="1"/>
  <c r="H21" i="31" a="1"/>
  <c r="H21" i="31" s="1"/>
  <c r="B23" i="29" s="1"/>
  <c r="H18" i="31" a="1"/>
  <c r="H18" i="31" s="1"/>
  <c r="B20" i="29" s="1"/>
  <c r="G25" i="31" a="1"/>
  <c r="G25" i="31" s="1"/>
  <c r="I23" i="31" a="1"/>
  <c r="I23" i="31" s="1"/>
  <c r="J23" i="31" s="1"/>
  <c r="H15" i="31" a="1"/>
  <c r="H15" i="31" s="1"/>
  <c r="B17" i="29" s="1"/>
  <c r="I24" i="31" a="1"/>
  <c r="I24" i="31" s="1"/>
  <c r="J24" i="31" s="1"/>
  <c r="G23" i="31" a="1"/>
  <c r="G23" i="31" s="1"/>
  <c r="A25" i="29" s="1"/>
  <c r="H17" i="31" a="1"/>
  <c r="H17" i="31" s="1"/>
  <c r="B19" i="29" s="1"/>
  <c r="G24" i="31" a="1"/>
  <c r="G24" i="31" s="1"/>
  <c r="G20" i="31" a="1"/>
  <c r="G20" i="31" s="1"/>
  <c r="A22" i="29" s="1"/>
  <c r="H22" i="31" a="1"/>
  <c r="H22" i="31" s="1"/>
  <c r="B24" i="29" s="1"/>
  <c r="A6" i="49"/>
  <c r="H6" i="49" s="1"/>
  <c r="M39" i="24"/>
  <c r="N39" i="24" s="1"/>
  <c r="E16" i="45" s="1"/>
  <c r="K7" i="49"/>
  <c r="D7" i="49"/>
  <c r="F7" i="49"/>
  <c r="L7" i="49"/>
  <c r="C7" i="49"/>
  <c r="M7" i="49"/>
  <c r="J7" i="49"/>
  <c r="I7" i="49"/>
  <c r="E7" i="49"/>
  <c r="G7" i="49"/>
  <c r="I9" i="49"/>
  <c r="L9" i="49"/>
  <c r="F9" i="49"/>
  <c r="G9" i="49"/>
  <c r="C9" i="49"/>
  <c r="D9" i="49"/>
  <c r="M9" i="49"/>
  <c r="K9" i="49"/>
  <c r="E9" i="49"/>
  <c r="I15" i="47" l="1"/>
  <c r="I12" i="47"/>
  <c r="I20" i="47"/>
  <c r="E10" i="24"/>
  <c r="E9" i="24"/>
  <c r="H9" i="24"/>
  <c r="H10" i="24"/>
  <c r="H7" i="24"/>
  <c r="D9" i="24"/>
  <c r="K6" i="24"/>
  <c r="F9" i="24"/>
  <c r="E101" i="2" s="1"/>
  <c r="G7" i="24"/>
  <c r="G8" i="24" s="1"/>
  <c r="G10" i="24"/>
  <c r="C9" i="24"/>
  <c r="E97" i="2" s="1"/>
  <c r="E11" i="24"/>
  <c r="I6" i="24"/>
  <c r="D7" i="24"/>
  <c r="D10" i="24"/>
  <c r="I13" i="47"/>
  <c r="I37" i="47"/>
  <c r="D13" i="29"/>
  <c r="E7" i="24"/>
  <c r="I14" i="47"/>
  <c r="I9" i="47"/>
  <c r="I19" i="47"/>
  <c r="G2" i="49"/>
  <c r="C2" i="49"/>
  <c r="K2" i="49"/>
  <c r="H2" i="49"/>
  <c r="M2" i="49"/>
  <c r="F2" i="49"/>
  <c r="E2" i="49"/>
  <c r="L2" i="49"/>
  <c r="J2" i="49"/>
  <c r="D2" i="49"/>
  <c r="I2" i="49"/>
  <c r="H3" i="49"/>
  <c r="C3" i="49"/>
  <c r="D3" i="49"/>
  <c r="L3" i="49"/>
  <c r="J3" i="49"/>
  <c r="G3" i="49"/>
  <c r="E3" i="49"/>
  <c r="F3" i="49"/>
  <c r="M3" i="49"/>
  <c r="K3" i="49"/>
  <c r="I3" i="49"/>
  <c r="I11" i="47"/>
  <c r="I16" i="47"/>
  <c r="I17" i="47"/>
  <c r="F13" i="29"/>
  <c r="C13" i="29"/>
  <c r="I4" i="49"/>
  <c r="H4" i="49"/>
  <c r="E13" i="29"/>
  <c r="B6" i="31"/>
  <c r="L4" i="49"/>
  <c r="D4" i="49"/>
  <c r="K4" i="49"/>
  <c r="M4" i="49"/>
  <c r="F4" i="49"/>
  <c r="J4" i="49"/>
  <c r="G4" i="49"/>
  <c r="E4" i="49"/>
  <c r="C4" i="49"/>
  <c r="I36" i="47"/>
  <c r="I35" i="47"/>
  <c r="I10" i="47"/>
  <c r="J15" i="31"/>
  <c r="I7" i="47" s="1"/>
  <c r="J6" i="49"/>
  <c r="F6" i="49"/>
  <c r="L6" i="49"/>
  <c r="G6" i="49"/>
  <c r="M6" i="49"/>
  <c r="K6" i="49"/>
  <c r="C6" i="49"/>
  <c r="E6" i="49"/>
  <c r="I6" i="49"/>
  <c r="D6" i="49"/>
  <c r="F99" i="2" l="1"/>
  <c r="F97" i="2"/>
  <c r="G11" i="24"/>
  <c r="I11" i="24" s="1"/>
  <c r="F100" i="2"/>
  <c r="I10" i="24"/>
  <c r="I9" i="24"/>
  <c r="K9" i="24"/>
  <c r="E8" i="24"/>
  <c r="I8" i="24" s="1"/>
  <c r="I7" i="24"/>
  <c r="I8" i="47"/>
  <c r="I32" i="47"/>
  <c r="A13" i="29"/>
  <c r="A12" i="29" s="1"/>
  <c r="A14" i="12"/>
  <c r="A13" i="12" s="1"/>
  <c r="I24" i="47"/>
  <c r="I2" i="47"/>
  <c r="I4" i="47"/>
  <c r="I3" i="47"/>
  <c r="I5" i="47"/>
  <c r="I6" i="47"/>
  <c r="E98" i="2" l="1"/>
  <c r="G99" i="2"/>
  <c r="H37" i="44" l="1"/>
  <c r="A37" i="44"/>
  <c r="C37" i="44"/>
  <c r="E37" i="44"/>
  <c r="G37" i="44"/>
  <c r="I37" i="44"/>
  <c r="B37" i="44"/>
  <c r="F37" i="44"/>
  <c r="D37" i="44"/>
  <c r="K37" i="44"/>
  <c r="J37" i="44"/>
  <c r="U5" i="49" a="1"/>
  <c r="L31" i="47" a="1"/>
  <c r="X7" i="49" a="1"/>
  <c r="V4" i="49" a="1"/>
  <c r="N41" i="47" a="1"/>
  <c r="L28" i="47" a="1"/>
  <c r="P18" i="49" a="1"/>
  <c r="X18" i="49" a="1"/>
  <c r="U9" i="49" a="1"/>
  <c r="Y13" i="49" a="1"/>
  <c r="Q5" i="49" a="1"/>
  <c r="V13" i="49" a="1"/>
  <c r="L36" i="47" a="1"/>
  <c r="N45" i="47" a="1"/>
  <c r="P22" i="47" a="1"/>
  <c r="N30" i="47" a="1"/>
  <c r="L48" i="47" a="1"/>
  <c r="X22" i="49" a="1"/>
  <c r="N2" i="47" a="1"/>
  <c r="S9" i="49" a="1"/>
  <c r="P27" i="47" a="1"/>
  <c r="P12" i="47" a="1"/>
  <c r="Y23" i="49" a="1"/>
  <c r="P17" i="49" a="1"/>
  <c r="N27" i="47" a="1"/>
  <c r="V5" i="49" a="1"/>
  <c r="O18" i="49" a="1"/>
  <c r="T4" i="49" a="1"/>
  <c r="V20" i="49" a="1"/>
  <c r="O10" i="49" a="1"/>
  <c r="O4" i="49" a="1"/>
  <c r="V22" i="49" a="1"/>
  <c r="N8" i="47" a="1"/>
  <c r="P47" i="47" a="1"/>
  <c r="V11" i="49" a="1"/>
  <c r="P23" i="49" a="1"/>
  <c r="P9" i="47" a="1"/>
  <c r="O2" i="47" a="1"/>
  <c r="P32" i="47" a="1"/>
  <c r="L6" i="47" a="1"/>
  <c r="V19" i="49" a="1"/>
  <c r="M50" i="47" a="1"/>
  <c r="M23" i="47" a="1"/>
  <c r="M34" i="47" a="1"/>
  <c r="Q16" i="49" a="1"/>
  <c r="N23" i="47" a="1"/>
  <c r="R19" i="49" a="1"/>
  <c r="M11" i="47" a="1"/>
  <c r="R23" i="49" a="1"/>
  <c r="Q3" i="49" a="1"/>
  <c r="R10" i="49" a="1"/>
  <c r="T2" i="49" a="1"/>
  <c r="T20" i="49" a="1"/>
  <c r="M30" i="47" a="1"/>
  <c r="P30" i="47" a="1"/>
  <c r="M45" i="47" a="1"/>
  <c r="T11" i="49" a="1"/>
  <c r="L32" i="47" a="1"/>
  <c r="P42" i="47" a="1"/>
  <c r="T24" i="49" a="1"/>
  <c r="Q12" i="49" a="1"/>
  <c r="L12" i="47" a="1"/>
  <c r="P14" i="47" a="1"/>
  <c r="O17" i="49" a="1"/>
  <c r="T15" i="49" a="1"/>
  <c r="U3" i="49" a="1"/>
  <c r="O24" i="49" a="1"/>
  <c r="V6" i="49" a="1"/>
  <c r="N42" i="47" a="1"/>
  <c r="P48" i="47" a="1"/>
  <c r="P19" i="49" a="1"/>
  <c r="M39" i="47" a="1"/>
  <c r="R5" i="49" a="1"/>
  <c r="P35" i="47" a="1"/>
  <c r="P23" i="47" a="1"/>
  <c r="L34" i="47" a="1"/>
  <c r="M40" i="47" a="1"/>
  <c r="M33" i="47" a="1"/>
  <c r="W15" i="49" a="1"/>
  <c r="W4" i="49" a="1"/>
  <c r="V3" i="49" a="1"/>
  <c r="W12" i="49" a="1"/>
  <c r="U2" i="49" a="1"/>
  <c r="U19" i="49" a="1"/>
  <c r="L10" i="47" a="1"/>
  <c r="Y14" i="49" a="1"/>
  <c r="V24" i="49" a="1"/>
  <c r="N43" i="47" a="1"/>
  <c r="M36" i="47" a="1"/>
  <c r="X6" i="49" a="1"/>
  <c r="Q7" i="49" a="1"/>
  <c r="P34" i="47" a="1"/>
  <c r="P21" i="49" a="1"/>
  <c r="T22" i="49" a="1"/>
  <c r="N36" i="47" a="1"/>
  <c r="L4" i="47" a="1"/>
  <c r="L16" i="47" a="1"/>
  <c r="M21" i="47" a="1"/>
  <c r="N51" i="47" a="1"/>
  <c r="P38" i="47" a="1"/>
  <c r="P50" i="47" a="1"/>
  <c r="R22" i="49" a="1"/>
  <c r="N26" i="47" a="1"/>
  <c r="W16" i="49" a="1"/>
  <c r="L26" i="47" a="1"/>
  <c r="L40" i="47" a="1"/>
  <c r="Q17" i="49" a="1"/>
  <c r="Y18" i="49" a="1"/>
  <c r="R13" i="49" a="1"/>
  <c r="T10" i="49" a="1"/>
  <c r="S16" i="49" a="1"/>
  <c r="N25" i="47" a="1"/>
  <c r="T12" i="49" a="1"/>
  <c r="L29" i="47" a="1"/>
  <c r="U7" i="49" a="1"/>
  <c r="S19" i="49" a="1"/>
  <c r="Y19" i="49" a="1"/>
  <c r="P36" i="47" a="1"/>
  <c r="M12" i="47" a="1"/>
  <c r="X4" i="49" a="1"/>
  <c r="P20" i="47" a="1"/>
  <c r="N16" i="47" a="1"/>
  <c r="P10" i="47" a="1"/>
  <c r="M48" i="47" a="1"/>
  <c r="O15" i="49" a="1"/>
  <c r="S23" i="49" a="1"/>
  <c r="Q21" i="49" a="1"/>
  <c r="R14" i="49" a="1"/>
  <c r="Y16" i="49" a="1"/>
  <c r="W13" i="49" a="1"/>
  <c r="O2" i="49" a="1"/>
  <c r="L18" i="47" a="1"/>
  <c r="L13" i="47" a="1"/>
  <c r="W8" i="49" a="1"/>
  <c r="V17" i="49" a="1"/>
  <c r="Q10" i="49" a="1"/>
  <c r="M13" i="47" a="1"/>
  <c r="M3" i="47" a="1"/>
  <c r="P15" i="47" a="1"/>
  <c r="R16" i="49" a="1"/>
  <c r="P46" i="47" a="1"/>
  <c r="L17" i="47" a="1"/>
  <c r="M38" i="47" a="1"/>
  <c r="Y22" i="49" a="1"/>
  <c r="S22" i="49" a="1"/>
  <c r="U16" i="49" a="1"/>
  <c r="W5" i="49" a="1"/>
  <c r="M49" i="47" a="1"/>
  <c r="V16" i="49" a="1"/>
  <c r="N21" i="47" a="1"/>
  <c r="N40" i="47" a="1"/>
  <c r="R20" i="49" a="1"/>
  <c r="P2" i="49" a="1"/>
  <c r="P43" i="47" a="1"/>
  <c r="W14" i="49" a="1"/>
  <c r="N14" i="47" a="1"/>
  <c r="Q8" i="49" a="1"/>
  <c r="P7" i="47" a="1"/>
  <c r="P16" i="49" a="1"/>
  <c r="Y12" i="49" a="1"/>
  <c r="O9" i="49" a="1"/>
  <c r="M32" i="47" a="1"/>
  <c r="N24" i="47" a="1"/>
  <c r="P5" i="47" a="1"/>
  <c r="V18" i="49" a="1"/>
  <c r="T16" i="49" a="1"/>
  <c r="L23" i="47" a="1"/>
  <c r="P24" i="49" a="1"/>
  <c r="N49" i="47" a="1"/>
  <c r="Y3" i="49" a="1"/>
  <c r="P3" i="47" a="1"/>
  <c r="L2" i="47" a="1"/>
  <c r="Y20" i="49" a="1"/>
  <c r="M8" i="47" a="1"/>
  <c r="L35" i="47" a="1"/>
  <c r="S17" i="49" a="1"/>
  <c r="U14" i="49" a="1"/>
  <c r="S3" i="49" a="1"/>
  <c r="M29" i="47" a="1"/>
  <c r="N7" i="47" a="1"/>
  <c r="W7" i="49" a="1"/>
  <c r="L14" i="47" a="1"/>
  <c r="P10" i="49" a="1"/>
  <c r="L49" i="47" a="1"/>
  <c r="N46" i="47" a="1"/>
  <c r="N47" i="47" a="1"/>
  <c r="L47" i="47" a="1"/>
  <c r="N44" i="47" a="1"/>
  <c r="N5" i="47" a="1"/>
  <c r="R24" i="49" a="1"/>
  <c r="S12" i="49" a="1"/>
  <c r="M41" i="47" a="1"/>
  <c r="M24" i="47" a="1"/>
  <c r="L51" i="47" a="1"/>
  <c r="P29" i="47" a="1"/>
  <c r="L41" i="47" a="1"/>
  <c r="M28" i="47" a="1"/>
  <c r="L37" i="47" a="1"/>
  <c r="O11" i="49" a="1"/>
  <c r="P13" i="49" a="1"/>
  <c r="M17" i="47" a="1"/>
  <c r="Y11" i="49" a="1"/>
  <c r="S5" i="49" a="1"/>
  <c r="Y5" i="49" a="1"/>
  <c r="W18" i="49" a="1"/>
  <c r="Y21" i="49" a="1"/>
  <c r="N37" i="47" a="1"/>
  <c r="L45" i="47" a="1"/>
  <c r="V12" i="49" a="1"/>
  <c r="O19" i="49" a="1"/>
  <c r="L30" i="47" a="1"/>
  <c r="P15" i="49" a="1"/>
  <c r="N48" i="47" a="1"/>
  <c r="W10" i="49" a="1"/>
  <c r="N50" i="47" a="1"/>
  <c r="S10" i="49" a="1"/>
  <c r="U13" i="49" a="1"/>
  <c r="V21" i="49" a="1"/>
  <c r="Q2" i="49" a="1"/>
  <c r="Q23" i="49" a="1"/>
  <c r="X5" i="49" a="1"/>
  <c r="Y6" i="49" a="1"/>
  <c r="W23" i="49" a="1"/>
  <c r="R6" i="49" a="1"/>
  <c r="N52" i="47" a="1"/>
  <c r="W6" i="49" a="1"/>
  <c r="S14" i="49" a="1"/>
  <c r="L27" i="47" a="1"/>
  <c r="W3" i="49" a="1"/>
  <c r="T7" i="49" a="1"/>
  <c r="Q22" i="49" a="1"/>
  <c r="N10" i="47" a="1"/>
  <c r="M52" i="47" a="1"/>
  <c r="W20" i="49" a="1"/>
  <c r="M18" i="47" a="1"/>
  <c r="M5" i="47" a="1"/>
  <c r="U22" i="49" a="1"/>
  <c r="Q19" i="49" a="1"/>
  <c r="M6" i="47" a="1"/>
  <c r="X2" i="49" a="1"/>
  <c r="S6" i="49" a="1"/>
  <c r="N13" i="47" a="1"/>
  <c r="O3" i="49" a="1"/>
  <c r="U18" i="49" a="1"/>
  <c r="P26" i="47" a="1"/>
  <c r="M51" i="47" a="1"/>
  <c r="O16" i="49" a="1"/>
  <c r="R15" i="49" a="1"/>
  <c r="V15" i="49" a="1"/>
  <c r="N20" i="47" a="1"/>
  <c r="L20" i="47" a="1"/>
  <c r="O7" i="49" a="1"/>
  <c r="M44" i="47" a="1"/>
  <c r="Y9" i="49" a="1"/>
  <c r="O22" i="49" a="1"/>
  <c r="M9" i="47" a="1"/>
  <c r="P8" i="47" a="1"/>
  <c r="U24" i="49" a="1"/>
  <c r="L24" i="47" a="1"/>
  <c r="P6" i="47" a="1"/>
  <c r="O20" i="49" a="1"/>
  <c r="N11" i="47" a="1"/>
  <c r="S15" i="49" a="1"/>
  <c r="Q14" i="49" a="1"/>
  <c r="S11" i="49" a="1"/>
  <c r="P33" i="47" a="1"/>
  <c r="Y8" i="49" a="1"/>
  <c r="M47" i="47" a="1"/>
  <c r="P17" i="47" a="1"/>
  <c r="M25" i="47" a="1"/>
  <c r="M27" i="47" a="1"/>
  <c r="X12" i="49" a="1"/>
  <c r="W17" i="49" a="1"/>
  <c r="N9" i="47" a="1"/>
  <c r="T14" i="49" a="1"/>
  <c r="X16" i="49" a="1"/>
  <c r="W9" i="49" a="1"/>
  <c r="O23" i="49" a="1"/>
  <c r="P9" i="49" a="1"/>
  <c r="Q9" i="49" a="1"/>
  <c r="L9" i="47" a="1"/>
  <c r="Y4" i="49" a="1"/>
  <c r="L25" i="47" a="1"/>
  <c r="Q6" i="49" a="1"/>
  <c r="Y2" i="49" a="1"/>
  <c r="U21" i="49" a="1"/>
  <c r="O21" i="49" a="1"/>
  <c r="N28" i="47" a="1"/>
  <c r="P5" i="49" a="1"/>
  <c r="T19" i="49" a="1"/>
  <c r="V9" i="49" a="1"/>
  <c r="R8" i="49" a="1"/>
  <c r="N33" i="47" a="1"/>
  <c r="M15" i="47" a="1"/>
  <c r="P2" i="47" a="1"/>
  <c r="T8" i="49" a="1"/>
  <c r="X21" i="49" a="1"/>
  <c r="X20" i="49" a="1"/>
  <c r="W21" i="49" a="1"/>
  <c r="M31" i="47" a="1"/>
  <c r="X8" i="49" a="1"/>
  <c r="R3" i="49" a="1"/>
  <c r="U11" i="49" a="1"/>
  <c r="P12" i="49" a="1"/>
  <c r="S20" i="49" a="1"/>
  <c r="L7" i="47" a="1"/>
  <c r="L42" i="47" a="1"/>
  <c r="M35" i="47" a="1"/>
  <c r="M16" i="47" a="1"/>
  <c r="M2" i="47" a="1"/>
  <c r="L11" i="47" a="1"/>
  <c r="P18" i="47" a="1"/>
  <c r="P14" i="49" a="1"/>
  <c r="M4" i="47" a="1"/>
  <c r="L38" i="47" a="1"/>
  <c r="R4" i="49" a="1"/>
  <c r="V10" i="49" a="1"/>
  <c r="Q20" i="49" a="1"/>
  <c r="X13" i="49" a="1"/>
  <c r="R17" i="49" a="1"/>
  <c r="W11" i="49" a="1"/>
  <c r="P8" i="49" a="1"/>
  <c r="V14" i="49" a="1"/>
  <c r="U4" i="49" a="1"/>
  <c r="P25" i="47" a="1"/>
  <c r="Q15" i="49" a="1"/>
  <c r="X9" i="49" a="1"/>
  <c r="S13" i="49" a="1"/>
  <c r="P31" i="47" a="1"/>
  <c r="U10" i="49" a="1"/>
  <c r="M19" i="47" a="1"/>
  <c r="X24" i="49" a="1"/>
  <c r="L22" i="47" a="1"/>
  <c r="S2" i="49" a="1"/>
  <c r="L52" i="47" a="1"/>
  <c r="S24" i="49" a="1"/>
  <c r="U17" i="49" a="1"/>
  <c r="X17" i="49" a="1"/>
  <c r="R11" i="49" a="1"/>
  <c r="L43" i="47" a="1"/>
  <c r="P44" i="47" a="1"/>
  <c r="W19" i="49" a="1"/>
  <c r="T9" i="49" a="1"/>
  <c r="T13" i="49" a="1"/>
  <c r="X19" i="49" a="1"/>
  <c r="T6" i="49" a="1"/>
  <c r="U6" i="49" a="1"/>
  <c r="N22" i="47" a="1"/>
  <c r="Y24" i="49" a="1"/>
  <c r="N32" i="47" a="1"/>
  <c r="W2" i="49" a="1"/>
  <c r="T5" i="49" a="1"/>
  <c r="W24" i="49" a="1"/>
  <c r="L46" i="47" a="1"/>
  <c r="N4" i="47" a="1"/>
  <c r="O6" i="49" a="1"/>
  <c r="Y10" i="49" a="1"/>
  <c r="Q4" i="49" a="1"/>
  <c r="P41" i="47" a="1"/>
  <c r="P28" i="47" a="1"/>
  <c r="L21" i="47" a="1"/>
  <c r="P21" i="47" a="1"/>
  <c r="N6" i="47" a="1"/>
  <c r="O5" i="49" a="1"/>
  <c r="R9" i="49" a="1"/>
  <c r="S7" i="49" a="1"/>
  <c r="L50" i="47" a="1"/>
  <c r="R12" i="49" a="1"/>
  <c r="M26" i="47" a="1"/>
  <c r="L44" i="47" a="1"/>
  <c r="N35" i="47" a="1"/>
  <c r="P49" i="47" a="1"/>
  <c r="N29" i="47" a="1"/>
  <c r="X14" i="49" a="1"/>
  <c r="L39" i="47" a="1"/>
  <c r="P11" i="47" a="1"/>
  <c r="S18" i="49" a="1"/>
  <c r="U12" i="49" a="1"/>
  <c r="P4" i="49" a="1"/>
  <c r="P11" i="49" a="1"/>
  <c r="Q13" i="49" a="1"/>
  <c r="N31" i="47" a="1"/>
  <c r="M46" i="47" a="1"/>
  <c r="U20" i="49" a="1"/>
  <c r="P45" i="47" a="1"/>
  <c r="P7" i="49" a="1"/>
  <c r="X3" i="49" a="1"/>
  <c r="M37" i="47" a="1"/>
  <c r="P20" i="49" a="1"/>
  <c r="Q24" i="49" a="1"/>
  <c r="U8" i="49" a="1"/>
  <c r="T17" i="49" a="1"/>
  <c r="L15" i="47" a="1"/>
  <c r="N39" i="47" a="1"/>
  <c r="P24" i="47" a="1"/>
  <c r="N34" i="47" a="1"/>
  <c r="Y7" i="49" a="1"/>
  <c r="L5" i="47" a="1"/>
  <c r="X23" i="49" a="1"/>
  <c r="Y17" i="49" a="1"/>
  <c r="P3" i="49" a="1"/>
  <c r="V7" i="49" a="1"/>
  <c r="Y15" i="49" a="1"/>
  <c r="N17" i="47" a="1"/>
  <c r="M43" i="47" a="1"/>
  <c r="S4" i="49" a="1"/>
  <c r="O14" i="49" a="1"/>
  <c r="U15" i="49" a="1"/>
  <c r="V2" i="49" a="1"/>
  <c r="P52" i="47" a="1"/>
  <c r="L8" i="47" a="1"/>
  <c r="P40" i="47" a="1"/>
  <c r="P22" i="49" a="1"/>
  <c r="P51" i="47" a="1"/>
  <c r="L33" i="47" a="1"/>
  <c r="R18" i="49" a="1"/>
  <c r="R7" i="49" a="1"/>
  <c r="M7" i="47" a="1"/>
  <c r="N38" i="47" a="1"/>
  <c r="U23" i="49" a="1"/>
  <c r="N12" i="47" a="1"/>
  <c r="P13" i="47" a="1"/>
  <c r="N18" i="47" a="1"/>
  <c r="Q18" i="49" a="1"/>
  <c r="T23" i="49" a="1"/>
  <c r="R21" i="49" a="1"/>
  <c r="M20" i="47" a="1"/>
  <c r="P6" i="49" a="1"/>
  <c r="N15" i="47" a="1"/>
  <c r="T3" i="49" a="1"/>
  <c r="O13" i="49" a="1"/>
  <c r="V23" i="49" a="1"/>
  <c r="T18" i="49" a="1"/>
  <c r="P37" i="47" a="1"/>
  <c r="P39" i="47" a="1"/>
  <c r="M22" i="47" a="1"/>
  <c r="Q11" i="49" a="1"/>
  <c r="R2" i="49" a="1"/>
  <c r="P4" i="47" a="1"/>
  <c r="V8" i="49" a="1"/>
  <c r="X11" i="49" a="1"/>
  <c r="N19" i="47" a="1"/>
  <c r="P16" i="47" a="1"/>
  <c r="O8" i="49" a="1"/>
  <c r="L3" i="47" a="1"/>
  <c r="M10" i="47" a="1"/>
  <c r="N3" i="47" a="1"/>
  <c r="W22" i="49" a="1"/>
  <c r="S8" i="49" a="1"/>
  <c r="O12" i="49" a="1"/>
  <c r="S21" i="49" a="1"/>
  <c r="X10" i="49" a="1"/>
  <c r="P19" i="47" a="1"/>
  <c r="T21" i="49" a="1"/>
  <c r="L19" i="47" a="1"/>
  <c r="X15" i="49" a="1"/>
  <c r="M42" i="47" a="1"/>
  <c r="M14" i="47" a="1"/>
  <c r="M14" i="47" l="1"/>
  <c r="M42" i="47"/>
  <c r="X15" i="49"/>
  <c r="J27" i="44" s="1"/>
  <c r="L19" i="47"/>
  <c r="A19" i="48" s="1"/>
  <c r="T21" i="49"/>
  <c r="F33" i="44" s="1"/>
  <c r="P19" i="47"/>
  <c r="D19" i="48" s="1"/>
  <c r="X10" i="49"/>
  <c r="J22" i="44" s="1"/>
  <c r="S21" i="49"/>
  <c r="E33" i="44" s="1"/>
  <c r="O12" i="49"/>
  <c r="A24" i="44" s="1"/>
  <c r="S8" i="49"/>
  <c r="E20" i="44" s="1"/>
  <c r="W22" i="49"/>
  <c r="I34" i="44" s="1"/>
  <c r="N3" i="47"/>
  <c r="B3" i="48" s="1"/>
  <c r="M10" i="47"/>
  <c r="L3" i="47"/>
  <c r="A3" i="48" s="1"/>
  <c r="O8" i="49"/>
  <c r="A20" i="44" s="1"/>
  <c r="P16" i="47"/>
  <c r="D16" i="48" s="1"/>
  <c r="N19" i="47"/>
  <c r="B19" i="48" s="1"/>
  <c r="X11" i="49"/>
  <c r="J23" i="44" s="1"/>
  <c r="V8" i="49"/>
  <c r="H20" i="44" s="1"/>
  <c r="P4" i="47"/>
  <c r="D4" i="48" s="1"/>
  <c r="R2" i="49"/>
  <c r="D14" i="44" s="1"/>
  <c r="Q11" i="49"/>
  <c r="C23" i="44" s="1"/>
  <c r="M22" i="47"/>
  <c r="P39" i="47"/>
  <c r="D39" i="48" s="1"/>
  <c r="P37" i="47"/>
  <c r="D37" i="48" s="1"/>
  <c r="T18" i="49"/>
  <c r="F30" i="44" s="1"/>
  <c r="V23" i="49"/>
  <c r="H35" i="44" s="1"/>
  <c r="O13" i="49"/>
  <c r="A25" i="44" s="1"/>
  <c r="T3" i="49"/>
  <c r="F15" i="44" s="1"/>
  <c r="N15" i="47"/>
  <c r="B15" i="48" s="1"/>
  <c r="P6" i="49"/>
  <c r="B18" i="44" s="1"/>
  <c r="M20" i="47"/>
  <c r="R21" i="49"/>
  <c r="D33" i="44" s="1"/>
  <c r="T23" i="49"/>
  <c r="F35" i="44" s="1"/>
  <c r="Q18" i="49"/>
  <c r="C30" i="44" s="1"/>
  <c r="N18" i="47"/>
  <c r="B18" i="48" s="1"/>
  <c r="P13" i="47"/>
  <c r="D13" i="48" s="1"/>
  <c r="N12" i="47"/>
  <c r="B12" i="48" s="1"/>
  <c r="U23" i="49"/>
  <c r="G35" i="44" s="1"/>
  <c r="N38" i="47"/>
  <c r="B38" i="48" s="1"/>
  <c r="M7" i="47"/>
  <c r="R7" i="49"/>
  <c r="D19" i="44" s="1"/>
  <c r="R18" i="49"/>
  <c r="D30" i="44" s="1"/>
  <c r="L33" i="47"/>
  <c r="A33" i="48" s="1"/>
  <c r="P51" i="47"/>
  <c r="P22" i="49"/>
  <c r="B34" i="44" s="1"/>
  <c r="P40" i="47"/>
  <c r="D40" i="48" s="1"/>
  <c r="L8" i="47"/>
  <c r="A8" i="48" s="1"/>
  <c r="P52" i="47"/>
  <c r="D51" i="48" s="1"/>
  <c r="V2" i="49"/>
  <c r="H14" i="44" s="1"/>
  <c r="U15" i="49"/>
  <c r="G27" i="44" s="1"/>
  <c r="O14" i="49"/>
  <c r="A26" i="44" s="1"/>
  <c r="S4" i="49"/>
  <c r="E16" i="44" s="1"/>
  <c r="M43" i="47"/>
  <c r="N17" i="47"/>
  <c r="B17" i="48" s="1"/>
  <c r="Y15" i="49"/>
  <c r="K27" i="44" s="1"/>
  <c r="V7" i="49"/>
  <c r="H19" i="44" s="1"/>
  <c r="P3" i="49"/>
  <c r="B15" i="44" s="1"/>
  <c r="Y17" i="49"/>
  <c r="K29" i="44" s="1"/>
  <c r="X23" i="49"/>
  <c r="J35" i="44" s="1"/>
  <c r="L5" i="47"/>
  <c r="A5" i="48" s="1"/>
  <c r="Y7" i="49"/>
  <c r="K19" i="44" s="1"/>
  <c r="N34" i="47"/>
  <c r="B34" i="48" s="1"/>
  <c r="P24" i="47"/>
  <c r="D24" i="48" s="1"/>
  <c r="N39" i="47"/>
  <c r="B39" i="48" s="1"/>
  <c r="L15" i="47"/>
  <c r="A15" i="48" s="1"/>
  <c r="T17" i="49"/>
  <c r="F29" i="44" s="1"/>
  <c r="U8" i="49"/>
  <c r="G20" i="44" s="1"/>
  <c r="Q24" i="49"/>
  <c r="C36" i="44" s="1"/>
  <c r="P20" i="49"/>
  <c r="B32" i="44" s="1"/>
  <c r="M37" i="47"/>
  <c r="X3" i="49"/>
  <c r="J15" i="44" s="1"/>
  <c r="P7" i="49"/>
  <c r="B19" i="44" s="1"/>
  <c r="P45" i="47"/>
  <c r="D45" i="48" s="1"/>
  <c r="U20" i="49"/>
  <c r="G32" i="44" s="1"/>
  <c r="M46" i="47"/>
  <c r="N31" i="47"/>
  <c r="B31" i="48" s="1"/>
  <c r="Q13" i="49"/>
  <c r="C25" i="44" s="1"/>
  <c r="P11" i="49"/>
  <c r="B23" i="44" s="1"/>
  <c r="P4" i="49"/>
  <c r="B16" i="44" s="1"/>
  <c r="U12" i="49"/>
  <c r="G24" i="44" s="1"/>
  <c r="S18" i="49"/>
  <c r="E30" i="44" s="1"/>
  <c r="P11" i="47"/>
  <c r="D11" i="48" s="1"/>
  <c r="L39" i="47"/>
  <c r="A39" i="48" s="1"/>
  <c r="X14" i="49"/>
  <c r="J26" i="44" s="1"/>
  <c r="N29" i="47"/>
  <c r="B29" i="48" s="1"/>
  <c r="P49" i="47"/>
  <c r="D49" i="48" s="1"/>
  <c r="N35" i="47"/>
  <c r="B35" i="48" s="1"/>
  <c r="L44" i="47"/>
  <c r="A44" i="48" s="1"/>
  <c r="M26" i="47"/>
  <c r="R12" i="49"/>
  <c r="D24" i="44" s="1"/>
  <c r="L50" i="47"/>
  <c r="A50" i="48" s="1"/>
  <c r="S7" i="49"/>
  <c r="E19" i="44" s="1"/>
  <c r="R9" i="49"/>
  <c r="D21" i="44" s="1"/>
  <c r="O5" i="49"/>
  <c r="A17" i="44" s="1"/>
  <c r="N6" i="47"/>
  <c r="B6" i="48" s="1"/>
  <c r="P21" i="47"/>
  <c r="D21" i="48" s="1"/>
  <c r="L21" i="47"/>
  <c r="A21" i="48" s="1"/>
  <c r="P28" i="47"/>
  <c r="D28" i="48" s="1"/>
  <c r="P41" i="47"/>
  <c r="D41" i="48" s="1"/>
  <c r="Q4" i="49"/>
  <c r="C16" i="44" s="1"/>
  <c r="Y10" i="49"/>
  <c r="K22" i="44" s="1"/>
  <c r="O6" i="49"/>
  <c r="A18" i="44" s="1"/>
  <c r="N4" i="47"/>
  <c r="B4" i="48" s="1"/>
  <c r="L46" i="47"/>
  <c r="A46" i="48" s="1"/>
  <c r="W24" i="49"/>
  <c r="I36" i="44" s="1"/>
  <c r="T5" i="49"/>
  <c r="F17" i="44" s="1"/>
  <c r="W2" i="49"/>
  <c r="I14" i="44" s="1"/>
  <c r="N32" i="47"/>
  <c r="B32" i="48" s="1"/>
  <c r="Y24" i="49"/>
  <c r="K36" i="44" s="1"/>
  <c r="N22" i="47"/>
  <c r="B22" i="48" s="1"/>
  <c r="U6" i="49"/>
  <c r="G18" i="44" s="1"/>
  <c r="T6" i="49"/>
  <c r="F18" i="44" s="1"/>
  <c r="X19" i="49"/>
  <c r="J31" i="44" s="1"/>
  <c r="T13" i="49"/>
  <c r="F25" i="44" s="1"/>
  <c r="T9" i="49"/>
  <c r="F21" i="44" s="1"/>
  <c r="W19" i="49"/>
  <c r="I31" i="44" s="1"/>
  <c r="P44" i="47"/>
  <c r="D44" i="48" s="1"/>
  <c r="L43" i="47"/>
  <c r="A43" i="48" s="1"/>
  <c r="R11" i="49"/>
  <c r="D23" i="44" s="1"/>
  <c r="X17" i="49"/>
  <c r="J29" i="44" s="1"/>
  <c r="U17" i="49"/>
  <c r="G29" i="44" s="1"/>
  <c r="S24" i="49"/>
  <c r="E36" i="44" s="1"/>
  <c r="L52" i="47"/>
  <c r="A51" i="48" s="1"/>
  <c r="S2" i="49"/>
  <c r="E14" i="44" s="1"/>
  <c r="L22" i="47"/>
  <c r="A22" i="48" s="1"/>
  <c r="X24" i="49"/>
  <c r="J36" i="44" s="1"/>
  <c r="M19" i="47"/>
  <c r="U10" i="49"/>
  <c r="G22" i="44" s="1"/>
  <c r="P31" i="47"/>
  <c r="D31" i="48" s="1"/>
  <c r="S13" i="49"/>
  <c r="E25" i="44" s="1"/>
  <c r="X9" i="49"/>
  <c r="J21" i="44" s="1"/>
  <c r="Q15" i="49"/>
  <c r="C27" i="44" s="1"/>
  <c r="P25" i="47"/>
  <c r="D25" i="48" s="1"/>
  <c r="U4" i="49"/>
  <c r="G16" i="44" s="1"/>
  <c r="V14" i="49"/>
  <c r="H26" i="44" s="1"/>
  <c r="P8" i="49"/>
  <c r="B20" i="44" s="1"/>
  <c r="W11" i="49"/>
  <c r="I23" i="44" s="1"/>
  <c r="R17" i="49"/>
  <c r="D29" i="44" s="1"/>
  <c r="X13" i="49"/>
  <c r="J25" i="44" s="1"/>
  <c r="Q20" i="49"/>
  <c r="C32" i="44" s="1"/>
  <c r="V10" i="49"/>
  <c r="H22" i="44" s="1"/>
  <c r="R4" i="49"/>
  <c r="D16" i="44" s="1"/>
  <c r="L38" i="47"/>
  <c r="A38" i="48" s="1"/>
  <c r="M4" i="47"/>
  <c r="P14" i="49"/>
  <c r="B26" i="44" s="1"/>
  <c r="P18" i="47"/>
  <c r="D18" i="48" s="1"/>
  <c r="L11" i="47"/>
  <c r="A11" i="48" s="1"/>
  <c r="M2" i="47"/>
  <c r="M16" i="47"/>
  <c r="M35" i="47"/>
  <c r="L42" i="47"/>
  <c r="A42" i="48" s="1"/>
  <c r="L7" i="47"/>
  <c r="A7" i="48" s="1"/>
  <c r="S20" i="49"/>
  <c r="E32" i="44" s="1"/>
  <c r="P12" i="49"/>
  <c r="B24" i="44" s="1"/>
  <c r="U11" i="49"/>
  <c r="G23" i="44" s="1"/>
  <c r="R3" i="49"/>
  <c r="D15" i="44" s="1"/>
  <c r="X8" i="49"/>
  <c r="J20" i="44" s="1"/>
  <c r="M31" i="47"/>
  <c r="W21" i="49"/>
  <c r="I33" i="44" s="1"/>
  <c r="X20" i="49"/>
  <c r="J32" i="44" s="1"/>
  <c r="X21" i="49"/>
  <c r="J33" i="44" s="1"/>
  <c r="T8" i="49"/>
  <c r="F20" i="44" s="1"/>
  <c r="P2" i="47"/>
  <c r="D2" i="48" s="1"/>
  <c r="M15" i="47"/>
  <c r="N33" i="47"/>
  <c r="B33" i="48" s="1"/>
  <c r="R8" i="49"/>
  <c r="D20" i="44" s="1"/>
  <c r="V9" i="49"/>
  <c r="H21" i="44" s="1"/>
  <c r="T19" i="49"/>
  <c r="F31" i="44" s="1"/>
  <c r="P5" i="49"/>
  <c r="B17" i="44" s="1"/>
  <c r="N28" i="47"/>
  <c r="B28" i="48" s="1"/>
  <c r="O21" i="49"/>
  <c r="A33" i="44" s="1"/>
  <c r="U21" i="49"/>
  <c r="G33" i="44" s="1"/>
  <c r="Y2" i="49"/>
  <c r="K14" i="44" s="1"/>
  <c r="Q6" i="49"/>
  <c r="C18" i="44" s="1"/>
  <c r="L25" i="47"/>
  <c r="A25" i="48" s="1"/>
  <c r="Y4" i="49"/>
  <c r="K16" i="44" s="1"/>
  <c r="L9" i="47"/>
  <c r="A9" i="48" s="1"/>
  <c r="Q9" i="49"/>
  <c r="C21" i="44" s="1"/>
  <c r="P9" i="49"/>
  <c r="B21" i="44" s="1"/>
  <c r="O23" i="49"/>
  <c r="A35" i="44" s="1"/>
  <c r="W9" i="49"/>
  <c r="I21" i="44" s="1"/>
  <c r="X16" i="49"/>
  <c r="J28" i="44" s="1"/>
  <c r="T14" i="49"/>
  <c r="F26" i="44" s="1"/>
  <c r="N9" i="47"/>
  <c r="B9" i="48" s="1"/>
  <c r="W17" i="49"/>
  <c r="I29" i="44" s="1"/>
  <c r="X12" i="49"/>
  <c r="J24" i="44" s="1"/>
  <c r="M27" i="47"/>
  <c r="M25" i="47"/>
  <c r="P17" i="47"/>
  <c r="D17" i="48" s="1"/>
  <c r="M47" i="47"/>
  <c r="Y8" i="49"/>
  <c r="K20" i="44" s="1"/>
  <c r="P33" i="47"/>
  <c r="D33" i="48" s="1"/>
  <c r="S11" i="49"/>
  <c r="E23" i="44" s="1"/>
  <c r="Q14" i="49"/>
  <c r="C26" i="44" s="1"/>
  <c r="S15" i="49"/>
  <c r="E27" i="44" s="1"/>
  <c r="N11" i="47"/>
  <c r="B11" i="48" s="1"/>
  <c r="O20" i="49"/>
  <c r="A32" i="44" s="1"/>
  <c r="P6" i="47"/>
  <c r="D6" i="48" s="1"/>
  <c r="L24" i="47"/>
  <c r="A24" i="48" s="1"/>
  <c r="U24" i="49"/>
  <c r="G36" i="44" s="1"/>
  <c r="P8" i="47"/>
  <c r="D8" i="48" s="1"/>
  <c r="M9" i="47"/>
  <c r="O22" i="49"/>
  <c r="A34" i="44" s="1"/>
  <c r="Y9" i="49"/>
  <c r="K21" i="44" s="1"/>
  <c r="M44" i="47"/>
  <c r="O7" i="49"/>
  <c r="A19" i="44" s="1"/>
  <c r="L20" i="47"/>
  <c r="A20" i="48" s="1"/>
  <c r="N20" i="47"/>
  <c r="B20" i="48" s="1"/>
  <c r="V15" i="49"/>
  <c r="H27" i="44" s="1"/>
  <c r="R15" i="49"/>
  <c r="D27" i="44" s="1"/>
  <c r="O16" i="49"/>
  <c r="A28" i="44" s="1"/>
  <c r="M51" i="47"/>
  <c r="P26" i="47"/>
  <c r="D26" i="48" s="1"/>
  <c r="U18" i="49"/>
  <c r="G30" i="44" s="1"/>
  <c r="O3" i="49"/>
  <c r="A15" i="44" s="1"/>
  <c r="N13" i="47"/>
  <c r="B13" i="48" s="1"/>
  <c r="S6" i="49"/>
  <c r="E18" i="44" s="1"/>
  <c r="X2" i="49"/>
  <c r="J14" i="44" s="1"/>
  <c r="M6" i="47"/>
  <c r="Q19" i="49"/>
  <c r="C31" i="44" s="1"/>
  <c r="U22" i="49"/>
  <c r="G34" i="44" s="1"/>
  <c r="M5" i="47"/>
  <c r="M18" i="47"/>
  <c r="W20" i="49"/>
  <c r="I32" i="44" s="1"/>
  <c r="M52" i="47"/>
  <c r="N10" i="47"/>
  <c r="B10" i="48" s="1"/>
  <c r="Q22" i="49"/>
  <c r="C34" i="44" s="1"/>
  <c r="T7" i="49"/>
  <c r="F19" i="44" s="1"/>
  <c r="W3" i="49"/>
  <c r="I15" i="44" s="1"/>
  <c r="L27" i="47"/>
  <c r="A27" i="48" s="1"/>
  <c r="S14" i="49"/>
  <c r="E26" i="44" s="1"/>
  <c r="W6" i="49"/>
  <c r="I18" i="44" s="1"/>
  <c r="N52" i="47"/>
  <c r="B51" i="48" s="1"/>
  <c r="R6" i="49"/>
  <c r="D18" i="44" s="1"/>
  <c r="W23" i="49"/>
  <c r="I35" i="44" s="1"/>
  <c r="Y6" i="49"/>
  <c r="K18" i="44" s="1"/>
  <c r="X5" i="49"/>
  <c r="J17" i="44" s="1"/>
  <c r="Q23" i="49"/>
  <c r="C35" i="44" s="1"/>
  <c r="Q2" i="49"/>
  <c r="C14" i="44" s="1"/>
  <c r="V21" i="49"/>
  <c r="H33" i="44" s="1"/>
  <c r="U13" i="49"/>
  <c r="G25" i="44" s="1"/>
  <c r="S10" i="49"/>
  <c r="E22" i="44" s="1"/>
  <c r="N50" i="47"/>
  <c r="B50" i="48" s="1"/>
  <c r="W10" i="49"/>
  <c r="I22" i="44" s="1"/>
  <c r="N48" i="47"/>
  <c r="B48" i="48" s="1"/>
  <c r="P15" i="49"/>
  <c r="B27" i="44" s="1"/>
  <c r="L30" i="47"/>
  <c r="A30" i="48" s="1"/>
  <c r="O19" i="49"/>
  <c r="A31" i="44" s="1"/>
  <c r="V12" i="49"/>
  <c r="H24" i="44" s="1"/>
  <c r="L45" i="47"/>
  <c r="A45" i="48" s="1"/>
  <c r="N37" i="47"/>
  <c r="B37" i="48" s="1"/>
  <c r="Y21" i="49"/>
  <c r="K33" i="44" s="1"/>
  <c r="W18" i="49"/>
  <c r="I30" i="44" s="1"/>
  <c r="Y5" i="49"/>
  <c r="K17" i="44" s="1"/>
  <c r="S5" i="49"/>
  <c r="E17" i="44" s="1"/>
  <c r="Y11" i="49"/>
  <c r="K23" i="44" s="1"/>
  <c r="M17" i="47"/>
  <c r="P13" i="49"/>
  <c r="B25" i="44" s="1"/>
  <c r="O11" i="49"/>
  <c r="A23" i="44" s="1"/>
  <c r="L37" i="47"/>
  <c r="A37" i="48" s="1"/>
  <c r="M28" i="47"/>
  <c r="L41" i="47"/>
  <c r="A41" i="48" s="1"/>
  <c r="P29" i="47"/>
  <c r="D29" i="48" s="1"/>
  <c r="L51" i="47"/>
  <c r="M24" i="47"/>
  <c r="M41" i="47"/>
  <c r="S12" i="49"/>
  <c r="E24" i="44" s="1"/>
  <c r="R24" i="49"/>
  <c r="D36" i="44" s="1"/>
  <c r="N5" i="47"/>
  <c r="B5" i="48" s="1"/>
  <c r="N44" i="47"/>
  <c r="B44" i="48" s="1"/>
  <c r="L47" i="47"/>
  <c r="A47" i="48" s="1"/>
  <c r="N47" i="47"/>
  <c r="B47" i="48" s="1"/>
  <c r="N46" i="47"/>
  <c r="B46" i="48" s="1"/>
  <c r="L49" i="47"/>
  <c r="A49" i="48" s="1"/>
  <c r="P10" i="49"/>
  <c r="B22" i="44" s="1"/>
  <c r="L14" i="47"/>
  <c r="A14" i="48" s="1"/>
  <c r="W7" i="49"/>
  <c r="I19" i="44" s="1"/>
  <c r="N7" i="47"/>
  <c r="B7" i="48" s="1"/>
  <c r="M29" i="47"/>
  <c r="S3" i="49"/>
  <c r="E15" i="44" s="1"/>
  <c r="U14" i="49"/>
  <c r="G26" i="44" s="1"/>
  <c r="S17" i="49"/>
  <c r="E29" i="44" s="1"/>
  <c r="L35" i="47"/>
  <c r="A35" i="48" s="1"/>
  <c r="M8" i="47"/>
  <c r="Y20" i="49"/>
  <c r="K32" i="44" s="1"/>
  <c r="L2" i="47"/>
  <c r="A2" i="48" s="1"/>
  <c r="P3" i="47"/>
  <c r="D3" i="48" s="1"/>
  <c r="Y3" i="49"/>
  <c r="K15" i="44" s="1"/>
  <c r="N49" i="47"/>
  <c r="B49" i="48" s="1"/>
  <c r="P24" i="49"/>
  <c r="B36" i="44" s="1"/>
  <c r="L23" i="47"/>
  <c r="A23" i="48" s="1"/>
  <c r="T16" i="49"/>
  <c r="F28" i="44" s="1"/>
  <c r="V18" i="49"/>
  <c r="H30" i="44" s="1"/>
  <c r="P5" i="47"/>
  <c r="D5" i="48" s="1"/>
  <c r="N24" i="47"/>
  <c r="B24" i="48" s="1"/>
  <c r="M32" i="47"/>
  <c r="O9" i="49"/>
  <c r="A21" i="44" s="1"/>
  <c r="Y12" i="49"/>
  <c r="K24" i="44" s="1"/>
  <c r="P16" i="49"/>
  <c r="B28" i="44" s="1"/>
  <c r="P7" i="47"/>
  <c r="D7" i="48" s="1"/>
  <c r="Q8" i="49"/>
  <c r="C20" i="44" s="1"/>
  <c r="N14" i="47"/>
  <c r="B14" i="48" s="1"/>
  <c r="W14" i="49"/>
  <c r="I26" i="44" s="1"/>
  <c r="P43" i="47"/>
  <c r="D43" i="48" s="1"/>
  <c r="P2" i="49"/>
  <c r="B14" i="44" s="1"/>
  <c r="R20" i="49"/>
  <c r="D32" i="44" s="1"/>
  <c r="N40" i="47"/>
  <c r="B40" i="48" s="1"/>
  <c r="N21" i="47"/>
  <c r="B21" i="48" s="1"/>
  <c r="V16" i="49"/>
  <c r="H28" i="44" s="1"/>
  <c r="M49" i="47"/>
  <c r="W5" i="49"/>
  <c r="I17" i="44" s="1"/>
  <c r="U16" i="49"/>
  <c r="G28" i="44" s="1"/>
  <c r="S22" i="49"/>
  <c r="E34" i="44" s="1"/>
  <c r="Y22" i="49"/>
  <c r="K34" i="44" s="1"/>
  <c r="M38" i="47"/>
  <c r="L17" i="47"/>
  <c r="A17" i="48" s="1"/>
  <c r="P46" i="47"/>
  <c r="D46" i="48" s="1"/>
  <c r="R16" i="49"/>
  <c r="D28" i="44" s="1"/>
  <c r="P15" i="47"/>
  <c r="D15" i="48" s="1"/>
  <c r="M3" i="47"/>
  <c r="M13" i="47"/>
  <c r="Q10" i="49"/>
  <c r="C22" i="44" s="1"/>
  <c r="V17" i="49"/>
  <c r="H29" i="44" s="1"/>
  <c r="W8" i="49"/>
  <c r="I20" i="44" s="1"/>
  <c r="L13" i="47"/>
  <c r="A13" i="48" s="1"/>
  <c r="L18" i="47"/>
  <c r="A18" i="48" s="1"/>
  <c r="O2" i="49"/>
  <c r="A14" i="44" s="1"/>
  <c r="M11" i="44" s="1" a="1"/>
  <c r="M11" i="44" s="1"/>
  <c r="W13" i="49"/>
  <c r="I25" i="44" s="1"/>
  <c r="Y16" i="49"/>
  <c r="K28" i="44" s="1"/>
  <c r="R14" i="49"/>
  <c r="D26" i="44" s="1"/>
  <c r="Q21" i="49"/>
  <c r="C33" i="44" s="1"/>
  <c r="S23" i="49"/>
  <c r="E35" i="44" s="1"/>
  <c r="O15" i="49"/>
  <c r="A27" i="44" s="1"/>
  <c r="M48" i="47"/>
  <c r="P10" i="47"/>
  <c r="D10" i="48" s="1"/>
  <c r="N16" i="47"/>
  <c r="B16" i="48" s="1"/>
  <c r="P20" i="47"/>
  <c r="D20" i="48" s="1"/>
  <c r="X4" i="49"/>
  <c r="J16" i="44" s="1"/>
  <c r="M12" i="47"/>
  <c r="P36" i="47"/>
  <c r="D36" i="48" s="1"/>
  <c r="Y19" i="49"/>
  <c r="K31" i="44" s="1"/>
  <c r="S19" i="49"/>
  <c r="E31" i="44" s="1"/>
  <c r="U7" i="49"/>
  <c r="G19" i="44" s="1"/>
  <c r="L29" i="47"/>
  <c r="A29" i="48" s="1"/>
  <c r="T12" i="49"/>
  <c r="F24" i="44" s="1"/>
  <c r="N25" i="47"/>
  <c r="B25" i="48" s="1"/>
  <c r="S16" i="49"/>
  <c r="E28" i="44" s="1"/>
  <c r="T10" i="49"/>
  <c r="F22" i="44" s="1"/>
  <c r="R13" i="49"/>
  <c r="D25" i="44" s="1"/>
  <c r="Y18" i="49"/>
  <c r="K30" i="44" s="1"/>
  <c r="Q17" i="49"/>
  <c r="C29" i="44" s="1"/>
  <c r="L40" i="47"/>
  <c r="A40" i="48" s="1"/>
  <c r="L26" i="47"/>
  <c r="A26" i="48" s="1"/>
  <c r="W16" i="49"/>
  <c r="I28" i="44" s="1"/>
  <c r="N26" i="47"/>
  <c r="B26" i="48" s="1"/>
  <c r="R22" i="49"/>
  <c r="D34" i="44" s="1"/>
  <c r="P50" i="47"/>
  <c r="D50" i="48" s="1"/>
  <c r="P38" i="47"/>
  <c r="D38" i="48" s="1"/>
  <c r="N51" i="47"/>
  <c r="M21" i="47"/>
  <c r="L16" i="47"/>
  <c r="A16" i="48" s="1"/>
  <c r="L4" i="47"/>
  <c r="A4" i="48" s="1"/>
  <c r="N36" i="47"/>
  <c r="B36" i="48" s="1"/>
  <c r="T22" i="49"/>
  <c r="F34" i="44" s="1"/>
  <c r="P21" i="49"/>
  <c r="B33" i="44" s="1"/>
  <c r="P34" i="47"/>
  <c r="D34" i="48" s="1"/>
  <c r="Q7" i="49"/>
  <c r="C19" i="44" s="1"/>
  <c r="X6" i="49"/>
  <c r="J18" i="44" s="1"/>
  <c r="M36" i="47"/>
  <c r="N43" i="47"/>
  <c r="B43" i="48" s="1"/>
  <c r="V24" i="49"/>
  <c r="H36" i="44" s="1"/>
  <c r="Y14" i="49"/>
  <c r="K26" i="44" s="1"/>
  <c r="L10" i="47"/>
  <c r="A10" i="48" s="1"/>
  <c r="U19" i="49"/>
  <c r="G31" i="44" s="1"/>
  <c r="U2" i="49"/>
  <c r="G14" i="44" s="1"/>
  <c r="W12" i="49"/>
  <c r="I24" i="44" s="1"/>
  <c r="V3" i="49"/>
  <c r="H15" i="44" s="1"/>
  <c r="W4" i="49"/>
  <c r="I16" i="44" s="1"/>
  <c r="W15" i="49"/>
  <c r="I27" i="44" s="1"/>
  <c r="M33" i="47"/>
  <c r="M40" i="47"/>
  <c r="L34" i="47"/>
  <c r="A34" i="48" s="1"/>
  <c r="P23" i="47"/>
  <c r="D23" i="48" s="1"/>
  <c r="P35" i="47"/>
  <c r="D35" i="48" s="1"/>
  <c r="R5" i="49"/>
  <c r="D17" i="44" s="1"/>
  <c r="M39" i="47"/>
  <c r="P19" i="49"/>
  <c r="B31" i="44" s="1"/>
  <c r="P48" i="47"/>
  <c r="D48" i="48" s="1"/>
  <c r="N42" i="47"/>
  <c r="B42" i="48" s="1"/>
  <c r="V6" i="49"/>
  <c r="H18" i="44" s="1"/>
  <c r="O24" i="49"/>
  <c r="A36" i="44" s="1"/>
  <c r="U3" i="49"/>
  <c r="G15" i="44" s="1"/>
  <c r="T15" i="49"/>
  <c r="F27" i="44" s="1"/>
  <c r="O17" i="49"/>
  <c r="A29" i="44" s="1"/>
  <c r="P14" i="47"/>
  <c r="D14" i="48" s="1"/>
  <c r="L12" i="47"/>
  <c r="A12" i="48" s="1"/>
  <c r="Q12" i="49"/>
  <c r="C24" i="44" s="1"/>
  <c r="T24" i="49"/>
  <c r="F36" i="44" s="1"/>
  <c r="P42" i="47"/>
  <c r="D42" i="48" s="1"/>
  <c r="L32" i="47"/>
  <c r="A32" i="48" s="1"/>
  <c r="T11" i="49"/>
  <c r="F23" i="44" s="1"/>
  <c r="M45" i="47"/>
  <c r="P30" i="47"/>
  <c r="D30" i="48" s="1"/>
  <c r="M30" i="47"/>
  <c r="T20" i="49"/>
  <c r="F32" i="44" s="1"/>
  <c r="T2" i="49"/>
  <c r="F14" i="44" s="1"/>
  <c r="R10" i="49"/>
  <c r="D22" i="44" s="1"/>
  <c r="Q3" i="49"/>
  <c r="C15" i="44" s="1"/>
  <c r="R23" i="49"/>
  <c r="D35" i="44" s="1"/>
  <c r="M11" i="47"/>
  <c r="R19" i="49"/>
  <c r="D31" i="44" s="1"/>
  <c r="N23" i="47"/>
  <c r="B23" i="48" s="1"/>
  <c r="Q16" i="49"/>
  <c r="C28" i="44" s="1"/>
  <c r="M34" i="47"/>
  <c r="M23" i="47"/>
  <c r="M50" i="47"/>
  <c r="V19" i="49"/>
  <c r="H31" i="44" s="1"/>
  <c r="L6" i="47"/>
  <c r="A6" i="48" s="1"/>
  <c r="P32" i="47"/>
  <c r="D32" i="48" s="1"/>
  <c r="O2" i="47"/>
  <c r="C2" i="48" s="1"/>
  <c r="P9" i="47"/>
  <c r="D9" i="48" s="1"/>
  <c r="P23" i="49"/>
  <c r="B35" i="44" s="1"/>
  <c r="V11" i="49"/>
  <c r="H23" i="44" s="1"/>
  <c r="P47" i="47"/>
  <c r="D47" i="48" s="1"/>
  <c r="N8" i="47"/>
  <c r="B8" i="48" s="1"/>
  <c r="V22" i="49"/>
  <c r="H34" i="44" s="1"/>
  <c r="O4" i="49"/>
  <c r="A16" i="44" s="1"/>
  <c r="O10" i="49"/>
  <c r="A22" i="44" s="1"/>
  <c r="V20" i="49"/>
  <c r="H32" i="44" s="1"/>
  <c r="T4" i="49"/>
  <c r="F16" i="44" s="1"/>
  <c r="O18" i="49"/>
  <c r="A30" i="44" s="1"/>
  <c r="V5" i="49"/>
  <c r="H17" i="44" s="1"/>
  <c r="N27" i="47"/>
  <c r="B27" i="48" s="1"/>
  <c r="P17" i="49"/>
  <c r="B29" i="44" s="1"/>
  <c r="Y23" i="49"/>
  <c r="K35" i="44" s="1"/>
  <c r="P12" i="47"/>
  <c r="D12" i="48" s="1"/>
  <c r="P27" i="47"/>
  <c r="D27" i="48" s="1"/>
  <c r="S9" i="49"/>
  <c r="E21" i="44" s="1"/>
  <c r="N2" i="47"/>
  <c r="B2" i="48" s="1"/>
  <c r="X22" i="49"/>
  <c r="J34" i="44" s="1"/>
  <c r="L48" i="47"/>
  <c r="A48" i="48" s="1"/>
  <c r="N30" i="47"/>
  <c r="B30" i="48" s="1"/>
  <c r="P22" i="47"/>
  <c r="D22" i="48" s="1"/>
  <c r="N45" i="47"/>
  <c r="B45" i="48" s="1"/>
  <c r="L36" i="47"/>
  <c r="A36" i="48" s="1"/>
  <c r="V13" i="49"/>
  <c r="H25" i="44" s="1"/>
  <c r="Q5" i="49"/>
  <c r="C17" i="44" s="1"/>
  <c r="Y13" i="49"/>
  <c r="K25" i="44" s="1"/>
  <c r="U9" i="49"/>
  <c r="G21" i="44" s="1"/>
  <c r="X18" i="49"/>
  <c r="J30" i="44" s="1"/>
  <c r="P18" i="49"/>
  <c r="B30" i="44" s="1"/>
  <c r="L28" i="47"/>
  <c r="A28" i="48" s="1"/>
  <c r="N41" i="47"/>
  <c r="B41" i="48" s="1"/>
  <c r="V4" i="49"/>
  <c r="H16" i="44" s="1"/>
  <c r="X7" i="49"/>
  <c r="J19" i="44" s="1"/>
  <c r="L31" i="47"/>
  <c r="A31" i="48" s="1"/>
  <c r="U5" i="49"/>
  <c r="G17" i="44" s="1"/>
  <c r="C12" i="44" l="1"/>
  <c r="C13" i="44"/>
  <c r="B11" i="44"/>
  <c r="A12" i="44"/>
  <c r="B1" i="44" s="1"/>
  <c r="K13" i="44"/>
  <c r="H13" i="44"/>
  <c r="B12" i="44"/>
  <c r="G13" i="44"/>
  <c r="E13" i="44"/>
  <c r="J12" i="44"/>
  <c r="I12" i="44"/>
  <c r="D13" i="44"/>
  <c r="F12" i="44"/>
  <c r="B10" i="44"/>
  <c r="F13" i="44"/>
  <c r="J13"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OnkoZert - Orsolya Penzes</author>
    <author xml:space="preserve">OnkoZert </author>
    <author>OnkoZert - Florina Dudu</author>
    <author>o.penzes</author>
  </authors>
  <commentList>
    <comment ref="C6" authorId="0" shapeId="0" xr:uid="{00000000-0006-0000-0100-000001000000}">
      <text>
        <r>
          <rPr>
            <sz val="8"/>
            <color indexed="81"/>
            <rFont val="Arial"/>
            <family val="2"/>
          </rPr>
          <t>Bitte Reg.-Nr. auswählen, siehe Zertifikat Beispiel, und dann die grauen Felder ausfüllen.</t>
        </r>
      </text>
    </comment>
    <comment ref="L6" authorId="0" shapeId="0" xr:uid="{00000000-0006-0000-0100-000002000000}">
      <text/>
    </comment>
    <comment ref="C12" authorId="0" shapeId="0" xr:uid="{00000000-0006-0000-0100-000003000000}">
      <text>
        <r>
          <rPr>
            <sz val="9"/>
            <color indexed="81"/>
            <rFont val="Arial"/>
            <family val="2"/>
          </rPr>
          <t>Name, Vorname</t>
        </r>
      </text>
    </comment>
    <comment ref="L12" authorId="0" shapeId="0" xr:uid="{00000000-0006-0000-0100-000004000000}">
      <text>
        <r>
          <rPr>
            <sz val="9"/>
            <color indexed="81"/>
            <rFont val="Arial"/>
            <family val="2"/>
          </rPr>
          <t>tt.mm.jjjj
Übertrag in weitere Tabellenblätter erfolgt automatisch.</t>
        </r>
      </text>
    </comment>
    <comment ref="L14" authorId="0" shapeId="0" xr:uid="{00000000-0006-0000-0100-000005000000}">
      <text>
        <r>
          <rPr>
            <sz val="9"/>
            <color indexed="81"/>
            <rFont val="Arial"/>
            <family val="2"/>
          </rPr>
          <t>Auswahl erfolgt über Reg.-Nr.</t>
        </r>
      </text>
    </comment>
    <comment ref="H18" authorId="0" shapeId="0" xr:uid="{00000000-0006-0000-0100-000006000000}">
      <text>
        <r>
          <rPr>
            <sz val="9"/>
            <color indexed="81"/>
            <rFont val="Arial"/>
            <family val="2"/>
          </rPr>
          <t xml:space="preserve">Subjektive Bewertung der Zusammenarbeit hinsichtlich Darlegung der Zertifizierungsdaten und Rückmeldung der Follow-Up-Daten </t>
        </r>
      </text>
    </comment>
    <comment ref="H21" authorId="0" shapeId="0" xr:uid="{00000000-0006-0000-0100-000007000000}">
      <text>
        <r>
          <rPr>
            <sz val="9"/>
            <color indexed="81"/>
            <rFont val="Arial"/>
            <family val="2"/>
          </rPr>
          <t>Für die automatische Generierung des Kennzahlenbogens und der Matrix Ergebnisqualität steht ein Auswertungstool (XML-OncoBox) zur Verfügung, welches in unterschiedliche Tumordokumentationssysteme integriert werden kann. Weitergehende Informationen zur XML-OncoBox unter www.xml-oncobox.de.</t>
        </r>
      </text>
    </comment>
    <comment ref="A25" authorId="0" shapeId="0" xr:uid="{00000000-0006-0000-0100-000008000000}">
      <text>
        <r>
          <rPr>
            <sz val="9"/>
            <color indexed="81"/>
            <rFont val="Arial"/>
            <family val="2"/>
          </rPr>
          <t>EB = Erhebungsbogen
KB = Kennzahlenbogen
KN = Kennzahlen</t>
        </r>
      </text>
    </comment>
    <comment ref="F27" authorId="1" shapeId="0" xr:uid="{00000000-0006-0000-0100-000009000000}">
      <text>
        <r>
          <rPr>
            <sz val="9"/>
            <color indexed="81"/>
            <rFont val="Arial"/>
            <family val="2"/>
          </rPr>
          <t>keine Betrachtung in Gesamtfallzahl</t>
        </r>
      </text>
    </comment>
    <comment ref="D28" authorId="2" shapeId="0" xr:uid="{00000000-0006-0000-0100-00000A000000}">
      <text>
        <r>
          <rPr>
            <sz val="9"/>
            <color indexed="81"/>
            <rFont val="Arial"/>
            <family val="2"/>
          </rPr>
          <t>Teil von Nenner
KN: 9</t>
        </r>
      </text>
    </comment>
    <comment ref="E28" authorId="2" shapeId="0" xr:uid="{00000000-0006-0000-0100-00000B000000}">
      <text>
        <r>
          <rPr>
            <sz val="9"/>
            <color indexed="81"/>
            <rFont val="Arial"/>
            <family val="2"/>
          </rPr>
          <t>Teil von Nenner
KN: 9</t>
        </r>
      </text>
    </comment>
    <comment ref="D29" authorId="2" shapeId="0" xr:uid="{00000000-0006-0000-0100-00000C000000}">
      <text>
        <r>
          <rPr>
            <sz val="9"/>
            <color indexed="81"/>
            <rFont val="Arial"/>
            <family val="2"/>
          </rPr>
          <t>Teil von Nenner
KN: 9</t>
        </r>
      </text>
    </comment>
    <comment ref="E29" authorId="2" shapeId="0" xr:uid="{00000000-0006-0000-0100-00000D000000}">
      <text>
        <r>
          <rPr>
            <sz val="9"/>
            <color indexed="81"/>
            <rFont val="Arial"/>
            <family val="2"/>
          </rPr>
          <t>Teil von Nenner
KN: 9</t>
        </r>
      </text>
    </comment>
    <comment ref="D30" authorId="2" shapeId="0" xr:uid="{00000000-0006-0000-0100-00000E000000}">
      <text>
        <r>
          <rPr>
            <sz val="9"/>
            <color indexed="81"/>
            <rFont val="Arial"/>
            <family val="2"/>
          </rPr>
          <t>Teil von Nenner
KN: 9</t>
        </r>
      </text>
    </comment>
    <comment ref="E30" authorId="2" shapeId="0" xr:uid="{00000000-0006-0000-0100-00000F000000}">
      <text>
        <r>
          <rPr>
            <sz val="9"/>
            <color indexed="81"/>
            <rFont val="Arial"/>
            <family val="2"/>
          </rPr>
          <t>Teil von Nenner
KN: 9</t>
        </r>
      </text>
    </comment>
    <comment ref="D31" authorId="2" shapeId="0" xr:uid="{00000000-0006-0000-0100-000010000000}">
      <text>
        <r>
          <rPr>
            <sz val="9"/>
            <color indexed="81"/>
            <rFont val="Arial"/>
            <family val="2"/>
          </rPr>
          <t>Teil von Nenner
KN: 9, 13</t>
        </r>
      </text>
    </comment>
    <comment ref="E31" authorId="2" shapeId="0" xr:uid="{00000000-0006-0000-0100-000011000000}">
      <text>
        <r>
          <rPr>
            <sz val="9"/>
            <color indexed="81"/>
            <rFont val="Arial"/>
            <family val="2"/>
          </rPr>
          <t>Teil von Nenner
KN: 9, 13</t>
        </r>
      </text>
    </comment>
    <comment ref="I31" authorId="3" shapeId="0" xr:uid="{00000000-0006-0000-0100-000012000000}">
      <text>
        <r>
          <rPr>
            <sz val="9"/>
            <color indexed="81"/>
            <rFont val="Arial"/>
            <family val="2"/>
          </rPr>
          <t>Teil von Nenner 
KN: 13</t>
        </r>
      </text>
    </comment>
    <comment ref="D32" authorId="2" shapeId="0" xr:uid="{00000000-0006-0000-0100-000013000000}">
      <text>
        <r>
          <rPr>
            <sz val="9"/>
            <color indexed="81"/>
            <rFont val="Arial"/>
            <family val="2"/>
          </rPr>
          <t>Teil von Nenner
KN: 9, 13</t>
        </r>
      </text>
    </comment>
    <comment ref="E32" authorId="2" shapeId="0" xr:uid="{00000000-0006-0000-0100-000014000000}">
      <text>
        <r>
          <rPr>
            <sz val="9"/>
            <color indexed="81"/>
            <rFont val="Arial"/>
            <family val="2"/>
          </rPr>
          <t>Teil von Nenner
KN: 9, 10, 11, 13</t>
        </r>
      </text>
    </comment>
    <comment ref="I32" authorId="2" shapeId="0" xr:uid="{00000000-0006-0000-0100-000015000000}">
      <text>
        <r>
          <rPr>
            <sz val="9"/>
            <color indexed="81"/>
            <rFont val="Arial"/>
            <family val="2"/>
          </rPr>
          <t>Teil von Nenner
KN: 13</t>
        </r>
      </text>
    </comment>
    <comment ref="D33" authorId="2" shapeId="0" xr:uid="{00000000-0006-0000-0100-000016000000}">
      <text>
        <r>
          <rPr>
            <sz val="9"/>
            <color indexed="81"/>
            <rFont val="Arial"/>
            <family val="2"/>
          </rPr>
          <t>Teil von Nenner
KN: 9, 13</t>
        </r>
      </text>
    </comment>
    <comment ref="E33" authorId="2" shapeId="0" xr:uid="{00000000-0006-0000-0100-000017000000}">
      <text>
        <r>
          <rPr>
            <sz val="9"/>
            <color indexed="81"/>
            <rFont val="Arial"/>
            <family val="2"/>
          </rPr>
          <t>Teil von Nenner
KN: 9, 10, 11, 13</t>
        </r>
      </text>
    </comment>
    <comment ref="I33" authorId="2" shapeId="0" xr:uid="{00000000-0006-0000-0100-000018000000}">
      <text>
        <r>
          <rPr>
            <sz val="9"/>
            <color indexed="81"/>
            <rFont val="Arial"/>
            <family val="2"/>
          </rPr>
          <t>Teil von Nenner
KN: 13</t>
        </r>
      </text>
    </comment>
    <comment ref="D34" authorId="2" shapeId="0" xr:uid="{00000000-0006-0000-0100-000019000000}">
      <text>
        <r>
          <rPr>
            <sz val="9"/>
            <color indexed="81"/>
            <rFont val="Arial"/>
            <family val="2"/>
          </rPr>
          <t>Teil von Nenner
KN: 13</t>
        </r>
      </text>
    </comment>
    <comment ref="E34" authorId="2" shapeId="0" xr:uid="{00000000-0006-0000-0100-00001A000000}">
      <text>
        <r>
          <rPr>
            <sz val="9"/>
            <color indexed="81"/>
            <rFont val="Arial"/>
            <family val="2"/>
          </rPr>
          <t>Teil von Nenner
KN: 10, 11, 13</t>
        </r>
      </text>
    </comment>
    <comment ref="I34" authorId="2" shapeId="0" xr:uid="{00000000-0006-0000-0100-00001B000000}">
      <text>
        <r>
          <rPr>
            <sz val="9"/>
            <color indexed="81"/>
            <rFont val="Arial"/>
            <family val="2"/>
          </rPr>
          <t>Teil von Nenner
KN: 13</t>
        </r>
      </text>
    </comment>
    <comment ref="D35" authorId="2" shapeId="0" xr:uid="{00000000-0006-0000-0100-00001C000000}">
      <text>
        <r>
          <rPr>
            <sz val="9"/>
            <color indexed="81"/>
            <rFont val="Arial"/>
            <family val="2"/>
          </rPr>
          <t>Teil von Nenner
KN: 13</t>
        </r>
      </text>
    </comment>
    <comment ref="E35" authorId="2" shapeId="0" xr:uid="{00000000-0006-0000-0100-00001D000000}">
      <text>
        <r>
          <rPr>
            <sz val="9"/>
            <color indexed="81"/>
            <rFont val="Arial"/>
            <family val="2"/>
          </rPr>
          <t>Teil von Nenner
KN: 10, 11, 13</t>
        </r>
      </text>
    </comment>
    <comment ref="I35" authorId="2" shapeId="0" xr:uid="{00000000-0006-0000-0100-00001E000000}">
      <text>
        <r>
          <rPr>
            <sz val="9"/>
            <color indexed="81"/>
            <rFont val="Arial"/>
            <family val="2"/>
          </rPr>
          <t>Teil von Nenner
KN: 13</t>
        </r>
      </text>
    </comment>
    <comment ref="D36" authorId="2" shapeId="0" xr:uid="{00000000-0006-0000-0100-00001F000000}">
      <text>
        <r>
          <rPr>
            <sz val="9"/>
            <color indexed="81"/>
            <rFont val="Arial"/>
            <family val="2"/>
          </rPr>
          <t>Teil von Nenner
KN: 13</t>
        </r>
      </text>
    </comment>
    <comment ref="E36" authorId="2" shapeId="0" xr:uid="{00000000-0006-0000-0100-000020000000}">
      <text>
        <r>
          <rPr>
            <sz val="9"/>
            <color indexed="81"/>
            <rFont val="Arial"/>
            <family val="2"/>
          </rPr>
          <t>Teil von Nenner
KN: 10, 11, 13</t>
        </r>
      </text>
    </comment>
    <comment ref="I36" authorId="2" shapeId="0" xr:uid="{00000000-0006-0000-0100-000021000000}">
      <text>
        <r>
          <rPr>
            <sz val="9"/>
            <color indexed="81"/>
            <rFont val="Arial"/>
            <family val="2"/>
          </rPr>
          <t>Teil von Nenner
KN: 13</t>
        </r>
      </text>
    </comment>
    <comment ref="D37" authorId="4" shapeId="0" xr:uid="{00000000-0006-0000-0100-000022000000}">
      <text>
        <r>
          <rPr>
            <sz val="9"/>
            <color indexed="81"/>
            <rFont val="Arial"/>
            <family val="2"/>
          </rPr>
          <t>Teil von Nenner 
KN: 8</t>
        </r>
      </text>
    </comment>
    <comment ref="E37" authorId="4" shapeId="0" xr:uid="{00000000-0006-0000-0100-000023000000}">
      <text>
        <r>
          <rPr>
            <sz val="9"/>
            <color indexed="81"/>
            <rFont val="Arial"/>
            <family val="2"/>
          </rPr>
          <t>Teil von Nenner 
KN: 8</t>
        </r>
      </text>
    </comment>
    <comment ref="I37" authorId="4" shapeId="0" xr:uid="{00000000-0006-0000-0100-000024000000}">
      <text>
        <r>
          <rPr>
            <sz val="8"/>
            <color indexed="81"/>
            <rFont val="Arial"/>
            <family val="2"/>
          </rPr>
          <t>Teil von Nenner 
KN: 8</t>
        </r>
      </text>
    </comment>
    <comment ref="G40" authorId="2" shapeId="0" xr:uid="{00000000-0006-0000-0100-000025000000}">
      <text>
        <r>
          <rPr>
            <sz val="9"/>
            <color indexed="81"/>
            <rFont val="Arial"/>
            <family val="2"/>
          </rPr>
          <t>Teil von Nenner
KN: 16</t>
        </r>
      </text>
    </comment>
    <comment ref="H40" authorId="2" shapeId="0" xr:uid="{00000000-0006-0000-0100-000026000000}">
      <text>
        <r>
          <rPr>
            <sz val="9"/>
            <color indexed="81"/>
            <rFont val="Arial"/>
            <family val="2"/>
          </rPr>
          <t>Teil von Nenner
KN: 16</t>
        </r>
      </text>
    </comment>
    <comment ref="I40" authorId="2" shapeId="0" xr:uid="{00000000-0006-0000-0100-000027000000}">
      <text>
        <r>
          <rPr>
            <sz val="9"/>
            <color indexed="81"/>
            <rFont val="Arial"/>
            <family val="2"/>
          </rPr>
          <t>Teil von Nenner
KN: 16</t>
        </r>
      </text>
    </comment>
    <comment ref="G41" authorId="2" shapeId="0" xr:uid="{00000000-0006-0000-0100-000028000000}">
      <text>
        <r>
          <rPr>
            <sz val="9"/>
            <color indexed="81"/>
            <rFont val="Arial"/>
            <family val="2"/>
          </rPr>
          <t>Teil von Nenner
KN: 16</t>
        </r>
      </text>
    </comment>
    <comment ref="H41" authorId="2" shapeId="0" xr:uid="{00000000-0006-0000-0100-000029000000}">
      <text>
        <r>
          <rPr>
            <sz val="9"/>
            <color indexed="81"/>
            <rFont val="Arial"/>
            <family val="2"/>
          </rPr>
          <t>Teil von Nenner
KN: 16</t>
        </r>
      </text>
    </comment>
    <comment ref="I41" authorId="2" shapeId="0" xr:uid="{00000000-0006-0000-0100-00002A000000}">
      <text>
        <r>
          <rPr>
            <sz val="9"/>
            <color indexed="81"/>
            <rFont val="Arial"/>
            <family val="2"/>
          </rPr>
          <t>Teil von Nenner
KN: 16</t>
        </r>
      </text>
    </comment>
    <comment ref="G42" authorId="2" shapeId="0" xr:uid="{00000000-0006-0000-0100-00002B000000}">
      <text>
        <r>
          <rPr>
            <sz val="9"/>
            <color indexed="81"/>
            <rFont val="Arial"/>
            <family val="2"/>
          </rPr>
          <t>Teil von Nenner
KN: 16</t>
        </r>
      </text>
    </comment>
    <comment ref="H42" authorId="2" shapeId="0" xr:uid="{00000000-0006-0000-0100-00002C000000}">
      <text>
        <r>
          <rPr>
            <sz val="9"/>
            <color indexed="81"/>
            <rFont val="Arial"/>
            <family val="2"/>
          </rPr>
          <t>Teil von Nenner
KN: 16</t>
        </r>
      </text>
    </comment>
    <comment ref="I42" authorId="2" shapeId="0" xr:uid="{00000000-0006-0000-0100-00002D000000}">
      <text>
        <r>
          <rPr>
            <sz val="9"/>
            <color indexed="81"/>
            <rFont val="Arial"/>
            <family val="2"/>
          </rPr>
          <t>Teil von Nenner
KN: 16</t>
        </r>
      </text>
    </comment>
    <comment ref="G43" authorId="2" shapeId="0" xr:uid="{00000000-0006-0000-0100-00002E000000}">
      <text>
        <r>
          <rPr>
            <sz val="9"/>
            <color indexed="81"/>
            <rFont val="Arial"/>
            <family val="2"/>
          </rPr>
          <t>Teil von Nenner
KN: 16</t>
        </r>
      </text>
    </comment>
    <comment ref="H43" authorId="2" shapeId="0" xr:uid="{00000000-0006-0000-0100-00002F000000}">
      <text>
        <r>
          <rPr>
            <sz val="9"/>
            <color indexed="81"/>
            <rFont val="Arial"/>
            <family val="2"/>
          </rPr>
          <t>Teil von Nenner
KN: 16</t>
        </r>
      </text>
    </comment>
    <comment ref="I43" authorId="2" shapeId="0" xr:uid="{00000000-0006-0000-0100-000030000000}">
      <text>
        <r>
          <rPr>
            <sz val="9"/>
            <color indexed="81"/>
            <rFont val="Arial"/>
            <family val="2"/>
          </rPr>
          <t>Teil von Nenner
KN: 16</t>
        </r>
      </text>
    </comment>
    <comment ref="G44" authorId="2" shapeId="0" xr:uid="{00000000-0006-0000-0100-000031000000}">
      <text>
        <r>
          <rPr>
            <sz val="9"/>
            <color indexed="81"/>
            <rFont val="Arial"/>
            <family val="2"/>
          </rPr>
          <t>Teil von Nenner
KN: 16</t>
        </r>
      </text>
    </comment>
    <comment ref="H44" authorId="2" shapeId="0" xr:uid="{00000000-0006-0000-0100-000032000000}">
      <text>
        <r>
          <rPr>
            <sz val="9"/>
            <color indexed="81"/>
            <rFont val="Arial"/>
            <family val="2"/>
          </rPr>
          <t>Teil von Nenner
KN: 16</t>
        </r>
      </text>
    </comment>
    <comment ref="I44" authorId="2" shapeId="0" xr:uid="{00000000-0006-0000-0100-000033000000}">
      <text>
        <r>
          <rPr>
            <sz val="9"/>
            <color indexed="81"/>
            <rFont val="Arial"/>
            <family val="2"/>
          </rPr>
          <t>Teil von Nenner
KN: 16</t>
        </r>
      </text>
    </comment>
    <comment ref="G45" authorId="2" shapeId="0" xr:uid="{00000000-0006-0000-0100-000034000000}">
      <text>
        <r>
          <rPr>
            <sz val="9"/>
            <color indexed="81"/>
            <rFont val="Arial"/>
            <family val="2"/>
          </rPr>
          <t>Teil von Nenner
KN: 16</t>
        </r>
      </text>
    </comment>
    <comment ref="H45" authorId="2" shapeId="0" xr:uid="{00000000-0006-0000-0100-000035000000}">
      <text>
        <r>
          <rPr>
            <sz val="9"/>
            <color indexed="81"/>
            <rFont val="Arial"/>
            <family val="2"/>
          </rPr>
          <t>Teil von Nenner
KN: 16</t>
        </r>
      </text>
    </comment>
    <comment ref="I45" authorId="2" shapeId="0" xr:uid="{00000000-0006-0000-0100-000036000000}">
      <text>
        <r>
          <rPr>
            <sz val="9"/>
            <color indexed="81"/>
            <rFont val="Arial"/>
            <family val="2"/>
          </rPr>
          <t>Teil von Nenner
KN: 16</t>
        </r>
      </text>
    </comment>
    <comment ref="G46" authorId="2" shapeId="0" xr:uid="{00000000-0006-0000-0100-000037000000}">
      <text>
        <r>
          <rPr>
            <sz val="9"/>
            <color indexed="81"/>
            <rFont val="Arial"/>
            <family val="2"/>
          </rPr>
          <t>Teil von Nenner
KN: 16</t>
        </r>
      </text>
    </comment>
    <comment ref="H46" authorId="2" shapeId="0" xr:uid="{00000000-0006-0000-0100-000038000000}">
      <text>
        <r>
          <rPr>
            <sz val="9"/>
            <color indexed="81"/>
            <rFont val="Arial"/>
            <family val="2"/>
          </rPr>
          <t>Teil von Nenner
KN: 16</t>
        </r>
      </text>
    </comment>
    <comment ref="I46" authorId="2" shapeId="0" xr:uid="{00000000-0006-0000-0100-000039000000}">
      <text>
        <r>
          <rPr>
            <sz val="9"/>
            <color indexed="81"/>
            <rFont val="Arial"/>
            <family val="2"/>
          </rPr>
          <t>Teil von Nenner
KN: 16</t>
        </r>
      </text>
    </comment>
    <comment ref="G47" authorId="2" shapeId="0" xr:uid="{00000000-0006-0000-0100-00003A000000}">
      <text>
        <r>
          <rPr>
            <sz val="9"/>
            <color indexed="81"/>
            <rFont val="Arial"/>
            <family val="2"/>
          </rPr>
          <t>Teil von Nenner
KN: 16</t>
        </r>
      </text>
    </comment>
    <comment ref="H47" authorId="2" shapeId="0" xr:uid="{00000000-0006-0000-0100-00003B000000}">
      <text>
        <r>
          <rPr>
            <sz val="9"/>
            <color indexed="81"/>
            <rFont val="Arial"/>
            <family val="2"/>
          </rPr>
          <t>Teil von Nenner
KN: 16</t>
        </r>
      </text>
    </comment>
    <comment ref="I47" authorId="2" shapeId="0" xr:uid="{00000000-0006-0000-0100-00003C000000}">
      <text>
        <r>
          <rPr>
            <sz val="9"/>
            <color indexed="81"/>
            <rFont val="Arial"/>
            <family val="2"/>
          </rPr>
          <t>Teil von Nenner
KN: 16</t>
        </r>
      </text>
    </comment>
    <comment ref="H49" authorId="2" shapeId="0" xr:uid="{00000000-0006-0000-0100-00003D000000}">
      <text>
        <r>
          <rPr>
            <sz val="9"/>
            <color indexed="81"/>
            <rFont val="Arial"/>
            <family val="2"/>
          </rPr>
          <t>Nenner KN: 14</t>
        </r>
      </text>
    </comment>
    <comment ref="L54" authorId="2" shapeId="0" xr:uid="{00000000-0006-0000-0100-00003E000000}">
      <text>
        <r>
          <rPr>
            <sz val="9"/>
            <color indexed="81"/>
            <rFont val="Arial"/>
            <family val="2"/>
          </rPr>
          <t>Anzahl KN: 7</t>
        </r>
      </text>
    </comment>
    <comment ref="D55" authorId="2" shapeId="0" xr:uid="{00000000-0006-0000-0100-00003F000000}">
      <text>
        <r>
          <rPr>
            <sz val="9"/>
            <color indexed="81"/>
            <rFont val="Arial"/>
            <family val="2"/>
          </rPr>
          <t>Nenner KN: 4
Anzahl KN: 6a</t>
        </r>
      </text>
    </comment>
    <comment ref="J55" authorId="4" shapeId="0" xr:uid="{00000000-0006-0000-0100-000040000000}">
      <text>
        <r>
          <rPr>
            <sz val="9"/>
            <color indexed="81"/>
            <rFont val="Arial"/>
            <family val="2"/>
          </rPr>
          <t>Anzahl KN: 6b</t>
        </r>
      </text>
    </comment>
    <comment ref="L55" authorId="2" shapeId="0" xr:uid="{00000000-0006-0000-0100-000041000000}">
      <text>
        <r>
          <rPr>
            <sz val="9"/>
            <color indexed="81"/>
            <rFont val="Arial"/>
            <family val="2"/>
          </rPr>
          <t>Nenner KN: 1, 2, 3
Anzahl KN: 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 xml:space="preserve">OnkoZert </author>
    <author>o.penzes</author>
  </authors>
  <commentList>
    <comment ref="D6" authorId="0" shapeId="0" xr:uid="{00000000-0006-0000-0400-000001000000}">
      <text>
        <r>
          <rPr>
            <sz val="9"/>
            <color indexed="81"/>
            <rFont val="Arial"/>
            <family val="2"/>
          </rPr>
          <t>Übertrag erfolgt aus Tabellenblatt Basisdaten</t>
        </r>
      </text>
    </comment>
    <comment ref="D8" authorId="0" shapeId="0" xr:uid="{00000000-0006-0000-0400-000002000000}">
      <text>
        <r>
          <rPr>
            <sz val="9"/>
            <color indexed="81"/>
            <rFont val="Arial"/>
            <family val="2"/>
          </rPr>
          <t>Übertrag erfolgt aus Tabellenblatt Basisdaten</t>
        </r>
      </text>
    </comment>
    <comment ref="I8" authorId="0" shapeId="0" xr:uid="{00000000-0006-0000-0400-000003000000}">
      <text>
        <r>
          <rPr>
            <sz val="9"/>
            <color indexed="81"/>
            <rFont val="Arial"/>
            <family val="2"/>
          </rPr>
          <t>Übertrag erfolgt aus Tabellenblatt Basisdaten</t>
        </r>
      </text>
    </comment>
    <comment ref="A12" authorId="0" shapeId="0" xr:uid="{00000000-0006-0000-0400-000004000000}">
      <text>
        <r>
          <rPr>
            <sz val="9"/>
            <color indexed="81"/>
            <rFont val="Arial"/>
            <family val="2"/>
          </rPr>
          <t>KN = Kennzahl</t>
        </r>
      </text>
    </comment>
    <comment ref="B12" authorId="0" shapeId="0" xr:uid="{00000000-0006-0000-0400-000005000000}">
      <text>
        <r>
          <rPr>
            <sz val="9"/>
            <color indexed="81"/>
            <rFont val="Arial"/>
            <family val="2"/>
          </rPr>
          <t>EB = Erhebungbogen
LL = Leitlinie (www.leitlinienprogramm-onkologie.de)</t>
        </r>
      </text>
    </comment>
    <comment ref="N12" authorId="0" shapeId="0" xr:uid="{00000000-0006-0000-0400-000006000000}">
      <text>
        <r>
          <rPr>
            <sz val="9"/>
            <color indexed="81"/>
            <rFont val="Arial"/>
            <family val="2"/>
          </rPr>
          <t>Bitte zuerst Tabellenblatt Basisdaten komplett bearbeiten, 
dann graue Felder Ist-Werte ausfüllen.</t>
        </r>
      </text>
    </comment>
    <comment ref="Q13" authorId="0" shapeId="0" xr:uid="{00000000-0006-0000-0400-000007000000}">
      <text>
        <r>
          <rPr>
            <sz val="9"/>
            <color indexed="81"/>
            <rFont val="Arial"/>
            <family val="2"/>
          </rPr>
          <t>Wenn Zelle grau, bitte Begründung angeben.</t>
        </r>
      </text>
    </comment>
    <comment ref="O15" authorId="0" shapeId="0" xr:uid="{00000000-0006-0000-0400-000008000000}">
      <text>
        <r>
          <rPr>
            <sz val="9"/>
            <color indexed="81"/>
            <rFont val="Arial"/>
            <family val="2"/>
          </rPr>
          <t>Übertrag erfolgt aus Tabellenblatt Basisdaten 
Gesamtfallzahl
Zelle L55</t>
        </r>
      </text>
    </comment>
    <comment ref="O18" authorId="0" shapeId="0" xr:uid="{00000000-0006-0000-0400-000009000000}">
      <text>
        <r>
          <rPr>
            <sz val="9"/>
            <color indexed="81"/>
            <rFont val="Arial"/>
            <family val="2"/>
          </rPr>
          <t>Übertrag erfolgt aus Tabellenblatt Basisdaten 
Gesamtfallzahl
Zelle L55</t>
        </r>
      </text>
    </comment>
    <comment ref="O21" authorId="0" shapeId="0" xr:uid="{00000000-0006-0000-0400-00000A000000}">
      <text>
        <r>
          <rPr>
            <sz val="9"/>
            <color indexed="81"/>
            <rFont val="Arial"/>
            <family val="2"/>
          </rPr>
          <t>Übertrag erfolgt aus Tabellenblatt Basisdaten 
Gesamtfallzahl
Zelle L55</t>
        </r>
      </text>
    </comment>
    <comment ref="O23" authorId="1" shapeId="0" xr:uid="{00000000-0006-0000-0400-00000B000000}">
      <text>
        <r>
          <rPr>
            <sz val="9"/>
            <color indexed="81"/>
            <rFont val="Arial"/>
            <family val="2"/>
          </rPr>
          <t>Der Zähler ist keine Teilmenge des Nennes.</t>
        </r>
      </text>
    </comment>
    <comment ref="O24" authorId="0" shapeId="0" xr:uid="{00000000-0006-0000-0400-00000C000000}">
      <text>
        <r>
          <rPr>
            <sz val="9"/>
            <color indexed="81"/>
            <rFont val="Arial"/>
            <family val="2"/>
          </rPr>
          <t>Übertrag erfolgt aus Tabellenblatt Basisdaten 
Primärfälle
Zelle D55</t>
        </r>
      </text>
    </comment>
    <comment ref="O26" authorId="0" shapeId="0" xr:uid="{00000000-0006-0000-0400-00000D000000}">
      <text>
        <r>
          <rPr>
            <sz val="9"/>
            <color indexed="81"/>
            <rFont val="Arial"/>
            <family val="2"/>
          </rPr>
          <t>Übertrag erfolgt aus Tabellenblatt Basisdaten 
Gesamtfallzahl
Zelle L55</t>
        </r>
      </text>
    </comment>
    <comment ref="O29" authorId="0" shapeId="0" xr:uid="{00000000-0006-0000-0400-00000E000000}">
      <text>
        <r>
          <rPr>
            <sz val="9"/>
            <color indexed="81"/>
            <rFont val="Arial"/>
            <family val="2"/>
          </rPr>
          <t>Übertrag erfolgt aus Tabellenblatt Basisdaten 
Primärfälle
Zelle D55</t>
        </r>
      </text>
    </comment>
    <comment ref="O32" authorId="2" shapeId="0" xr:uid="{00000000-0006-0000-0400-00000F000000}">
      <text>
        <r>
          <rPr>
            <sz val="9"/>
            <color indexed="81"/>
            <rFont val="Arial"/>
            <family val="2"/>
          </rPr>
          <t>Übertrag erfolgt aus Tabellenblatt Basisdaten 
Nicht Primärfälle
Zelle J55</t>
        </r>
      </text>
    </comment>
    <comment ref="O35" authorId="0" shapeId="0" xr:uid="{00000000-0006-0000-0400-000010000000}">
      <text>
        <r>
          <rPr>
            <sz val="9"/>
            <color indexed="81"/>
            <rFont val="Arial"/>
            <family val="2"/>
          </rPr>
          <t>Übertrag erfolgt aus Tabellenblatt Basisdaten 
Operative Fälle
Zelle L54</t>
        </r>
      </text>
    </comment>
    <comment ref="O39" authorId="2" shapeId="0" xr:uid="{00000000-0006-0000-0400-000011000000}">
      <text>
        <r>
          <rPr>
            <sz val="9"/>
            <color indexed="81"/>
            <rFont val="Arial"/>
            <family val="2"/>
          </rPr>
          <t>Übertrag erfolgt aus Tabellenblatt Basisdaten 
Primärfälle Ovarialkarzinom 
Zellen D37 + E37 + I37</t>
        </r>
      </text>
    </comment>
    <comment ref="O42" authorId="0" shapeId="0" xr:uid="{00000000-0006-0000-0400-000012000000}">
      <text>
        <r>
          <rPr>
            <sz val="9"/>
            <color indexed="81"/>
            <rFont val="Arial"/>
            <family val="2"/>
          </rPr>
          <t>Übertrag erfolgt aus Tabellenblatt Basisdaten 
Operative Primärfälle mit Ovarialkarzinom FIGO IA – IIIA
Zellen (D28:D33) + (E28:E33)</t>
        </r>
      </text>
    </comment>
    <comment ref="O45" authorId="0" shapeId="0" xr:uid="{00000000-0006-0000-0400-000013000000}">
      <text>
        <r>
          <rPr>
            <sz val="9"/>
            <color indexed="81"/>
            <rFont val="Arial"/>
            <family val="2"/>
          </rPr>
          <t>Übertrag erfolgt aus Tabellenblatt Basisdaten 
Operative Primärfälle mit Ovarialkarzinom FIGO IIB – IV
Zellen E32 bis E36
Nur "definitive OP = Staging OP"</t>
        </r>
      </text>
    </comment>
    <comment ref="O48" authorId="0" shapeId="0" xr:uid="{00000000-0006-0000-0400-000014000000}">
      <text>
        <r>
          <rPr>
            <sz val="9"/>
            <color indexed="81"/>
            <rFont val="Arial"/>
            <family val="2"/>
          </rPr>
          <t>Übertrag erfolgt aus Tabellenblatt Basisdaten 
Operative Primärfälle mit Ovarialkarzinom FIGO IIB – IV
Zellen E32 bis E36
Nur "definitive OP = Staging OP"</t>
        </r>
      </text>
    </comment>
    <comment ref="O53" authorId="0" shapeId="0" xr:uid="{00000000-0006-0000-0400-000015000000}">
      <text>
        <r>
          <rPr>
            <sz val="9"/>
            <color indexed="81"/>
            <rFont val="Arial"/>
            <family val="2"/>
          </rPr>
          <t>Es werden nur Chemotherapien gezählt bei denen die angegebene Dosis verabreicht wurde.</t>
        </r>
      </text>
    </comment>
    <comment ref="O54" authorId="0" shapeId="0" xr:uid="{00000000-0006-0000-0400-000016000000}">
      <text>
        <r>
          <rPr>
            <sz val="9"/>
            <color indexed="81"/>
            <rFont val="Arial"/>
            <family val="2"/>
          </rPr>
          <t>Übertrag erfolgt aus Tabellenblatt Basisdaten 
Primärfälle mit Ovarialkarzinom FIGO IIA – IV
Zellen (D31:E36) + (I31:I36)</t>
        </r>
      </text>
    </comment>
    <comment ref="O57" authorId="0" shapeId="0" xr:uid="{00000000-0006-0000-0400-000017000000}">
      <text>
        <r>
          <rPr>
            <sz val="9"/>
            <color indexed="81"/>
            <rFont val="Arial"/>
            <family val="2"/>
          </rPr>
          <t>Übertrag erfolgt aus Tabellenblatt Basisdaten Zelle H49
Nur definitive OP</t>
        </r>
      </text>
    </comment>
    <comment ref="O60" authorId="0" shapeId="0" xr:uid="{00000000-0006-0000-0400-000018000000}">
      <text>
        <r>
          <rPr>
            <sz val="9"/>
            <color indexed="81"/>
            <rFont val="Arial"/>
            <family val="2"/>
          </rPr>
          <t>Nur definitive OP</t>
        </r>
      </text>
    </comment>
    <comment ref="O63" authorId="0" shapeId="0" xr:uid="{00000000-0006-0000-0400-000019000000}">
      <text>
        <r>
          <rPr>
            <sz val="9"/>
            <color indexed="81"/>
            <rFont val="Arial"/>
            <family val="2"/>
          </rPr>
          <t>Übertrag erfolgt aus Tabellenblatt Basisdaten Zelle G40 bis I47</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700-000001000000}">
      <text>
        <r>
          <rPr>
            <sz val="9"/>
            <color indexed="81"/>
            <rFont val="Arial"/>
            <family val="2"/>
          </rPr>
          <t>Übertrag erfolgt aus Tabellenblatt Basisdaten</t>
        </r>
      </text>
    </comment>
    <comment ref="C8" authorId="0" shapeId="0" xr:uid="{00000000-0006-0000-0700-000002000000}">
      <text>
        <r>
          <rPr>
            <sz val="9"/>
            <color indexed="81"/>
            <rFont val="Arial"/>
            <family val="2"/>
          </rPr>
          <t>Übertrag erfolgt aus Tabellenblatt Basisdaten</t>
        </r>
      </text>
    </comment>
    <comment ref="J8" authorId="0" shapeId="0" xr:uid="{00000000-0006-0000-0700-000003000000}">
      <text>
        <r>
          <rPr>
            <sz val="9"/>
            <color indexed="81"/>
            <rFont val="Arial"/>
            <family val="2"/>
          </rPr>
          <t>Übertrag erfolgt aus Tabellenblatt Basisdaten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o.penzes</author>
  </authors>
  <commentList>
    <comment ref="C6" authorId="0" shapeId="0" xr:uid="{00000000-0006-0000-0900-000001000000}">
      <text>
        <r>
          <rPr>
            <sz val="9"/>
            <color indexed="81"/>
            <rFont val="Arial"/>
            <family val="2"/>
          </rPr>
          <t>Übertrag erfolgt aus Tabellenblatt Basisdaten</t>
        </r>
      </text>
    </comment>
    <comment ref="C8" authorId="0" shapeId="0" xr:uid="{00000000-0006-0000-0900-000002000000}">
      <text>
        <r>
          <rPr>
            <sz val="9"/>
            <color indexed="81"/>
            <rFont val="Arial"/>
            <family val="2"/>
          </rPr>
          <t>Übertrag erfolgt aus Tabellenblatt Basisdaten</t>
        </r>
      </text>
    </comment>
    <comment ref="U8" authorId="0" shapeId="0" xr:uid="{00000000-0006-0000-0900-000003000000}">
      <text>
        <r>
          <rPr>
            <sz val="9"/>
            <color indexed="81"/>
            <rFont val="Arial"/>
            <family val="2"/>
          </rPr>
          <t>Übertrag erfolgt aus Tabellenblatt Basisdaten</t>
        </r>
      </text>
    </comment>
    <comment ref="S31" authorId="1" shapeId="0" xr:uid="{00000000-0006-0000-0900-000004000000}">
      <text>
        <r>
          <rPr>
            <b/>
            <sz val="9"/>
            <color indexed="81"/>
            <rFont val="Arial"/>
            <family val="2"/>
          </rPr>
          <t>Voraussetzung REDZYK mind. 80,0%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B6" authorId="0" shapeId="0" xr:uid="{00000000-0006-0000-0A00-000001000000}">
      <text>
        <r>
          <rPr>
            <sz val="9"/>
            <color indexed="81"/>
            <rFont val="Arial"/>
            <family val="2"/>
          </rPr>
          <t>Übertrag erfolgt aus Tabellenblatt Basisdaten</t>
        </r>
      </text>
    </comment>
    <comment ref="B8" authorId="0" shapeId="0" xr:uid="{00000000-0006-0000-0A00-000002000000}">
      <text>
        <r>
          <rPr>
            <sz val="9"/>
            <color indexed="81"/>
            <rFont val="Arial"/>
            <family val="2"/>
          </rPr>
          <t>Übertrag erfolgt aus Tabellenblatt Basisdaten</t>
        </r>
      </text>
    </comment>
    <comment ref="F8" authorId="0" shapeId="0" xr:uid="{00000000-0006-0000-0A00-000003000000}">
      <text>
        <r>
          <rPr>
            <sz val="9"/>
            <color indexed="81"/>
            <rFont val="Arial"/>
            <family val="2"/>
          </rPr>
          <t>Übertrag erfolgt aus Tabellenblatt Basisdaten</t>
        </r>
      </text>
    </comment>
    <comment ref="B15" authorId="0" shapeId="0" xr:uid="{00000000-0006-0000-0A00-000004000000}">
      <text>
        <r>
          <rPr>
            <sz val="9"/>
            <color indexed="81"/>
            <rFont val="Arial"/>
            <family val="2"/>
          </rPr>
          <t>Weitere Erläuterungen siehe Tabellenblatt "Matrix - Tabelle Plausibilitätsabfragen"</t>
        </r>
      </text>
    </comment>
  </commentList>
</comments>
</file>

<file path=xl/sharedStrings.xml><?xml version="1.0" encoding="utf-8"?>
<sst xmlns="http://schemas.openxmlformats.org/spreadsheetml/2006/main" count="2052" uniqueCount="1235">
  <si>
    <t>Zähler/ Anzahl</t>
  </si>
  <si>
    <t>Für Übertragung in Datendefizite_KB:</t>
  </si>
  <si>
    <t>Alle KN leer:</t>
  </si>
  <si>
    <r>
      <t xml:space="preserve">Eingeleitete / geplante Aktionen
</t>
    </r>
    <r>
      <rPr>
        <sz val="8"/>
        <color indexed="8"/>
        <rFont val="Arial"/>
        <family val="2"/>
      </rPr>
      <t>(bei plausibler Begründung keine Aktion erforderlich)</t>
    </r>
  </si>
  <si>
    <t>ixserv.4</t>
  </si>
  <si>
    <t>FAG-Z110</t>
  </si>
  <si>
    <t>St.Marien-Krankenhaus Siegen</t>
  </si>
  <si>
    <t>Operative Primärfälle 
Ovarialkarzinom 
FIGO IIB-IV</t>
  </si>
  <si>
    <t>Unvollständige Jahre</t>
  </si>
  <si>
    <t xml:space="preserve">       Erstelldatum</t>
  </si>
  <si>
    <t>Gesamtfallzahl 
(= Kennzahl 5)</t>
  </si>
  <si>
    <t xml:space="preserve">
Anmerkungen:</t>
  </si>
  <si>
    <t>KN</t>
  </si>
  <si>
    <t>Regio Klinikum Pinneberg</t>
  </si>
  <si>
    <t>Klinikum Nürnberg</t>
  </si>
  <si>
    <t>Texte Matrix Datenquali</t>
  </si>
  <si>
    <t>Fehlermeldungen Matrix</t>
  </si>
  <si>
    <t>Auswahl treffen über Dropdown-Liste.</t>
  </si>
  <si>
    <t>Zuerst Reg.-Nr auswählen, dann das jeweilig zugehörige Krebsregister</t>
  </si>
  <si>
    <t>Nur Texteingabe bis 100 Zeichen möglich.</t>
  </si>
  <si>
    <t>Kennzahl</t>
  </si>
  <si>
    <t>Art</t>
  </si>
  <si>
    <t>nicht relevant</t>
  </si>
  <si>
    <t>Tumordoku. liegt größtenteils beim Krebsregister</t>
  </si>
  <si>
    <t>Charité - Campus Virchow-Klinikum</t>
  </si>
  <si>
    <t>Zeitraum zwischen 01.11.2012-01.02.2014 angeben.</t>
  </si>
  <si>
    <t>Klinikum Neumarkt</t>
  </si>
  <si>
    <t>Österreich</t>
  </si>
  <si>
    <t>Frauenklinik rechts der Isar der TU München</t>
  </si>
  <si>
    <t>Universitätsklinikum Schleswig-Holstein, Campus Lübeck</t>
  </si>
  <si>
    <t>Universitätsklinikum Schleswig-Holstein Campus Kiel</t>
  </si>
  <si>
    <t>Marienhospital Bottrop</t>
  </si>
  <si>
    <t>Bei den „hellrot“ hinterlegten Feldern liegt eine Falscheingabe vor, diese ist zu korrigieren.</t>
  </si>
  <si>
    <t>B</t>
  </si>
  <si>
    <t>Fehlermeldungen Basisdaten</t>
  </si>
  <si>
    <t>Fehlermeldungen Kennzahlenbogen</t>
  </si>
  <si>
    <t>Anzahl Pat. Im Follow-Up zu hoch.</t>
  </si>
  <si>
    <t>Zahlen müssen manuell eingegeben werden, diese dürfen nicht kopiert werden.</t>
  </si>
  <si>
    <t>Bedingung Wert</t>
  </si>
  <si>
    <t>leere Zellen</t>
  </si>
  <si>
    <t>Universitätsklinikum Göttingen</t>
  </si>
  <si>
    <t>Inselspital Bern</t>
  </si>
  <si>
    <t>UniversitätsSpital Zürich</t>
  </si>
  <si>
    <t>Universitätsklinikum Essen</t>
  </si>
  <si>
    <t>die inkorrekten und unvollständigen Einträge beheben</t>
  </si>
  <si>
    <t>Ist-Wert</t>
  </si>
  <si>
    <t>Nr.</t>
  </si>
  <si>
    <t>Kennzahlenziel</t>
  </si>
  <si>
    <t>Zähler</t>
  </si>
  <si>
    <t>Sollvorgabe</t>
  </si>
  <si>
    <t>Nenner</t>
  </si>
  <si>
    <t>%</t>
  </si>
  <si>
    <t>Primärfälle</t>
  </si>
  <si>
    <t>Anzahl</t>
  </si>
  <si>
    <t>Beratung Sozialdienst</t>
  </si>
  <si>
    <t>Adäquate Rate an psychoonkologischer Betreuung</t>
  </si>
  <si>
    <t>Adäquate Rate an Beratung durch Sozialdienst</t>
  </si>
  <si>
    <t>Sollvorgabe nicht erfüllt</t>
  </si>
  <si>
    <t>C</t>
  </si>
  <si>
    <t>D</t>
  </si>
  <si>
    <t>E</t>
  </si>
  <si>
    <t>F</t>
  </si>
  <si>
    <t>G</t>
  </si>
  <si>
    <t>H</t>
  </si>
  <si>
    <t>I</t>
  </si>
  <si>
    <t>N</t>
  </si>
  <si>
    <t>P</t>
  </si>
  <si>
    <t>Q</t>
  </si>
  <si>
    <t>T</t>
  </si>
  <si>
    <t>W</t>
  </si>
  <si>
    <t>X</t>
  </si>
  <si>
    <t>Y</t>
  </si>
  <si>
    <t>Z</t>
  </si>
  <si>
    <t>Jahr der Erstdiagnose</t>
  </si>
  <si>
    <t xml:space="preserve">  Pat. mit Lokalrezidiv </t>
  </si>
  <si>
    <t xml:space="preserve">  Pat. mit Lymphknotenrezidiv</t>
  </si>
  <si>
    <t xml:space="preserve">  Pat. mit Fernmetastasen </t>
  </si>
  <si>
    <t>Mehrfachnennung möglich</t>
  </si>
  <si>
    <t>Summe</t>
  </si>
  <si>
    <t>Quote</t>
  </si>
  <si>
    <t>Reg.-Nr.</t>
  </si>
  <si>
    <t>Bundesland</t>
  </si>
  <si>
    <t>Thüringen</t>
  </si>
  <si>
    <t>GTDS</t>
  </si>
  <si>
    <t>Tumorzentrum Erfurt</t>
  </si>
  <si>
    <t>Tumordokumentationssystem</t>
  </si>
  <si>
    <t>CREDOS</t>
  </si>
  <si>
    <t>KIS-Erweiterung</t>
  </si>
  <si>
    <t>Comprehensive Cancer Center Freiburg</t>
  </si>
  <si>
    <t>Comprehensive Cancer Center Münster</t>
  </si>
  <si>
    <t>Comprehensive Cancer Center Tübingen</t>
  </si>
  <si>
    <t>Comprehensive Cancer Center Ulm</t>
  </si>
  <si>
    <t>Kassenärztliche Vereinigung Niedersachsen</t>
  </si>
  <si>
    <t>NCT Heidelberg</t>
  </si>
  <si>
    <t>Onkol. Schwerpunkt Lörrach-Rheinfelden</t>
  </si>
  <si>
    <t>Onkol. Schwerpunkt Ludwigsburg-Bietigheim</t>
  </si>
  <si>
    <t>Onkol. Schwerpunkt Villingen-Schwenningen</t>
  </si>
  <si>
    <t>Onkologischer Schwerpunkt Göppingen</t>
  </si>
  <si>
    <t>Onkologischer Schwerpunkt Hamm</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</si>
  <si>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</si>
  <si>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</si>
  <si>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</si>
  <si>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</si>
  <si>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</si>
  <si>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</si>
  <si>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</si>
  <si>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</si>
  <si>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Onkologischer Schwerpunkt Wiesbaden</t>
  </si>
  <si>
    <t>Tumorzentrum Anhalt</t>
  </si>
  <si>
    <t>Tumorzentrum Augsburg</t>
  </si>
  <si>
    <t>Tumorzentrum Erlangen-Nürnberg</t>
  </si>
  <si>
    <t>Tumorzentrum Gera</t>
  </si>
  <si>
    <t>Tumorzentrum Göttingen</t>
  </si>
  <si>
    <t>Tumorzentrum Halle</t>
  </si>
  <si>
    <t>Tumorzentrum Hannover</t>
  </si>
  <si>
    <t>Tumorzentrum Homburg</t>
  </si>
  <si>
    <t>Tumorzentrum Jena</t>
  </si>
  <si>
    <t>Tumorzentrum Kassel</t>
  </si>
  <si>
    <t>Tumorzentrum Kiel</t>
  </si>
  <si>
    <t>Tumorzentrum Koblenz</t>
  </si>
  <si>
    <t>Tumorzentrum Leipzig</t>
  </si>
  <si>
    <t>Tumorzentrum Magdeburg</t>
  </si>
  <si>
    <t>Tumorzentrum Marburg</t>
  </si>
  <si>
    <t>Tumorzentrum München</t>
  </si>
  <si>
    <t>Tumorzentrum Regensburg</t>
  </si>
  <si>
    <t>Tumorzentrum Rheinland-Pfalz</t>
  </si>
  <si>
    <t>Tumorzentrum Rostock</t>
  </si>
  <si>
    <t>Tumorzentrum Schwerin</t>
  </si>
  <si>
    <t>Tumorzentrum Südharz</t>
  </si>
  <si>
    <t>Tumorzentrum Suhl</t>
  </si>
  <si>
    <t>Tumorzentrum Würzburg</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</si>
  <si>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</si>
  <si>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</si>
  <si>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</si>
  <si>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</si>
  <si>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</si>
  <si>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</si>
  <si>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</si>
  <si>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</si>
  <si>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</si>
  <si>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</si>
  <si>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</si>
  <si>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</si>
  <si>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</si>
  <si>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</si>
  <si>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</si>
  <si>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</si>
  <si>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Relevante Nachsorgejahre</t>
  </si>
  <si>
    <t>Berechnung Jahreszeitraum</t>
  </si>
  <si>
    <t>OAS</t>
  </si>
  <si>
    <t>Datenqualität</t>
  </si>
  <si>
    <t>Aktion</t>
  </si>
  <si>
    <t>ID</t>
  </si>
  <si>
    <t>HID</t>
  </si>
  <si>
    <t>EingeleiteteAktionen</t>
  </si>
  <si>
    <t>Aktionen</t>
  </si>
  <si>
    <t>vID</t>
  </si>
  <si>
    <t>Zaehler</t>
  </si>
  <si>
    <t>Nr</t>
  </si>
  <si>
    <t>FormularID</t>
  </si>
  <si>
    <t>ErlaeuterungDatendefizit</t>
  </si>
  <si>
    <t>R</t>
  </si>
  <si>
    <t>% Angabe</t>
  </si>
  <si>
    <t>Oncolution</t>
  </si>
  <si>
    <t>GKR (Gemeinsames Krebsregister der Länder)</t>
  </si>
  <si>
    <t>Epidemiologisches Krebsregister Baden-Württemberg</t>
  </si>
  <si>
    <t>Krebsregister Baden-Württemberg</t>
  </si>
  <si>
    <t>Bevölkerungsbezogenes Krebsregister Bayern</t>
  </si>
  <si>
    <t>Tumorzentrum Oberfranken</t>
  </si>
  <si>
    <t>Charité Comprehensive Cancer Center</t>
  </si>
  <si>
    <t>Tumorzentrum Berlin-Buch</t>
  </si>
  <si>
    <t>Tumorzentrum für Klinik &amp; Praxis in Berlin</t>
  </si>
  <si>
    <t>Tumorzentrum Spandau</t>
  </si>
  <si>
    <t>Tumorzentrum Vivantes</t>
  </si>
  <si>
    <t>Gemeinsames Krebsregister Berlin-Brandenburg</t>
  </si>
  <si>
    <t>Tumorzentrum Land Brandenburg</t>
  </si>
  <si>
    <t>Krebsregister des Landes Bremen</t>
  </si>
  <si>
    <t>Hamburgisches Krebsregister</t>
  </si>
  <si>
    <t>Hessisches Krebsregister</t>
  </si>
  <si>
    <t>Krebsregister Hessen</t>
  </si>
  <si>
    <t>Tumorzentrum Neubrandenburg</t>
  </si>
  <si>
    <t>Tumorzentrum Vorpommern</t>
  </si>
  <si>
    <t>Epidemiologisches Krebsregister Niedersachsen</t>
  </si>
  <si>
    <t>Krebsregister Niedersachsen</t>
  </si>
  <si>
    <t>Westdeutsches Tumorzentrum Essen</t>
  </si>
  <si>
    <t xml:space="preserve">Epidemiologisches Krebsregister Münster </t>
  </si>
  <si>
    <t>Epidemiologisches Krebsregister NRW</t>
  </si>
  <si>
    <t>Krebsregister NRW</t>
  </si>
  <si>
    <t>Krebsregister Rheinland-Pfalz</t>
  </si>
  <si>
    <t>Epidemiologisches Krebsregister Saarland</t>
  </si>
  <si>
    <t>Tumorzentrum Chemnitz</t>
  </si>
  <si>
    <t>Tumorzentrum Dresden</t>
  </si>
  <si>
    <t>Tumorzentrum Zwickau</t>
  </si>
  <si>
    <t>klinisches Krebsregister Schleswig Holstein/Lübeck</t>
  </si>
  <si>
    <t>Krebsregister Schleswig-Holstein</t>
  </si>
  <si>
    <t>Tumorzentrum Altenburg</t>
  </si>
  <si>
    <t>Italien</t>
  </si>
  <si>
    <t>Format: dd.mm.jjjj</t>
  </si>
  <si>
    <t>Eingabedatum</t>
  </si>
  <si>
    <t>Tabelle Plausibilitätsabfragen:</t>
  </si>
  <si>
    <t>Eigenentwicklung (MS Excel, MS Access etc.)</t>
  </si>
  <si>
    <t>IndivuNET</t>
  </si>
  <si>
    <t>KRAZTUR</t>
  </si>
  <si>
    <t>OnkoManager</t>
  </si>
  <si>
    <t>Onkomedia</t>
  </si>
  <si>
    <t>Bearbeitungshinweise:</t>
  </si>
  <si>
    <t>Kennzahlenbogen</t>
  </si>
  <si>
    <t>Erstelldatum</t>
  </si>
  <si>
    <t>Plausibilität unklar</t>
  </si>
  <si>
    <t>Verifizierung Zentrum</t>
  </si>
  <si>
    <t xml:space="preserve">Reg.-Nr. </t>
  </si>
  <si>
    <t>Erstzertifizierung</t>
  </si>
  <si>
    <t>Datenqualität Kennzahlen</t>
  </si>
  <si>
    <t>Grundgesamtheit 
(= Nenner)</t>
  </si>
  <si>
    <t>J</t>
  </si>
  <si>
    <t>L</t>
  </si>
  <si>
    <t>AA</t>
  </si>
  <si>
    <t>Follow-Up-Meldungen</t>
  </si>
  <si>
    <t>I.O.</t>
  </si>
  <si>
    <t>I.O. (Plausibilität unklar)</t>
  </si>
  <si>
    <t>Pflicht Berechnung</t>
  </si>
  <si>
    <t>Optional Berechnung</t>
  </si>
  <si>
    <t>optional - I.O.</t>
  </si>
  <si>
    <t>optional - I.O. (Plausibilität unklar)</t>
  </si>
  <si>
    <t>optional - Sollvorgabe nicht erfüllt</t>
  </si>
  <si>
    <t>optional - unvollständig</t>
  </si>
  <si>
    <t>optional - inkorrekt</t>
  </si>
  <si>
    <t>In Ordnung</t>
  </si>
  <si>
    <t>Plausibel</t>
  </si>
  <si>
    <t>Inkorrekt</t>
  </si>
  <si>
    <t>Fehlerhaft</t>
  </si>
  <si>
    <t>Unvollständig</t>
  </si>
  <si>
    <t>kein Eintrag</t>
  </si>
  <si>
    <t>n.d.</t>
  </si>
  <si>
    <t>Bearbeitungs-qualität</t>
  </si>
  <si>
    <t>DFS</t>
  </si>
  <si>
    <t>inkorrekt</t>
  </si>
  <si>
    <t>Datenqualität Matrix</t>
  </si>
  <si>
    <t>Anzahl/Quote</t>
  </si>
  <si>
    <t xml:space="preserve"> &lt;= Sollv. nicht erfüllt</t>
  </si>
  <si>
    <t xml:space="preserve"> &gt;= Sollv. nicht erfüllt</t>
  </si>
  <si>
    <t>&gt;</t>
  </si>
  <si>
    <t>&lt;</t>
  </si>
  <si>
    <t xml:space="preserve"> &lt; Plausi ?</t>
  </si>
  <si>
    <t xml:space="preserve"> &gt; Plausi ?</t>
  </si>
  <si>
    <t>Relative Quote tumorfrei</t>
  </si>
  <si>
    <t>Matrix</t>
  </si>
  <si>
    <t>AB</t>
  </si>
  <si>
    <t>Datenqualtiät</t>
  </si>
  <si>
    <t>Kalenderjahr 
(Erstdiagnose)</t>
  </si>
  <si>
    <t xml:space="preserve">nur Prozentwerte können eingegeben werden </t>
  </si>
  <si>
    <t>zu geringe Anzahl der Primärfälle</t>
  </si>
  <si>
    <t>zu viele Patientinnen im Follow-Up</t>
  </si>
  <si>
    <t xml:space="preserve">Fehler bei Ereignisse </t>
  </si>
  <si>
    <t>wenn sich Minuswerte berechnen</t>
  </si>
  <si>
    <t>untere Grenze</t>
  </si>
  <si>
    <t>obere Grenze</t>
  </si>
  <si>
    <t>Werte</t>
  </si>
  <si>
    <t>von</t>
  </si>
  <si>
    <t>ART</t>
  </si>
  <si>
    <t>plausi</t>
  </si>
  <si>
    <t>sollvorgabe</t>
  </si>
  <si>
    <t>unvollständig</t>
  </si>
  <si>
    <t>Liste zum Übertragen</t>
  </si>
  <si>
    <t>Kalenderjahr(e) 
(Erstdiagnose)</t>
  </si>
  <si>
    <t>Länge</t>
  </si>
  <si>
    <t>Ereignis</t>
  </si>
  <si>
    <t>&gt; FU</t>
  </si>
  <si>
    <t>negativ</t>
  </si>
  <si>
    <t>Anzahl P.</t>
  </si>
  <si>
    <t>&lt; FU</t>
  </si>
  <si>
    <t>rQ tumorfrei</t>
  </si>
  <si>
    <t>Datum Erstzertifizierung</t>
  </si>
  <si>
    <t>In dieser Excel-Vorlage sind die nachfolgend skizzierten Plausibilitätsabfragen hinterlegt.</t>
  </si>
  <si>
    <t>Ein Anspruch auf Vollständigkeit besteht nicht.</t>
  </si>
  <si>
    <t xml:space="preserve">Fehlermeldungen </t>
  </si>
  <si>
    <t>auffällig niedrige Quote tumorfreier Patienten</t>
  </si>
  <si>
    <t>zu wenig Primärfälle angegeben</t>
  </si>
  <si>
    <t>A</t>
  </si>
  <si>
    <t>relevant</t>
  </si>
  <si>
    <t>DFS auffällig niedrig oder hoch</t>
  </si>
  <si>
    <t>OAS auffällig niedrig oder hoch</t>
  </si>
  <si>
    <t>Zentrum</t>
  </si>
  <si>
    <t>Standort</t>
  </si>
  <si>
    <t>a)</t>
  </si>
  <si>
    <t>b)</t>
  </si>
  <si>
    <t>c)</t>
  </si>
  <si>
    <t>d)</t>
  </si>
  <si>
    <t>e)</t>
  </si>
  <si>
    <t>Matrix kann eingereicht werden</t>
  </si>
  <si>
    <t>Einrichtung 1</t>
  </si>
  <si>
    <t>Land</t>
  </si>
  <si>
    <t>Deutschland</t>
  </si>
  <si>
    <t>f)</t>
  </si>
  <si>
    <t>Sana Klinikum Lichtenberg</t>
  </si>
  <si>
    <t>Universitätsklinikum Ulm</t>
  </si>
  <si>
    <t>Klinik für Frauenheilkunde und Geburtshilfe</t>
  </si>
  <si>
    <t>Pius Hospital Oldenburg</t>
  </si>
  <si>
    <t>Charité - Campus Mitte</t>
  </si>
  <si>
    <t>Universitätsmedizin Mannheim (UMM)</t>
  </si>
  <si>
    <t>St. Josefs-Hospital Wiesbaden</t>
  </si>
  <si>
    <t>≥ 80%</t>
  </si>
  <si>
    <t>x &lt; 60% || x &gt; 95%</t>
  </si>
  <si>
    <t>x &lt; 80% || x &gt; 99%</t>
  </si>
  <si>
    <t>Kennzahldefinition</t>
  </si>
  <si>
    <t>2. Zähler muss eine positive ganze Zahl sein.</t>
  </si>
  <si>
    <t>3. Zähler kann nicht größer als Nenner sein.</t>
  </si>
  <si>
    <t>1. Tabellenblatt Basisdaten muss vollständig bearbeitet sein.</t>
  </si>
  <si>
    <t>Ganze Zahl zwischen 0 und 5000 eingeben.</t>
  </si>
  <si>
    <t>1.2.3</t>
  </si>
  <si>
    <t>1.7.5</t>
  </si>
  <si>
    <t>Texte i.O.</t>
  </si>
  <si>
    <t>Keine Anbindung an Klinisches Krebsregister</t>
  </si>
  <si>
    <t>Unbekannt</t>
  </si>
  <si>
    <t>Nicht gelistet</t>
  </si>
  <si>
    <t>-----</t>
  </si>
  <si>
    <t>Keine Zusammenarbeit</t>
  </si>
  <si>
    <t>Geringe / punktuelle Zusammenarbeit</t>
  </si>
  <si>
    <t>Intensive / regelmäßige Zusammenarbeit</t>
  </si>
  <si>
    <t>Zähler :</t>
  </si>
  <si>
    <t>Endometriumkarzinom</t>
  </si>
  <si>
    <t>Vulvakarzinom</t>
  </si>
  <si>
    <t>Nicht Primärfälle</t>
  </si>
  <si>
    <t>operiert</t>
  </si>
  <si>
    <t>Vorstellung Tumorkonferenz</t>
  </si>
  <si>
    <t>Derzeit keine Vorgaben</t>
  </si>
  <si>
    <t>1.2.1</t>
  </si>
  <si>
    <t>≥ 50</t>
  </si>
  <si>
    <t>5.2.6</t>
  </si>
  <si>
    <t>≥ 40</t>
  </si>
  <si>
    <t>K</t>
  </si>
  <si>
    <t>M</t>
  </si>
  <si>
    <t>S</t>
  </si>
  <si>
    <t>AC</t>
  </si>
  <si>
    <t>AF</t>
  </si>
  <si>
    <t>AG</t>
  </si>
  <si>
    <t>FIGO IA</t>
  </si>
  <si>
    <t>FIGO IB</t>
  </si>
  <si>
    <t xml:space="preserve">FIGO III  </t>
  </si>
  <si>
    <t xml:space="preserve">FIGO IV  </t>
  </si>
  <si>
    <t>Auswertungen</t>
  </si>
  <si>
    <t>Für die Bewertung der Matrix gelten folgende Regelungen:</t>
  </si>
  <si>
    <t>W &lt; 60%</t>
  </si>
  <si>
    <t>Basisdaten Gynäkologie</t>
  </si>
  <si>
    <t>Kennzahlenbogen Gynäkologie</t>
  </si>
  <si>
    <t xml:space="preserve">Für Gynäkologische Krebszentren ist die Matrix Ergebnisqualität obligat zu bearbeiten. </t>
  </si>
  <si>
    <t>Gynäkologisches Universitäts-Krebszentrum Franken (GKF)</t>
  </si>
  <si>
    <t>Universitätsklinikum Erlangen</t>
  </si>
  <si>
    <t>Gynäkologisches Krebszentrum Ulm</t>
  </si>
  <si>
    <t>FAG-Z006</t>
  </si>
  <si>
    <t>Gynäkologisches Krebszentrum Kaiserswerther Diakonie Düsseldorf</t>
  </si>
  <si>
    <t>Kaiserswerther Diakonie; Florence-Nightingale-Krankenhaus</t>
  </si>
  <si>
    <t>Gynäkologisches Krebszentrum Kiel</t>
  </si>
  <si>
    <t>Gynäkologisches Krebszentrum der Universitätsmedizin Göttingen</t>
  </si>
  <si>
    <t>Gynäkologisches Krebszentrum Dr. Horst-Schmidt Klinik Wiesbaden</t>
  </si>
  <si>
    <t>Gynäkologisches Krebszentrum Bremen-Mitte</t>
  </si>
  <si>
    <t>Gynäkologisches Krebszentrum Oldenburg</t>
  </si>
  <si>
    <t>Gynäkologisches Krebszentrum Universitäts-Frauenklinik Frankfurt</t>
  </si>
  <si>
    <t>Gynäkologisches Tumorzentrum Klinikum Kassel</t>
  </si>
  <si>
    <t>FAG-Z015</t>
  </si>
  <si>
    <t>Klinik für Frauenheilkunde und Geburtshilfe, Helios-Klinikum Krefeld</t>
  </si>
  <si>
    <t>Gynäkologisches Krebszentrum im Evangelischen Waldkrankenhaus Spandau</t>
  </si>
  <si>
    <t>Evangelisches Waldkrankenhaus Spandau (EWK) Krankenhausbetriebs gGmbH</t>
  </si>
  <si>
    <t>Gynäkologisches Krebszentrum Schwäbisch Gmünd</t>
  </si>
  <si>
    <t>Stauferklinikum Schwäbisch Gmünd</t>
  </si>
  <si>
    <t>Gynäkologisches Krebszentrum Schwarzwald-Baar-Heuberg</t>
  </si>
  <si>
    <t>Zentrum für Gynäkologische Krebserkrankungen am Klinikum Stuttgart</t>
  </si>
  <si>
    <t>Gynäkologisches Krebszentrum der Frauenklinik der Technischen Universität München</t>
  </si>
  <si>
    <t>Gynäkologisches Krebszentrum am Klinikum Aschaffenburg</t>
  </si>
  <si>
    <t>Gynäkologisches Krebszentrum Universitätsklinikum Hamburg - Eppendorf</t>
  </si>
  <si>
    <t>Universitätsklinikum Hamburg - Eppendorf</t>
  </si>
  <si>
    <t>Gynäkologisches Krebszentrum Hohenlohe</t>
  </si>
  <si>
    <t>Frauenklinik Esslingen</t>
  </si>
  <si>
    <t>Gynäkologisches Krebszentrum der Medizinischen Hochschule Hannover</t>
  </si>
  <si>
    <t>Gynäkologisches Krebszentrum Marienkrankenhaus Hamburg</t>
  </si>
  <si>
    <t>Kath. Marienkrankenhaus Hamburg</t>
  </si>
  <si>
    <t>Universitäts-Klinikum Halle-Saale</t>
  </si>
  <si>
    <t>Gynäkologisches Krebszentrum Wolfsburg</t>
  </si>
  <si>
    <t>Gynäkologisches Krebszentrum Schweinfurt-Mainfranken</t>
  </si>
  <si>
    <t>FAG-Z038</t>
  </si>
  <si>
    <t>Gynäkologisches Krebszentrum St. Vincenz-Krankenhaus Paderborn</t>
  </si>
  <si>
    <t>Robert-Bosch-Krankenhaus Stuttgart</t>
  </si>
  <si>
    <t>Gynäkologisches Krebszentrum Ingolstadt</t>
  </si>
  <si>
    <t>Klinikum Ingolstadt</t>
  </si>
  <si>
    <t>Gynäkologisches Krebszentrum St. Josefs-Hospital Wiesbaden</t>
  </si>
  <si>
    <t>Gynäkologisches Krebszentrum Starnberg</t>
  </si>
  <si>
    <t>Gynäkologisches Krebszentrum Braunschweig</t>
  </si>
  <si>
    <t>Gynäkologisches Krebszentrum Sana Klinikum Lichtenberg</t>
  </si>
  <si>
    <t>Gynäkologisches Krebszentrum Jena</t>
  </si>
  <si>
    <t>Gynäkologisches Krebszentrum Marburg im Comprehensive Cancer Center (CCC) Marburg</t>
  </si>
  <si>
    <t>Universitätsklinikum Gießen und Marburg; Standort Marburg</t>
  </si>
  <si>
    <t>FAG-Z055</t>
  </si>
  <si>
    <t>Gynäkologisches Krebszentrum Gütersloh</t>
  </si>
  <si>
    <t>Klinikum Gütersloh</t>
  </si>
  <si>
    <t>Interdisziplinäres Gynäkologisches Krebszentrum Kempten-Allgäu</t>
  </si>
  <si>
    <t>Gynäkologisches Krebszentrum Martin-Luther-Krankenhaus Berlin</t>
  </si>
  <si>
    <t>Martin-Luther-Krankenhaus Berlin</t>
  </si>
  <si>
    <t>FAG-Z059</t>
  </si>
  <si>
    <t>Gynäkologisches Krebszentrum Unna</t>
  </si>
  <si>
    <t>Gynäkologisches Tumorzentrum Reutlingen</t>
  </si>
  <si>
    <t>Universitätsklinikum Carl Gustav Carus Dresden</t>
  </si>
  <si>
    <t>FAG-Z062</t>
  </si>
  <si>
    <t>FAG-Z063</t>
  </si>
  <si>
    <t>Gynäkologisches Krebszentrum Saalfeld</t>
  </si>
  <si>
    <t>Interdisziplinäres Gynäkologisches Krebszentrum Universitäts-Frauenklinik Düsseldorf</t>
  </si>
  <si>
    <t>Gynäkologisches Tumorzentrum Luzern</t>
  </si>
  <si>
    <t>Gynäkologisches Krebszentrum Rhein-Neckar</t>
  </si>
  <si>
    <t>Gynäkologisches Krebszentrum Offenburg</t>
  </si>
  <si>
    <t>Gynäkologisches Krebszentrum Traunstein</t>
  </si>
  <si>
    <t>Gynäkologisches Krebszentrum Frankfurt Höchst</t>
  </si>
  <si>
    <t>Klinikum Frankfurt Höchst</t>
  </si>
  <si>
    <t>Gynäkologisches Krebszentrum Darmstadt</t>
  </si>
  <si>
    <t>Klinikum Darmstadt</t>
  </si>
  <si>
    <t>FAG-Z078</t>
  </si>
  <si>
    <t>FAG-Z079</t>
  </si>
  <si>
    <t>Gynäkologisches Krebszentrum BETHESDA Duisburg</t>
  </si>
  <si>
    <t>FAG-Z080</t>
  </si>
  <si>
    <t>Gynäkologisches Krebszentrum Klinikum Dortmund</t>
  </si>
  <si>
    <t>Gynäkologisches Krebszentrum DIAKO Flensburg</t>
  </si>
  <si>
    <t>Gynäkologisches Krebszentrum Klinikum Nürnberg</t>
  </si>
  <si>
    <t>Keine Rückmeldung</t>
  </si>
  <si>
    <t>Nicht tumorbedingt gestorben bzw. Todesursache unbekannt</t>
  </si>
  <si>
    <t>Tumorbedingt gestorben</t>
  </si>
  <si>
    <t>AG22-AG24</t>
  </si>
  <si>
    <t>AG25</t>
  </si>
  <si>
    <t>AH22-AH24</t>
  </si>
  <si>
    <t>AH25</t>
  </si>
  <si>
    <t>Nachsorgejahr "relevant" (Spalte A) =&gt; Sämtliche „hellgrau“ hinterlegte Felder sollten vollständig bearbeitet werden; dies gilt auch für Nullwerte (=0).</t>
  </si>
  <si>
    <t>nicht 
operiert</t>
  </si>
  <si>
    <t>≥ 75</t>
  </si>
  <si>
    <t>Relative Quote tumorfrei 
= V / (Q + R)</t>
  </si>
  <si>
    <t>≥ 5%</t>
  </si>
  <si>
    <t>Matrix - Ergebnisqualität (Zervixkarzinom)</t>
  </si>
  <si>
    <t>Kennzahlenbogen - Analyseprotokoll Datendefizite Gynäkologie</t>
  </si>
  <si>
    <t>Siehe Sollvorgabe</t>
  </si>
  <si>
    <t>Matrix - Analyseprotokoll Datendefizite Zervixkarzinom</t>
  </si>
  <si>
    <t>DFS nach Kaplan-Meier
(Disease Free Survival) in %</t>
  </si>
  <si>
    <t>OAS nach Kaplan-Meier    
(Overall Survival) in %</t>
  </si>
  <si>
    <t>CARAT</t>
  </si>
  <si>
    <t>H.I.T.</t>
  </si>
  <si>
    <t>Medbrix</t>
  </si>
  <si>
    <t>Achiever Medical System</t>
  </si>
  <si>
    <t>&gt; 65%</t>
  </si>
  <si>
    <t>&lt; 15%</t>
  </si>
  <si>
    <t>relevante Nachsorgejahre nicht/unvollständig bearbeitet</t>
  </si>
  <si>
    <t>Nur Prozentwerte zwischen 0% und 100% können verwendet werden.</t>
  </si>
  <si>
    <t>geringe Follow-Up Quote der Nachsorgejahre</t>
  </si>
  <si>
    <t>1, 2, 3</t>
  </si>
  <si>
    <t>zu viele Pat im Follow-Up (Primärpat - Pat. FIGO IV)</t>
  </si>
  <si>
    <t>Anzahl Primärpatientinnen größer als im KB</t>
  </si>
  <si>
    <t>Ganze Zahl</t>
  </si>
  <si>
    <t>Aus KB übertragen</t>
  </si>
  <si>
    <t>Anzahl Primärpatientinnen Matrix größer als  Primärfälle Zervix-Ca im Kennzahlenbogen</t>
  </si>
  <si>
    <t>nicht geprüft</t>
  </si>
  <si>
    <t>geringe Follow-Up Quote</t>
  </si>
  <si>
    <t>durchschnittliche Follow-Up Quote &lt; 80%</t>
  </si>
  <si>
    <t>durchschnittliche Follow-Up Quote &gt; 95%</t>
  </si>
  <si>
    <t>Von Seiten des Fachexperten können weitere Unplausibilitäten bzw. Inkorrektheiten identifiziert und im Rahmen des Auditergebnisses dargestellt werden.</t>
  </si>
  <si>
    <t>„Hellgrün“ hinterlegte Felder weisen auf Unplausibilitäten hin. Diese Werte sind zu analysieren und das Ergebnis ist auf dem Folgeblatt „Datendefizite_Matrix“ darzulegen.</t>
  </si>
  <si>
    <t>Ganze Zahl zwischen 0 und 5000 eingeben</t>
  </si>
  <si>
    <t>Bundesland / Land</t>
  </si>
  <si>
    <t>Eingeleitete / geplante Aktionen</t>
  </si>
  <si>
    <t>Begründung / Ursache</t>
  </si>
  <si>
    <t>Spalte / Zelle</t>
  </si>
  <si>
    <t>Erläuterung hinsichtlich Datendefizit
Begründung / Ursachenanalyse / Aktionen</t>
  </si>
  <si>
    <t>Ansprechpartner</t>
  </si>
  <si>
    <t>Daten-qualität</t>
  </si>
  <si>
    <t>Plausi unklar</t>
  </si>
  <si>
    <t>Achieva</t>
  </si>
  <si>
    <t>Alcedis MED</t>
  </si>
  <si>
    <t>c37.CancerCenter</t>
  </si>
  <si>
    <t>Kolorekt</t>
  </si>
  <si>
    <t>MR-TU-DO</t>
  </si>
  <si>
    <t>NUK</t>
  </si>
  <si>
    <t>onkodok (XAXOA)</t>
  </si>
  <si>
    <t>OnkoNet</t>
  </si>
  <si>
    <t>online Dokumentation IDZB</t>
  </si>
  <si>
    <t>Tudok (Tumorzentrum Regensburg)</t>
  </si>
  <si>
    <t>WDC-Kolonakte</t>
  </si>
  <si>
    <t>Tumorzentrum Ostsachsen</t>
  </si>
  <si>
    <t>Tumorzentrum Weser-Ems</t>
  </si>
  <si>
    <t>Gynäkologisches Krebszentrum Bad Homburg Hochtaunus-Kliniken</t>
  </si>
  <si>
    <t>Hochtaunus-Kliniken Bad Homburg</t>
  </si>
  <si>
    <t>Universitäts-Gynkrebszentrum Rostock</t>
  </si>
  <si>
    <t>Klinikum Südstadt Rostock</t>
  </si>
  <si>
    <t>FAG-Z092</t>
  </si>
  <si>
    <t>Universitätsklinikum Münster</t>
  </si>
  <si>
    <t>Gynäkologisches Krebszentrum Marienhospital Stuttgart</t>
  </si>
  <si>
    <t>Marienhospital Stuttgart</t>
  </si>
  <si>
    <t>Gynäkologisches Krebszentrum Städtisches Klinikum Karlsruhe</t>
  </si>
  <si>
    <t>Städtisches Klinikum Karlsruhe</t>
  </si>
  <si>
    <t>Noch nicht vorhanden</t>
  </si>
  <si>
    <t>ID_intern</t>
  </si>
  <si>
    <t>Erläuterung hinsichtlich Datendefizit</t>
  </si>
  <si>
    <t>ID:a</t>
  </si>
  <si>
    <t>ID:b</t>
  </si>
  <si>
    <t>ID:c</t>
  </si>
  <si>
    <t>ID:d</t>
  </si>
  <si>
    <t>Sollvorgabe nicht erfüllt; durchschnittliche Follow-Up Quote &lt; 80%; ID: e</t>
  </si>
  <si>
    <t>ID: f</t>
  </si>
  <si>
    <t>Plausibilität unklar; durchschnittliche Follow-Up Quote &gt; 95%; ID: g</t>
  </si>
  <si>
    <t>ID: h</t>
  </si>
  <si>
    <t>ID: i</t>
  </si>
  <si>
    <t>ID: j</t>
  </si>
  <si>
    <t>ID: k</t>
  </si>
  <si>
    <t>Datenverifizierung_ID</t>
  </si>
  <si>
    <t>Allgemeine Feststellungen</t>
  </si>
  <si>
    <t>Allgemeine Hinweise</t>
  </si>
  <si>
    <t>Allgemeine Abweichungen</t>
  </si>
  <si>
    <t>Bewertung Ausschuss</t>
  </si>
  <si>
    <t>Anmerkung OnkoZert</t>
  </si>
  <si>
    <t>Feststellung</t>
  </si>
  <si>
    <t>Hinweis</t>
  </si>
  <si>
    <t>Abweichung</t>
  </si>
  <si>
    <t>Gesamt per Kategorie</t>
  </si>
  <si>
    <t>Vaginalkarzinom</t>
  </si>
  <si>
    <t>Gynäkologisches Krebszentrum Speyer</t>
  </si>
  <si>
    <t>Diakonissen-Stiftungs-Krankenhaus Speyer</t>
  </si>
  <si>
    <t>Klinikum Wetzlar</t>
  </si>
  <si>
    <t>Gynäkologisches Krebszentrum Worms</t>
  </si>
  <si>
    <t>Klinikum Worms</t>
  </si>
  <si>
    <t>FAG-Z101</t>
  </si>
  <si>
    <t>Gynäkologisches Tumorzentrum Bamberg</t>
  </si>
  <si>
    <t>Sozialstiftung Bamberg Klinikum am Bruderwald</t>
  </si>
  <si>
    <t>Gynäkologisches Krebszentrum des Universitätsklinikums Würzburg (UKW)</t>
  </si>
  <si>
    <t>Gynäkologisches Krebszentrum am Rotkreuzklinikum München</t>
  </si>
  <si>
    <t>Rotkreuzklinikum München, Frauenklinik</t>
  </si>
  <si>
    <t>FAG-Z107</t>
  </si>
  <si>
    <t>St. Elisabeth-Krankenhaus Köln</t>
  </si>
  <si>
    <t>Gynäkologisches Tumorzentrum der Universitätsmedizin Greifswald</t>
  </si>
  <si>
    <t>Universitätsmedizin Greifswald</t>
  </si>
  <si>
    <t>Aktualisierung:</t>
  </si>
  <si>
    <t>Heartsoft Tumordatenbank</t>
  </si>
  <si>
    <t>Prostata-Ca Register</t>
  </si>
  <si>
    <t>QuaDoSta</t>
  </si>
  <si>
    <t>UroCloud</t>
  </si>
  <si>
    <t>Operatives Staging frühes Ovarialkarzinom</t>
  </si>
  <si>
    <t>Makroskopisch vollständige Resektion fortgeschrittenes Ovarialkarzinom</t>
  </si>
  <si>
    <t>Möglichst häufig makroskopisch vollständige Resektion</t>
  </si>
  <si>
    <t>Möglichst häufig operative Therapie durch Gynäkoonkologen (Facharzt/ Fachärztin für Frauenheilkunde und Geburtshilfe mit Schwerpunkt Gynäkologische Onkologie = Gynäkologischer Onkologe/ Gynäkologische Onkologin)</t>
  </si>
  <si>
    <t>Operative Primärfälle Ovarialkarzinom FIGO IIB-IV nach Abschluss der operativen Therapie</t>
  </si>
  <si>
    <t>Postoperative Chemotherapie fortgeschrittenes Ovarialkarzinom</t>
  </si>
  <si>
    <t>Möglichst häufig postoperative Chemotherapie bei fortgeschrittenem Ovarialkarzinom und Chemotherapie</t>
  </si>
  <si>
    <t>First-Line Chemotherapie fortgeschrittenes Ovarialkarzinom</t>
  </si>
  <si>
    <t>FAG-Z112</t>
  </si>
  <si>
    <t>Gynäkologisches Krebszentrum Sana Klinikum Offenbach</t>
  </si>
  <si>
    <t>Gynäkologisches Krebszentrum Oberschwabenklinik</t>
  </si>
  <si>
    <t>Gynäkologisches Tumorzentrum Lahn-Dill, Wetzlar</t>
  </si>
  <si>
    <t>Gynäkologisches Krebszentrum Mönchengladbach</t>
  </si>
  <si>
    <t>Klinikum Wolfsburg</t>
  </si>
  <si>
    <t>Klinikum Starnberg (Klinik für Frauenheilkunde und Geburtshilfe)</t>
  </si>
  <si>
    <t>Klinikum Traunstein/Kliniken Südostbayern AG</t>
  </si>
  <si>
    <t>Sana Klinikum Offenbach</t>
  </si>
  <si>
    <t>Klinikum St. Marien Amberg</t>
  </si>
  <si>
    <t>ambucare</t>
  </si>
  <si>
    <t>em.net</t>
  </si>
  <si>
    <t>FileTuDo</t>
  </si>
  <si>
    <t>MIQ-KRCA</t>
  </si>
  <si>
    <t>ORBIS-ODOK</t>
  </si>
  <si>
    <t>OncoAssist Tumordokumentation</t>
  </si>
  <si>
    <t>ONKOSTAR</t>
  </si>
  <si>
    <t>ONDIS</t>
  </si>
  <si>
    <t>Qualitätssicherung Kolorektalkarzinom</t>
  </si>
  <si>
    <t>SMATOS</t>
  </si>
  <si>
    <t>StuDoQ</t>
  </si>
  <si>
    <t>Tumordokumentation des Instituts für Krebsepidemiologie</t>
  </si>
  <si>
    <t>KR7</t>
  </si>
  <si>
    <t>Angaben im Befundbericht bei Erstdiagnose und Tumorresektion</t>
  </si>
  <si>
    <t>Möglichst häufig vollständige Angaben im Befundbericht bei Tm-resektion</t>
  </si>
  <si>
    <t>Angaben im Befundbericht bei Lymphonodektomie</t>
  </si>
  <si>
    <t>Möglichst häufig vollständige Angaben im Befundbericht bei Lymphonodektomie</t>
  </si>
  <si>
    <t>Möglichst häufig zytologisches/histologisches LK-Staging</t>
  </si>
  <si>
    <t>FIGO II</t>
  </si>
  <si>
    <t>(Muster Zertifikat)</t>
  </si>
  <si>
    <r>
      <t xml:space="preserve">Begründung / Ursache
</t>
    </r>
    <r>
      <rPr>
        <sz val="8"/>
        <color indexed="8"/>
        <rFont val="Arial"/>
        <family val="2"/>
      </rPr>
      <t>(min. 30 Zeichen / max. 500 Zeichen)</t>
    </r>
  </si>
  <si>
    <t>FAG-Z115</t>
  </si>
  <si>
    <t>Gynäkologisches Krebszentrum am Städtischen Krankenhaus Kiel</t>
  </si>
  <si>
    <t>Städtisches Krankenhaus Kiel</t>
  </si>
  <si>
    <t>Klinikum Hanau</t>
  </si>
  <si>
    <t>Gynäkologisches Krebszentrum Nathanstift Fürth</t>
  </si>
  <si>
    <t>Klinikum Fürth</t>
  </si>
  <si>
    <t>FAG-Z120</t>
  </si>
  <si>
    <t>Gynäkologisches Krebszentrum Evangelisches Krankenhaus Bergisch Gladbach</t>
  </si>
  <si>
    <t>Evangelisches Krankenhaus Bergisch Gladbach</t>
  </si>
  <si>
    <t>Gynäkologisches Krebszentrum Kliniken Essen-Mitte</t>
  </si>
  <si>
    <t>Ausnahmen sind die optional anzugebenden Felder OAS und DFS (Spalten AF und AG). Dezimaltrennzeichen ist das Komma (nicht der Punkt). Rundung erfolgt auf zwei Nachkommastellen .</t>
  </si>
  <si>
    <t>Erläuterung</t>
  </si>
  <si>
    <t>Zellen müssen nicht ausgefüllt werden</t>
  </si>
  <si>
    <t>Nicht ausgefüllte Zellen von relevanten Nachsorgejahren</t>
  </si>
  <si>
    <t>Geringe Follow-Up Quote der Nachsorgejahre</t>
  </si>
  <si>
    <t>Auffällig niedrige Quote tumorfreier Patienten</t>
  </si>
  <si>
    <t>DFS auffällig niedrig oder hoch           Jahre 2007-2009</t>
  </si>
  <si>
    <t>DFS auffällig niedrig oder hoch           Jahr 2010</t>
  </si>
  <si>
    <t>O</t>
  </si>
  <si>
    <t>Spalte  C - L - M</t>
  </si>
  <si>
    <t>X, Y, Z</t>
  </si>
  <si>
    <t>Die einzelnen Werte in den Spalten X, Y, und Z dürfen den Wert in Spalte W nicht übersteigen</t>
  </si>
  <si>
    <t>S &lt; 70%</t>
  </si>
  <si>
    <t>Werte in Spalte X,Y,Z dürfen den Wert Spalte W nicht übersteigen</t>
  </si>
  <si>
    <t>Zahlen in Spalte U dürfen keine negativen Werte annehmen</t>
  </si>
  <si>
    <t>U</t>
  </si>
  <si>
    <t>U &lt; 0</t>
  </si>
  <si>
    <t>Werte Spalte U "Pat. tumorfrei" dürfen keine negativen Werte annehmen</t>
  </si>
  <si>
    <t>Eingabe kann nicht größer sein als Ereignisse Spalte W.</t>
  </si>
  <si>
    <t>Summe Spalten W+AA+AB+AC (Patienten mit Ereignisse) darf nicht größer als Summe Spalten P+Q (Patientenrückmeldungen) sein.</t>
  </si>
  <si>
    <t>Krebsregister Schweiz</t>
  </si>
  <si>
    <t>Krebsregister Österreich</t>
  </si>
  <si>
    <t>AE</t>
  </si>
  <si>
    <t>Follow-Up Quote in %
= (P + Q) / O</t>
  </si>
  <si>
    <t>Lokalrezidiv-Quote
= X / (P + Q)</t>
  </si>
  <si>
    <t>W &lt; Max (X bis Z)</t>
  </si>
  <si>
    <t>FAG-Z122</t>
  </si>
  <si>
    <t>Gynäkologisches Krebszentrum - Medizinische Universität Wien</t>
  </si>
  <si>
    <t>Universitätsfrauenklinik Würzburg</t>
  </si>
  <si>
    <t>XML-OncoBox</t>
  </si>
  <si>
    <t>Krebsregister Italien</t>
  </si>
  <si>
    <t>KoReDos</t>
  </si>
  <si>
    <t>MaDoS</t>
  </si>
  <si>
    <t>ProDos</t>
  </si>
  <si>
    <t>Gynäkologisches Krebszentrum am Kantonsspital Aarau</t>
  </si>
  <si>
    <t>Kantonsspital Aarau</t>
  </si>
  <si>
    <t>UCC-TDS (Tumorzentrum Dresden)</t>
  </si>
  <si>
    <t>&lt; 20%</t>
  </si>
  <si>
    <t xml:space="preserve">2015, </t>
  </si>
  <si>
    <t>&lt; 50%</t>
  </si>
  <si>
    <t>FAG-Z001 B</t>
  </si>
  <si>
    <t>FAG-Z002 B</t>
  </si>
  <si>
    <t>FAG-Z003 B</t>
  </si>
  <si>
    <t>FAG-Z004 B</t>
  </si>
  <si>
    <t>FAG-Z005 B</t>
  </si>
  <si>
    <t>FAG-Z007 B</t>
  </si>
  <si>
    <t>FAG-Z008 B</t>
  </si>
  <si>
    <t>FAG-Z009 B</t>
  </si>
  <si>
    <t>FAG-Z010 B</t>
  </si>
  <si>
    <t>FAG-Z011 B</t>
  </si>
  <si>
    <t>FAG-Z012 B</t>
  </si>
  <si>
    <t>FAG-Z013 B</t>
  </si>
  <si>
    <t>FAG-Z014 B</t>
  </si>
  <si>
    <t>Klinikum Kassel</t>
  </si>
  <si>
    <t>FAG-Z016 B</t>
  </si>
  <si>
    <t>Gynäkologisches Krebszentrum des Tumorzentrums Freiburg - CCCF</t>
  </si>
  <si>
    <t>Universitätsklinikum Freiburg</t>
  </si>
  <si>
    <t>FAG-Z017 B</t>
  </si>
  <si>
    <t>FAG-Z018 B</t>
  </si>
  <si>
    <t>FAG-Z020 B</t>
  </si>
  <si>
    <t>Frauenklinik Villingen; Schwarzwald-Baar Klinikum Villingen-Schwenningen</t>
  </si>
  <si>
    <t>FAG-Z021 B</t>
  </si>
  <si>
    <t>FAG-Z022 B</t>
  </si>
  <si>
    <t>Klinikum Stuttgart, Olgahospital, Frauenklinik</t>
  </si>
  <si>
    <t>FAG-Z023 B</t>
  </si>
  <si>
    <t>FAG-Z024 B</t>
  </si>
  <si>
    <t>FAG-Z025 B</t>
  </si>
  <si>
    <t>FAG-Z027 B</t>
  </si>
  <si>
    <t>FAG-Z028 B</t>
  </si>
  <si>
    <t>Diakonie-Klinikum Schwäbisch Hall</t>
  </si>
  <si>
    <t>FAG-Z030 B</t>
  </si>
  <si>
    <t>FAG-Z033 B</t>
  </si>
  <si>
    <t>FAG-Z034 B</t>
  </si>
  <si>
    <t>FAG-Z035 B</t>
  </si>
  <si>
    <t>FAG-Z036 B</t>
  </si>
  <si>
    <t>FAG-Z037 B</t>
  </si>
  <si>
    <t>Leopoldina-Krankenhaus der Stadt Schweinfurt</t>
  </si>
  <si>
    <t>FAG-Z039 B</t>
  </si>
  <si>
    <t>FAG-Z040 B</t>
  </si>
  <si>
    <t>FAG-Z042 B</t>
  </si>
  <si>
    <t>FAG-Z043 B</t>
  </si>
  <si>
    <t>FAG-Z044 B</t>
  </si>
  <si>
    <t>FAG-Z045 B</t>
  </si>
  <si>
    <t>FAG-Z046 B</t>
  </si>
  <si>
    <t>FAG-Z048 B</t>
  </si>
  <si>
    <t>Gynäkologisches Krebszentrum Marienhospital Bottrop</t>
  </si>
  <si>
    <t>FAG-Z049 B</t>
  </si>
  <si>
    <t>FAG-Z050 B</t>
  </si>
  <si>
    <t>FAG-Z051 B</t>
  </si>
  <si>
    <t>FAG-Z052 B</t>
  </si>
  <si>
    <t>FAG-Z053 B</t>
  </si>
  <si>
    <t>FAG-Z054 B</t>
  </si>
  <si>
    <t>FAG-Z056 B</t>
  </si>
  <si>
    <t>FAG-Z057 B</t>
  </si>
  <si>
    <t>FAG-Z058 B</t>
  </si>
  <si>
    <t>FAG-Z060 B</t>
  </si>
  <si>
    <t>FAG-Z061 B</t>
  </si>
  <si>
    <t>Thüringen-Kliniken "Georgius Agricola", Standort Saalfeld</t>
  </si>
  <si>
    <t>FAG-Z064 B</t>
  </si>
  <si>
    <t>FAG-Z065 B</t>
  </si>
  <si>
    <t>Gynäkologisches Tumorzentrum Klinikum Dritter Orden München-Nymphenburg</t>
  </si>
  <si>
    <t>Klinikum Dritter Orden München-Nymphenburg</t>
  </si>
  <si>
    <t>FAG-Z067 B</t>
  </si>
  <si>
    <t>FAG-Z068 B</t>
  </si>
  <si>
    <t>FAG-Z069 B</t>
  </si>
  <si>
    <t>FAG-Z071 B</t>
  </si>
  <si>
    <t>FAG-Z072 B</t>
  </si>
  <si>
    <t>FAG-Z073 B</t>
  </si>
  <si>
    <t>FAG-Z074-1 B</t>
  </si>
  <si>
    <t>Gynäkologisches Krebszentrum am Klinikum der LMU München</t>
  </si>
  <si>
    <t>Klinik und Poliklinik für Frauenheilkunde und Geburtshilfe Innenstadt</t>
  </si>
  <si>
    <t>FAG-Z076 B</t>
  </si>
  <si>
    <t>Evangelisches Krankenhaus BETHESDA zu Duisburg</t>
  </si>
  <si>
    <t>Klinikum Dortmund</t>
  </si>
  <si>
    <t>FAG-Z081 B</t>
  </si>
  <si>
    <t>FAG-Z082 B</t>
  </si>
  <si>
    <t>FAG-Z083 B</t>
  </si>
  <si>
    <t>FAG-Z084 B</t>
  </si>
  <si>
    <t>Ev.-Luth. Diakonissenanstalt zu Flensburg</t>
  </si>
  <si>
    <t>FAG-Z087 B</t>
  </si>
  <si>
    <t>FAG-Z088 B</t>
  </si>
  <si>
    <t>FAG-Z089 B</t>
  </si>
  <si>
    <t>FAG-Z090 B</t>
  </si>
  <si>
    <t>FAG-Z091 B</t>
  </si>
  <si>
    <t>UKM - Gynäkologisches Krebszentrum</t>
  </si>
  <si>
    <t>FAG-Z093 B</t>
  </si>
  <si>
    <t>FAG-Z094 B</t>
  </si>
  <si>
    <t>FAG-Z095 B</t>
  </si>
  <si>
    <t>FAG-Z096 B</t>
  </si>
  <si>
    <t>FAG-Z097 B</t>
  </si>
  <si>
    <t>FAG-Z098 B</t>
  </si>
  <si>
    <t>FAG-Z099 B</t>
  </si>
  <si>
    <t>FAG-Z103 B</t>
  </si>
  <si>
    <t>Gynäkologisches Krebszentrum Hochwaldkrankenhaus Bad Nauheim</t>
  </si>
  <si>
    <t>Hochwaldkrankenhaus Bad Nauheim</t>
  </si>
  <si>
    <t>FAG-Z104 B</t>
  </si>
  <si>
    <t>FAG-Z105 B</t>
  </si>
  <si>
    <t>FAG-Z106 B</t>
  </si>
  <si>
    <t>FAG-Z108 B</t>
  </si>
  <si>
    <t>FAG-Z111 B</t>
  </si>
  <si>
    <t>FAG-Z116 B</t>
  </si>
  <si>
    <t>Gynäkologisches Krebszentrum Klinikum Hanau</t>
  </si>
  <si>
    <t>FAG-Z118 B</t>
  </si>
  <si>
    <t>FAG-Z119 B</t>
  </si>
  <si>
    <t>FAG-Z121 B</t>
  </si>
  <si>
    <t>Medizinische Universität Wien, Allgemeines Krankenhaus Wien</t>
  </si>
  <si>
    <t>FAG-Z123 B</t>
  </si>
  <si>
    <t>FAG-Z124 B</t>
  </si>
  <si>
    <t>Gynäkologisches Tumorzentrum am Universitätsklinikum Leipzig</t>
  </si>
  <si>
    <t>Universitätsklinikum Leipzig</t>
  </si>
  <si>
    <t>FAG-Z126 B</t>
  </si>
  <si>
    <t>Gynäkologisches Krebszentrum Agaplesion Markus Krankenhaus Frankfurt</t>
  </si>
  <si>
    <t>Agaplesion Markus Krankenhaus</t>
  </si>
  <si>
    <t>FAG-Z130 B</t>
  </si>
  <si>
    <t>Universitätsspital Basel</t>
  </si>
  <si>
    <t>Gynäkologisches Krebszentrum Klinikum Passau</t>
  </si>
  <si>
    <t>Klinikum Passau</t>
  </si>
  <si>
    <t>Carl-Thiem-Klinikum Cottbus</t>
  </si>
  <si>
    <t>Gynäkologisches Krebszentrum Stadtspital Triemli</t>
  </si>
  <si>
    <t xml:space="preserve">    FIGO IA</t>
  </si>
  <si>
    <t>Sonstige (u.a., Sarkome, 
Nicht-Karzinome Ovar, Chorionkarzinome etc.)</t>
  </si>
  <si>
    <t>nicht auszufüllen</t>
  </si>
  <si>
    <t xml:space="preserve">    FIGO IB</t>
  </si>
  <si>
    <t xml:space="preserve">    FIGO IC</t>
  </si>
  <si>
    <t xml:space="preserve">    FIGO IIA</t>
  </si>
  <si>
    <t xml:space="preserve">    FIGO IIB</t>
  </si>
  <si>
    <t xml:space="preserve">    FIGO IIIA</t>
  </si>
  <si>
    <t xml:space="preserve">    FIGO IIIB</t>
  </si>
  <si>
    <t xml:space="preserve">    FIGO IIIC</t>
  </si>
  <si>
    <t xml:space="preserve">    FIGO IV</t>
  </si>
  <si>
    <t xml:space="preserve"> Gesamt</t>
  </si>
  <si>
    <t>Alle relevanten Nachsorgejahre sind zu bearbeiten, abhängig vom Datum der Erstzertifizierung</t>
  </si>
  <si>
    <t>Zytologisches/
histologisches LK-staging</t>
  </si>
  <si>
    <t xml:space="preserve">2016, </t>
  </si>
  <si>
    <t>Möglichst häufig vollständige Angaben im Befundbericht bei Resektion</t>
  </si>
  <si>
    <t>Sentinel Lymphknoten Biopsie</t>
  </si>
  <si>
    <t>&gt; 90%</t>
  </si>
  <si>
    <t>Durchführung inguinofemorales Staging</t>
  </si>
  <si>
    <t>Möglichst häufig Vorhandensein der beschriebenen Merkmale bei durchgeführter Sentinel-OP</t>
  </si>
  <si>
    <t>OncoBox</t>
  </si>
  <si>
    <t>Uro-Link</t>
  </si>
  <si>
    <t>Ausnahme</t>
  </si>
  <si>
    <t>Zusammenarbeit mit KFRG-Krebsregister</t>
  </si>
  <si>
    <t>Gynäkologisches Krebszentrum am Westdeutschen Tumorzentrum - Universitätsmedizin Essen</t>
  </si>
  <si>
    <t xml:space="preserve">Gynäkologisches Krebszentrum der ALB FILS KLINIKEN </t>
  </si>
  <si>
    <t>Klinik am Eichert Göppingen</t>
  </si>
  <si>
    <t>Städtisches Klinikum Braunschweig</t>
  </si>
  <si>
    <t>Gynäkologisches Krebszentrum Neumarkt</t>
  </si>
  <si>
    <t>Gynäkologisches Krebszentrum Marien Hospital Witten</t>
  </si>
  <si>
    <t>Marien Hospital Witten</t>
  </si>
  <si>
    <t>Universitätsklinikum Jena</t>
  </si>
  <si>
    <t>Gynäkologisches Tumorzentrum AGAPLESION DIAKONIEKLINIKUM HAMBURG</t>
  </si>
  <si>
    <t>AGAPLESION DIAKONIEKLINIKUM HAMBURG</t>
  </si>
  <si>
    <t>Klinikverbund Kempten-Oberallgäu Klinikum Kempten</t>
  </si>
  <si>
    <t>Kepler Universitätsklinikum</t>
  </si>
  <si>
    <t>Universitäres Gynäkologisches Krebszentrum Inselspital Bern</t>
  </si>
  <si>
    <t>Gynäkologisches Krebszentrum Amberg</t>
  </si>
  <si>
    <t>Marien Gynäkologisches Krebszentrum Siegen</t>
  </si>
  <si>
    <t>Universitäres Gynäkologisches Krebszentrum Mainz</t>
  </si>
  <si>
    <t>FAG-Z125</t>
  </si>
  <si>
    <t>Gynäkologisches Tumorzentrum Universitätsspital Basel</t>
  </si>
  <si>
    <t>FAG-Z134 B</t>
  </si>
  <si>
    <t>FAG-Z137 B</t>
  </si>
  <si>
    <t>Gynäkologisches Krebszentrum am Universitätsklinikum des Saarlandes</t>
  </si>
  <si>
    <t>Universitätsklinikum des Saarlandes</t>
  </si>
  <si>
    <t>FAG-Z138 B</t>
  </si>
  <si>
    <t>Gynäkologisches Krebszentrum Universitäts-Frauenklinik Heidelberg</t>
  </si>
  <si>
    <t>Universitätsklinikum Heidelberg</t>
  </si>
  <si>
    <t>FAG-Z139</t>
  </si>
  <si>
    <t>FAG-Z140 B</t>
  </si>
  <si>
    <t>FAG-Z141 B</t>
  </si>
  <si>
    <t>FAG-Z144 B</t>
  </si>
  <si>
    <t>Gynäkologisches Krebszentrum Rosenheim</t>
  </si>
  <si>
    <t>RoMed Klinikum Rosenheim</t>
  </si>
  <si>
    <t>FAG-Z146</t>
  </si>
  <si>
    <t>Marien Hospital Herne, Klinikum der Ruhr-Universität Bochum</t>
  </si>
  <si>
    <t>Psychoonkologische Betreuung 
(Gespräch ≥ 25 Min.)</t>
  </si>
  <si>
    <t xml:space="preserve">                     Kennzahlenjahr</t>
  </si>
  <si>
    <t xml:space="preserve">                         Erstelldatum</t>
  </si>
  <si>
    <t xml:space="preserve">         Datum Erstzertifizierung</t>
  </si>
  <si>
    <r>
      <t xml:space="preserve">4)   </t>
    </r>
    <r>
      <rPr>
        <sz val="8"/>
        <rFont val="Arial"/>
        <family val="2"/>
      </rPr>
      <t>In der Regel werden die Follow-Up-Daten entweder extern (Krebsregister) oder durch das Zentrum eingeholt. Eine Kombination ist jedoch möglich (keine doppelte Zuordnung!).</t>
    </r>
  </si>
  <si>
    <r>
      <t>6)</t>
    </r>
    <r>
      <rPr>
        <sz val="8"/>
        <rFont val="Arial"/>
        <family val="2"/>
      </rPr>
      <t xml:space="preserve">  DFS und OAS sind nicht direkt aus dieser Matrix abzuleiten und können deshalb nach eigener Berechnung hier manuell eingetragen werden.</t>
    </r>
  </si>
  <si>
    <r>
      <t xml:space="preserve">Angaben Primärdiagnose </t>
    </r>
    <r>
      <rPr>
        <b/>
        <vertAlign val="superscript"/>
        <sz val="8"/>
        <rFont val="Arial"/>
        <family val="2"/>
      </rPr>
      <t>1)</t>
    </r>
  </si>
  <si>
    <r>
      <t>Follow-Up-Daten vom Klinischen Krebsregister</t>
    </r>
    <r>
      <rPr>
        <vertAlign val="superscript"/>
        <sz val="8"/>
        <rFont val="Arial"/>
        <family val="2"/>
      </rPr>
      <t xml:space="preserve"> 3) 4) 5)</t>
    </r>
  </si>
  <si>
    <r>
      <t xml:space="preserve">Optional </t>
    </r>
    <r>
      <rPr>
        <vertAlign val="superscript"/>
        <sz val="8"/>
        <rFont val="Arial"/>
        <family val="2"/>
      </rPr>
      <t>6)</t>
    </r>
  </si>
  <si>
    <t>Gesundheit Nord gGmbH, Standort Klinikum Bremen-Mitte</t>
  </si>
  <si>
    <t>Gynäkologisches Krebszentrum Halle des Universitätsklinikums Halle-Saale</t>
  </si>
  <si>
    <t>FAG-Z047 B</t>
  </si>
  <si>
    <t>Gynäkologisches Krebszentrum Klinikum Ansbach</t>
  </si>
  <si>
    <t>ANregiomed Klinikum Ansbach</t>
  </si>
  <si>
    <t>FAG-Z074-2 B</t>
  </si>
  <si>
    <t>Gynäkologisches Tumorzentrum am Cancer Center UniversitätsSpital Zürich</t>
  </si>
  <si>
    <t>Gynäkologisches Krebszentrum der ViDia Christliche Kliniken Karlsruhe</t>
  </si>
  <si>
    <t>Johanniter GmbH Ev. Krankenhaus Bethesda Mönchengladbach</t>
  </si>
  <si>
    <t>Klinik für Geburtshilfe und Frauengesundheit der Universitätsmedizin Mainz</t>
  </si>
  <si>
    <t>FAG-Z148</t>
  </si>
  <si>
    <t>Gynäkologisches Krebszentrum Vivantes Humboldt-Klinikum Berlin</t>
  </si>
  <si>
    <t>Vivantes Humboldt-Klinikum Berlin</t>
  </si>
  <si>
    <t>Gynäkologisches Krebszentrum Diakovere Friederikenstift Hannover</t>
  </si>
  <si>
    <t>Diakoniekrankenhaus Friederikenstift</t>
  </si>
  <si>
    <t>Klinikum Bayreuth</t>
  </si>
  <si>
    <t>FAG-Z151 B</t>
  </si>
  <si>
    <t>Gynäkologisches Krebszentrum Berlin-Buch</t>
  </si>
  <si>
    <t>FAG-Z152</t>
  </si>
  <si>
    <t xml:space="preserve">Gynäkologisches Krebszentrum Klinikum Bielefeld </t>
  </si>
  <si>
    <t xml:space="preserve">Klinikum Bielefeld </t>
  </si>
  <si>
    <t>FAG-Z154</t>
  </si>
  <si>
    <t>Gynäkologisches Krebszentrum des Klinikums Itzehoe</t>
  </si>
  <si>
    <t>Klinikum Itzehoe</t>
  </si>
  <si>
    <t>Gynäkologisches Krebszentrum am Klinikum Fulda</t>
  </si>
  <si>
    <t>Klinikum Fulda</t>
  </si>
  <si>
    <t>FAG-Z157</t>
  </si>
  <si>
    <t>Gynäkologisches Krebszentrum St. Franziskus-Hospital Münster</t>
  </si>
  <si>
    <t>St. Franziskus-Hospital Münster</t>
  </si>
  <si>
    <t>Gynäkologisches Krebszentrum Barmherzige Brüder Regensburg</t>
  </si>
  <si>
    <t>Gynäkologisches Krebszentrum Marienhaus Klinikum Neuwied</t>
  </si>
  <si>
    <t>Marienhaus Klinikum Neuwied</t>
  </si>
  <si>
    <t>FAG-Z160</t>
  </si>
  <si>
    <t>Gynäkologisches Krebszentrum am Elisabeth-Krankenhaus Essen</t>
  </si>
  <si>
    <t>Elisabeth-Krankenhaus Essen</t>
  </si>
  <si>
    <t xml:space="preserve">2017, </t>
  </si>
  <si>
    <r>
      <t xml:space="preserve">Gesamtfallzahl
</t>
    </r>
    <r>
      <rPr>
        <sz val="6"/>
        <color theme="1"/>
        <rFont val="Calibri"/>
        <family val="2"/>
        <scheme val="minor"/>
      </rPr>
      <t>(Def. EB 1.2.1)</t>
    </r>
  </si>
  <si>
    <r>
      <t xml:space="preserve">operiert </t>
    </r>
    <r>
      <rPr>
        <vertAlign val="superscript"/>
        <sz val="11"/>
        <color theme="1"/>
        <rFont val="Calibri"/>
        <family val="2"/>
        <scheme val="minor"/>
      </rPr>
      <t>2)</t>
    </r>
  </si>
  <si>
    <r>
      <t xml:space="preserve">operiert
</t>
    </r>
    <r>
      <rPr>
        <sz val="6"/>
        <color theme="1"/>
        <rFont val="Calibri"/>
        <family val="2"/>
        <scheme val="minor"/>
      </rPr>
      <t>(Def. EB 5.2.6)</t>
    </r>
  </si>
  <si>
    <r>
      <t xml:space="preserve">Ovarialkarzinom/ Tuben-Ca/ Peritoneal-Ca </t>
    </r>
    <r>
      <rPr>
        <vertAlign val="superscript"/>
        <sz val="11"/>
        <color theme="1"/>
        <rFont val="Calibri"/>
        <family val="2"/>
        <scheme val="minor"/>
      </rPr>
      <t>1)</t>
    </r>
  </si>
  <si>
    <t>MADOS 4</t>
  </si>
  <si>
    <t>V</t>
  </si>
  <si>
    <r>
      <t xml:space="preserve">Gesamtfallzahl
</t>
    </r>
    <r>
      <rPr>
        <sz val="8"/>
        <color theme="1"/>
        <rFont val="Arial"/>
        <family val="2"/>
      </rPr>
      <t xml:space="preserve">Def. gemäß EB 1.2.1; 
automatischer Übertrag "Anzahl / Nenner" in den Kennzahlenbogen   </t>
    </r>
  </si>
  <si>
    <r>
      <t xml:space="preserve">Primärfälle
</t>
    </r>
    <r>
      <rPr>
        <sz val="6"/>
        <color theme="1"/>
        <rFont val="Arial"/>
        <family val="2"/>
      </rPr>
      <t>(Def. EB 1.2.1)</t>
    </r>
  </si>
  <si>
    <t>Systematische Lymphadenektomie bei Typ-I-Endometriumkarzinom</t>
  </si>
  <si>
    <t>Adjuvante Chemotherapie bei Typ-I-Endometriumkarzinom</t>
  </si>
  <si>
    <t>Keine systematische Lymphadenektomie (LNE) bei Typ-I-Endometriumkarzinom pT1a, G1/2, cN0</t>
  </si>
  <si>
    <t>Keine adjuvante Chemotherapie bei Typ-I-Endometriumkarzinom pT1a/b G1 cN0/pN0 o. pT1a/b G2 cN0/pN0</t>
  </si>
  <si>
    <t>≤ 5%</t>
  </si>
  <si>
    <t>Ausnahme (Plausibilität unklar)</t>
  </si>
  <si>
    <t>Summe Plausibilität unklar</t>
  </si>
  <si>
    <t>optional - Ausnahme (Plausibilität unklar)</t>
  </si>
  <si>
    <t xml:space="preserve">2018, </t>
  </si>
  <si>
    <t>Universitäres Gynäkologisches Krebszentrum Regensburg</t>
  </si>
  <si>
    <t>Klinik für Frauenheilkunde und Geburtshilfe Lehrstuhl der Universität Regensburg am Caritas-Krankenhaus St. Josef</t>
  </si>
  <si>
    <t>Zentrum für Gynäkologische Onkologie Tübingen</t>
  </si>
  <si>
    <t>Universitätsklinikum Tübingen, CCC Tübingen-Stuttgart</t>
  </si>
  <si>
    <t>Klinikum Aschaffenburg - Alzenau gemeinnützige GmbH Standort AB</t>
  </si>
  <si>
    <t>FAG-Z031 B</t>
  </si>
  <si>
    <t>Gynäkologisches Tumorzentrum am Kepler Universitätsklinikum Linz</t>
  </si>
  <si>
    <t>FAG-Z075 B</t>
  </si>
  <si>
    <t>Gynäkologisches Krebszentrum Klinikum Oldenburg</t>
  </si>
  <si>
    <t>Klinikum Oldenburg</t>
  </si>
  <si>
    <t>Gynäkologisches Krebszentrum im Charité Comprehensive Cancer Center</t>
  </si>
  <si>
    <t>Ordensklinikum Linz Barmherzige Schwestern</t>
  </si>
  <si>
    <t>Gynäkologisches Krebszentrum Helios Kliniken Schwerin</t>
  </si>
  <si>
    <t>Helios Kliniken Schwerin</t>
  </si>
  <si>
    <t>FAG-Z143 B</t>
  </si>
  <si>
    <t>Gynäkologisches Krebszentrum Brandenburg an der Havel</t>
  </si>
  <si>
    <t>Städtisches Klinikum Brandenburg</t>
  </si>
  <si>
    <t>FAG-Z149 B</t>
  </si>
  <si>
    <t>FAG-Z150 B</t>
  </si>
  <si>
    <t>Helios Klinikum Berlin-Buch</t>
  </si>
  <si>
    <t>FAG-Z158 B</t>
  </si>
  <si>
    <t>Krankenhaus Barmherzige Brüder Klinik St. Hedwig - Klinik für Frauenheilkunde und Geburtshilfe</t>
  </si>
  <si>
    <t>FAG-Z159 B</t>
  </si>
  <si>
    <t>Gynäkologisches Krebszentrum Hegau-Bodensee</t>
  </si>
  <si>
    <t>Hegau-Bodensee-Klinikum Singen</t>
  </si>
  <si>
    <t>FAG-Z163</t>
  </si>
  <si>
    <t>FAG-Z164</t>
  </si>
  <si>
    <t>Gynäkologisches Krebszentrum Prosper-Hospital Recklinghausen</t>
  </si>
  <si>
    <t>Gynäkologisches Krebszentrum Ev. Diakoniekrankenhaus Freiburg</t>
  </si>
  <si>
    <t>Evangelisches Diakoniekrankenhaus Freiburg</t>
  </si>
  <si>
    <t>FAG-Z168</t>
  </si>
  <si>
    <t>Gynäkologisches Krebszentrum am Klinikum Mutterhaus Mitte Trier</t>
  </si>
  <si>
    <t>Klinikum Mutterhaus der Borromäerinnen</t>
  </si>
  <si>
    <t>Adjumed</t>
  </si>
  <si>
    <t>CADA (Eigenentwicklung)</t>
  </si>
  <si>
    <t>CaOnkoDok (Eigenentwicklung)</t>
  </si>
  <si>
    <t>Clinic WinData</t>
  </si>
  <si>
    <t>ODSeasy / ODSeasyNet</t>
  </si>
  <si>
    <t>Tumorregister München (TRM)</t>
  </si>
  <si>
    <t>Eigenentwicklung auf Basis medico (Cerner)</t>
  </si>
  <si>
    <t>Darm</t>
  </si>
  <si>
    <t>Prostata</t>
  </si>
  <si>
    <t>Brust / Gyn</t>
  </si>
  <si>
    <t>Martini-Data</t>
  </si>
  <si>
    <t>Oncodossier (Eigenentwicklung auf Basis ORBIS)</t>
  </si>
  <si>
    <t>Darm, Leber, Magen, Pankreas</t>
  </si>
  <si>
    <t>Clinical Information Catalogue (CIC) (Eigenentwicklung)</t>
  </si>
  <si>
    <t>SHGHoncoDoc</t>
  </si>
  <si>
    <t>TD System KEM (Eigenentwicklung)</t>
  </si>
  <si>
    <t>Zervixkarzinom *</t>
  </si>
  <si>
    <t xml:space="preserve">   FIGO IA1 (= T1a1)</t>
  </si>
  <si>
    <t xml:space="preserve">   FIGO IA2 (= T1a2)</t>
  </si>
  <si>
    <t xml:space="preserve">   FIGO IB1 (= T1b1)</t>
  </si>
  <si>
    <t xml:space="preserve">   FIGO IB2 (= T1b2)</t>
  </si>
  <si>
    <t xml:space="preserve">   FIGO IIA (= T2a)</t>
  </si>
  <si>
    <t xml:space="preserve">   FIGO IIB (= T2b)</t>
  </si>
  <si>
    <t xml:space="preserve">   FIGO IIIA (= T3a)</t>
  </si>
  <si>
    <t xml:space="preserve">   FIGO IIIB (= T3b)</t>
  </si>
  <si>
    <t xml:space="preserve">   FIGO IVA (= T4)</t>
  </si>
  <si>
    <t xml:space="preserve">   FIGO IVB (= M1)</t>
  </si>
  <si>
    <t>Gesamtfallzahl</t>
  </si>
  <si>
    <r>
      <rPr>
        <b/>
        <u/>
        <sz val="8"/>
        <rFont val="Arial"/>
        <family val="2"/>
      </rPr>
      <t>Operative</t>
    </r>
    <r>
      <rPr>
        <sz val="8"/>
        <rFont val="Arial"/>
        <family val="2"/>
      </rPr>
      <t xml:space="preserve"> Fälle</t>
    </r>
  </si>
  <si>
    <r>
      <rPr>
        <b/>
        <sz val="8"/>
        <rFont val="Arial"/>
        <family val="2"/>
      </rPr>
      <t>Operative</t>
    </r>
    <r>
      <rPr>
        <sz val="8"/>
        <rFont val="Arial"/>
        <family val="2"/>
      </rPr>
      <t xml:space="preserve"> Fälle</t>
    </r>
  </si>
  <si>
    <t xml:space="preserve">Angebot zur genetischen Testung </t>
  </si>
  <si>
    <t>Möglichst häufig Angebot zur genetischen Testung</t>
  </si>
  <si>
    <t>Primärfälle des Nenners mit Angebot genetische Testung</t>
  </si>
  <si>
    <t>Primärfälle Ovarialkarzinom</t>
  </si>
  <si>
    <t>Primärfälle des Nenners mit operativem Staging mit:
•Laparotomie
•Peritonealzytologie
•Peritonealbiopsien
•Adnexexstirpation beidseits
•Hysterektomie, ggf. extraperitoneales Vorgehen
•Omentektomie mind. infrakolisch
•Bds. pelvine u. paraaortale Lymphonodektomie</t>
  </si>
  <si>
    <t>Operative Primärfälle  Ovarialkarzinom 
FIGO I – IIIA</t>
  </si>
  <si>
    <t>Primärfälle des Nenners mit makroskopisch vollständiger Resektion</t>
  </si>
  <si>
    <t>≥ 30%</t>
  </si>
  <si>
    <t>Operation fortgeschrittenes Ovarialkarzinom durch Gynäkoonkologen</t>
  </si>
  <si>
    <t>Primärfälle des Nenners, deren definitive operative Therapie durch einen Gynäkoonkologen durchgeführt wurde</t>
  </si>
  <si>
    <t>Primärfälle des Nenners mit postoperativer Chemotherapie</t>
  </si>
  <si>
    <t>Operative Primärfälle Zervixkarzinom und Tumorresektion</t>
  </si>
  <si>
    <t>Operative Fälle des Nenners mit Befundbericht mit Angabe zu:
• Zahl befallener LK im Verhältnis zu entfernten LK
• Zuordnung zur Entnahmelokalisation (pelvin/paraaortal)
• Angabe der größten Ausdehnung der größten LK-metastase in mm/cm
• Angabe des Fehlens/Nachweises eines Kapseldurchbruches der LK-metastase.</t>
  </si>
  <si>
    <t>Operative Fälle Zervixkarzinom und Lymphonodektomie</t>
  </si>
  <si>
    <t>Primärfälle des Nenners mit zytologischem/histologischem LK-staging</t>
  </si>
  <si>
    <t xml:space="preserve">Primärfälle Zervixkarzinom FIGO Stadium ≥ IA2-IVA </t>
  </si>
  <si>
    <t>Brachytherapie als Bestandteil prim. Radio(chemo)therapie</t>
  </si>
  <si>
    <t>Möglichst häufig Brachytherapie als Bestandteil der primären Radio(chemo)therapie</t>
  </si>
  <si>
    <t>Primärfälle des Nenners, bei denen eine Brachytherapie als Bestandteil der primärer Radio(chemo)therapie durchgeführt wurde</t>
  </si>
  <si>
    <t>Primärfälle des Nenners mit Befundberichten mit Angaben zu:
•histologischer Typ nach WHO,
•Grading, 
•Nachweis/Fehlen von Lymph- oder Blutgefäßeinbrüchen (L- und V- Status), 
•Nachweis/Fehlen von Perineuralscheideninfiltraten (Pn-Status), 
•Staging (pTNM), 
•Invasionstiefe und Ausdehnung in mm bei pT1a, dreidimensionale Tumorgröße in cm (ab pT1b), 
•metrische Angabe des minimalen Abstandes des Karzinoms und der VIN zum vulvären Resektionsrand im histologischen Präparat; 
•bei erfolgter Resektion des vulvo-vaginalen bzw. vulvo-analen Überganges und ggf. der Urethra metrische Angabe des minimalen Abstandes zum vulvo-vaginalen bzw. vulvo-analen, ggf. urethralen Resektionsrand; 
•metrische Angabe des minimalen Abstandes zum Weichgewebsresektionsrand (basaler Rand)</t>
  </si>
  <si>
    <t>Primärfälle Vulvakarzinom mit Tumorresektion</t>
  </si>
  <si>
    <t>Primärfälle Vulvakarzinom mit Lymphonodektomie</t>
  </si>
  <si>
    <t>≥ 90%</t>
  </si>
  <si>
    <t>Primärfälle Vulvakarzinom und Sentinel-Lymphknotenbiopsie</t>
  </si>
  <si>
    <t>Primärfälle des Nenners mit systematischer LNE</t>
  </si>
  <si>
    <t>Primärfälle Typ-I-Endometrium-karzinom (ICD-0: 8380/3, 8570/3, 8263/3, 8382/3, 8480/3) pT1a, G1/2, cN0</t>
  </si>
  <si>
    <t>Primärfälle des Nenners mit adjuvanter Chemotherapie</t>
  </si>
  <si>
    <t>Primärfälle Typ-I-Endometrium-karzinom (ICD-0: 8380/3, 8570/3, 8263/3, 8382/3, 8480/3) pT1a/b G1 cN0/pN0 o. pT1a/b G2 cN0/pN0</t>
  </si>
  <si>
    <t>FIGO IA1  (= T1a1)</t>
  </si>
  <si>
    <t>FIGO IA2  (= T1a2)</t>
  </si>
  <si>
    <t>FIGO IB1  (= T1b1)</t>
  </si>
  <si>
    <t>FIGO IB2  (= T1b2)</t>
  </si>
  <si>
    <t>FIGO IIA  (= T2a)</t>
  </si>
  <si>
    <t>FIGO IIB   (= T2b)</t>
  </si>
  <si>
    <t>FIGO IIIA   (= T3a)</t>
  </si>
  <si>
    <t>FIGO IIIB   (= T3b)</t>
  </si>
  <si>
    <t>FIGO IVA   (= T4)</t>
  </si>
  <si>
    <t>FIGO IVB   (= M1)</t>
  </si>
  <si>
    <t>S31</t>
  </si>
  <si>
    <t>S31 &lt; 80%</t>
  </si>
  <si>
    <t>S25 - S27</t>
  </si>
  <si>
    <t>S31 &gt; 95%</t>
  </si>
  <si>
    <t xml:space="preserve">2019, </t>
  </si>
  <si>
    <t>Primärfälle des Nenners mit folgenden Merkmalen:
• Klinische Tumorgröße &lt; 4 cm u. 
• Unifokaler Tumor (= keine multiplen Tm; TNM m-Symbol)) u.
• Klinisch unauffällige Lymphknoten (cN0) u.
• Pathohistologisches Ultrastaging der Lymphknoten (= entsprechend LL), nur
wenn in der HE-Färbung alle Sentinel-Lymphknoten tumorfrei sind</t>
  </si>
  <si>
    <t>Gynäkologisches Krebszentrum im CIO Köln</t>
  </si>
  <si>
    <t>Centrum für Integrierte Onkologie Aachen Bonn Köln Düsseldorf im Universitätsklinikum Köln</t>
  </si>
  <si>
    <t>Helios Dr. Horst Schmidt Kliniken Wiesbaden</t>
  </si>
  <si>
    <t>Gynäkologisches Krebszentrum am Helios Klinikum Krefeld</t>
  </si>
  <si>
    <t>Gynäkologisches Krebszentrum im CIO Bonn</t>
  </si>
  <si>
    <t>Centrum für Integrierte Onkologie Aachen Bonn Köln Düsseldorf im Universitätsklinikum Bonn</t>
  </si>
  <si>
    <t>FAG-Z032 B</t>
  </si>
  <si>
    <t>Gynäkologisches Krebszentrum Städtisches Klinikum Lüneburg</t>
  </si>
  <si>
    <t>Städtisches Klinikum Lüneburg</t>
  </si>
  <si>
    <t>St. Vincenz-Krankenhaus Paderborn, Standort Frauen- und Kinderklinik St. Louise</t>
  </si>
  <si>
    <t>Universitätsklinikum Augsburg - Medizincampus</t>
  </si>
  <si>
    <t xml:space="preserve">Klinikum am Steinenberg, Kreiskliniken Reutlingen </t>
  </si>
  <si>
    <t>Centrum für Integrierte Onkologie Aachen Bonn Köln Düsseldorf im Universitätsklinikum Düsseldorf</t>
  </si>
  <si>
    <t>Ortenau Klinikum Offenburg-Kehl</t>
  </si>
  <si>
    <t>Klinik und Poliklinik für Frauenheilkunde und Geburtshilfe Großhadern</t>
  </si>
  <si>
    <t>FAG-Z077 B</t>
  </si>
  <si>
    <t>FAG-Z133 B</t>
  </si>
  <si>
    <t>Gynäkologisches Krebszentrum des Carl-Thiem-Klinikums Cottbus</t>
  </si>
  <si>
    <t>FAG-Z135 B</t>
  </si>
  <si>
    <t>Gynäkologisches Krebszentrum Neuruppin</t>
  </si>
  <si>
    <t>Ruppiner Kliniken</t>
  </si>
  <si>
    <t>Gynäkologisches Krebszentrum im CIO Aachen</t>
  </si>
  <si>
    <t>Centrum für Integrierte Onkologie Aachen Bonn Köln Düsseldorf in der Uniklinik RWTH Aachen</t>
  </si>
  <si>
    <t>FAG-Z142 B</t>
  </si>
  <si>
    <t>Gynäkologisches Krebszentrum Coburg</t>
  </si>
  <si>
    <t>REGIOMED-KLINIKEN Standort Coburg</t>
  </si>
  <si>
    <t>Gynäkologisches Krebszentrum der Ruhr-Universität Bochum am Marien Hospital Herne</t>
  </si>
  <si>
    <t>FAG-Z147 B</t>
  </si>
  <si>
    <t>Gynäkologisches Tumorzentrum Winterthur</t>
  </si>
  <si>
    <t>Kantonsspital Winterthur</t>
  </si>
  <si>
    <t>Gynäkologisches Krebszentrum der Klinikum Bayreuth</t>
  </si>
  <si>
    <t>FAG-Z155 B</t>
  </si>
  <si>
    <t>FAG-Z161 B</t>
  </si>
  <si>
    <t>FAG-Z162 B</t>
  </si>
  <si>
    <t>FAG-Z165 B</t>
  </si>
  <si>
    <t>Gynäkologisches Krebszentrum am Helios Universitätsklinikum Wuppertal</t>
  </si>
  <si>
    <t>Helios Universitätsklinikum Wuppertal</t>
  </si>
  <si>
    <t>FAG-Z169</t>
  </si>
  <si>
    <t>Gynäkologisches Krebszentrum am Krankenhaus Nordwest</t>
  </si>
  <si>
    <t>Krankenhaus Nordwest, Frankfurt am Main</t>
  </si>
  <si>
    <t>FAG-Z170 B</t>
  </si>
  <si>
    <t>Gynäkologisches Krebszentrum an der Frauenklinik Böblingen</t>
  </si>
  <si>
    <t>Klinikum Sindelfingen-Böblingen, Klinikum Böblingen</t>
  </si>
  <si>
    <t>Gynäkologisches Krebszentrum Rems-Murr-Klinikum Winnenden</t>
  </si>
  <si>
    <t>Rems-Murr-Klinikum Winnenden</t>
  </si>
  <si>
    <t>FAG-Z172</t>
  </si>
  <si>
    <t>Gynäkologisches Krebszentrum Heilig Geist-Krankenhaus Köln</t>
  </si>
  <si>
    <t>Heilig Geist-Krankenhaus Köln</t>
  </si>
  <si>
    <t>Gynäkologisches Krebszentrum Ludwigsburg</t>
  </si>
  <si>
    <t>Klinikum Ludwigsburg</t>
  </si>
  <si>
    <t>FAG-Z174 B</t>
  </si>
  <si>
    <t>Gynäkologisches Krebszentrum am Klinikum Klagenfurt</t>
  </si>
  <si>
    <t>Klinikum Klagenfurt am Wörthersee</t>
  </si>
  <si>
    <t>FAG-Z175</t>
  </si>
  <si>
    <t>Gynäkologisches Krebszentrum Klinikum Siloah Hannover (KRH)</t>
  </si>
  <si>
    <t>Klinikum Siloah</t>
  </si>
  <si>
    <t>FAG-Z176 B</t>
  </si>
  <si>
    <t>Gynäkologisches Krebszentrum St. Elisabeth und St. Barbara Halle (Saale)</t>
  </si>
  <si>
    <t xml:space="preserve">Krankenhaus St. Elisabeth und St. Barbara Halle (Saale) </t>
  </si>
  <si>
    <t>Gynäkologisches Krebszentrum am CaritasKlinikum Saarbrücken St. Theresia</t>
  </si>
  <si>
    <t>CaritasKlinikum Saarbrücken St. Theresia</t>
  </si>
  <si>
    <t>Gynäkologisches Krebszentrum am Klinikum Magdeburg</t>
  </si>
  <si>
    <t>Klinikum Magdeburg</t>
  </si>
  <si>
    <t>FAG-Z181</t>
  </si>
  <si>
    <t>Gynäkologisches Krebszentrum Vivantes Auguste-Viktoria-Klinikum Berlin</t>
  </si>
  <si>
    <t>Vivantes Auguste-Viktoria-Klinikum Berlin</t>
  </si>
  <si>
    <t>Gynäkologisches Krebszentrum Asklepios Klinik Barmbek</t>
  </si>
  <si>
    <t>Asklepios Klinik Barmbek</t>
  </si>
  <si>
    <t>FAG-Z183</t>
  </si>
  <si>
    <t>Gynäkologisches Krebszentrum Eggenfelden</t>
  </si>
  <si>
    <t>Rottal-Inn Kliniken Standort Eggenfelden</t>
  </si>
  <si>
    <t>FAG-Z185</t>
  </si>
  <si>
    <t xml:space="preserve">Gynäkologisches Krebszentrum Vivantes Klinikum Neukölln </t>
  </si>
  <si>
    <t xml:space="preserve">Vivantes Klinikum Neukölln </t>
  </si>
  <si>
    <t>FAG-Z186</t>
  </si>
  <si>
    <t>Gynäkologisches Krebszentrum am Diakonissenkrankenhaus Dresden</t>
  </si>
  <si>
    <t>Diakonissenkrankenhaus Dresden</t>
  </si>
  <si>
    <t>FAG-Z187</t>
  </si>
  <si>
    <t>Gynäkologisches Krebszentrum Waldfriede Berlin</t>
  </si>
  <si>
    <t>Krankenhaus Waldfriede</t>
  </si>
  <si>
    <r>
      <t xml:space="preserve">davon mit neoadjuvanter oder präoperativer systemischer Therapie </t>
    </r>
    <r>
      <rPr>
        <sz val="8"/>
        <rFont val="Arial"/>
        <family val="2"/>
      </rPr>
      <t>(Ovar/Tuben/Peritoneal)</t>
    </r>
  </si>
  <si>
    <r>
      <t xml:space="preserve">Ausschließlich Staging OP / Nicht vollständige OP </t>
    </r>
    <r>
      <rPr>
        <sz val="8"/>
        <rFont val="Arial"/>
        <family val="2"/>
      </rPr>
      <t>(Zervix, Endometrium, Vulva, Vagina, Sonstige)</t>
    </r>
  </si>
  <si>
    <r>
      <t xml:space="preserve">Definitive OP (ggf. inkl. Staging-OP) 
</t>
    </r>
    <r>
      <rPr>
        <sz val="8"/>
        <rFont val="Arial"/>
        <family val="2"/>
      </rPr>
      <t>(Zervix, Endometrium, Vulva, Vagina, Sonstige)</t>
    </r>
  </si>
  <si>
    <t>EB/ LL</t>
  </si>
  <si>
    <t>6a</t>
  </si>
  <si>
    <t>6b</t>
  </si>
  <si>
    <t>LL Ovar QI</t>
  </si>
  <si>
    <t>LL Zervix QI</t>
  </si>
  <si>
    <t>LL Vulva QI</t>
  </si>
  <si>
    <t>Möglichst häufig inguinofemorales Staging bei Vulvakarzinom ≥ pT1b (ohne Basalzellkarzinom u. ohne verruköses Karzinom)</t>
  </si>
  <si>
    <t>Primärfälle Vulvakarzinom ≥ pT1b (ohne Basalzellkarzinom u. ohne verruköses Karzinom)</t>
  </si>
  <si>
    <t>LL Endometrium QI</t>
  </si>
  <si>
    <t>geringe Follow-Up Quote der Jahre 2016-2018</t>
  </si>
  <si>
    <t>zu hohe Follow-Up Quote der Jahre 2016-2018</t>
  </si>
  <si>
    <t xml:space="preserve">2020, </t>
  </si>
  <si>
    <t xml:space="preserve">Primärfälle des Nenners mit Befundbericht mit Angabe zu:
• Zahl der befallenen Lymphknoten im Verhältnis zur Zahl der entfernten Lymphknoten in Zuordnung zur Entnahmelokalisation (inguinal/pelvin)
• Fehlens/Nachweises eines Kapseldurchbruches der Lymphknotenmetastase u/o Nachweises von Lymphgefäßeinbrüchen im perinodalen Fettgewebe und/oder der Lymphknotenkapsel  (≥pN2c)
• Größte Ausdehnung der Metastasen (über pN-Angabe) </t>
  </si>
  <si>
    <t>Primärfälle 
(= Kennzahl 6a)</t>
  </si>
  <si>
    <t>Gynäkologisches Krebszentrum an der München Klinik Harlaching</t>
  </si>
  <si>
    <t>München Klinik Harlaching</t>
  </si>
  <si>
    <t>Gynäkologisches Krebszentrum Universitätsklinikum Augsburg</t>
  </si>
  <si>
    <t>Gynäkologisches Krebszentrum Rheinland Klinikum Lukaskrankenhaus Neuss</t>
  </si>
  <si>
    <t>Rheinland Klinikum Lukaskrankenhaus Neuss</t>
  </si>
  <si>
    <t>Luzerner Kantonsspital, Frauenklinik</t>
  </si>
  <si>
    <t>Gynäkologisches Krebszentrum Pinneberg</t>
  </si>
  <si>
    <t>Gynäkologisches Tumorzentrum Ordensklinikum Linz</t>
  </si>
  <si>
    <t>ViDia Christliche Kliniken Karlsruhe - Standort St. Vincentius-Kliniken Karlsruhe</t>
  </si>
  <si>
    <t>Gynäkologisches Krebszentrum Köln-Hohenlind</t>
  </si>
  <si>
    <t>ViDia Christliche Kliniken Karlsruhe - Diakonissenkrankenhaus Karlsruhe-Rüppurr</t>
  </si>
  <si>
    <t>FAG-Z131 B</t>
  </si>
  <si>
    <t>Helios Gynäkologisches Tumorzentrum Erfurt</t>
  </si>
  <si>
    <t>Helios Klinikum Erfurt</t>
  </si>
  <si>
    <t>Stiftungsklinikum PROSELIS, Standort Prosper-Hospital Recklinghausen</t>
  </si>
  <si>
    <t>FAG-Z171 B</t>
  </si>
  <si>
    <t>FAG-Z173 B</t>
  </si>
  <si>
    <t>FAG-Z177 B</t>
  </si>
  <si>
    <t>FAG-Z182 B</t>
  </si>
  <si>
    <t>Möglichst vollständiges operatives Staging</t>
  </si>
  <si>
    <t>Auditjahr 2022 / Kennzahlenjahr 2021</t>
  </si>
  <si>
    <r>
      <t xml:space="preserve">Nicht vollständige OP **
</t>
    </r>
    <r>
      <rPr>
        <sz val="8"/>
        <rFont val="Arial"/>
        <family val="2"/>
      </rPr>
      <t>(Ovar/Tuben/Peritoneal, BOT, STIC)</t>
    </r>
  </si>
  <si>
    <r>
      <t xml:space="preserve">Definitive OP = 
Staging OP *** </t>
    </r>
    <r>
      <rPr>
        <sz val="8"/>
        <rFont val="Arial"/>
        <family val="2"/>
      </rPr>
      <t>(Ovar/Tuben/Peritoneal, BOT, STIC)</t>
    </r>
  </si>
  <si>
    <t>Borderline Ovar / Seröses Tubares Intraepitheliales Carcinom (STIC)</t>
  </si>
  <si>
    <t>Grundlage des Erhebungsbogens stellt die TNM – Klassifikation maligner Tumoren, 8. Auflage 2017 sowie die ICD-Klassifikation ICD-10-GM 2021 (DIMDI) sowie die ICD-Klassifikation ICD-O-3 (DIMDI) (Morphologie) 2019 und die OPS-Klassifikation OPS 2021 (DIMDI) dar.</t>
  </si>
  <si>
    <t xml:space="preserve"> In Ordnung</t>
  </si>
  <si>
    <t xml:space="preserve">                   Sollvorgabe nicht erfüllt</t>
  </si>
  <si>
    <t xml:space="preserve">Die jeweilige Eingabe oder Änderung  "Anzahl / Zähler / Nenner" (gepunktete Felder) ist nur im Tabellenblatt "Basisdaten" möglich, die Übertragung erfolgt automatisch.
Der Zähler ist immer eine Teilmenge des Nenners (Ausnahme: Kennzahl 4 - Anteil Studienpat.). </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</si>
  <si>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Spalte "Eingeleitete/geplante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</si>
  <si>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Anmerkung:</t>
  </si>
  <si>
    <t>Im Sinne einer gendergerechten Sprache verwenden wir für die Begriffe „Patientinnen“, „Patienten“, „Patient*innen“ die Bezeichnung „Pat.“, die ausdrücklich jede Geschlechtszuschreibung (weiblich, männlich, divers) einschließt.</t>
  </si>
  <si>
    <t>Die für das Auditjahr 2022 / Kennzahlenjahr 2021 optionalen Kennzahlen sind im Auditjahr 2023 / Kennzahlenjahr 2022 verbindlich abzubilden.</t>
  </si>
  <si>
    <t>Operative Primärfälle Ovarialkarzinom FIGO IIA-IV und Chemotherapie</t>
  </si>
  <si>
    <t>Primärfälle des Nenners mit First-Line Chemotherapie mit Carboplatin u. Paclitaxel</t>
  </si>
  <si>
    <t>Primärfälle Ovarialkarzinom 
FIGO IIA-IV</t>
  </si>
  <si>
    <t>≥ 60%</t>
  </si>
  <si>
    <t>18
Angabe optional</t>
  </si>
  <si>
    <t>Histologische Sicherung Lokalrezidiv</t>
  </si>
  <si>
    <t>Möglichst häufig histologische Sicherung bei Pat. mit Lokalrezidiv eines Zervixkarzinoms</t>
  </si>
  <si>
    <t>Pat. des Nenners mit prätherapeutischer histologischer Sicherung</t>
  </si>
  <si>
    <t>Pat. mit Zervixkarzinom und Therapie eines Lokalrezidivs</t>
  </si>
  <si>
    <t>Primärfälle des Nenners mit operativem Staging (systematische Lymphonodektomie und/oder Sentinel Verfahren) der inguinofemoralen Lymphknoten</t>
  </si>
  <si>
    <t>25a
Angabe optional</t>
  </si>
  <si>
    <t>25b
Angabe optional</t>
  </si>
  <si>
    <t>LL Sarkom QI</t>
  </si>
  <si>
    <t>Primärfälle des Nenners mit Hysterektomie ohne Morcellement</t>
  </si>
  <si>
    <t>Im Zentrum operierte
Primärfälle mit auf den Uterus beschränktem Sarkom (ICD-O T C54, C55 iVm Morphologie-Codes Sarkomzentren), M0 mit Hysterektomie</t>
  </si>
  <si>
    <t>Außerhalb des Zentrums operierte Primärfälle mit auf den Uterus beschränktem Sarkom (ICD-O T C54, C55 iVm Morphologie-Codes Sarkomzentren), M0 mit Hysterektomie</t>
  </si>
  <si>
    <t>18</t>
  </si>
  <si>
    <t>25a</t>
  </si>
  <si>
    <t>25b</t>
  </si>
  <si>
    <r>
      <t xml:space="preserve">Hysterektomie ohne Morcellement bei auf den Uterus beschränktem Sarkom
</t>
    </r>
    <r>
      <rPr>
        <b/>
        <sz val="8"/>
        <color theme="1" tint="0.34998626667073579"/>
        <rFont val="Arial"/>
        <family val="2"/>
      </rPr>
      <t>(im Zentrum)</t>
    </r>
  </si>
  <si>
    <r>
      <t xml:space="preserve">Hysterektomie ohne Morcellement bei auf den Uterus beschränktem Sarkom
</t>
    </r>
    <r>
      <rPr>
        <b/>
        <sz val="8"/>
        <color theme="1" tint="0.34998626667073579"/>
        <rFont val="Arial"/>
        <family val="2"/>
      </rPr>
      <t>(außerhalb des Zentrums)</t>
    </r>
  </si>
  <si>
    <r>
      <t xml:space="preserve">Möglichst häufig Hysterektomie ohne Morcellement
</t>
    </r>
    <r>
      <rPr>
        <b/>
        <sz val="8"/>
        <color theme="1" tint="0.34998626667073579"/>
        <rFont val="Arial"/>
        <family val="2"/>
      </rPr>
      <t>(im Zentrum)</t>
    </r>
  </si>
  <si>
    <r>
      <t xml:space="preserve">Möglichst häufig Hysterektomie ohne Morcellement
</t>
    </r>
    <r>
      <rPr>
        <b/>
        <sz val="8"/>
        <color theme="1" tint="0.34998626667073579"/>
        <rFont val="Arial"/>
        <family val="2"/>
      </rPr>
      <t>(außerhalb des Zentrums)</t>
    </r>
  </si>
  <si>
    <r>
      <t>2020</t>
    </r>
    <r>
      <rPr>
        <sz val="8"/>
        <color theme="1"/>
        <rFont val="Arial"/>
        <family val="2"/>
      </rPr>
      <t xml:space="preserve"> </t>
    </r>
    <r>
      <rPr>
        <vertAlign val="superscript"/>
        <sz val="9"/>
        <color theme="1"/>
        <rFont val="Arial"/>
        <family val="2"/>
      </rPr>
      <t>7)</t>
    </r>
  </si>
  <si>
    <r>
      <t>2021</t>
    </r>
    <r>
      <rPr>
        <vertAlign val="superscript"/>
        <sz val="8"/>
        <color theme="1"/>
        <rFont val="Arial"/>
        <family val="2"/>
      </rPr>
      <t xml:space="preserve"> </t>
    </r>
    <r>
      <rPr>
        <vertAlign val="superscript"/>
        <sz val="9"/>
        <color theme="1"/>
        <rFont val="Arial"/>
        <family val="2"/>
      </rPr>
      <t>7)</t>
    </r>
  </si>
  <si>
    <t>Ø Follow-Up Quote der Jahre 2017-2019</t>
  </si>
  <si>
    <t>Anzahl Primärpat. (Zervix)</t>
  </si>
  <si>
    <r>
      <t xml:space="preserve">Pat. „im Follow-Up“
(aus Grundgesamtheit Primpat.)  </t>
    </r>
    <r>
      <rPr>
        <vertAlign val="superscript"/>
        <sz val="8"/>
        <rFont val="Arial"/>
        <family val="2"/>
      </rPr>
      <t>2)</t>
    </r>
  </si>
  <si>
    <t>Pat. tumorfrei</t>
  </si>
  <si>
    <t>Pat. mit mindestens 1 der Ereignisse in Spalte X, Y und Z</t>
  </si>
  <si>
    <r>
      <t>1)</t>
    </r>
    <r>
      <rPr>
        <sz val="8"/>
        <rFont val="Arial"/>
        <family val="2"/>
      </rPr>
      <t xml:space="preserve">  Bei (y)pT ist die Pat. nach dem klinischen Befund zu kodieren.</t>
    </r>
  </si>
  <si>
    <t>Werte Spalte O "Pat. im Follow-Up" müssen kleiner gleich sein als Spalte L und M subtrahiert von Spalte C; siehe Fußnote 2</t>
  </si>
  <si>
    <t>Für OAS und DFS sind keine Plausibilitätsabfragen hinterlegt, dies liegt daran, dass die einzelnen Kollektive der Kohortenjahre in der Regel zu wenige Pat. umfassen</t>
  </si>
  <si>
    <r>
      <rPr>
        <vertAlign val="superscript"/>
        <sz val="8"/>
        <color theme="1"/>
        <rFont val="Arial"/>
        <family val="2"/>
      </rPr>
      <t>8)</t>
    </r>
    <r>
      <rPr>
        <sz val="8"/>
        <color theme="1"/>
        <rFont val="Arial"/>
        <family val="2"/>
      </rPr>
      <t xml:space="preserve"> Basaliome (= Basalzellneoplasien, C44, ICD-O3 809-811 Histologie) werden nicht als Zweittumor gezählt.</t>
    </r>
  </si>
  <si>
    <r>
      <t>Follow-Up-Daten vom Zentrum</t>
    </r>
    <r>
      <rPr>
        <vertAlign val="superscript"/>
        <sz val="8"/>
        <rFont val="Arial"/>
        <family val="2"/>
      </rPr>
      <t xml:space="preserve"> 4)</t>
    </r>
  </si>
  <si>
    <r>
      <t xml:space="preserve">Diagnose Zweittumor im Verlauf </t>
    </r>
    <r>
      <rPr>
        <vertAlign val="superscript"/>
        <sz val="8"/>
        <rFont val="Arial"/>
        <family val="2"/>
      </rPr>
      <t>8)</t>
    </r>
  </si>
  <si>
    <t>Follow-Up Quote der Jahre 2017-2019</t>
  </si>
  <si>
    <t>Follow-Up Quote der Jahre 2017-2019 (positive Unplausibilität)</t>
  </si>
  <si>
    <t>2017-2019</t>
  </si>
  <si>
    <t xml:space="preserve">2021, </t>
  </si>
  <si>
    <t>Stand: 03.11.2021</t>
  </si>
  <si>
    <t>Frauenklinik, Universitätsklinikum Frankfurt</t>
  </si>
  <si>
    <t>Gynäkologisches Tumorzentrum am UKSH, Campus Lübeck</t>
  </si>
  <si>
    <t>Gynäkologisches Tumorzentrum Esslingen (GTZE)</t>
  </si>
  <si>
    <t>Gynäkologisches Krebszentrum Robert-Bosch-Krankenhaus Stuttgart</t>
  </si>
  <si>
    <t>Christliches Klinikum Unna</t>
  </si>
  <si>
    <t>Gynäkologisches Krebszentrum Dresden am Nationalen Centrum für Tumorerkrankungen Dresden (NCT/UCC)</t>
  </si>
  <si>
    <t>FAG-Z070 B</t>
  </si>
  <si>
    <t>Gynäkologisches Krebszentrum am Klinikum Osnabrück</t>
  </si>
  <si>
    <t>Klinikum Osnabrück</t>
  </si>
  <si>
    <t>Oberschwabenklinik St. Elisabethen-Klinikum Ravensburg</t>
  </si>
  <si>
    <t>Gynäkologisches Krebszentrum INN-SALZACH - InnKlinikum Altötting</t>
  </si>
  <si>
    <t>InnKlinikum Altötting und Mühldorf am Standort InnKlinikum Altötting</t>
  </si>
  <si>
    <t>FAG-Z117 B</t>
  </si>
  <si>
    <t>Gynäkologisches Krebszentrum des DONAUISAR Klinikums Deggendorf</t>
  </si>
  <si>
    <t>DONAUISAR Klinikum Deggendorf</t>
  </si>
  <si>
    <t>Kliniken Essen-Mitte, Standort Evang. Huyssens-Stiftung Essen-Huttrop</t>
  </si>
  <si>
    <t>Stadtspital Zürich, Standort Triemli</t>
  </si>
  <si>
    <t>FAG-Z136 B</t>
  </si>
  <si>
    <t>Gynäkologisches Tumorzentrum Kantonsspital Baden</t>
  </si>
  <si>
    <t>Frauenklinik, Kantonsspital Baden</t>
  </si>
  <si>
    <t>Gynäkologisches Krebszentrum am Diako Mannheim</t>
  </si>
  <si>
    <t>Diako Mannheim</t>
  </si>
  <si>
    <t>Gynäkologisches Krebszentrum am Marienhaus Klinikum Mainz</t>
  </si>
  <si>
    <t>Marienhaus Klinikum Mainz</t>
  </si>
  <si>
    <t>Gynäkologisches Krebszentrum am St. Johannes Hospital Dortmund</t>
  </si>
  <si>
    <t>St. Johannes Hospital Dortmund</t>
  </si>
  <si>
    <t>FAG-Z166 B</t>
  </si>
  <si>
    <t>FAG-Z178</t>
  </si>
  <si>
    <t>Gynäkologisches Krebszentrum Lindenhof Bern</t>
  </si>
  <si>
    <t>Lindenhofspital Bern</t>
  </si>
  <si>
    <t>FAG-Z179 B</t>
  </si>
  <si>
    <t>FAG-Z180 B</t>
  </si>
  <si>
    <t>Gynäkologisches Krebszentrum St. Vincenz-Krankenhaus Limburg</t>
  </si>
  <si>
    <t>Krankenhausgesellschaft St. Vincenz</t>
  </si>
  <si>
    <t>FAG-Z188 B</t>
  </si>
  <si>
    <t>Gynäkologisches Krebszentrum Albertinen-Krankenhaus Hamburg</t>
  </si>
  <si>
    <t>Albertinen-Krankenhaus Hamburg-Schnelsen</t>
  </si>
  <si>
    <t>FAG-Z189</t>
  </si>
  <si>
    <t>Gynäkologisches Tumorzentrum Leipziger Land Borna</t>
  </si>
  <si>
    <t>Sana Klinikum Borna</t>
  </si>
  <si>
    <t>FAG-Z190 B</t>
  </si>
  <si>
    <t>Gynäkologisches Krebszentrum Potsdam</t>
  </si>
  <si>
    <t>Klinikum Ernst von Bergmann</t>
  </si>
  <si>
    <t>FAG-Z191</t>
  </si>
  <si>
    <t>Gynäkologisches Krebszentrum Westmünsterland am St. Agnes-Hospital Bocholt</t>
  </si>
  <si>
    <t>St. Agnes-Hospital Bocholt Klinikum Westmünsterland</t>
  </si>
  <si>
    <t>FAG-Z192</t>
  </si>
  <si>
    <t>Gynäkologisches Krebszentrum Augusta Bochum</t>
  </si>
  <si>
    <t>Augusta-Kranken-Anstalt Bochum</t>
  </si>
  <si>
    <t>FAG-Z193</t>
  </si>
  <si>
    <t>Gynäkologisches Krebszentrum am Universitätsklinikum Gießen</t>
  </si>
  <si>
    <t>Frauenklinik Universitätsklinikum Gießen</t>
  </si>
  <si>
    <t>FAG-Z195</t>
  </si>
  <si>
    <t>Gynäkologisches Krebszentrum Vivantes Klinikum Am Urban Berlin</t>
  </si>
  <si>
    <t>Vivantes Klinikum Am Urban Berlin</t>
  </si>
  <si>
    <t>FAG-Z196</t>
  </si>
  <si>
    <t>Gynäkologisches Krebszentrum Kantonsspital St. Gallen</t>
  </si>
  <si>
    <t>Kantonsspital St. Gallen</t>
  </si>
  <si>
    <t>FAG-Z197</t>
  </si>
  <si>
    <t>Gynäkologisches Krebszentrum Nordoberpfalz</t>
  </si>
  <si>
    <t>Klinikum Weiden</t>
  </si>
  <si>
    <t>FAG-Z198</t>
  </si>
  <si>
    <t xml:space="preserve">Gynäkologisches Krebszentrum am Städtischen Klinikum Solingen </t>
  </si>
  <si>
    <t>Städtisches Klinikum Solingen</t>
  </si>
  <si>
    <t>FAG-Z199</t>
  </si>
  <si>
    <t>Gynäkologisches Krebszentrum Mathias-Spital Rheine</t>
  </si>
  <si>
    <t>Klinikum Rheine (Standort Mathias-Spital)</t>
  </si>
  <si>
    <t>FAG-Z201 B</t>
  </si>
  <si>
    <t>Gynäkologisches Krebszentrum Saarlouis am DRK Krankenhaus</t>
  </si>
  <si>
    <t>Krankenhaus vom Deutschen Roten Kreuz Saarlouis</t>
  </si>
  <si>
    <t>Nicht relevant - Zentrum nicht in Deutschland</t>
  </si>
  <si>
    <t>Anteil Studienpat.</t>
  </si>
  <si>
    <t>Pat. des Nenners, die in der Tumorkonferenz vorgestellt wurden</t>
  </si>
  <si>
    <t>Pat. des Nenners, die ambulant oder stationär psychoonkologisch betreut wurden (Gespräch ≥ 25 Min.)</t>
  </si>
  <si>
    <t>Pat. des Nenners, die ambulant oder stationär durch den Sozialdienst beraten wurden</t>
  </si>
  <si>
    <t>Pat., die in eine Studie mit Ethikvotum eingebracht wurden</t>
  </si>
  <si>
    <t>Einschleusung von möglichst vielen Pat. in Studien</t>
  </si>
  <si>
    <t>Möglichst häufig Vorstellung der Pat. mit Genitalmalignom in der Tumorkonferenz</t>
  </si>
  <si>
    <t>Möglichst häufig First-Line Chemotherapie mit Carboplatin u. Paclitaxel bei Erstdiagnose Ovarialkarzinom 
≥ FIGO IIA</t>
  </si>
  <si>
    <t xml:space="preserve">Primärfälle mit Zervixkarzinom und primärer Radio(chemo)therapie, ohne prim. Fernmetastasen </t>
  </si>
  <si>
    <r>
      <t xml:space="preserve">7) </t>
    </r>
    <r>
      <rPr>
        <sz val="8"/>
        <color theme="1"/>
        <rFont val="Arial"/>
        <family val="2"/>
      </rPr>
      <t xml:space="preserve"> Ausgelöst durch die Follow-Up-Strukturen der Krebsregister (Latenzzeit Vollzähligkeit der Registrierung von Zielereignissen) ist es für die letzten beiden Kalenderjahre ausreichend, die 
    aufgeschlüsselten Primärfälle (Spalte D-M) anzugeben.</t>
    </r>
  </si>
  <si>
    <r>
      <t>2)</t>
    </r>
    <r>
      <rPr>
        <sz val="8"/>
        <rFont val="Arial"/>
        <family val="2"/>
      </rPr>
      <t xml:space="preserve">  Pat., die in dieser Darstellung des Follow-Up nicht berücksichtigt werden dürfen: primär FIGO IV diagnostizierte Pat., Pat. mit vorausgegangenem Tumor (alle Entitäten) und posttherapeutisch nicht
    tumorfreie Pat.</t>
    </r>
  </si>
  <si>
    <r>
      <t xml:space="preserve">3)   </t>
    </r>
    <r>
      <rPr>
        <sz val="8"/>
        <rFont val="Arial"/>
        <family val="2"/>
      </rPr>
      <t xml:space="preserve">Die Daten müssen beim Audit pat.bezogen rückverfolgbar sein. </t>
    </r>
  </si>
  <si>
    <r>
      <t xml:space="preserve">5) </t>
    </r>
    <r>
      <rPr>
        <sz val="8"/>
        <rFont val="Arial"/>
        <family val="2"/>
      </rPr>
      <t xml:space="preserve"> Krebsregister können in der Regel keine Follow-Up-Daten zu Pat. außerhalb des Einzugsgebietes einholen.</t>
    </r>
  </si>
  <si>
    <t>Alle Pat. ab dem Folgejahr der EZ sind im Follow-Up zu berücksichtigen; alle relevanten Nachsorgejahre sind zu bearbeiten, abhängig vom Datum der Erstzertifizierung.</t>
  </si>
  <si>
    <r>
      <rPr>
        <b/>
        <u/>
        <sz val="8"/>
        <rFont val="Arial"/>
        <family val="2"/>
      </rPr>
      <t>Bearbeitungshinweise:</t>
    </r>
    <r>
      <rPr>
        <sz val="8"/>
        <rFont val="Arial"/>
        <family val="2"/>
      </rPr>
      <t xml:space="preserve">
1) Tuben- und Peritonealkarzinome sind dem Ovarialkarzinom zuzuordnen (gemäß S3-Leitlinie identische Therapie). Die QI für das Ovarialkarzinom umfassen dementsprechend alle 3 Tumorentitäten.
2) Pro Pat. kann entweder 1 definitive OP oder 1 „Nicht-vollständige“ bzw. “ausschließlich Staging-OP“ gezählt werden.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</si>
  <si>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 Hinweis Zervixkarzinom: Die Klassifikation der Zervixkarzinome erfolgt auf Basis der FIGO-Klassifikation VOR 2018, die mit der 8. Auflage des TNM abgestimmt ist. Es erfolgt keine Berücksichtigung der FIGO-Klassifikation 2018. 
** Nicht vollständige OP bei inoperablen Pat.
*** Entsprechend Leitlinie „Diagnostik, Therapie und Nachsorge maligner Ovarialtumoren“</t>
  </si>
  <si>
    <t>FAG-Z202</t>
  </si>
  <si>
    <t>Gynäkologisches Krebszentrum am Krankenhaus Reinbek St. Adolf-Stift</t>
  </si>
  <si>
    <t>Krankenhaus Reinbek St. Adolf-Stift</t>
  </si>
  <si>
    <t>Primärfälle des Nenners mit Befundberichten mit Angaben zu:
• histologischer Typ nach WHO
• Grading
• Nachweis/Fehlen von Lymph- oder Veneneinbrüchen (L- und V- Status)
• Nachweis/Fehlen von Perineuralscheideninfiltraten (Pn-Status)
• Staging (pTNM und FIGO) bei konisierten Pat. unter Berücksichtigung des Konisationsbefundes
• Invasionstiefe und Ausdehnung in mm bei pT1a1 und pT1a2
• Angabe der maximalen Tumorgröße (ab pT1b1)
• minimaler Abstand zu den Resektionsrändern</t>
  </si>
  <si>
    <t>Anlage EB Version H1.3 (Auditjahr 2022 / Kennzahlenjahr 2021)</t>
  </si>
  <si>
    <r>
      <t>12</t>
    </r>
    <r>
      <rPr>
        <sz val="8"/>
        <rFont val="Arial"/>
        <family val="2"/>
      </rPr>
      <t xml:space="preserve"> </t>
    </r>
    <r>
      <rPr>
        <sz val="8"/>
        <color rgb="FFFF0000"/>
        <rFont val="Arial"/>
        <family val="2"/>
      </rPr>
      <t>*</t>
    </r>
  </si>
  <si>
    <t>* Gegenüber der Version vom 27.01.2022 wurde wegen einem ausstehenden Update der Leitlinie 
  die Kennzahl 12 im Auditjahr 2022 ausgesetzt.</t>
  </si>
  <si>
    <t>&lt; 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</si>
</sst>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152" x14ac:knownFonts="1">
    <font>
      <sz val="11"/>
      <color theme="1"/>
      <name val="Calibri"/>
      <family val="2"/>
      <scheme val="minor"/>
    </font>
    <font>
      <sz val="11"/>
      <color indexed="8"/>
      <name val="Calibri"/>
      <family val="2"/>
    </font>
    <font>
      <sz val="11"/>
      <color indexed="8"/>
      <name val="Calibri"/>
      <family val="2"/>
    </font>
    <font>
      <sz val="11"/>
      <color indexed="8"/>
      <name val="Calibri"/>
      <family val="2"/>
    </font>
    <font>
      <sz val="10"/>
      <name val="Arial"/>
      <family val="2"/>
    </font>
    <font>
      <b/>
      <sz val="10"/>
      <name val="Arial"/>
      <family val="2"/>
    </font>
    <font>
      <sz val="10"/>
      <color indexed="10"/>
      <name val="Arial"/>
      <family val="2"/>
    </font>
    <font>
      <sz val="10"/>
      <color indexed="12"/>
      <name val="Arial"/>
      <family val="2"/>
    </font>
    <font>
      <sz val="8"/>
      <name val="Arial"/>
      <family val="2"/>
    </font>
    <font>
      <b/>
      <sz val="8"/>
      <name val="Arial"/>
      <family val="2"/>
    </font>
    <font>
      <vertAlign val="superscript"/>
      <sz val="8"/>
      <name val="Arial"/>
      <family val="2"/>
    </font>
    <font>
      <sz val="7"/>
      <name val="Arial"/>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sz val="11"/>
      <color indexed="9"/>
      <name val="Arial"/>
      <family val="2"/>
    </font>
    <font>
      <sz val="11"/>
      <name val="Arial"/>
      <family val="2"/>
    </font>
    <font>
      <b/>
      <sz val="11"/>
      <color indexed="8"/>
      <name val="Arial"/>
      <family val="2"/>
    </font>
    <font>
      <sz val="9"/>
      <color indexed="8"/>
      <name val="Arial"/>
      <family val="2"/>
    </font>
    <font>
      <b/>
      <sz val="13"/>
      <color indexed="8"/>
      <name val="Arial"/>
      <family val="2"/>
    </font>
    <font>
      <sz val="7"/>
      <color indexed="8"/>
      <name val="Arial"/>
      <family val="2"/>
    </font>
    <font>
      <b/>
      <sz val="8"/>
      <color indexed="8"/>
      <name val="Arial"/>
      <family val="2"/>
    </font>
    <font>
      <sz val="10"/>
      <color indexed="9"/>
      <name val="Arial"/>
      <family val="2"/>
    </font>
    <font>
      <sz val="11"/>
      <color indexed="8"/>
      <name val="Calibri"/>
      <family val="2"/>
    </font>
    <font>
      <sz val="8"/>
      <color indexed="23"/>
      <name val="Arial"/>
      <family val="2"/>
    </font>
    <font>
      <b/>
      <sz val="9"/>
      <color indexed="8"/>
      <name val="Arial"/>
      <family val="2"/>
    </font>
    <font>
      <vertAlign val="superscript"/>
      <sz val="7"/>
      <name val="Arial"/>
      <family val="2"/>
    </font>
    <font>
      <sz val="9"/>
      <color indexed="8"/>
      <name val="Arial"/>
      <family val="2"/>
    </font>
    <font>
      <sz val="6"/>
      <color indexed="8"/>
      <name val="Arial"/>
      <family val="2"/>
    </font>
    <font>
      <sz val="6"/>
      <name val="Arial"/>
      <family val="2"/>
    </font>
    <font>
      <sz val="9"/>
      <color indexed="81"/>
      <name val="Arial"/>
      <family val="2"/>
    </font>
    <font>
      <sz val="8"/>
      <name val="Calibri"/>
      <family val="2"/>
    </font>
    <font>
      <sz val="11"/>
      <color indexed="8"/>
      <name val="Calibri"/>
      <family val="2"/>
    </font>
    <font>
      <sz val="11"/>
      <color indexed="10"/>
      <name val="Arial"/>
      <family val="2"/>
    </font>
    <font>
      <b/>
      <sz val="18"/>
      <color indexed="56"/>
      <name val="Cambria"/>
      <family val="2"/>
    </font>
    <font>
      <b/>
      <sz val="15"/>
      <color indexed="56"/>
      <name val="Calibri"/>
      <family val="2"/>
    </font>
    <font>
      <b/>
      <sz val="11"/>
      <color indexed="56"/>
      <name val="Calibri"/>
      <family val="2"/>
    </font>
    <font>
      <sz val="11"/>
      <color indexed="10"/>
      <name val="Calibri"/>
      <family val="2"/>
    </font>
    <font>
      <b/>
      <sz val="13"/>
      <color indexed="56"/>
      <name val="Calibri"/>
      <family val="2"/>
    </font>
    <font>
      <b/>
      <u/>
      <sz val="8"/>
      <color indexed="8"/>
      <name val="Arial"/>
      <family val="2"/>
    </font>
    <font>
      <sz val="11"/>
      <color indexed="23"/>
      <name val="Calibri"/>
      <family val="2"/>
    </font>
    <font>
      <sz val="8"/>
      <color indexed="81"/>
      <name val="Arial"/>
      <family val="2"/>
    </font>
    <font>
      <sz val="8"/>
      <color indexed="8"/>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8"/>
      <color indexed="9"/>
      <name val="Arial"/>
      <family val="2"/>
    </font>
    <font>
      <b/>
      <sz val="8"/>
      <color indexed="8"/>
      <name val="Arial Narrow"/>
      <family val="2"/>
    </font>
    <font>
      <sz val="8"/>
      <name val="Arial Narrow"/>
      <family val="2"/>
    </font>
    <font>
      <sz val="8"/>
      <color indexed="8"/>
      <name val="Calibri"/>
      <family val="2"/>
    </font>
    <font>
      <b/>
      <sz val="8"/>
      <color indexed="10"/>
      <name val="Arial"/>
      <family val="2"/>
    </font>
    <font>
      <b/>
      <vertAlign val="superscript"/>
      <sz val="8"/>
      <name val="Arial"/>
      <family val="2"/>
    </font>
    <font>
      <sz val="11"/>
      <color indexed="8"/>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8"/>
      <color indexed="8"/>
      <name val="Calibri"/>
      <family val="2"/>
    </font>
    <font>
      <b/>
      <sz val="18"/>
      <color indexed="62"/>
      <name val="Cambria"/>
      <family val="2"/>
    </font>
    <font>
      <sz val="11"/>
      <color indexed="53"/>
      <name val="Calibri"/>
      <family val="2"/>
    </font>
    <font>
      <sz val="11"/>
      <color indexed="8"/>
      <name val="Arial"/>
      <family val="2"/>
    </font>
    <font>
      <sz val="10"/>
      <color indexed="8"/>
      <name val="Arial"/>
      <family val="2"/>
    </font>
    <font>
      <sz val="8"/>
      <color indexed="8"/>
      <name val="Arial"/>
      <family val="2"/>
    </font>
    <font>
      <sz val="9"/>
      <color indexed="8"/>
      <name val="Arial"/>
      <family val="2"/>
    </font>
    <font>
      <b/>
      <sz val="8"/>
      <color indexed="8"/>
      <name val="Arial"/>
      <family val="2"/>
    </font>
    <font>
      <b/>
      <sz val="9"/>
      <color indexed="8"/>
      <name val="Arial"/>
      <family val="2"/>
    </font>
    <font>
      <b/>
      <sz val="10"/>
      <color indexed="8"/>
      <name val="Arial"/>
      <family val="2"/>
    </font>
    <font>
      <sz val="8"/>
      <color indexed="23"/>
      <name val="Arial"/>
      <family val="2"/>
    </font>
    <font>
      <sz val="8"/>
      <color indexed="63"/>
      <name val="Arial"/>
      <family val="2"/>
    </font>
    <font>
      <b/>
      <sz val="8"/>
      <color indexed="8"/>
      <name val="Arial Narrow"/>
      <family val="2"/>
    </font>
    <font>
      <sz val="8"/>
      <color indexed="30"/>
      <name val="Arial"/>
      <family val="2"/>
    </font>
    <font>
      <sz val="11"/>
      <color indexed="30"/>
      <name val="Arial"/>
      <family val="2"/>
    </font>
    <font>
      <sz val="8"/>
      <color indexed="8"/>
      <name val="Arial"/>
      <family val="2"/>
    </font>
    <font>
      <sz val="8"/>
      <color indexed="8"/>
      <name val="Arial"/>
      <family val="2"/>
    </font>
    <font>
      <b/>
      <sz val="9"/>
      <color indexed="81"/>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theme="3"/>
      <name val="Cambria"/>
      <family val="2"/>
      <scheme val="major"/>
    </font>
    <font>
      <sz val="11"/>
      <color rgb="FFFF0000"/>
      <name val="Calibri"/>
      <family val="2"/>
      <scheme val="minor"/>
    </font>
    <font>
      <sz val="8"/>
      <color theme="1"/>
      <name val="Arial"/>
      <family val="2"/>
    </font>
    <font>
      <vertAlign val="superscript"/>
      <sz val="8"/>
      <color theme="1"/>
      <name val="Arial"/>
      <family val="2"/>
    </font>
    <font>
      <sz val="7"/>
      <color theme="1"/>
      <name val="Arial"/>
      <family val="2"/>
    </font>
    <font>
      <vertAlign val="superscript"/>
      <sz val="9"/>
      <color theme="1"/>
      <name val="Arial"/>
      <family val="2"/>
    </font>
    <font>
      <sz val="9"/>
      <color rgb="FFFF0000"/>
      <name val="Arial"/>
      <family val="2"/>
    </font>
    <font>
      <b/>
      <u/>
      <sz val="8"/>
      <name val="Arial"/>
      <family val="2"/>
    </font>
    <font>
      <sz val="6"/>
      <name val="Calibri"/>
      <family val="2"/>
    </font>
    <font>
      <b/>
      <sz val="8"/>
      <color indexed="8"/>
      <name val="Arial"/>
      <family val="2"/>
    </font>
    <font>
      <sz val="8"/>
      <color indexed="8"/>
      <name val="Arial"/>
      <family val="2"/>
    </font>
    <font>
      <sz val="8"/>
      <color indexed="9"/>
      <name val="Arial"/>
      <family val="2"/>
    </font>
    <font>
      <sz val="8"/>
      <name val="Arial"/>
      <family val="2"/>
    </font>
    <font>
      <b/>
      <sz val="8"/>
      <name val="Arial"/>
      <family val="2"/>
    </font>
    <font>
      <sz val="8"/>
      <color indexed="53"/>
      <name val="Arial"/>
      <family val="2"/>
    </font>
    <font>
      <sz val="9"/>
      <color indexed="8"/>
      <name val="Arial"/>
      <family val="2"/>
    </font>
    <font>
      <b/>
      <sz val="9"/>
      <color indexed="8"/>
      <name val="Arial"/>
      <family val="2"/>
    </font>
    <font>
      <b/>
      <sz val="11"/>
      <color indexed="8"/>
      <name val="Calibri"/>
      <family val="2"/>
    </font>
    <font>
      <sz val="8"/>
      <color indexed="8"/>
      <name val="Arial"/>
      <family val="2"/>
    </font>
    <font>
      <sz val="9"/>
      <name val="Arial"/>
      <family val="2"/>
    </font>
    <font>
      <sz val="10"/>
      <color indexed="8"/>
      <name val="Arial"/>
      <family val="2"/>
    </font>
    <font>
      <sz val="10"/>
      <color indexed="8"/>
      <name val="Arial"/>
      <family val="2"/>
    </font>
    <font>
      <sz val="10"/>
      <name val="Arial"/>
      <family val="2"/>
    </font>
    <font>
      <b/>
      <sz val="12"/>
      <color indexed="8"/>
      <name val="Arial"/>
      <family val="2"/>
    </font>
    <font>
      <b/>
      <sz val="10"/>
      <color indexed="8"/>
      <name val="Arial"/>
      <family val="2"/>
    </font>
    <font>
      <sz val="8"/>
      <color indexed="55"/>
      <name val="Arial"/>
      <family val="2"/>
    </font>
    <font>
      <b/>
      <sz val="10"/>
      <name val="Arial"/>
      <family val="2"/>
    </font>
    <font>
      <sz val="11"/>
      <color indexed="8"/>
      <name val="Arial"/>
      <family val="2"/>
    </font>
    <font>
      <sz val="8"/>
      <color rgb="FFFF0000"/>
      <name val="Arial"/>
      <family val="2"/>
    </font>
    <font>
      <sz val="6"/>
      <color theme="1"/>
      <name val="Calibri"/>
      <family val="2"/>
      <scheme val="minor"/>
    </font>
    <font>
      <sz val="10"/>
      <color theme="1"/>
      <name val="Arial"/>
      <family val="2"/>
    </font>
    <font>
      <vertAlign val="superscript"/>
      <sz val="11"/>
      <color theme="1"/>
      <name val="Calibri"/>
      <family val="2"/>
      <scheme val="minor"/>
    </font>
    <font>
      <i/>
      <sz val="9"/>
      <name val="Arial"/>
      <family val="2"/>
    </font>
    <font>
      <sz val="9"/>
      <color indexed="8"/>
      <name val="Arial"/>
      <family val="2"/>
    </font>
    <font>
      <i/>
      <sz val="10"/>
      <name val="Arial"/>
      <family val="2"/>
    </font>
    <font>
      <b/>
      <sz val="10"/>
      <color theme="0" tint="-0.499984740745262"/>
      <name val="Arial"/>
      <family val="2"/>
    </font>
    <font>
      <i/>
      <sz val="10"/>
      <color indexed="8"/>
      <name val="Arial"/>
      <family val="2"/>
    </font>
    <font>
      <sz val="8"/>
      <name val="Arial"/>
      <family val="2"/>
    </font>
    <font>
      <sz val="8"/>
      <color indexed="8"/>
      <name val="Arial"/>
      <family val="2"/>
    </font>
    <font>
      <sz val="6"/>
      <color theme="1"/>
      <name val="Arial"/>
      <family val="2"/>
    </font>
    <font>
      <b/>
      <sz val="11"/>
      <name val="Arial"/>
      <family val="2"/>
    </font>
    <font>
      <sz val="8"/>
      <color theme="1" tint="0.34998626667073579"/>
      <name val="Arial"/>
      <family val="2"/>
    </font>
    <font>
      <sz val="6"/>
      <color theme="1" tint="0.34998626667073579"/>
      <name val="Arial"/>
      <family val="2"/>
    </font>
    <font>
      <sz val="8"/>
      <color theme="1" tint="0.34998626667073579"/>
      <name val="Arial Narrow"/>
      <family val="2"/>
    </font>
    <font>
      <b/>
      <sz val="8"/>
      <color theme="1" tint="0.34998626667073579"/>
      <name val="Arial"/>
      <family val="2"/>
    </font>
    <font>
      <strike/>
      <sz val="8"/>
      <name val="Arial"/>
      <family val="2"/>
    </font>
    <font>
      <strike/>
      <sz val="6"/>
      <name val="Arial"/>
      <family val="2"/>
    </font>
    <font>
      <strike/>
      <sz val="8"/>
      <color indexed="63"/>
      <name val="Arial"/>
      <family val="2"/>
    </font>
    <font>
      <b/>
      <strike/>
      <sz val="8"/>
      <name val="Arial"/>
      <family val="2"/>
    </font>
    <font>
      <strike/>
      <sz val="8"/>
      <color indexed="8"/>
      <name val="Arial"/>
      <family val="2"/>
    </font>
  </fonts>
  <fills count="95">
    <fill>
      <patternFill patternType="none"/>
    </fill>
    <fill>
      <patternFill patternType="gray125"/>
    </fill>
    <fill>
      <patternFill patternType="solid">
        <fgColor indexed="44"/>
      </patternFill>
    </fill>
    <fill>
      <patternFill patternType="solid">
        <fgColor indexed="31"/>
      </patternFill>
    </fill>
    <fill>
      <patternFill patternType="solid">
        <fgColor indexed="4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gray0625">
        <fgColor indexed="23"/>
        <bgColor indexed="9"/>
      </patternFill>
    </fill>
    <fill>
      <patternFill patternType="solid">
        <fgColor indexed="42"/>
        <bgColor indexed="64"/>
      </patternFill>
    </fill>
    <fill>
      <patternFill patternType="solid">
        <fgColor indexed="55"/>
        <bgColor indexed="64"/>
      </patternFill>
    </fill>
    <fill>
      <patternFill patternType="solid">
        <fgColor indexed="44"/>
        <bgColor indexed="64"/>
      </patternFill>
    </fill>
    <fill>
      <patternFill patternType="solid">
        <fgColor indexed="11"/>
        <bgColor indexed="64"/>
      </patternFill>
    </fill>
    <fill>
      <patternFill patternType="solid">
        <fgColor indexed="45"/>
        <bgColor indexed="64"/>
      </patternFill>
    </fill>
    <fill>
      <patternFill patternType="solid">
        <fgColor indexed="47"/>
        <bgColor indexed="64"/>
      </patternFill>
    </fill>
    <fill>
      <patternFill patternType="solid">
        <fgColor indexed="22"/>
        <bgColor indexed="64"/>
      </patternFill>
    </fill>
    <fill>
      <patternFill patternType="solid">
        <fgColor indexed="13"/>
        <bgColor indexed="64"/>
      </patternFill>
    </fill>
    <fill>
      <patternFill patternType="solid">
        <fgColor indexed="51"/>
        <bgColor indexed="64"/>
      </patternFill>
    </fill>
    <fill>
      <patternFill patternType="gray0625"/>
    </fill>
    <fill>
      <patternFill patternType="solid">
        <fgColor indexed="44"/>
        <bgColor indexed="9"/>
      </patternFill>
    </fill>
    <fill>
      <patternFill patternType="gray0625">
        <bgColor indexed="44"/>
      </patternFill>
    </fill>
    <fill>
      <patternFill patternType="gray0625">
        <fgColor indexed="23"/>
      </patternFill>
    </fill>
    <fill>
      <patternFill patternType="solid">
        <fgColor indexed="2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0" tint="-0.34998626667073579"/>
        <bgColor indexed="64"/>
      </patternFill>
    </fill>
    <fill>
      <patternFill patternType="solid">
        <fgColor rgb="FFFF0000"/>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rgb="FFE385D6"/>
        <bgColor indexed="64"/>
      </patternFill>
    </fill>
    <fill>
      <patternFill patternType="solid">
        <fgColor theme="0"/>
        <bgColor indexed="64"/>
      </patternFill>
    </fill>
    <fill>
      <patternFill patternType="solid">
        <fgColor theme="0" tint="-0.14999847407452621"/>
        <bgColor indexed="9"/>
      </patternFill>
    </fill>
    <fill>
      <patternFill patternType="solid">
        <fgColor theme="9" tint="0.79998168889431442"/>
        <bgColor indexed="64"/>
      </patternFill>
    </fill>
    <fill>
      <patternFill patternType="solid">
        <fgColor theme="0" tint="-0.14996795556505021"/>
        <bgColor indexed="9"/>
      </patternFill>
    </fill>
    <fill>
      <patternFill patternType="solid">
        <fgColor rgb="FFFFC000"/>
        <bgColor indexed="64"/>
      </patternFill>
    </fill>
    <fill>
      <patternFill patternType="solid">
        <fgColor theme="9" tint="0.59999389629810485"/>
        <bgColor indexed="64"/>
      </patternFill>
    </fill>
    <fill>
      <patternFill patternType="solid">
        <fgColor theme="5"/>
        <bgColor indexed="64"/>
      </patternFill>
    </fill>
    <fill>
      <patternFill patternType="solid">
        <fgColor rgb="FF00B050"/>
        <bgColor indexed="64"/>
      </patternFill>
    </fill>
    <fill>
      <patternFill patternType="solid">
        <fgColor rgb="FFCCFFCC"/>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s>
  <borders count="89">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thick">
        <color indexed="62"/>
      </bottom>
      <diagonal/>
    </border>
    <border>
      <left/>
      <right/>
      <top/>
      <bottom style="thick">
        <color indexed="44"/>
      </bottom>
      <diagonal/>
    </border>
    <border>
      <left/>
      <right/>
      <top/>
      <bottom style="thick">
        <color indexed="41"/>
      </bottom>
      <diagonal/>
    </border>
    <border>
      <left/>
      <right/>
      <top/>
      <bottom style="thick">
        <color indexed="22"/>
      </bottom>
      <diagonal/>
    </border>
    <border>
      <left/>
      <right/>
      <top/>
      <bottom style="medium">
        <color indexed="44"/>
      </bottom>
      <diagonal/>
    </border>
    <border>
      <left/>
      <right/>
      <top/>
      <bottom style="medium">
        <color indexed="41"/>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s>
  <cellStyleXfs count="581">
    <xf numFmtId="0" fontId="0" fillId="0" borderId="0"/>
    <xf numFmtId="0" fontId="86" fillId="3" borderId="0" applyNumberFormat="0" applyBorder="0" applyAlignment="0" applyProtection="0"/>
    <xf numFmtId="0" fontId="86" fillId="3"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6" fillId="2"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6" fillId="6" borderId="0" applyNumberFormat="0" applyBorder="0" applyAlignment="0" applyProtection="0"/>
    <xf numFmtId="0" fontId="86" fillId="6"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48" borderId="0" applyNumberFormat="0" applyBorder="0" applyAlignment="0" applyProtection="0"/>
    <xf numFmtId="0" fontId="86" fillId="48"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2" borderId="0" applyNumberFormat="0" applyBorder="0" applyAlignment="0" applyProtection="0"/>
    <xf numFmtId="0" fontId="86" fillId="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6" fillId="5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6" fillId="51" borderId="0" applyNumberFormat="0" applyBorder="0" applyAlignment="0" applyProtection="0"/>
    <xf numFmtId="0" fontId="86" fillId="51" borderId="0" applyNumberFormat="0" applyBorder="0" applyAlignment="0" applyProtection="0"/>
    <xf numFmtId="0" fontId="86" fillId="4"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6" fillId="5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6" fillId="55" borderId="0" applyNumberFormat="0" applyBorder="0" applyAlignment="0" applyProtection="0"/>
    <xf numFmtId="0" fontId="86" fillId="55" borderId="0" applyNumberFormat="0" applyBorder="0" applyAlignment="0" applyProtection="0"/>
    <xf numFmtId="0" fontId="86" fillId="4"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6" fillId="56" borderId="0" applyNumberFormat="0" applyBorder="0" applyAlignment="0" applyProtection="0"/>
    <xf numFmtId="0" fontId="86" fillId="56"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7" fillId="57" borderId="0" applyNumberFormat="0" applyBorder="0" applyAlignment="0" applyProtection="0"/>
    <xf numFmtId="0" fontId="87" fillId="57" borderId="0" applyNumberFormat="0" applyBorder="0" applyAlignment="0" applyProtection="0"/>
    <xf numFmtId="0" fontId="87" fillId="2" borderId="0" applyNumberFormat="0" applyBorder="0" applyAlignment="0" applyProtection="0"/>
    <xf numFmtId="0" fontId="87" fillId="4"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87" fillId="58"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87" fillId="59"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2" borderId="0" applyNumberFormat="0" applyBorder="0" applyAlignment="0" applyProtection="0"/>
    <xf numFmtId="0" fontId="87" fillId="4"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87" fillId="63"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1" borderId="0" applyNumberFormat="0" applyBorder="0" applyAlignment="0" applyProtection="0"/>
    <xf numFmtId="0" fontId="87" fillId="63" borderId="0" applyNumberFormat="0" applyBorder="0" applyAlignment="0" applyProtection="0"/>
    <xf numFmtId="0" fontId="48" fillId="23"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64" borderId="0" applyNumberFormat="0" applyBorder="0" applyAlignment="0" applyProtection="0"/>
    <xf numFmtId="0" fontId="48" fillId="24" borderId="0" applyNumberFormat="0" applyBorder="0" applyAlignment="0" applyProtection="0"/>
    <xf numFmtId="0" fontId="87" fillId="65" borderId="0" applyNumberFormat="0" applyBorder="0" applyAlignment="0" applyProtection="0"/>
    <xf numFmtId="0" fontId="48" fillId="18" borderId="0" applyNumberFormat="0" applyBorder="0" applyAlignment="0" applyProtection="0"/>
    <xf numFmtId="0" fontId="87" fillId="66"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18" borderId="0" applyNumberFormat="0" applyBorder="0" applyAlignment="0" applyProtection="0"/>
    <xf numFmtId="0" fontId="87" fillId="66" borderId="0" applyNumberFormat="0" applyBorder="0" applyAlignment="0" applyProtection="0"/>
    <xf numFmtId="0" fontId="48" fillId="19" borderId="0" applyNumberFormat="0" applyBorder="0" applyAlignment="0" applyProtection="0"/>
    <xf numFmtId="0" fontId="87" fillId="67" borderId="0" applyNumberFormat="0" applyBorder="0" applyAlignment="0" applyProtection="0"/>
    <xf numFmtId="0" fontId="48" fillId="22" borderId="0" applyNumberFormat="0" applyBorder="0" applyAlignment="0" applyProtection="0"/>
    <xf numFmtId="0" fontId="87" fillId="68"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67" borderId="0" applyNumberFormat="0" applyBorder="0" applyAlignment="0" applyProtection="0"/>
    <xf numFmtId="0" fontId="87" fillId="67" borderId="0" applyNumberFormat="0" applyBorder="0" applyAlignment="0" applyProtection="0"/>
    <xf numFmtId="0" fontId="87" fillId="67" borderId="0" applyNumberFormat="0" applyBorder="0" applyAlignment="0" applyProtection="0"/>
    <xf numFmtId="0" fontId="87" fillId="68" borderId="0" applyNumberFormat="0" applyBorder="0" applyAlignment="0" applyProtection="0"/>
    <xf numFmtId="0" fontId="87" fillId="68" borderId="0" applyNumberFormat="0" applyBorder="0" applyAlignment="0" applyProtection="0"/>
    <xf numFmtId="0" fontId="87" fillId="68" borderId="0" applyNumberFormat="0" applyBorder="0" applyAlignment="0" applyProtection="0"/>
    <xf numFmtId="0" fontId="88" fillId="15" borderId="74" applyNumberFormat="0" applyAlignment="0" applyProtection="0"/>
    <xf numFmtId="0" fontId="88" fillId="15" borderId="74" applyNumberFormat="0" applyAlignment="0" applyProtection="0"/>
    <xf numFmtId="0" fontId="88" fillId="15" borderId="74" applyNumberFormat="0" applyAlignment="0" applyProtection="0"/>
    <xf numFmtId="0" fontId="64" fillId="15" borderId="2" applyNumberFormat="0" applyAlignment="0" applyProtection="0"/>
    <xf numFmtId="0" fontId="14" fillId="15" borderId="2" applyNumberFormat="0" applyAlignment="0" applyProtection="0"/>
    <xf numFmtId="0" fontId="88" fillId="69" borderId="74" applyNumberFormat="0" applyAlignment="0" applyProtection="0"/>
    <xf numFmtId="0" fontId="88" fillId="69" borderId="74" applyNumberFormat="0" applyAlignment="0" applyProtection="0"/>
    <xf numFmtId="0" fontId="88" fillId="9" borderId="74" applyNumberFormat="0" applyAlignment="0" applyProtection="0"/>
    <xf numFmtId="0" fontId="64" fillId="9" borderId="2" applyNumberFormat="0" applyAlignment="0" applyProtection="0"/>
    <xf numFmtId="0" fontId="14" fillId="9" borderId="2" applyNumberFormat="0" applyAlignment="0" applyProtection="0"/>
    <xf numFmtId="0" fontId="88" fillId="15" borderId="74" applyNumberFormat="0" applyAlignment="0" applyProtection="0"/>
    <xf numFmtId="0" fontId="64" fillId="9" borderId="2" applyNumberFormat="0" applyAlignment="0" applyProtection="0"/>
    <xf numFmtId="0" fontId="14" fillId="9" borderId="2" applyNumberFormat="0" applyAlignment="0" applyProtection="0"/>
    <xf numFmtId="0" fontId="88" fillId="15" borderId="74" applyNumberFormat="0" applyAlignment="0" applyProtection="0"/>
    <xf numFmtId="0" fontId="88" fillId="15" borderId="74" applyNumberFormat="0" applyAlignment="0" applyProtection="0"/>
    <xf numFmtId="0" fontId="64" fillId="15" borderId="2" applyNumberFormat="0" applyAlignment="0" applyProtection="0"/>
    <xf numFmtId="0" fontId="14" fillId="15" borderId="2" applyNumberFormat="0" applyAlignment="0" applyProtection="0"/>
    <xf numFmtId="0" fontId="49" fillId="15" borderId="1" applyNumberFormat="0" applyAlignment="0" applyProtection="0"/>
    <xf numFmtId="0" fontId="49" fillId="15" borderId="1" applyNumberFormat="0" applyAlignment="0" applyProtection="0"/>
    <xf numFmtId="0" fontId="49" fillId="15" borderId="1" applyNumberFormat="0" applyAlignment="0" applyProtection="0"/>
    <xf numFmtId="0" fontId="88" fillId="15" borderId="74" applyNumberFormat="0" applyAlignment="0" applyProtection="0"/>
    <xf numFmtId="0" fontId="49" fillId="15" borderId="1" applyNumberFormat="0" applyAlignment="0" applyProtection="0"/>
    <xf numFmtId="0" fontId="64" fillId="15" borderId="2" applyNumberFormat="0" applyAlignment="0" applyProtection="0"/>
    <xf numFmtId="0" fontId="88" fillId="15" borderId="74" applyNumberFormat="0" applyAlignment="0" applyProtection="0"/>
    <xf numFmtId="0" fontId="14" fillId="15" borderId="2" applyNumberFormat="0" applyAlignment="0" applyProtection="0"/>
    <xf numFmtId="0" fontId="88" fillId="15" borderId="74" applyNumberFormat="0" applyAlignment="0" applyProtection="0"/>
    <xf numFmtId="0" fontId="88" fillId="15" borderId="74" applyNumberFormat="0" applyAlignment="0" applyProtection="0"/>
    <xf numFmtId="0" fontId="49" fillId="15" borderId="1" applyNumberFormat="0" applyAlignment="0" applyProtection="0"/>
    <xf numFmtId="0" fontId="54" fillId="6" borderId="0" applyNumberFormat="0" applyBorder="0" applyAlignment="0" applyProtection="0"/>
    <xf numFmtId="0" fontId="89" fillId="70" borderId="0" applyNumberFormat="0" applyBorder="0" applyAlignment="0" applyProtection="0"/>
    <xf numFmtId="0" fontId="90" fillId="15" borderId="75" applyNumberFormat="0" applyAlignment="0" applyProtection="0"/>
    <xf numFmtId="0" fontId="90" fillId="15" borderId="75" applyNumberFormat="0" applyAlignment="0" applyProtection="0"/>
    <xf numFmtId="0" fontId="90" fillId="69" borderId="75" applyNumberFormat="0" applyAlignment="0" applyProtection="0"/>
    <xf numFmtId="0" fontId="90" fillId="69" borderId="75" applyNumberFormat="0" applyAlignment="0" applyProtection="0"/>
    <xf numFmtId="0" fontId="90" fillId="9" borderId="75" applyNumberFormat="0" applyAlignment="0" applyProtection="0"/>
    <xf numFmtId="0" fontId="90" fillId="9" borderId="75" applyNumberFormat="0" applyAlignment="0" applyProtection="0"/>
    <xf numFmtId="0" fontId="90" fillId="9" borderId="75" applyNumberFormat="0" applyAlignment="0" applyProtection="0"/>
    <xf numFmtId="0" fontId="90" fillId="15" borderId="75" applyNumberFormat="0" applyAlignment="0" applyProtection="0"/>
    <xf numFmtId="0" fontId="50" fillId="15" borderId="3" applyNumberFormat="0" applyAlignment="0" applyProtection="0"/>
    <xf numFmtId="0" fontId="50" fillId="15" borderId="3" applyNumberFormat="0" applyAlignment="0" applyProtection="0"/>
    <xf numFmtId="0" fontId="50" fillId="15" borderId="3" applyNumberFormat="0" applyAlignment="0" applyProtection="0"/>
    <xf numFmtId="0" fontId="90" fillId="15" borderId="75" applyNumberFormat="0" applyAlignment="0" applyProtection="0"/>
    <xf numFmtId="0" fontId="50" fillId="15" borderId="3" applyNumberFormat="0" applyAlignment="0" applyProtection="0"/>
    <xf numFmtId="0" fontId="90" fillId="15" borderId="75" applyNumberFormat="0" applyAlignment="0" applyProtection="0"/>
    <xf numFmtId="0" fontId="50" fillId="15" borderId="3" applyNumberFormat="0" applyAlignment="0" applyProtection="0"/>
    <xf numFmtId="0" fontId="50" fillId="15" borderId="3" applyNumberFormat="0" applyAlignment="0" applyProtection="0"/>
    <xf numFmtId="0" fontId="56" fillId="26" borderId="4" applyNumberFormat="0" applyAlignment="0" applyProtection="0"/>
    <xf numFmtId="0" fontId="91" fillId="71" borderId="76" applyNumberFormat="0" applyAlignment="0" applyProtection="0"/>
    <xf numFmtId="0" fontId="91" fillId="71" borderId="5" applyNumberFormat="0" applyAlignment="0" applyProtection="0"/>
    <xf numFmtId="0" fontId="91" fillId="71" borderId="76" applyNumberFormat="0" applyAlignment="0" applyProtection="0"/>
    <xf numFmtId="0" fontId="92" fillId="72" borderId="75" applyNumberFormat="0" applyAlignment="0" applyProtection="0"/>
    <xf numFmtId="0" fontId="51" fillId="5" borderId="3" applyNumberFormat="0" applyAlignment="0" applyProtection="0"/>
    <xf numFmtId="0" fontId="51" fillId="5" borderId="3" applyNumberFormat="0" applyAlignment="0" applyProtection="0"/>
    <xf numFmtId="0" fontId="51" fillId="5" borderId="3" applyNumberFormat="0" applyAlignment="0" applyProtection="0"/>
    <xf numFmtId="0" fontId="51" fillId="5" borderId="3" applyNumberFormat="0" applyAlignment="0" applyProtection="0"/>
    <xf numFmtId="0" fontId="51" fillId="5" borderId="3" applyNumberFormat="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77" applyNumberFormat="0" applyFill="0" applyAlignment="0" applyProtection="0"/>
    <xf numFmtId="0" fontId="93" fillId="0" borderId="77" applyNumberFormat="0" applyFill="0" applyAlignment="0" applyProtection="0"/>
    <xf numFmtId="0" fontId="93" fillId="0" borderId="7" applyNumberFormat="0" applyFill="0" applyAlignment="0" applyProtection="0"/>
    <xf numFmtId="0" fontId="93" fillId="0" borderId="7" applyNumberFormat="0" applyFill="0" applyAlignment="0" applyProtection="0"/>
    <xf numFmtId="0" fontId="93" fillId="0" borderId="7"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93"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93" fillId="0" borderId="6" applyNumberFormat="0" applyFill="0" applyAlignment="0" applyProtection="0"/>
    <xf numFmtId="0" fontId="14" fillId="0" borderId="6" applyNumberFormat="0" applyFill="0" applyAlignment="0" applyProtection="0"/>
    <xf numFmtId="0" fontId="93" fillId="0" borderId="6" applyNumberFormat="0" applyFill="0" applyAlignment="0" applyProtection="0"/>
    <xf numFmtId="0" fontId="14" fillId="0" borderId="6" applyNumberFormat="0" applyFill="0" applyAlignment="0" applyProtection="0"/>
    <xf numFmtId="0" fontId="94"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8" borderId="0" applyNumberFormat="0" applyBorder="0" applyAlignment="0" applyProtection="0"/>
    <xf numFmtId="0" fontId="95" fillId="73" borderId="0" applyNumberFormat="0" applyBorder="0" applyAlignment="0" applyProtection="0"/>
    <xf numFmtId="0" fontId="95" fillId="73" borderId="0" applyNumberFormat="0" applyBorder="0" applyAlignment="0" applyProtection="0"/>
    <xf numFmtId="0" fontId="95" fillId="73" borderId="0" applyNumberFormat="0" applyBorder="0" applyAlignment="0" applyProtection="0"/>
    <xf numFmtId="0" fontId="95" fillId="73" borderId="0" applyNumberFormat="0" applyBorder="0" applyAlignment="0" applyProtection="0"/>
    <xf numFmtId="0" fontId="96" fillId="0" borderId="78" applyNumberFormat="0" applyFill="0" applyAlignment="0" applyProtection="0"/>
    <xf numFmtId="0" fontId="65" fillId="0" borderId="8" applyNumberFormat="0" applyFill="0" applyAlignment="0" applyProtection="0"/>
    <xf numFmtId="0" fontId="65" fillId="0" borderId="8" applyNumberFormat="0" applyFill="0" applyAlignment="0" applyProtection="0"/>
    <xf numFmtId="0" fontId="40" fillId="0" borderId="9" applyNumberFormat="0" applyFill="0" applyAlignment="0" applyProtection="0"/>
    <xf numFmtId="0" fontId="96" fillId="0" borderId="78" applyNumberFormat="0" applyFill="0" applyAlignment="0" applyProtection="0"/>
    <xf numFmtId="0" fontId="97" fillId="0" borderId="79" applyNumberFormat="0" applyFill="0" applyAlignment="0" applyProtection="0"/>
    <xf numFmtId="0" fontId="66" fillId="0" borderId="10" applyNumberFormat="0" applyFill="0" applyAlignment="0" applyProtection="0"/>
    <xf numFmtId="0" fontId="66" fillId="0" borderId="11" applyNumberFormat="0" applyFill="0" applyAlignment="0" applyProtection="0"/>
    <xf numFmtId="0" fontId="43" fillId="0" borderId="12" applyNumberFormat="0" applyFill="0" applyAlignment="0" applyProtection="0"/>
    <xf numFmtId="0" fontId="97" fillId="0" borderId="79" applyNumberFormat="0" applyFill="0" applyAlignment="0" applyProtection="0"/>
    <xf numFmtId="0" fontId="98" fillId="0" borderId="80" applyNumberFormat="0" applyFill="0" applyAlignment="0" applyProtection="0"/>
    <xf numFmtId="0" fontId="67" fillId="0" borderId="13" applyNumberFormat="0" applyFill="0" applyAlignment="0" applyProtection="0"/>
    <xf numFmtId="0" fontId="67" fillId="0" borderId="14" applyNumberFormat="0" applyFill="0" applyAlignment="0" applyProtection="0"/>
    <xf numFmtId="0" fontId="41" fillId="0" borderId="15" applyNumberFormat="0" applyFill="0" applyAlignment="0" applyProtection="0"/>
    <xf numFmtId="0" fontId="98" fillId="0" borderId="80" applyNumberFormat="0" applyFill="0" applyAlignment="0" applyProtection="0"/>
    <xf numFmtId="0" fontId="9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41" fillId="0" borderId="0" applyNumberFormat="0" applyFill="0" applyBorder="0" applyAlignment="0" applyProtection="0"/>
    <xf numFmtId="0" fontId="98" fillId="0" borderId="0" applyNumberFormat="0" applyFill="0" applyBorder="0" applyAlignment="0" applyProtection="0"/>
    <xf numFmtId="0" fontId="51" fillId="5" borderId="3" applyNumberFormat="0" applyAlignment="0" applyProtection="0"/>
    <xf numFmtId="0" fontId="55" fillId="0" borderId="16" applyNumberFormat="0" applyFill="0" applyAlignment="0" applyProtection="0"/>
    <xf numFmtId="0" fontId="99" fillId="0" borderId="81" applyNumberFormat="0" applyFill="0" applyAlignment="0" applyProtection="0"/>
    <xf numFmtId="0" fontId="100" fillId="74" borderId="0" applyNumberFormat="0" applyBorder="0" applyAlignment="0" applyProtection="0"/>
    <xf numFmtId="0" fontId="86" fillId="0" borderId="0"/>
    <xf numFmtId="0" fontId="4" fillId="7" borderId="17" applyNumberFormat="0" applyFont="0" applyAlignment="0" applyProtection="0"/>
    <xf numFmtId="0" fontId="4" fillId="7" borderId="17" applyNumberFormat="0" applyFont="0" applyAlignment="0" applyProtection="0"/>
    <xf numFmtId="0" fontId="1" fillId="75" borderId="82" applyNumberFormat="0" applyFont="0" applyAlignment="0" applyProtection="0"/>
    <xf numFmtId="0" fontId="1" fillId="75" borderId="82" applyNumberFormat="0" applyFont="0" applyAlignment="0" applyProtection="0"/>
    <xf numFmtId="0" fontId="63" fillId="75" borderId="82" applyNumberFormat="0" applyFont="0" applyAlignment="0" applyProtection="0"/>
    <xf numFmtId="0" fontId="1" fillId="75" borderId="82" applyNumberFormat="0" applyFont="0" applyAlignment="0" applyProtection="0"/>
    <xf numFmtId="0" fontId="1" fillId="75" borderId="82" applyNumberFormat="0" applyFont="0" applyAlignment="0" applyProtection="0"/>
    <xf numFmtId="0" fontId="13" fillId="75" borderId="82" applyNumberFormat="0" applyFont="0" applyAlignment="0" applyProtection="0"/>
    <xf numFmtId="0" fontId="13" fillId="75" borderId="82" applyNumberFormat="0" applyFont="0" applyAlignment="0" applyProtection="0"/>
    <xf numFmtId="0" fontId="37" fillId="75" borderId="82" applyNumberFormat="0" applyFont="0" applyAlignment="0" applyProtection="0"/>
    <xf numFmtId="0" fontId="2" fillId="75" borderId="82" applyNumberFormat="0" applyFont="0" applyAlignment="0" applyProtection="0"/>
    <xf numFmtId="0" fontId="1" fillId="75" borderId="82" applyNumberFormat="0" applyFont="0" applyAlignment="0" applyProtection="0"/>
    <xf numFmtId="0" fontId="1" fillId="75" borderId="82" applyNumberFormat="0" applyFont="0" applyAlignment="0" applyProtection="0"/>
    <xf numFmtId="0" fontId="1" fillId="75" borderId="82" applyNumberFormat="0" applyFont="0" applyAlignment="0" applyProtection="0"/>
    <xf numFmtId="0" fontId="1" fillId="75" borderId="82" applyNumberFormat="0" applyFont="0" applyAlignment="0" applyProtection="0"/>
    <xf numFmtId="0" fontId="1" fillId="75" borderId="82" applyNumberFormat="0" applyFont="0" applyAlignment="0" applyProtection="0"/>
    <xf numFmtId="0" fontId="63" fillId="75" borderId="82" applyNumberFormat="0" applyFont="0" applyAlignment="0" applyProtection="0"/>
    <xf numFmtId="0" fontId="1" fillId="75" borderId="82" applyNumberFormat="0" applyFont="0" applyAlignment="0" applyProtection="0"/>
    <xf numFmtId="0" fontId="1" fillId="75" borderId="82" applyNumberFormat="0" applyFont="0" applyAlignment="0" applyProtection="0"/>
    <xf numFmtId="0" fontId="1" fillId="75" borderId="82" applyNumberFormat="0" applyFont="0" applyAlignment="0" applyProtection="0"/>
    <xf numFmtId="0" fontId="63" fillId="75" borderId="82" applyNumberFormat="0" applyFont="0" applyAlignment="0" applyProtection="0"/>
    <xf numFmtId="0" fontId="1" fillId="75" borderId="82" applyNumberFormat="0" applyFont="0" applyAlignment="0" applyProtection="0"/>
    <xf numFmtId="0" fontId="63" fillId="75" borderId="82" applyNumberFormat="0" applyFont="0" applyAlignment="0" applyProtection="0"/>
    <xf numFmtId="0" fontId="1" fillId="75" borderId="82" applyNumberFormat="0" applyFont="0" applyAlignment="0" applyProtection="0"/>
    <xf numFmtId="0" fontId="1" fillId="75" borderId="82" applyNumberFormat="0" applyFont="0" applyAlignment="0" applyProtection="0"/>
    <xf numFmtId="0" fontId="63" fillId="75" borderId="82" applyNumberFormat="0" applyFont="0" applyAlignment="0" applyProtection="0"/>
    <xf numFmtId="0" fontId="1" fillId="75" borderId="82" applyNumberFormat="0" applyFont="0" applyAlignment="0" applyProtection="0"/>
    <xf numFmtId="0" fontId="2" fillId="75" borderId="82" applyNumberFormat="0" applyFont="0" applyAlignment="0" applyProtection="0"/>
    <xf numFmtId="0" fontId="1" fillId="75" borderId="82" applyNumberFormat="0" applyFont="0" applyAlignment="0" applyProtection="0"/>
    <xf numFmtId="0" fontId="1" fillId="75" borderId="82" applyNumberFormat="0" applyFont="0" applyAlignment="0" applyProtection="0"/>
    <xf numFmtId="0" fontId="1" fillId="75" borderId="82" applyNumberFormat="0" applyFont="0" applyAlignment="0" applyProtection="0"/>
    <xf numFmtId="0" fontId="1" fillId="75" borderId="82" applyNumberFormat="0" applyFont="0" applyAlignment="0" applyProtection="0"/>
    <xf numFmtId="0" fontId="1" fillId="75" borderId="82" applyNumberFormat="0" applyFont="0" applyAlignment="0" applyProtection="0"/>
    <xf numFmtId="0" fontId="1" fillId="75" borderId="82" applyNumberFormat="0" applyFont="0" applyAlignment="0" applyProtection="0"/>
    <xf numFmtId="0" fontId="37" fillId="75" borderId="82" applyNumberFormat="0" applyFont="0" applyAlignment="0" applyProtection="0"/>
    <xf numFmtId="0" fontId="2" fillId="75" borderId="82" applyNumberFormat="0" applyFont="0" applyAlignment="0" applyProtection="0"/>
    <xf numFmtId="0" fontId="1" fillId="75" borderId="82" applyNumberFormat="0" applyFont="0" applyAlignment="0" applyProtection="0"/>
    <xf numFmtId="0" fontId="1" fillId="75" borderId="82" applyNumberFormat="0" applyFont="0" applyAlignment="0" applyProtection="0"/>
    <xf numFmtId="0" fontId="1" fillId="75" borderId="82" applyNumberFormat="0" applyFont="0" applyAlignment="0" applyProtection="0"/>
    <xf numFmtId="0" fontId="1" fillId="75" borderId="82" applyNumberFormat="0" applyFont="0" applyAlignment="0" applyProtection="0"/>
    <xf numFmtId="0" fontId="1" fillId="75" borderId="82" applyNumberFormat="0" applyFont="0" applyAlignment="0" applyProtection="0"/>
    <xf numFmtId="0" fontId="1" fillId="75" borderId="82" applyNumberFormat="0" applyFont="0" applyAlignment="0" applyProtection="0"/>
    <xf numFmtId="0" fontId="2" fillId="75" borderId="82" applyNumberFormat="0" applyFont="0" applyAlignment="0" applyProtection="0"/>
    <xf numFmtId="0" fontId="1" fillId="75" borderId="82" applyNumberFormat="0" applyFont="0" applyAlignment="0" applyProtection="0"/>
    <xf numFmtId="0" fontId="1" fillId="75" borderId="82" applyNumberFormat="0" applyFont="0" applyAlignment="0" applyProtection="0"/>
    <xf numFmtId="0" fontId="1" fillId="75" borderId="82" applyNumberFormat="0" applyFont="0" applyAlignment="0" applyProtection="0"/>
    <xf numFmtId="0" fontId="2" fillId="75" borderId="82" applyNumberFormat="0" applyFont="0" applyAlignment="0" applyProtection="0"/>
    <xf numFmtId="0" fontId="1" fillId="75" borderId="82" applyNumberFormat="0" applyFont="0" applyAlignment="0" applyProtection="0"/>
    <xf numFmtId="0" fontId="1" fillId="75" borderId="82" applyNumberFormat="0" applyFont="0" applyAlignment="0" applyProtection="0"/>
    <xf numFmtId="0" fontId="1" fillId="75" borderId="82" applyNumberFormat="0" applyFont="0" applyAlignment="0" applyProtection="0"/>
    <xf numFmtId="0" fontId="1" fillId="75" borderId="82" applyNumberFormat="0" applyFont="0" applyAlignment="0" applyProtection="0"/>
    <xf numFmtId="0" fontId="1" fillId="75" borderId="82" applyNumberFormat="0" applyFont="0" applyAlignment="0" applyProtection="0"/>
    <xf numFmtId="0" fontId="1" fillId="75" borderId="82" applyNumberFormat="0" applyFont="0" applyAlignment="0" applyProtection="0"/>
    <xf numFmtId="0" fontId="1" fillId="75" borderId="82" applyNumberFormat="0" applyFont="0" applyAlignment="0" applyProtection="0"/>
    <xf numFmtId="0" fontId="49" fillId="15" borderId="1" applyNumberFormat="0" applyAlignment="0" applyProtection="0"/>
    <xf numFmtId="9" fontId="1" fillId="0" borderId="0" applyFont="0" applyFill="0" applyBorder="0" applyAlignment="0" applyProtection="0"/>
    <xf numFmtId="9" fontId="13" fillId="0" borderId="0" applyFont="0" applyFill="0" applyBorder="0" applyAlignment="0" applyProtection="0"/>
    <xf numFmtId="9" fontId="6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3" fillId="0" borderId="0" applyFont="0" applyFill="0" applyBorder="0" applyAlignment="0" applyProtection="0"/>
    <xf numFmtId="9" fontId="1" fillId="0" borderId="0" applyFont="0" applyFill="0" applyBorder="0" applyAlignment="0" applyProtection="0"/>
    <xf numFmtId="9" fontId="6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89" fillId="70" borderId="0" applyNumberFormat="0" applyBorder="0" applyAlignment="0" applyProtection="0"/>
    <xf numFmtId="0" fontId="89" fillId="70" borderId="0" applyNumberFormat="0" applyBorder="0" applyAlignment="0" applyProtection="0"/>
    <xf numFmtId="0" fontId="89" fillId="70" borderId="0" applyNumberFormat="0" applyBorder="0" applyAlignment="0" applyProtection="0"/>
    <xf numFmtId="0" fontId="4" fillId="0" borderId="0"/>
    <xf numFmtId="0" fontId="86" fillId="0" borderId="0"/>
    <xf numFmtId="0" fontId="86" fillId="0" borderId="0"/>
    <xf numFmtId="0" fontId="101" fillId="0" borderId="0"/>
    <xf numFmtId="0" fontId="4" fillId="0" borderId="0"/>
    <xf numFmtId="0" fontId="86" fillId="0" borderId="0"/>
    <xf numFmtId="0" fontId="86" fillId="0" borderId="0"/>
    <xf numFmtId="0" fontId="101" fillId="0" borderId="0"/>
    <xf numFmtId="0" fontId="28"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10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86" fillId="0" borderId="0"/>
    <xf numFmtId="0" fontId="4" fillId="0" borderId="0"/>
    <xf numFmtId="0" fontId="4" fillId="0" borderId="0"/>
    <xf numFmtId="0" fontId="4" fillId="0" borderId="0"/>
    <xf numFmtId="0" fontId="4" fillId="0" borderId="0"/>
    <xf numFmtId="0" fontId="102"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39" fillId="0" borderId="0" applyNumberFormat="0" applyFill="0" applyBorder="0" applyAlignment="0" applyProtection="0"/>
    <xf numFmtId="0" fontId="102" fillId="0" borderId="0" applyNumberFormat="0" applyFill="0" applyBorder="0" applyAlignment="0" applyProtection="0"/>
    <xf numFmtId="0" fontId="14" fillId="0" borderId="6" applyNumberFormat="0" applyFill="0" applyAlignment="0" applyProtection="0"/>
    <xf numFmtId="0" fontId="39" fillId="0" borderId="0" applyNumberFormat="0" applyFill="0" applyBorder="0" applyAlignment="0" applyProtection="0"/>
    <xf numFmtId="0" fontId="40"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99" fillId="0" borderId="81" applyNumberFormat="0" applyFill="0" applyAlignment="0" applyProtection="0"/>
    <xf numFmtId="0" fontId="99" fillId="0" borderId="81" applyNumberFormat="0" applyFill="0" applyAlignment="0" applyProtection="0"/>
    <xf numFmtId="0" fontId="99" fillId="0" borderId="81"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03" fillId="0" borderId="0" applyNumberFormat="0" applyFill="0" applyBorder="0" applyAlignment="0" applyProtection="0"/>
    <xf numFmtId="0" fontId="70"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91" fillId="71" borderId="76" applyNumberFormat="0" applyAlignment="0" applyProtection="0"/>
    <xf numFmtId="0" fontId="91" fillId="71" borderId="5" applyNumberFormat="0" applyAlignment="0" applyProtection="0"/>
    <xf numFmtId="0" fontId="91" fillId="71" borderId="76" applyNumberFormat="0" applyAlignment="0" applyProtection="0"/>
    <xf numFmtId="0" fontId="91" fillId="71" borderId="76" applyNumberFormat="0" applyAlignment="0" applyProtection="0"/>
    <xf numFmtId="0" fontId="91" fillId="71" borderId="5" applyNumberFormat="0" applyAlignment="0" applyProtection="0"/>
  </cellStyleXfs>
  <cellXfs count="1103">
    <xf numFmtId="0" fontId="0" fillId="0" borderId="0" xfId="0"/>
    <xf numFmtId="0" fontId="9" fillId="0" borderId="0" xfId="0" applyFont="1"/>
    <xf numFmtId="0" fontId="8" fillId="0" borderId="0" xfId="0" applyFont="1"/>
    <xf numFmtId="0" fontId="8" fillId="0" borderId="0" xfId="542" applyFont="1" applyBorder="1" applyAlignment="1">
      <alignment horizontal="center"/>
    </xf>
    <xf numFmtId="0" fontId="8" fillId="0" borderId="0" xfId="543" applyFont="1"/>
    <xf numFmtId="0" fontId="19" fillId="0" borderId="0" xfId="0" applyFont="1" applyProtection="1"/>
    <xf numFmtId="0" fontId="23" fillId="0" borderId="0" xfId="0" applyFont="1" applyProtection="1"/>
    <xf numFmtId="0" fontId="19" fillId="27" borderId="0" xfId="0" applyFont="1" applyFill="1" applyProtection="1"/>
    <xf numFmtId="0" fontId="5" fillId="0" borderId="0" xfId="510" applyFont="1" applyProtection="1"/>
    <xf numFmtId="0" fontId="19" fillId="0" borderId="0" xfId="0" applyFont="1" applyFill="1" applyProtection="1"/>
    <xf numFmtId="0" fontId="15" fillId="0" borderId="0" xfId="0" applyFont="1" applyFill="1" applyProtection="1"/>
    <xf numFmtId="0" fontId="15" fillId="0" borderId="0" xfId="0" applyFont="1" applyProtection="1"/>
    <xf numFmtId="0" fontId="15" fillId="0" borderId="0" xfId="0" applyFont="1"/>
    <xf numFmtId="0" fontId="23" fillId="0" borderId="0" xfId="0" applyFont="1" applyFill="1" applyProtection="1"/>
    <xf numFmtId="0" fontId="23" fillId="0" borderId="0" xfId="0" applyFont="1" applyAlignment="1" applyProtection="1">
      <alignment vertical="center"/>
    </xf>
    <xf numFmtId="0" fontId="22" fillId="0" borderId="0" xfId="0" applyFont="1" applyProtection="1"/>
    <xf numFmtId="14" fontId="15" fillId="0" borderId="0" xfId="0" applyNumberFormat="1" applyFont="1" applyAlignment="1">
      <alignment horizontal="left"/>
    </xf>
    <xf numFmtId="0" fontId="15" fillId="0" borderId="0" xfId="0" applyFont="1" applyAlignment="1">
      <alignment horizontal="left"/>
    </xf>
    <xf numFmtId="0" fontId="19" fillId="0" borderId="0" xfId="0" applyFont="1" applyFill="1" applyAlignment="1" applyProtection="1">
      <alignment horizontal="center"/>
    </xf>
    <xf numFmtId="0" fontId="19" fillId="0" borderId="0" xfId="0" applyFont="1" applyBorder="1" applyAlignment="1" applyProtection="1">
      <alignment horizontal="center" vertical="center"/>
    </xf>
    <xf numFmtId="0" fontId="19" fillId="0" borderId="0" xfId="0" applyFont="1" applyAlignment="1" applyProtection="1">
      <alignment horizontal="center" vertical="center"/>
    </xf>
    <xf numFmtId="0" fontId="4" fillId="0" borderId="0" xfId="0" applyFont="1" applyProtection="1"/>
    <xf numFmtId="0" fontId="21" fillId="0" borderId="0" xfId="0" applyFont="1" applyFill="1" applyProtection="1"/>
    <xf numFmtId="0" fontId="31" fillId="0" borderId="0" xfId="0" applyFont="1" applyFill="1" applyAlignment="1" applyProtection="1">
      <alignment horizontal="left"/>
    </xf>
    <xf numFmtId="0" fontId="15" fillId="0" borderId="18" xfId="0" applyFont="1" applyBorder="1" applyAlignment="1" applyProtection="1">
      <alignment vertical="center" wrapText="1"/>
    </xf>
    <xf numFmtId="0" fontId="19" fillId="0" borderId="0" xfId="0" applyFont="1" applyBorder="1" applyProtection="1"/>
    <xf numFmtId="0" fontId="6" fillId="0" borderId="0" xfId="0" applyFont="1" applyProtection="1"/>
    <xf numFmtId="0" fontId="7" fillId="0" borderId="0" xfId="0" applyFont="1" applyBorder="1" applyAlignment="1" applyProtection="1"/>
    <xf numFmtId="0" fontId="4" fillId="0" borderId="0" xfId="510" applyFont="1" applyProtection="1"/>
    <xf numFmtId="0" fontId="24" fillId="0" borderId="0" xfId="0" applyFont="1" applyProtection="1"/>
    <xf numFmtId="0" fontId="16" fillId="0" borderId="0" xfId="0" applyFont="1" applyProtection="1"/>
    <xf numFmtId="0" fontId="27" fillId="0" borderId="0" xfId="0" applyFont="1" applyFill="1" applyProtection="1"/>
    <xf numFmtId="0" fontId="4" fillId="0" borderId="0" xfId="510" applyFont="1" applyAlignment="1" applyProtection="1">
      <alignment horizontal="left"/>
    </xf>
    <xf numFmtId="0" fontId="17" fillId="0" borderId="0" xfId="0" applyFont="1" applyProtection="1"/>
    <xf numFmtId="0" fontId="18" fillId="0" borderId="0" xfId="510" applyFont="1" applyProtection="1"/>
    <xf numFmtId="0" fontId="5" fillId="0" borderId="0" xfId="510" applyFont="1" applyAlignment="1" applyProtection="1">
      <alignment horizontal="left"/>
    </xf>
    <xf numFmtId="0" fontId="18" fillId="0" borderId="0" xfId="510" applyFont="1" applyAlignment="1" applyProtection="1">
      <alignment vertical="center"/>
    </xf>
    <xf numFmtId="0" fontId="23" fillId="27" borderId="0" xfId="0" applyFont="1" applyFill="1" applyBorder="1" applyAlignment="1" applyProtection="1"/>
    <xf numFmtId="0" fontId="4" fillId="0" borderId="0" xfId="510" applyFont="1" applyAlignment="1" applyProtection="1">
      <alignment horizontal="center"/>
    </xf>
    <xf numFmtId="0" fontId="27" fillId="0" borderId="0" xfId="0" applyFont="1" applyBorder="1" applyAlignment="1" applyProtection="1"/>
    <xf numFmtId="0" fontId="4" fillId="0" borderId="0" xfId="0" applyFont="1" applyAlignment="1" applyProtection="1">
      <alignment wrapText="1"/>
    </xf>
    <xf numFmtId="0" fontId="19" fillId="0" borderId="0" xfId="0" applyFont="1" applyBorder="1" applyAlignment="1" applyProtection="1"/>
    <xf numFmtId="0" fontId="27" fillId="0" borderId="0" xfId="0" applyFont="1" applyProtection="1"/>
    <xf numFmtId="0" fontId="20" fillId="0" borderId="0" xfId="0" applyFont="1" applyProtection="1"/>
    <xf numFmtId="0" fontId="21" fillId="0" borderId="0" xfId="0" applyFont="1" applyProtection="1"/>
    <xf numFmtId="0" fontId="15" fillId="0" borderId="19" xfId="0" applyFont="1" applyBorder="1" applyAlignment="1" applyProtection="1">
      <alignment horizontal="center" vertical="center" wrapText="1"/>
    </xf>
    <xf numFmtId="0" fontId="25" fillId="0" borderId="0" xfId="0" applyFont="1" applyProtection="1"/>
    <xf numFmtId="0" fontId="25" fillId="0" borderId="0" xfId="0" applyFont="1" applyFill="1" applyProtection="1"/>
    <xf numFmtId="0" fontId="18" fillId="0" borderId="0" xfId="0" applyFont="1" applyFill="1" applyProtection="1"/>
    <xf numFmtId="0" fontId="32" fillId="0" borderId="0" xfId="0" applyFont="1" applyFill="1" applyAlignment="1">
      <alignment vertical="center"/>
    </xf>
    <xf numFmtId="0" fontId="23" fillId="27" borderId="0" xfId="0" applyFont="1" applyFill="1" applyProtection="1"/>
    <xf numFmtId="0" fontId="23" fillId="0" borderId="0" xfId="0" applyFont="1" applyAlignment="1">
      <alignment vertical="center"/>
    </xf>
    <xf numFmtId="0" fontId="9" fillId="29" borderId="0" xfId="0" applyFont="1" applyFill="1" applyAlignment="1">
      <alignment horizontal="left"/>
    </xf>
    <xf numFmtId="0" fontId="15" fillId="0" borderId="20" xfId="0" applyFont="1" applyBorder="1" applyAlignment="1" applyProtection="1">
      <alignment vertical="center" wrapText="1"/>
    </xf>
    <xf numFmtId="1" fontId="26" fillId="30" borderId="20" xfId="0" applyNumberFormat="1" applyFont="1" applyFill="1" applyBorder="1" applyAlignment="1" applyProtection="1">
      <alignment horizontal="center" vertical="center" wrapText="1"/>
    </xf>
    <xf numFmtId="0" fontId="26" fillId="0" borderId="0" xfId="0" applyFont="1" applyFill="1"/>
    <xf numFmtId="0" fontId="15" fillId="0" borderId="0" xfId="0" applyFont="1" applyFill="1"/>
    <xf numFmtId="14" fontId="15" fillId="0" borderId="0" xfId="0" applyNumberFormat="1" applyFont="1" applyFill="1"/>
    <xf numFmtId="0" fontId="8" fillId="0" borderId="0" xfId="0" applyFont="1" applyFill="1"/>
    <xf numFmtId="14" fontId="8" fillId="0" borderId="0" xfId="0" applyNumberFormat="1" applyFont="1" applyFill="1"/>
    <xf numFmtId="14" fontId="30" fillId="30" borderId="19" xfId="0" applyNumberFormat="1" applyFont="1" applyFill="1" applyBorder="1" applyAlignment="1" applyProtection="1">
      <alignment horizontal="center" vertical="center"/>
    </xf>
    <xf numFmtId="0" fontId="12" fillId="30" borderId="19" xfId="510" applyFont="1" applyFill="1" applyBorder="1" applyAlignment="1" applyProtection="1">
      <alignment vertical="center"/>
    </xf>
    <xf numFmtId="164" fontId="18" fillId="31" borderId="21" xfId="419" applyNumberFormat="1" applyFont="1" applyFill="1" applyBorder="1" applyAlignment="1" applyProtection="1">
      <alignment horizontal="center" vertical="center" wrapText="1"/>
    </xf>
    <xf numFmtId="0" fontId="23" fillId="29" borderId="21" xfId="0" applyFont="1" applyFill="1" applyBorder="1" applyAlignment="1" applyProtection="1">
      <alignment horizontal="center" vertical="center"/>
    </xf>
    <xf numFmtId="0" fontId="19" fillId="0" borderId="0" xfId="0" applyFont="1" applyAlignment="1" applyProtection="1">
      <alignment horizontal="center" vertical="center" wrapText="1"/>
    </xf>
    <xf numFmtId="0" fontId="38" fillId="0" borderId="0" xfId="0" applyFont="1" applyProtection="1"/>
    <xf numFmtId="0" fontId="38" fillId="0" borderId="0" xfId="0" applyFont="1" applyFill="1" applyProtection="1"/>
    <xf numFmtId="0" fontId="33" fillId="0" borderId="0" xfId="0" applyFont="1" applyProtection="1"/>
    <xf numFmtId="165" fontId="33" fillId="0" borderId="0" xfId="0" applyNumberFormat="1" applyFont="1" applyProtection="1"/>
    <xf numFmtId="164" fontId="33" fillId="0" borderId="0" xfId="419" applyNumberFormat="1" applyFont="1" applyProtection="1"/>
    <xf numFmtId="10" fontId="33" fillId="0" borderId="0" xfId="419" applyNumberFormat="1" applyFont="1" applyProtection="1"/>
    <xf numFmtId="0" fontId="23" fillId="28" borderId="21" xfId="0" applyFont="1" applyFill="1" applyBorder="1" applyAlignment="1" applyProtection="1">
      <alignment horizontal="center" vertical="center"/>
    </xf>
    <xf numFmtId="0" fontId="23" fillId="28" borderId="22" xfId="0" applyFont="1" applyFill="1" applyBorder="1" applyAlignment="1" applyProtection="1">
      <alignment horizontal="center" vertical="center"/>
    </xf>
    <xf numFmtId="0" fontId="19" fillId="0" borderId="0" xfId="0" applyFont="1" applyAlignment="1" applyProtection="1"/>
    <xf numFmtId="0" fontId="45" fillId="0" borderId="0" xfId="0" applyFont="1"/>
    <xf numFmtId="49" fontId="19" fillId="0" borderId="0" xfId="0" applyNumberFormat="1" applyFont="1" applyAlignment="1" applyProtection="1">
      <alignment horizontal="center" vertical="center"/>
    </xf>
    <xf numFmtId="0" fontId="23" fillId="0" borderId="0" xfId="0" applyFont="1" applyAlignment="1" applyProtection="1">
      <alignment horizontal="left" indent="5"/>
    </xf>
    <xf numFmtId="0" fontId="23" fillId="31" borderId="23" xfId="0" applyFont="1" applyFill="1" applyBorder="1" applyAlignment="1" applyProtection="1">
      <alignment horizontal="center" vertical="center" wrapText="1"/>
    </xf>
    <xf numFmtId="0" fontId="23" fillId="29" borderId="23" xfId="0" applyFont="1" applyFill="1" applyBorder="1" applyAlignment="1" applyProtection="1">
      <alignment horizontal="center" vertical="center"/>
    </xf>
    <xf numFmtId="0" fontId="19" fillId="0" borderId="0" xfId="0" applyFont="1" applyFill="1" applyBorder="1" applyProtection="1"/>
    <xf numFmtId="0" fontId="25" fillId="0" borderId="0" xfId="0" applyFont="1" applyFill="1" applyAlignment="1">
      <alignment vertical="center"/>
    </xf>
    <xf numFmtId="0" fontId="17" fillId="0" borderId="0" xfId="0" applyFont="1" applyAlignment="1" applyProtection="1">
      <alignment horizontal="left" indent="1"/>
    </xf>
    <xf numFmtId="0" fontId="0" fillId="0" borderId="0" xfId="0" applyBorder="1" applyAlignment="1"/>
    <xf numFmtId="0" fontId="11" fillId="0" borderId="0" xfId="510" applyFont="1" applyProtection="1"/>
    <xf numFmtId="0" fontId="11" fillId="0" borderId="0" xfId="510" applyFont="1" applyAlignment="1" applyProtection="1"/>
    <xf numFmtId="0" fontId="11" fillId="0" borderId="0" xfId="510" applyFont="1" applyAlignment="1"/>
    <xf numFmtId="0" fontId="11" fillId="0" borderId="0" xfId="510" applyFont="1"/>
    <xf numFmtId="0" fontId="24" fillId="0" borderId="0" xfId="0" applyFont="1" applyFill="1" applyProtection="1"/>
    <xf numFmtId="0" fontId="6" fillId="0" borderId="0" xfId="0" applyFont="1" applyFill="1" applyProtection="1"/>
    <xf numFmtId="0" fontId="15" fillId="0" borderId="0" xfId="0" quotePrefix="1" applyFont="1" applyFill="1"/>
    <xf numFmtId="0" fontId="29" fillId="0" borderId="0" xfId="0" applyFont="1" applyProtection="1"/>
    <xf numFmtId="0" fontId="68" fillId="0" borderId="0" xfId="0" applyFont="1"/>
    <xf numFmtId="0" fontId="8" fillId="0" borderId="18" xfId="0" applyFont="1" applyBorder="1" applyAlignment="1" applyProtection="1">
      <alignment horizontal="center" vertical="center" wrapText="1"/>
    </xf>
    <xf numFmtId="2" fontId="33" fillId="0" borderId="0" xfId="0" applyNumberFormat="1" applyFont="1" applyProtection="1"/>
    <xf numFmtId="2" fontId="19" fillId="0" borderId="0" xfId="0" applyNumberFormat="1" applyFont="1" applyProtection="1"/>
    <xf numFmtId="0" fontId="73" fillId="0" borderId="0" xfId="0" applyFont="1"/>
    <xf numFmtId="1" fontId="26" fillId="33" borderId="20" xfId="0" applyNumberFormat="1" applyFont="1" applyFill="1" applyBorder="1" applyAlignment="1" applyProtection="1">
      <alignment horizontal="center" vertical="center"/>
      <protection locked="0"/>
    </xf>
    <xf numFmtId="0" fontId="15" fillId="0" borderId="0" xfId="0" applyFont="1" applyBorder="1" applyAlignment="1" applyProtection="1">
      <alignment horizontal="center" vertical="center"/>
    </xf>
    <xf numFmtId="0" fontId="26" fillId="0" borderId="19" xfId="0" applyFont="1" applyBorder="1" applyAlignment="1" applyProtection="1">
      <alignment horizontal="center" vertical="center"/>
    </xf>
    <xf numFmtId="0" fontId="15" fillId="0" borderId="0" xfId="0" applyFont="1" applyAlignment="1" applyProtection="1">
      <alignment horizontal="center" vertical="center"/>
    </xf>
    <xf numFmtId="0" fontId="15" fillId="0" borderId="19" xfId="0" applyNumberFormat="1" applyFont="1" applyBorder="1" applyAlignment="1" applyProtection="1">
      <alignment horizontal="center" vertical="center" wrapText="1"/>
    </xf>
    <xf numFmtId="0" fontId="15" fillId="0" borderId="0" xfId="0" applyFont="1" applyFill="1" applyAlignment="1" applyProtection="1">
      <alignment horizontal="center" vertical="center"/>
    </xf>
    <xf numFmtId="9" fontId="26" fillId="0" borderId="19" xfId="419" applyFont="1" applyBorder="1" applyAlignment="1" applyProtection="1">
      <alignment horizontal="center" vertical="center"/>
    </xf>
    <xf numFmtId="166" fontId="26" fillId="0" borderId="19" xfId="0" applyNumberFormat="1" applyFont="1" applyBorder="1" applyAlignment="1" applyProtection="1">
      <alignment horizontal="center" vertical="center"/>
    </xf>
    <xf numFmtId="0" fontId="73" fillId="0" borderId="19" xfId="0" applyFont="1" applyBorder="1" applyAlignment="1" applyProtection="1">
      <alignment horizontal="center" vertical="center"/>
    </xf>
    <xf numFmtId="9" fontId="15" fillId="0" borderId="19" xfId="419" applyFont="1" applyBorder="1" applyAlignment="1" applyProtection="1">
      <alignment horizontal="center" vertical="center"/>
    </xf>
    <xf numFmtId="166" fontId="73" fillId="0" borderId="19" xfId="0" applyNumberFormat="1" applyFont="1" applyBorder="1" applyAlignment="1" applyProtection="1">
      <alignment horizontal="center" vertical="center"/>
    </xf>
    <xf numFmtId="166" fontId="15" fillId="0" borderId="19" xfId="419" applyNumberFormat="1" applyFont="1" applyBorder="1" applyAlignment="1" applyProtection="1">
      <alignment horizontal="center" vertical="center"/>
    </xf>
    <xf numFmtId="0" fontId="73" fillId="0" borderId="19" xfId="0" applyFont="1" applyFill="1" applyBorder="1" applyAlignment="1" applyProtection="1">
      <alignment horizontal="center" vertical="center"/>
    </xf>
    <xf numFmtId="166" fontId="73" fillId="0" borderId="19" xfId="0" applyNumberFormat="1" applyFont="1" applyFill="1" applyBorder="1" applyAlignment="1" applyProtection="1">
      <alignment horizontal="center" vertical="center"/>
    </xf>
    <xf numFmtId="0" fontId="74" fillId="28" borderId="23" xfId="0" applyFont="1" applyFill="1" applyBorder="1" applyAlignment="1" applyProtection="1">
      <alignment horizontal="center" vertical="center"/>
    </xf>
    <xf numFmtId="0" fontId="74" fillId="28" borderId="24" xfId="0" applyFont="1" applyFill="1" applyBorder="1" applyAlignment="1" applyProtection="1">
      <alignment horizontal="center" vertical="center"/>
    </xf>
    <xf numFmtId="0" fontId="73" fillId="0" borderId="0" xfId="0" applyFont="1" applyFill="1"/>
    <xf numFmtId="1" fontId="73" fillId="0" borderId="0" xfId="0" applyNumberFormat="1" applyFont="1" applyBorder="1"/>
    <xf numFmtId="1" fontId="73" fillId="0" borderId="0" xfId="0" quotePrefix="1" applyNumberFormat="1" applyFont="1" applyFill="1" applyBorder="1"/>
    <xf numFmtId="0" fontId="26" fillId="0" borderId="0" xfId="0" applyFont="1"/>
    <xf numFmtId="14" fontId="73" fillId="0" borderId="0" xfId="0" applyNumberFormat="1" applyFont="1"/>
    <xf numFmtId="0" fontId="8" fillId="0" borderId="0" xfId="0" applyFont="1" applyBorder="1" applyAlignment="1">
      <alignment horizontal="center" vertical="center" wrapText="1"/>
    </xf>
    <xf numFmtId="0" fontId="15" fillId="0" borderId="0" xfId="0" applyFont="1" applyAlignment="1" applyProtection="1">
      <alignment vertical="center"/>
    </xf>
    <xf numFmtId="0" fontId="15" fillId="34" borderId="21" xfId="0" applyFont="1" applyFill="1" applyBorder="1" applyAlignment="1" applyProtection="1">
      <alignment horizontal="center" vertical="center"/>
    </xf>
    <xf numFmtId="164" fontId="8" fillId="31" borderId="21" xfId="419" applyNumberFormat="1" applyFont="1" applyFill="1" applyBorder="1" applyAlignment="1" applyProtection="1">
      <alignment horizontal="center" vertical="center" wrapText="1"/>
    </xf>
    <xf numFmtId="0" fontId="15" fillId="29" borderId="21" xfId="0" applyFont="1" applyFill="1" applyBorder="1" applyAlignment="1" applyProtection="1">
      <alignment horizontal="center" vertical="center"/>
    </xf>
    <xf numFmtId="0" fontId="15" fillId="35" borderId="21" xfId="0" applyFont="1" applyFill="1" applyBorder="1" applyAlignment="1" applyProtection="1">
      <alignment horizontal="center" vertical="center"/>
    </xf>
    <xf numFmtId="0" fontId="15" fillId="35" borderId="22" xfId="0" applyFont="1" applyFill="1" applyBorder="1" applyAlignment="1" applyProtection="1">
      <alignment horizontal="center" vertical="center"/>
    </xf>
    <xf numFmtId="0" fontId="57" fillId="0" borderId="0" xfId="0" applyFont="1" applyAlignment="1" applyProtection="1">
      <alignment vertical="center"/>
    </xf>
    <xf numFmtId="0" fontId="15" fillId="31" borderId="23" xfId="0" applyFont="1" applyFill="1" applyBorder="1" applyAlignment="1" applyProtection="1">
      <alignment horizontal="center" vertical="center" wrapText="1"/>
    </xf>
    <xf numFmtId="0" fontId="15" fillId="29" borderId="23" xfId="0" applyFont="1" applyFill="1" applyBorder="1" applyAlignment="1" applyProtection="1">
      <alignment horizontal="center" vertical="center"/>
    </xf>
    <xf numFmtId="0" fontId="15" fillId="35" borderId="23" xfId="0" applyFont="1" applyFill="1" applyBorder="1" applyAlignment="1" applyProtection="1">
      <alignment horizontal="center" vertical="center"/>
    </xf>
    <xf numFmtId="0" fontId="15" fillId="35" borderId="24" xfId="0" applyFont="1" applyFill="1" applyBorder="1" applyAlignment="1" applyProtection="1">
      <alignment horizontal="center" vertical="center"/>
    </xf>
    <xf numFmtId="0" fontId="15" fillId="0" borderId="0" xfId="0" applyFont="1" applyFill="1" applyAlignment="1" applyProtection="1">
      <alignment vertical="center"/>
    </xf>
    <xf numFmtId="0" fontId="26" fillId="0" borderId="0" xfId="0" applyFont="1" applyFill="1" applyAlignment="1" applyProtection="1">
      <alignment vertical="center"/>
    </xf>
    <xf numFmtId="0" fontId="57" fillId="0" borderId="0" xfId="0" applyFont="1" applyFill="1" applyAlignment="1" applyProtection="1">
      <alignment vertical="center"/>
    </xf>
    <xf numFmtId="0" fontId="8" fillId="0" borderId="0" xfId="0" applyFont="1" applyFill="1" applyAlignment="1" applyProtection="1">
      <alignment vertical="center"/>
    </xf>
    <xf numFmtId="0" fontId="8" fillId="0" borderId="0" xfId="0" applyFont="1" applyAlignment="1" applyProtection="1">
      <alignment vertical="center"/>
    </xf>
    <xf numFmtId="0" fontId="26" fillId="0" borderId="0" xfId="0" applyFont="1" applyAlignment="1" applyProtection="1">
      <alignment vertical="center"/>
    </xf>
    <xf numFmtId="0" fontId="57" fillId="0" borderId="0" xfId="0" applyFont="1" applyBorder="1" applyAlignment="1" applyProtection="1">
      <alignment vertical="center"/>
    </xf>
    <xf numFmtId="0" fontId="9" fillId="0" borderId="0" xfId="0" applyFont="1" applyBorder="1" applyAlignment="1" applyProtection="1">
      <alignment horizontal="center" vertical="center"/>
    </xf>
    <xf numFmtId="0" fontId="15" fillId="0" borderId="19" xfId="0" applyFont="1" applyBorder="1" applyAlignment="1" applyProtection="1">
      <alignment vertical="center"/>
    </xf>
    <xf numFmtId="0" fontId="8" fillId="0" borderId="19" xfId="0" applyFont="1" applyBorder="1" applyAlignment="1" applyProtection="1">
      <alignment horizontal="center" vertical="center"/>
    </xf>
    <xf numFmtId="0" fontId="73" fillId="0" borderId="0" xfId="0" applyFont="1" applyAlignment="1" applyProtection="1">
      <alignment vertical="center"/>
    </xf>
    <xf numFmtId="0" fontId="26" fillId="0" borderId="19" xfId="0" applyFont="1" applyBorder="1" applyAlignment="1" applyProtection="1">
      <alignment vertical="center"/>
    </xf>
    <xf numFmtId="0" fontId="26" fillId="0" borderId="19" xfId="0" applyFont="1" applyFill="1" applyBorder="1" applyAlignment="1" applyProtection="1">
      <alignment vertical="center"/>
    </xf>
    <xf numFmtId="0" fontId="73" fillId="0" borderId="19" xfId="0" applyFont="1" applyFill="1" applyBorder="1" applyAlignment="1" applyProtection="1">
      <alignment vertical="center"/>
    </xf>
    <xf numFmtId="0" fontId="15" fillId="0" borderId="19" xfId="0" applyFont="1" applyFill="1" applyBorder="1" applyAlignment="1" applyProtection="1">
      <alignment vertical="center"/>
    </xf>
    <xf numFmtId="0" fontId="73" fillId="0" borderId="19" xfId="0" applyFont="1" applyBorder="1" applyAlignment="1" applyProtection="1">
      <alignment vertical="center"/>
    </xf>
    <xf numFmtId="0" fontId="15" fillId="0" borderId="19" xfId="0" applyFont="1" applyBorder="1" applyAlignment="1" applyProtection="1">
      <alignment horizontal="center" vertical="center"/>
    </xf>
    <xf numFmtId="0" fontId="72" fillId="0" borderId="0" xfId="0" applyFont="1" applyAlignment="1">
      <alignment vertical="center"/>
    </xf>
    <xf numFmtId="0" fontId="72" fillId="0" borderId="19" xfId="0" applyFont="1" applyBorder="1" applyAlignment="1">
      <alignment vertical="center"/>
    </xf>
    <xf numFmtId="4" fontId="73" fillId="0" borderId="24" xfId="0" applyNumberFormat="1" applyFont="1" applyBorder="1" applyAlignment="1">
      <alignment horizontal="center" vertical="center"/>
    </xf>
    <xf numFmtId="0" fontId="75" fillId="0" borderId="0" xfId="0" applyFont="1" applyAlignment="1">
      <alignment horizontal="center" vertical="center"/>
    </xf>
    <xf numFmtId="0" fontId="75" fillId="0" borderId="24" xfId="0" applyFont="1" applyBorder="1" applyAlignment="1">
      <alignment horizontal="center" vertical="center" wrapText="1"/>
    </xf>
    <xf numFmtId="0" fontId="73" fillId="0" borderId="24" xfId="0" applyFont="1" applyBorder="1" applyAlignment="1">
      <alignment horizontal="center"/>
    </xf>
    <xf numFmtId="0" fontId="73" fillId="0" borderId="19" xfId="0" applyFont="1" applyBorder="1" applyAlignment="1">
      <alignment horizontal="center"/>
    </xf>
    <xf numFmtId="0" fontId="73" fillId="0" borderId="23" xfId="0" applyFont="1" applyBorder="1" applyAlignment="1">
      <alignment horizontal="center" vertical="center"/>
    </xf>
    <xf numFmtId="0" fontId="73" fillId="0" borderId="24" xfId="0" applyFont="1" applyBorder="1"/>
    <xf numFmtId="0" fontId="15" fillId="0" borderId="19" xfId="0" applyNumberFormat="1" applyFont="1" applyFill="1" applyBorder="1" applyAlignment="1" applyProtection="1">
      <alignment horizontal="center" vertical="center" wrapText="1"/>
    </xf>
    <xf numFmtId="0" fontId="15" fillId="0" borderId="19" xfId="0" applyFont="1" applyBorder="1" applyAlignment="1" applyProtection="1">
      <alignment horizontal="left" vertical="center"/>
    </xf>
    <xf numFmtId="0" fontId="71" fillId="0" borderId="0" xfId="0" applyFont="1" applyAlignment="1">
      <alignment vertical="center"/>
    </xf>
    <xf numFmtId="0" fontId="76" fillId="0" borderId="19" xfId="0" applyFont="1" applyBorder="1" applyAlignment="1">
      <alignment horizontal="center" vertical="center" wrapText="1"/>
    </xf>
    <xf numFmtId="0" fontId="0" fillId="0" borderId="0" xfId="0" applyAlignment="1">
      <alignment vertical="center"/>
    </xf>
    <xf numFmtId="0" fontId="74" fillId="0" borderId="0" xfId="0" applyFont="1" applyAlignment="1">
      <alignment horizontal="left" vertical="center"/>
    </xf>
    <xf numFmtId="0" fontId="76" fillId="0" borderId="19" xfId="0" applyFont="1" applyBorder="1" applyAlignment="1">
      <alignment horizontal="center" vertical="center"/>
    </xf>
    <xf numFmtId="0" fontId="5" fillId="0" borderId="19" xfId="510" applyFont="1" applyBorder="1" applyAlignment="1" applyProtection="1">
      <alignment vertical="center"/>
    </xf>
    <xf numFmtId="1" fontId="72" fillId="37" borderId="19" xfId="0" applyNumberFormat="1" applyFont="1" applyFill="1" applyBorder="1" applyAlignment="1" applyProtection="1">
      <alignment horizontal="center" vertical="center"/>
    </xf>
    <xf numFmtId="0" fontId="72" fillId="0" borderId="19" xfId="0" applyFont="1" applyBorder="1" applyAlignment="1" applyProtection="1">
      <alignment vertical="center"/>
    </xf>
    <xf numFmtId="0" fontId="5" fillId="0" borderId="0" xfId="510" applyFont="1" applyAlignment="1" applyProtection="1">
      <alignment vertical="center"/>
    </xf>
    <xf numFmtId="0" fontId="72" fillId="0" borderId="0" xfId="0" applyFont="1" applyAlignment="1" applyProtection="1">
      <alignment vertical="center"/>
    </xf>
    <xf numFmtId="0" fontId="16" fillId="0" borderId="0" xfId="0" applyFont="1" applyFill="1" applyAlignment="1" applyProtection="1">
      <alignment vertical="center"/>
    </xf>
    <xf numFmtId="1" fontId="72" fillId="0" borderId="19" xfId="0" applyNumberFormat="1" applyFont="1" applyBorder="1" applyAlignment="1" applyProtection="1">
      <alignment horizontal="center" vertical="center"/>
    </xf>
    <xf numFmtId="1" fontId="72" fillId="0" borderId="19" xfId="0" applyNumberFormat="1" applyFont="1" applyFill="1" applyBorder="1" applyAlignment="1" applyProtection="1">
      <alignment horizontal="center" vertical="center"/>
    </xf>
    <xf numFmtId="0" fontId="72" fillId="0" borderId="19" xfId="0" applyFont="1" applyBorder="1" applyAlignment="1" applyProtection="1">
      <alignment horizontal="left" vertical="center"/>
    </xf>
    <xf numFmtId="14" fontId="72" fillId="0" borderId="19" xfId="0" applyNumberFormat="1" applyFont="1" applyBorder="1" applyAlignment="1" applyProtection="1">
      <alignment horizontal="left" vertical="center"/>
    </xf>
    <xf numFmtId="0" fontId="23" fillId="0" borderId="19" xfId="0" applyFont="1" applyBorder="1" applyAlignment="1" applyProtection="1">
      <alignment horizontal="left" vertical="center"/>
    </xf>
    <xf numFmtId="0" fontId="16" fillId="0" borderId="19" xfId="0" applyFont="1" applyFill="1" applyBorder="1" applyAlignment="1" applyProtection="1">
      <alignment horizontal="center" vertical="center"/>
    </xf>
    <xf numFmtId="0" fontId="16" fillId="0" borderId="19" xfId="0" applyFont="1" applyBorder="1" applyAlignment="1" applyProtection="1">
      <alignment horizontal="center" vertical="center"/>
    </xf>
    <xf numFmtId="0" fontId="72" fillId="0" borderId="0" xfId="0" applyFont="1" applyAlignment="1" applyProtection="1">
      <alignment horizontal="center" vertical="center"/>
    </xf>
    <xf numFmtId="0" fontId="72" fillId="0" borderId="19" xfId="0" applyFont="1" applyBorder="1" applyAlignment="1" applyProtection="1">
      <alignment horizontal="center" vertical="center"/>
    </xf>
    <xf numFmtId="0" fontId="73" fillId="0" borderId="19" xfId="0" applyFont="1" applyBorder="1"/>
    <xf numFmtId="0" fontId="77" fillId="0" borderId="19" xfId="0" applyFont="1" applyBorder="1" applyAlignment="1" applyProtection="1">
      <alignment horizontal="center" vertical="center"/>
    </xf>
    <xf numFmtId="0" fontId="77" fillId="0" borderId="19" xfId="0" applyFont="1" applyBorder="1" applyAlignment="1">
      <alignment horizontal="center" vertical="center"/>
    </xf>
    <xf numFmtId="4" fontId="73" fillId="0" borderId="19" xfId="0" applyNumberFormat="1" applyFont="1" applyBorder="1" applyAlignment="1">
      <alignment horizontal="center" vertical="center"/>
    </xf>
    <xf numFmtId="0" fontId="73" fillId="0" borderId="24" xfId="0" applyFont="1" applyBorder="1" applyAlignment="1">
      <alignment horizontal="center" vertical="center"/>
    </xf>
    <xf numFmtId="0" fontId="74" fillId="0" borderId="0" xfId="0" applyFont="1" applyAlignment="1">
      <alignment horizontal="center" vertical="center"/>
    </xf>
    <xf numFmtId="0" fontId="15" fillId="34" borderId="23" xfId="0" applyFont="1" applyFill="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72" fillId="0" borderId="19" xfId="0" applyFont="1" applyBorder="1" applyAlignment="1">
      <alignment horizontal="left" vertical="center"/>
    </xf>
    <xf numFmtId="0" fontId="9" fillId="0" borderId="19" xfId="543" applyFont="1" applyBorder="1"/>
    <xf numFmtId="14" fontId="73" fillId="0" borderId="0" xfId="0" applyNumberFormat="1" applyFont="1" applyFill="1" applyAlignment="1">
      <alignment horizontal="left"/>
    </xf>
    <xf numFmtId="0" fontId="9" fillId="0" borderId="35" xfId="0" applyFont="1" applyBorder="1"/>
    <xf numFmtId="0" fontId="9" fillId="0" borderId="24" xfId="0" applyFont="1" applyBorder="1"/>
    <xf numFmtId="0" fontId="9" fillId="0" borderId="23" xfId="0" applyFont="1" applyBorder="1"/>
    <xf numFmtId="0" fontId="8" fillId="0" borderId="34" xfId="0" applyFont="1" applyBorder="1"/>
    <xf numFmtId="0" fontId="8" fillId="0" borderId="19" xfId="0" applyFont="1" applyBorder="1"/>
    <xf numFmtId="0" fontId="8" fillId="0" borderId="36" xfId="0" applyFont="1" applyBorder="1"/>
    <xf numFmtId="0" fontId="73" fillId="0" borderId="36" xfId="0" applyFont="1" applyBorder="1"/>
    <xf numFmtId="0" fontId="8" fillId="0" borderId="37" xfId="0" applyFont="1" applyBorder="1"/>
    <xf numFmtId="0" fontId="73" fillId="0" borderId="22" xfId="0" applyFont="1" applyBorder="1"/>
    <xf numFmtId="0" fontId="73" fillId="0" borderId="21" xfId="0" applyFont="1" applyBorder="1"/>
    <xf numFmtId="0" fontId="0" fillId="0" borderId="0" xfId="0" applyBorder="1" applyAlignment="1">
      <alignment horizontal="center" vertical="center"/>
    </xf>
    <xf numFmtId="10" fontId="26" fillId="27" borderId="20" xfId="419" applyNumberFormat="1" applyFont="1" applyFill="1" applyBorder="1" applyAlignment="1" applyProtection="1">
      <alignment horizontal="center" vertical="center" wrapText="1"/>
    </xf>
    <xf numFmtId="2" fontId="72" fillId="0" borderId="19" xfId="0" applyNumberFormat="1" applyFont="1" applyFill="1" applyBorder="1" applyAlignment="1" applyProtection="1">
      <alignment horizontal="center" vertical="center"/>
    </xf>
    <xf numFmtId="2" fontId="72" fillId="0" borderId="19" xfId="0" applyNumberFormat="1" applyFont="1" applyBorder="1" applyAlignment="1" applyProtection="1">
      <alignment horizontal="center" vertical="center"/>
    </xf>
    <xf numFmtId="10" fontId="15" fillId="0" borderId="19" xfId="419" applyNumberFormat="1" applyFont="1" applyFill="1" applyBorder="1" applyAlignment="1" applyProtection="1">
      <alignment horizontal="center" vertical="center"/>
    </xf>
    <xf numFmtId="0" fontId="73" fillId="37" borderId="19" xfId="0" applyFont="1" applyFill="1" applyBorder="1" applyAlignment="1" applyProtection="1">
      <alignment horizontal="center" vertical="center"/>
    </xf>
    <xf numFmtId="166" fontId="15" fillId="37" borderId="19" xfId="419" applyNumberFormat="1" applyFont="1" applyFill="1" applyBorder="1" applyAlignment="1" applyProtection="1">
      <alignment horizontal="center" vertical="center"/>
    </xf>
    <xf numFmtId="9" fontId="15" fillId="37" borderId="19" xfId="428" applyFont="1" applyFill="1" applyBorder="1" applyAlignment="1" applyProtection="1">
      <alignment horizontal="center" vertical="center"/>
    </xf>
    <xf numFmtId="9" fontId="73" fillId="37" borderId="19" xfId="0" applyNumberFormat="1" applyFont="1" applyFill="1" applyBorder="1" applyAlignment="1" applyProtection="1">
      <alignment horizontal="center" vertical="center"/>
    </xf>
    <xf numFmtId="166" fontId="73" fillId="37" borderId="19" xfId="0" applyNumberFormat="1" applyFont="1" applyFill="1" applyBorder="1" applyAlignment="1" applyProtection="1">
      <alignment horizontal="center" vertical="center"/>
    </xf>
    <xf numFmtId="9" fontId="15" fillId="37" borderId="19" xfId="419" applyFont="1" applyFill="1" applyBorder="1" applyAlignment="1" applyProtection="1">
      <alignment horizontal="center" vertical="center"/>
    </xf>
    <xf numFmtId="0" fontId="26" fillId="39" borderId="19" xfId="0" applyNumberFormat="1" applyFont="1" applyFill="1" applyBorder="1" applyAlignment="1" applyProtection="1">
      <alignment horizontal="center" vertical="center"/>
    </xf>
    <xf numFmtId="1" fontId="73" fillId="0" borderId="19" xfId="0" applyNumberFormat="1" applyFont="1" applyBorder="1" applyAlignment="1" applyProtection="1">
      <alignment horizontal="center" vertical="center"/>
    </xf>
    <xf numFmtId="0" fontId="75" fillId="0" borderId="19" xfId="0" applyNumberFormat="1" applyFont="1" applyBorder="1" applyAlignment="1">
      <alignment vertical="center" wrapText="1"/>
    </xf>
    <xf numFmtId="0" fontId="73" fillId="0" borderId="19" xfId="0" applyFont="1" applyBorder="1" applyAlignment="1">
      <alignment horizontal="left" vertical="center" wrapText="1"/>
    </xf>
    <xf numFmtId="0" fontId="73" fillId="0" borderId="19" xfId="0" applyFont="1" applyBorder="1" applyAlignment="1">
      <alignment horizontal="center" vertical="center" wrapText="1"/>
    </xf>
    <xf numFmtId="10" fontId="73" fillId="0" borderId="19" xfId="0" applyNumberFormat="1" applyFont="1" applyBorder="1" applyAlignment="1">
      <alignment horizontal="center" vertical="center"/>
    </xf>
    <xf numFmtId="1" fontId="73" fillId="0" borderId="19" xfId="0" applyNumberFormat="1" applyFont="1" applyBorder="1" applyAlignment="1">
      <alignment horizontal="center" vertical="center"/>
    </xf>
    <xf numFmtId="0" fontId="78" fillId="0" borderId="0" xfId="0" applyFont="1" applyAlignment="1">
      <alignment vertical="center"/>
    </xf>
    <xf numFmtId="0" fontId="8" fillId="0" borderId="20" xfId="0" applyFont="1" applyBorder="1" applyAlignment="1" applyProtection="1">
      <alignment horizontal="center" vertical="center" wrapText="1"/>
    </xf>
    <xf numFmtId="0" fontId="19" fillId="0" borderId="0" xfId="0" applyFont="1" applyAlignment="1" applyProtection="1">
      <alignment vertical="center"/>
    </xf>
    <xf numFmtId="0" fontId="74" fillId="38" borderId="0" xfId="0" applyFont="1" applyFill="1" applyAlignment="1" applyProtection="1">
      <alignment horizontal="center" vertical="center"/>
    </xf>
    <xf numFmtId="0" fontId="15" fillId="0" borderId="0" xfId="0" applyFont="1" applyAlignment="1" applyProtection="1">
      <alignment vertical="top"/>
    </xf>
    <xf numFmtId="10" fontId="8" fillId="0" borderId="0" xfId="0" applyNumberFormat="1" applyFont="1" applyBorder="1" applyAlignment="1">
      <alignment horizontal="center" vertical="center" wrapText="1"/>
    </xf>
    <xf numFmtId="9" fontId="8" fillId="0" borderId="0" xfId="0" applyNumberFormat="1" applyFont="1" applyBorder="1" applyAlignment="1">
      <alignment horizontal="center" vertical="center" wrapText="1"/>
    </xf>
    <xf numFmtId="0" fontId="47" fillId="0" borderId="0" xfId="0" applyFont="1" applyBorder="1" applyAlignment="1">
      <alignment horizontal="left" vertical="center" wrapText="1"/>
    </xf>
    <xf numFmtId="1" fontId="8" fillId="0" borderId="0" xfId="0" applyNumberFormat="1" applyFont="1" applyBorder="1" applyAlignment="1">
      <alignment horizontal="center" vertical="center" wrapText="1"/>
    </xf>
    <xf numFmtId="0" fontId="8" fillId="0" borderId="0" xfId="0" applyFont="1" applyBorder="1" applyAlignment="1">
      <alignment horizontal="left" vertical="center" wrapText="1"/>
    </xf>
    <xf numFmtId="0" fontId="75" fillId="0" borderId="19" xfId="0" applyNumberFormat="1" applyFont="1" applyBorder="1" applyAlignment="1">
      <alignment horizontal="center" vertical="center" wrapText="1"/>
    </xf>
    <xf numFmtId="9" fontId="75" fillId="0" borderId="19" xfId="0" applyNumberFormat="1" applyFont="1" applyBorder="1" applyAlignment="1">
      <alignment horizontal="center" vertical="center" wrapText="1"/>
    </xf>
    <xf numFmtId="0" fontId="75" fillId="0" borderId="19" xfId="0" applyNumberFormat="1" applyFont="1" applyBorder="1" applyAlignment="1">
      <alignment horizontal="left" vertical="center" wrapText="1"/>
    </xf>
    <xf numFmtId="0" fontId="73" fillId="0" borderId="0" xfId="0" applyFont="1" applyAlignment="1">
      <alignment vertical="center"/>
    </xf>
    <xf numFmtId="0" fontId="73" fillId="0" borderId="0" xfId="0" applyFont="1" applyAlignment="1">
      <alignment horizontal="center" vertical="center"/>
    </xf>
    <xf numFmtId="0" fontId="73" fillId="0" borderId="0" xfId="0" applyFont="1" applyAlignment="1">
      <alignment horizontal="left" vertical="center"/>
    </xf>
    <xf numFmtId="0" fontId="73" fillId="0" borderId="19" xfId="0" applyFont="1" applyBorder="1" applyAlignment="1">
      <alignment horizontal="center" vertical="center"/>
    </xf>
    <xf numFmtId="0" fontId="73" fillId="0" borderId="19" xfId="0" applyFont="1" applyBorder="1" applyAlignment="1">
      <alignment vertical="center"/>
    </xf>
    <xf numFmtId="0" fontId="73" fillId="0" borderId="0" xfId="0" applyFont="1" applyAlignment="1">
      <alignment horizontal="center" vertical="center" wrapText="1"/>
    </xf>
    <xf numFmtId="9" fontId="73" fillId="0" borderId="19" xfId="0" applyNumberFormat="1" applyFont="1" applyBorder="1" applyAlignment="1">
      <alignment horizontal="center" vertical="center"/>
    </xf>
    <xf numFmtId="9" fontId="73" fillId="0" borderId="19" xfId="0" applyNumberFormat="1" applyFont="1" applyBorder="1" applyAlignment="1">
      <alignment horizontal="center" vertical="center" wrapText="1"/>
    </xf>
    <xf numFmtId="0" fontId="23" fillId="38" borderId="19" xfId="0" applyFont="1" applyFill="1" applyBorder="1" applyAlignment="1" applyProtection="1">
      <alignment horizontal="center" vertical="center"/>
    </xf>
    <xf numFmtId="0" fontId="22" fillId="0" borderId="0" xfId="0" applyFont="1" applyFill="1" applyAlignment="1" applyProtection="1">
      <alignment vertical="center"/>
    </xf>
    <xf numFmtId="0" fontId="19" fillId="0" borderId="0" xfId="0" applyFont="1" applyFill="1" applyAlignment="1" applyProtection="1">
      <alignment vertical="center"/>
    </xf>
    <xf numFmtId="0" fontId="23" fillId="0" borderId="0" xfId="0" applyFont="1" applyAlignment="1" applyProtection="1">
      <alignment horizontal="center"/>
    </xf>
    <xf numFmtId="0" fontId="26" fillId="0" borderId="20" xfId="0" applyFont="1" applyBorder="1" applyAlignment="1" applyProtection="1">
      <alignment horizontal="center" vertical="center" wrapText="1"/>
    </xf>
    <xf numFmtId="0" fontId="79" fillId="0" borderId="20" xfId="0" applyFont="1" applyBorder="1" applyAlignment="1" applyProtection="1">
      <alignment vertical="center" wrapText="1"/>
    </xf>
    <xf numFmtId="0" fontId="44" fillId="0" borderId="0" xfId="0" applyFont="1" applyAlignment="1">
      <alignment vertical="center"/>
    </xf>
    <xf numFmtId="0" fontId="22" fillId="0" borderId="0" xfId="0" applyFont="1" applyFill="1" applyAlignment="1" applyProtection="1">
      <alignment vertical="top"/>
    </xf>
    <xf numFmtId="0" fontId="19" fillId="0" borderId="0" xfId="0" applyFont="1" applyFill="1" applyAlignment="1" applyProtection="1">
      <alignment vertical="top"/>
    </xf>
    <xf numFmtId="0" fontId="21" fillId="0" borderId="0" xfId="0" applyFont="1" applyFill="1" applyAlignment="1" applyProtection="1">
      <alignment vertical="top"/>
    </xf>
    <xf numFmtId="0" fontId="26" fillId="0" borderId="19" xfId="0" applyFont="1" applyFill="1" applyBorder="1" applyAlignment="1">
      <alignment horizontal="center" vertical="center" wrapText="1"/>
    </xf>
    <xf numFmtId="0" fontId="15" fillId="0" borderId="19" xfId="0" applyFont="1" applyFill="1" applyBorder="1" applyAlignment="1">
      <alignment horizontal="center" vertical="center"/>
    </xf>
    <xf numFmtId="0" fontId="15" fillId="0" borderId="19" xfId="0" applyFont="1" applyFill="1" applyBorder="1" applyAlignment="1">
      <alignment vertical="center"/>
    </xf>
    <xf numFmtId="0" fontId="60" fillId="0" borderId="19" xfId="0" applyFont="1" applyFill="1" applyBorder="1" applyAlignment="1">
      <alignment vertical="center"/>
    </xf>
    <xf numFmtId="0" fontId="19" fillId="0" borderId="19" xfId="0" applyFont="1" applyBorder="1" applyProtection="1"/>
    <xf numFmtId="0" fontId="15" fillId="31" borderId="19" xfId="0" applyFont="1" applyFill="1" applyBorder="1" applyAlignment="1" applyProtection="1">
      <alignment vertical="center" wrapText="1"/>
    </xf>
    <xf numFmtId="0" fontId="60" fillId="31" borderId="19" xfId="0" applyFont="1" applyFill="1" applyBorder="1" applyAlignment="1">
      <alignment vertical="center" wrapText="1"/>
    </xf>
    <xf numFmtId="0" fontId="15" fillId="0" borderId="19" xfId="0" applyFont="1" applyFill="1" applyBorder="1" applyAlignment="1" applyProtection="1">
      <alignment horizontal="left" vertical="center"/>
    </xf>
    <xf numFmtId="0" fontId="68" fillId="0" borderId="19" xfId="0" applyFont="1" applyBorder="1" applyAlignment="1">
      <alignment wrapText="1"/>
    </xf>
    <xf numFmtId="0" fontId="10" fillId="0" borderId="0" xfId="510" applyFont="1" applyAlignment="1" applyProtection="1">
      <alignment horizontal="left"/>
    </xf>
    <xf numFmtId="0" fontId="8" fillId="0" borderId="0" xfId="510" applyFont="1" applyProtection="1"/>
    <xf numFmtId="0" fontId="8" fillId="0" borderId="0" xfId="510" applyFont="1" applyAlignment="1" applyProtection="1"/>
    <xf numFmtId="0" fontId="8" fillId="0" borderId="0" xfId="510" applyFont="1" applyAlignment="1"/>
    <xf numFmtId="0" fontId="8" fillId="0" borderId="0" xfId="510" applyFont="1"/>
    <xf numFmtId="0" fontId="10" fillId="0" borderId="0" xfId="0" applyFont="1" applyFill="1" applyAlignment="1" applyProtection="1">
      <alignment horizontal="left"/>
    </xf>
    <xf numFmtId="0" fontId="15" fillId="0" borderId="0" xfId="0" applyFont="1" applyFill="1" applyAlignment="1">
      <alignment vertical="center"/>
    </xf>
    <xf numFmtId="0" fontId="15" fillId="27" borderId="0" xfId="0" applyFont="1" applyFill="1" applyAlignment="1" applyProtection="1">
      <alignment horizontal="right" vertical="center"/>
    </xf>
    <xf numFmtId="0" fontId="15" fillId="27" borderId="0" xfId="0" applyFont="1" applyFill="1" applyProtection="1"/>
    <xf numFmtId="0" fontId="15" fillId="0" borderId="0" xfId="0" applyFont="1" applyFill="1" applyAlignment="1" applyProtection="1">
      <alignment horizontal="right" vertical="center"/>
    </xf>
    <xf numFmtId="0" fontId="15" fillId="0" borderId="0" xfId="0" applyFont="1" applyFill="1" applyAlignment="1" applyProtection="1">
      <alignment horizontal="right"/>
    </xf>
    <xf numFmtId="0" fontId="15" fillId="0" borderId="0" xfId="0" applyFont="1" applyAlignment="1">
      <alignment vertical="center"/>
    </xf>
    <xf numFmtId="0" fontId="8" fillId="36" borderId="19" xfId="0" applyFont="1" applyFill="1" applyBorder="1" applyAlignment="1" applyProtection="1">
      <alignment horizontal="center" textRotation="90" wrapText="1"/>
    </xf>
    <xf numFmtId="164" fontId="8" fillId="0" borderId="19" xfId="419" applyNumberFormat="1" applyFont="1" applyFill="1" applyBorder="1" applyAlignment="1" applyProtection="1">
      <alignment horizontal="center" vertical="center"/>
    </xf>
    <xf numFmtId="0" fontId="8" fillId="37" borderId="0" xfId="0" applyFont="1" applyFill="1" applyBorder="1" applyAlignment="1" applyProtection="1">
      <alignment horizontal="center" vertical="top" wrapText="1"/>
    </xf>
    <xf numFmtId="0" fontId="8" fillId="37" borderId="0" xfId="0" applyFont="1" applyFill="1" applyBorder="1" applyAlignment="1" applyProtection="1">
      <alignment horizontal="center" vertical="center" wrapText="1"/>
    </xf>
    <xf numFmtId="0" fontId="34" fillId="0" borderId="41" xfId="0" applyNumberFormat="1" applyFont="1" applyBorder="1" applyAlignment="1" applyProtection="1">
      <alignment horizontal="center" vertical="center" wrapText="1"/>
    </xf>
    <xf numFmtId="0" fontId="34" fillId="0" borderId="42" xfId="0" applyNumberFormat="1" applyFont="1" applyBorder="1" applyAlignment="1" applyProtection="1">
      <alignment horizontal="center" vertical="center" wrapText="1"/>
    </xf>
    <xf numFmtId="0" fontId="11" fillId="0" borderId="43" xfId="0" applyNumberFormat="1" applyFont="1" applyBorder="1" applyAlignment="1" applyProtection="1">
      <alignment horizontal="center" vertical="center"/>
    </xf>
    <xf numFmtId="0" fontId="8" fillId="0" borderId="39" xfId="0" applyFont="1" applyBorder="1" applyAlignment="1" applyProtection="1">
      <alignment textRotation="90" wrapText="1"/>
    </xf>
    <xf numFmtId="0" fontId="8" fillId="0" borderId="45" xfId="0" applyFont="1" applyBorder="1" applyAlignment="1" applyProtection="1">
      <alignment horizontal="center" wrapText="1"/>
    </xf>
    <xf numFmtId="0" fontId="8" fillId="0" borderId="32"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46" xfId="0" applyFont="1" applyBorder="1" applyAlignment="1" applyProtection="1">
      <alignment horizontal="center" vertical="center" wrapText="1"/>
    </xf>
    <xf numFmtId="0" fontId="8" fillId="0" borderId="46" xfId="0" applyFont="1" applyFill="1" applyBorder="1" applyAlignment="1" applyProtection="1">
      <alignment horizontal="center" vertical="center" wrapText="1"/>
    </xf>
    <xf numFmtId="0" fontId="8" fillId="0" borderId="47" xfId="0" applyNumberFormat="1" applyFont="1" applyFill="1" applyBorder="1" applyAlignment="1" applyProtection="1">
      <alignment horizontal="center" vertical="center"/>
    </xf>
    <xf numFmtId="0" fontId="8" fillId="0" borderId="48" xfId="0" applyFont="1" applyBorder="1" applyAlignment="1" applyProtection="1">
      <alignment horizontal="center" vertical="center" wrapText="1"/>
    </xf>
    <xf numFmtId="10" fontId="8" fillId="0" borderId="47" xfId="419" applyNumberFormat="1" applyFont="1" applyFill="1" applyBorder="1" applyAlignment="1" applyProtection="1">
      <alignment horizontal="center" vertical="center"/>
    </xf>
    <xf numFmtId="10" fontId="8" fillId="0" borderId="29" xfId="419" applyNumberFormat="1" applyFont="1" applyFill="1" applyBorder="1" applyAlignment="1" applyProtection="1">
      <alignment horizontal="center" vertical="center"/>
    </xf>
    <xf numFmtId="0" fontId="9" fillId="37" borderId="49" xfId="0" applyFont="1" applyFill="1" applyBorder="1" applyAlignment="1" applyProtection="1">
      <alignment horizontal="center" vertical="top" wrapText="1"/>
    </xf>
    <xf numFmtId="0" fontId="8" fillId="0" borderId="18" xfId="0" applyFont="1" applyBorder="1" applyAlignment="1" applyProtection="1">
      <alignment textRotation="90" wrapText="1"/>
    </xf>
    <xf numFmtId="0" fontId="8" fillId="0" borderId="50" xfId="0" applyFont="1" applyBorder="1" applyAlignment="1" applyProtection="1">
      <alignment horizontal="center" vertical="center" wrapText="1"/>
    </xf>
    <xf numFmtId="1" fontId="8" fillId="0" borderId="47" xfId="0" applyNumberFormat="1" applyFont="1" applyFill="1" applyBorder="1" applyAlignment="1" applyProtection="1">
      <alignment horizontal="center" vertical="center"/>
    </xf>
    <xf numFmtId="1" fontId="8" fillId="0" borderId="51" xfId="0" applyNumberFormat="1" applyFont="1" applyFill="1" applyBorder="1" applyAlignment="1" applyProtection="1">
      <alignment horizontal="center" vertical="center"/>
    </xf>
    <xf numFmtId="0" fontId="30" fillId="0" borderId="0" xfId="0" applyFont="1" applyFill="1" applyBorder="1" applyAlignment="1" applyProtection="1">
      <alignment vertical="center"/>
    </xf>
    <xf numFmtId="0" fontId="47" fillId="0" borderId="0" xfId="0" applyFont="1" applyBorder="1" applyAlignment="1">
      <alignment vertical="center" wrapText="1"/>
    </xf>
    <xf numFmtId="0" fontId="44" fillId="0" borderId="0" xfId="0" applyFont="1" applyFill="1" applyAlignment="1"/>
    <xf numFmtId="1" fontId="15" fillId="33" borderId="19" xfId="0" applyNumberFormat="1" applyFont="1" applyFill="1" applyBorder="1" applyAlignment="1" applyProtection="1">
      <alignment horizontal="center" vertical="center"/>
      <protection locked="0"/>
    </xf>
    <xf numFmtId="1" fontId="15" fillId="33" borderId="29" xfId="0" applyNumberFormat="1" applyFont="1" applyFill="1" applyBorder="1" applyAlignment="1" applyProtection="1">
      <alignment horizontal="center" vertical="center"/>
      <protection locked="0"/>
    </xf>
    <xf numFmtId="10" fontId="15" fillId="33" borderId="19" xfId="419" applyNumberFormat="1" applyFont="1" applyFill="1" applyBorder="1" applyAlignment="1" applyProtection="1">
      <alignment horizontal="center" vertical="center"/>
      <protection locked="0"/>
    </xf>
    <xf numFmtId="10" fontId="15" fillId="33" borderId="29" xfId="419" applyNumberFormat="1" applyFont="1" applyFill="1" applyBorder="1" applyAlignment="1" applyProtection="1">
      <alignment horizontal="center" vertical="center"/>
      <protection locked="0"/>
    </xf>
    <xf numFmtId="0" fontId="8" fillId="0" borderId="20" xfId="0" applyFont="1" applyBorder="1" applyAlignment="1" applyProtection="1">
      <alignment vertical="center" wrapText="1"/>
    </xf>
    <xf numFmtId="0" fontId="17" fillId="0" borderId="0" xfId="0" applyFont="1" applyAlignment="1" applyProtection="1"/>
    <xf numFmtId="0" fontId="15" fillId="0" borderId="83" xfId="0" applyFont="1" applyFill="1" applyBorder="1"/>
    <xf numFmtId="0" fontId="73" fillId="0" borderId="83" xfId="0" applyFont="1" applyFill="1" applyBorder="1"/>
    <xf numFmtId="14" fontId="15" fillId="0" borderId="83" xfId="0" applyNumberFormat="1" applyFont="1" applyFill="1" applyBorder="1"/>
    <xf numFmtId="1" fontId="9" fillId="40" borderId="20" xfId="0" applyNumberFormat="1" applyFont="1" applyFill="1" applyBorder="1" applyAlignment="1">
      <alignment horizontal="center" vertical="center"/>
    </xf>
    <xf numFmtId="0" fontId="15" fillId="0" borderId="0" xfId="0" applyFont="1" applyFill="1" applyBorder="1"/>
    <xf numFmtId="0" fontId="73" fillId="0" borderId="0" xfId="0" applyFont="1" applyFill="1" applyBorder="1"/>
    <xf numFmtId="14" fontId="15" fillId="0" borderId="0" xfId="0" applyNumberFormat="1" applyFont="1" applyFill="1" applyBorder="1"/>
    <xf numFmtId="0" fontId="8" fillId="0" borderId="19" xfId="0" applyFont="1" applyFill="1" applyBorder="1" applyAlignment="1">
      <alignment vertical="center"/>
    </xf>
    <xf numFmtId="10" fontId="9" fillId="0" borderId="20" xfId="0" applyNumberFormat="1" applyFont="1" applyBorder="1" applyAlignment="1">
      <alignment horizontal="center" vertical="center"/>
    </xf>
    <xf numFmtId="1" fontId="9" fillId="33" borderId="20" xfId="0" applyNumberFormat="1" applyFont="1" applyFill="1" applyBorder="1" applyAlignment="1" applyProtection="1">
      <alignment horizontal="center" vertical="center"/>
      <protection locked="0"/>
    </xf>
    <xf numFmtId="0" fontId="15" fillId="0" borderId="19" xfId="0" applyFont="1" applyFill="1" applyBorder="1" applyAlignment="1">
      <alignment horizontal="left" vertical="center"/>
    </xf>
    <xf numFmtId="0" fontId="15" fillId="0" borderId="19" xfId="0" applyFont="1" applyFill="1" applyBorder="1" applyProtection="1"/>
    <xf numFmtId="0" fontId="15" fillId="78" borderId="19" xfId="0" applyFont="1" applyFill="1" applyBorder="1" applyAlignment="1" applyProtection="1">
      <alignment vertical="center"/>
    </xf>
    <xf numFmtId="0" fontId="15" fillId="76" borderId="19" xfId="0" applyFont="1" applyFill="1" applyBorder="1" applyAlignment="1" applyProtection="1">
      <alignment vertical="center"/>
    </xf>
    <xf numFmtId="0" fontId="15" fillId="76" borderId="0" xfId="0" applyFont="1" applyFill="1" applyAlignment="1" applyProtection="1">
      <alignment vertical="center"/>
    </xf>
    <xf numFmtId="0" fontId="73" fillId="76" borderId="0" xfId="0" applyFont="1" applyFill="1" applyAlignment="1" applyProtection="1">
      <alignment vertical="center"/>
    </xf>
    <xf numFmtId="0" fontId="83" fillId="0" borderId="24" xfId="0" applyFont="1" applyBorder="1"/>
    <xf numFmtId="0" fontId="19" fillId="0" borderId="19" xfId="0" applyFont="1" applyFill="1" applyBorder="1" applyProtection="1"/>
    <xf numFmtId="0" fontId="15" fillId="0" borderId="19" xfId="0" applyFont="1" applyFill="1" applyBorder="1" applyAlignment="1" applyProtection="1">
      <alignment vertical="center" wrapText="1"/>
    </xf>
    <xf numFmtId="0" fontId="60" fillId="0" borderId="19" xfId="0" applyFont="1" applyFill="1" applyBorder="1" applyAlignment="1">
      <alignment vertical="center" wrapText="1"/>
    </xf>
    <xf numFmtId="0" fontId="84" fillId="0" borderId="23" xfId="0" applyFont="1" applyBorder="1"/>
    <xf numFmtId="1" fontId="15" fillId="33" borderId="30" xfId="0" applyNumberFormat="1" applyFont="1" applyFill="1" applyBorder="1" applyAlignment="1" applyProtection="1">
      <alignment horizontal="center" vertical="center"/>
    </xf>
    <xf numFmtId="0" fontId="19" fillId="0" borderId="0" xfId="0" quotePrefix="1" applyFont="1" applyAlignment="1" applyProtection="1">
      <alignment horizontal="left" vertical="center"/>
    </xf>
    <xf numFmtId="0" fontId="73" fillId="0" borderId="36" xfId="0" applyFont="1" applyFill="1" applyBorder="1" applyAlignment="1" applyProtection="1">
      <alignment vertical="center"/>
    </xf>
    <xf numFmtId="0" fontId="73" fillId="0" borderId="43" xfId="0" applyFont="1" applyFill="1" applyBorder="1" applyAlignment="1" applyProtection="1">
      <alignment vertical="center"/>
    </xf>
    <xf numFmtId="0" fontId="73" fillId="0" borderId="34" xfId="0" applyFont="1" applyFill="1" applyBorder="1" applyAlignment="1" applyProtection="1">
      <alignment horizontal="center" vertical="center"/>
    </xf>
    <xf numFmtId="166" fontId="15" fillId="0" borderId="19" xfId="431" applyNumberFormat="1" applyFont="1" applyFill="1" applyBorder="1" applyAlignment="1" applyProtection="1">
      <alignment horizontal="center" vertical="center"/>
    </xf>
    <xf numFmtId="166" fontId="15" fillId="0" borderId="34" xfId="431" applyNumberFormat="1" applyFont="1" applyFill="1" applyBorder="1" applyAlignment="1" applyProtection="1">
      <alignment horizontal="center" vertical="center"/>
    </xf>
    <xf numFmtId="9" fontId="73" fillId="0" borderId="34" xfId="0" applyNumberFormat="1" applyFont="1" applyFill="1" applyBorder="1" applyAlignment="1" applyProtection="1">
      <alignment horizontal="center" vertical="center"/>
    </xf>
    <xf numFmtId="0" fontId="15" fillId="0" borderId="43" xfId="0" applyFont="1" applyFill="1" applyBorder="1" applyAlignment="1" applyProtection="1">
      <alignment vertical="center"/>
    </xf>
    <xf numFmtId="0" fontId="15" fillId="0" borderId="36" xfId="0" applyFont="1" applyFill="1" applyBorder="1" applyAlignment="1" applyProtection="1">
      <alignment vertical="center"/>
    </xf>
    <xf numFmtId="0" fontId="73" fillId="0" borderId="34" xfId="0" applyFont="1" applyFill="1" applyBorder="1" applyAlignment="1" applyProtection="1">
      <alignment vertical="center"/>
    </xf>
    <xf numFmtId="0" fontId="0" fillId="0" borderId="0" xfId="0" applyFill="1"/>
    <xf numFmtId="0" fontId="8" fillId="0" borderId="0" xfId="0" applyFont="1" applyFill="1" applyBorder="1" applyAlignment="1">
      <alignment vertical="center"/>
    </xf>
    <xf numFmtId="0" fontId="8" fillId="81" borderId="19" xfId="0" applyFont="1" applyFill="1" applyBorder="1" applyAlignment="1">
      <alignment vertical="center"/>
    </xf>
    <xf numFmtId="0" fontId="8" fillId="0" borderId="20" xfId="0" applyFont="1" applyFill="1" applyBorder="1" applyAlignment="1" applyProtection="1">
      <alignment vertical="center" wrapText="1"/>
    </xf>
    <xf numFmtId="0" fontId="79" fillId="0" borderId="20" xfId="0" applyFont="1" applyFill="1" applyBorder="1" applyAlignment="1" applyProtection="1">
      <alignment vertical="center" wrapText="1"/>
    </xf>
    <xf numFmtId="0" fontId="75" fillId="0" borderId="35" xfId="0" applyFont="1" applyBorder="1" applyAlignment="1">
      <alignment horizontal="center" vertical="center" wrapText="1"/>
    </xf>
    <xf numFmtId="0" fontId="15" fillId="0" borderId="19" xfId="0" applyFont="1" applyBorder="1"/>
    <xf numFmtId="0" fontId="36" fillId="0" borderId="0" xfId="0" applyFont="1"/>
    <xf numFmtId="0" fontId="104" fillId="0" borderId="0" xfId="0" applyFont="1"/>
    <xf numFmtId="14" fontId="104" fillId="0" borderId="0" xfId="0" applyNumberFormat="1" applyFont="1"/>
    <xf numFmtId="0" fontId="15" fillId="0" borderId="19" xfId="0" applyFont="1" applyFill="1" applyBorder="1" applyAlignment="1" applyProtection="1">
      <alignment horizontal="center" vertical="center"/>
    </xf>
    <xf numFmtId="0" fontId="16" fillId="0" borderId="0" xfId="0" applyFont="1" applyFill="1" applyAlignment="1" applyProtection="1">
      <alignment vertical="center" wrapText="1"/>
    </xf>
    <xf numFmtId="0" fontId="72" fillId="0" borderId="0" xfId="0" applyFont="1" applyAlignment="1">
      <alignment vertical="center" wrapText="1"/>
    </xf>
    <xf numFmtId="0" fontId="72" fillId="0" borderId="0" xfId="0" applyFont="1" applyAlignment="1" applyProtection="1">
      <alignment vertical="center" wrapText="1"/>
    </xf>
    <xf numFmtId="0" fontId="72" fillId="0" borderId="19" xfId="0" applyFont="1" applyFill="1" applyBorder="1" applyAlignment="1">
      <alignment horizontal="center" vertical="center" wrapText="1"/>
    </xf>
    <xf numFmtId="0" fontId="72" fillId="79" borderId="19" xfId="0" applyFont="1" applyFill="1" applyBorder="1" applyAlignment="1">
      <alignment horizontal="center" vertical="center" wrapText="1"/>
    </xf>
    <xf numFmtId="0" fontId="72" fillId="0" borderId="53" xfId="0" applyFont="1" applyBorder="1" applyAlignment="1">
      <alignment horizontal="center" vertical="center" wrapText="1"/>
    </xf>
    <xf numFmtId="0" fontId="72" fillId="0" borderId="47" xfId="0" applyFont="1" applyFill="1" applyBorder="1" applyAlignment="1">
      <alignment horizontal="center" vertical="center" wrapText="1"/>
    </xf>
    <xf numFmtId="0" fontId="72" fillId="0" borderId="29" xfId="0" applyFont="1" applyFill="1" applyBorder="1" applyAlignment="1">
      <alignment horizontal="center" vertical="center" wrapText="1"/>
    </xf>
    <xf numFmtId="0" fontId="17" fillId="0" borderId="53" xfId="0" applyFont="1" applyBorder="1" applyAlignment="1" applyProtection="1">
      <alignment horizontal="center" vertical="center" wrapText="1"/>
    </xf>
    <xf numFmtId="0" fontId="77" fillId="0" borderId="21" xfId="0" applyFont="1" applyBorder="1" applyAlignment="1">
      <alignment horizontal="center" vertical="center" wrapText="1"/>
    </xf>
    <xf numFmtId="0" fontId="72" fillId="0" borderId="36" xfId="0" applyFont="1" applyBorder="1" applyAlignment="1">
      <alignment vertical="center" wrapText="1"/>
    </xf>
    <xf numFmtId="0" fontId="72" fillId="0" borderId="36" xfId="0" applyFont="1" applyBorder="1" applyAlignment="1">
      <alignment horizontal="center" vertical="center" wrapText="1"/>
    </xf>
    <xf numFmtId="0" fontId="17" fillId="0" borderId="53" xfId="0" quotePrefix="1" applyFont="1" applyBorder="1" applyAlignment="1" applyProtection="1">
      <alignment horizontal="center" vertical="center" wrapText="1"/>
    </xf>
    <xf numFmtId="0" fontId="17" fillId="0" borderId="27" xfId="0" quotePrefix="1" applyFont="1" applyBorder="1" applyAlignment="1" applyProtection="1">
      <alignment horizontal="center" vertical="center" wrapText="1"/>
    </xf>
    <xf numFmtId="0" fontId="72" fillId="79" borderId="47" xfId="0" applyFont="1" applyFill="1" applyBorder="1" applyAlignment="1">
      <alignment horizontal="center" vertical="center" wrapText="1"/>
    </xf>
    <xf numFmtId="0" fontId="72" fillId="79" borderId="29" xfId="0" applyFont="1" applyFill="1" applyBorder="1" applyAlignment="1">
      <alignment horizontal="center" vertical="center" wrapText="1"/>
    </xf>
    <xf numFmtId="0" fontId="17" fillId="0" borderId="28" xfId="0" quotePrefix="1" applyFont="1" applyBorder="1" applyAlignment="1" applyProtection="1">
      <alignment horizontal="center" vertical="center" wrapText="1"/>
    </xf>
    <xf numFmtId="0" fontId="72" fillId="0" borderId="28" xfId="0" applyFont="1" applyBorder="1" applyAlignment="1">
      <alignment horizontal="center" vertical="center" wrapText="1"/>
    </xf>
    <xf numFmtId="0" fontId="17" fillId="0" borderId="28" xfId="0" applyFont="1" applyBorder="1" applyAlignment="1" applyProtection="1">
      <alignment horizontal="center" vertical="center" wrapText="1"/>
    </xf>
    <xf numFmtId="0" fontId="17" fillId="0" borderId="0" xfId="0" applyFont="1" applyFill="1" applyBorder="1" applyProtection="1"/>
    <xf numFmtId="0" fontId="17" fillId="0" borderId="0" xfId="0" applyFont="1" applyFill="1" applyBorder="1" applyAlignment="1" applyProtection="1">
      <alignment wrapText="1"/>
    </xf>
    <xf numFmtId="0" fontId="15" fillId="0" borderId="0" xfId="0" applyFont="1" applyFill="1" applyBorder="1" applyProtection="1"/>
    <xf numFmtId="0" fontId="15" fillId="0" borderId="36" xfId="0" applyFont="1" applyFill="1" applyBorder="1" applyProtection="1"/>
    <xf numFmtId="0" fontId="15" fillId="0" borderId="47" xfId="0" applyFont="1" applyFill="1" applyBorder="1" applyAlignment="1" applyProtection="1">
      <alignment horizontal="center" vertical="center"/>
    </xf>
    <xf numFmtId="0" fontId="15" fillId="0" borderId="53" xfId="0" applyFont="1" applyFill="1" applyBorder="1" applyAlignment="1" applyProtection="1">
      <alignment horizontal="center" vertical="center" wrapText="1"/>
    </xf>
    <xf numFmtId="0" fontId="15" fillId="0" borderId="27" xfId="0" applyFont="1" applyFill="1" applyBorder="1" applyAlignment="1" applyProtection="1">
      <alignment horizontal="center" vertical="center" wrapText="1"/>
    </xf>
    <xf numFmtId="0" fontId="15" fillId="0" borderId="28" xfId="0" applyFont="1" applyFill="1" applyBorder="1" applyAlignment="1" applyProtection="1">
      <alignment horizontal="center" vertical="center" wrapText="1"/>
    </xf>
    <xf numFmtId="1" fontId="73" fillId="0" borderId="19" xfId="0" applyNumberFormat="1" applyFont="1" applyFill="1" applyBorder="1" applyAlignment="1">
      <alignment horizontal="center" vertical="center"/>
    </xf>
    <xf numFmtId="1" fontId="15" fillId="33" borderId="31" xfId="0" applyNumberFormat="1" applyFont="1" applyFill="1" applyBorder="1" applyAlignment="1" applyProtection="1">
      <alignment horizontal="center" vertical="center"/>
    </xf>
    <xf numFmtId="0" fontId="18" fillId="0" borderId="19" xfId="0" applyFont="1" applyFill="1" applyBorder="1" applyAlignment="1">
      <alignment wrapText="1"/>
    </xf>
    <xf numFmtId="0" fontId="8" fillId="0" borderId="19" xfId="0" applyFont="1" applyFill="1" applyBorder="1" applyAlignment="1">
      <alignment wrapText="1"/>
    </xf>
    <xf numFmtId="0" fontId="15" fillId="0" borderId="19" xfId="0" applyFont="1" applyFill="1" applyBorder="1" applyAlignment="1">
      <alignment horizontal="center" vertical="center"/>
    </xf>
    <xf numFmtId="0" fontId="17" fillId="0" borderId="0" xfId="0" applyFont="1" applyFill="1" applyAlignment="1" applyProtection="1"/>
    <xf numFmtId="0" fontId="17" fillId="0" borderId="0" xfId="0" applyFont="1" applyAlignment="1">
      <alignment vertical="center"/>
    </xf>
    <xf numFmtId="0" fontId="8" fillId="37" borderId="38" xfId="0" applyFont="1" applyFill="1" applyBorder="1" applyAlignment="1" applyProtection="1">
      <alignment horizontal="center" vertical="top" wrapText="1"/>
    </xf>
    <xf numFmtId="0" fontId="106" fillId="0" borderId="43" xfId="0" applyNumberFormat="1" applyFont="1" applyBorder="1" applyAlignment="1" applyProtection="1">
      <alignment horizontal="center" vertical="center"/>
    </xf>
    <xf numFmtId="0" fontId="106" fillId="0" borderId="44" xfId="0" applyNumberFormat="1" applyFont="1" applyBorder="1" applyAlignment="1" applyProtection="1">
      <alignment horizontal="center" vertical="center"/>
    </xf>
    <xf numFmtId="0" fontId="15" fillId="0" borderId="47"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15" fillId="0" borderId="19" xfId="0" applyFont="1" applyFill="1" applyBorder="1" applyAlignment="1" applyProtection="1">
      <alignment horizontal="center" vertical="center"/>
    </xf>
    <xf numFmtId="0" fontId="16" fillId="0" borderId="19" xfId="521" applyFont="1" applyBorder="1" applyAlignment="1">
      <alignment vertical="center"/>
    </xf>
    <xf numFmtId="0" fontId="16" fillId="0" borderId="19" xfId="521" applyFont="1" applyFill="1" applyBorder="1" applyAlignment="1">
      <alignment vertical="center"/>
    </xf>
    <xf numFmtId="0" fontId="72" fillId="0" borderId="19" xfId="0" applyFont="1" applyFill="1" applyBorder="1" applyAlignment="1">
      <alignment vertical="center"/>
    </xf>
    <xf numFmtId="0" fontId="72" fillId="0" borderId="19" xfId="0" applyFont="1" applyFill="1" applyBorder="1" applyAlignment="1" applyProtection="1">
      <alignment horizontal="left" vertical="center"/>
    </xf>
    <xf numFmtId="0" fontId="73" fillId="0" borderId="0" xfId="0" applyFont="1" applyAlignment="1">
      <alignment horizontal="left" vertical="center" wrapText="1"/>
    </xf>
    <xf numFmtId="0" fontId="73" fillId="38" borderId="19" xfId="0" applyFont="1" applyFill="1" applyBorder="1" applyAlignment="1">
      <alignment vertical="center" wrapText="1"/>
    </xf>
    <xf numFmtId="0" fontId="73" fillId="0" borderId="0" xfId="0" applyFont="1" applyAlignment="1">
      <alignment vertical="center" wrapText="1"/>
    </xf>
    <xf numFmtId="0" fontId="15" fillId="84" borderId="47" xfId="0" applyFont="1" applyFill="1" applyBorder="1" applyAlignment="1" applyProtection="1">
      <alignment horizontal="center" vertical="center"/>
    </xf>
    <xf numFmtId="0" fontId="15" fillId="84" borderId="19" xfId="0" applyFont="1" applyFill="1" applyBorder="1" applyAlignment="1" applyProtection="1">
      <alignment horizontal="center" vertical="center"/>
    </xf>
    <xf numFmtId="0" fontId="15" fillId="84" borderId="29" xfId="0" applyFont="1" applyFill="1" applyBorder="1" applyAlignment="1" applyProtection="1">
      <alignment horizontal="center" vertical="center"/>
    </xf>
    <xf numFmtId="0" fontId="15" fillId="79" borderId="47" xfId="0" applyFont="1" applyFill="1" applyBorder="1" applyAlignment="1" applyProtection="1">
      <alignment horizontal="center" vertical="center"/>
    </xf>
    <xf numFmtId="0" fontId="15" fillId="79" borderId="29" xfId="0" applyFont="1" applyFill="1" applyBorder="1" applyAlignment="1" applyProtection="1">
      <alignment horizontal="center" vertical="center"/>
    </xf>
    <xf numFmtId="0" fontId="72" fillId="0" borderId="19" xfId="0" applyFont="1" applyFill="1" applyBorder="1" applyAlignment="1" applyProtection="1">
      <alignment horizontal="center" vertical="center"/>
    </xf>
    <xf numFmtId="0" fontId="72" fillId="0" borderId="19" xfId="0" applyFont="1" applyFill="1" applyBorder="1" applyAlignment="1" applyProtection="1">
      <alignment vertical="center"/>
    </xf>
    <xf numFmtId="0" fontId="72" fillId="0" borderId="19" xfId="0" applyFont="1" applyFill="1" applyBorder="1" applyAlignment="1">
      <alignment horizontal="left" vertical="center"/>
    </xf>
    <xf numFmtId="0" fontId="72" fillId="0" borderId="0" xfId="0" applyFont="1" applyFill="1" applyAlignment="1" applyProtection="1">
      <alignment vertical="center"/>
    </xf>
    <xf numFmtId="1" fontId="9" fillId="33" borderId="38" xfId="0" applyNumberFormat="1" applyFont="1" applyFill="1" applyBorder="1" applyAlignment="1" applyProtection="1">
      <alignment horizontal="center" vertical="center"/>
      <protection locked="0"/>
    </xf>
    <xf numFmtId="0" fontId="111" fillId="0" borderId="0" xfId="0" applyFont="1" applyFill="1" applyProtection="1"/>
    <xf numFmtId="0" fontId="112" fillId="0" borderId="0" xfId="0" applyFont="1" applyFill="1" applyProtection="1"/>
    <xf numFmtId="0" fontId="113" fillId="0" borderId="0" xfId="0" applyFont="1" applyFill="1" applyProtection="1"/>
    <xf numFmtId="0" fontId="114" fillId="0" borderId="0" xfId="0" applyFont="1" applyFill="1" applyBorder="1" applyAlignment="1" applyProtection="1">
      <alignment horizontal="center" wrapText="1"/>
    </xf>
    <xf numFmtId="164" fontId="114" fillId="0" borderId="0" xfId="419" applyNumberFormat="1" applyFont="1" applyFill="1" applyBorder="1" applyAlignment="1" applyProtection="1">
      <alignment horizontal="center" wrapText="1"/>
    </xf>
    <xf numFmtId="10" fontId="114" fillId="0" borderId="0" xfId="419" applyNumberFormat="1" applyFont="1" applyFill="1" applyBorder="1" applyAlignment="1" applyProtection="1">
      <alignment horizontal="center" wrapText="1"/>
    </xf>
    <xf numFmtId="10" fontId="112" fillId="0" borderId="0" xfId="0" applyNumberFormat="1" applyFont="1" applyFill="1" applyProtection="1"/>
    <xf numFmtId="0" fontId="114" fillId="0" borderId="0" xfId="0" applyFont="1" applyFill="1" applyBorder="1" applyAlignment="1" applyProtection="1">
      <alignment wrapText="1"/>
    </xf>
    <xf numFmtId="0" fontId="112" fillId="0" borderId="0" xfId="0" applyFont="1" applyProtection="1"/>
    <xf numFmtId="0" fontId="114" fillId="0" borderId="0" xfId="0" applyFont="1" applyProtection="1"/>
    <xf numFmtId="0" fontId="114" fillId="0" borderId="0" xfId="0" applyFont="1" applyFill="1" applyProtection="1"/>
    <xf numFmtId="0" fontId="111" fillId="0" borderId="19" xfId="0" applyFont="1" applyBorder="1" applyAlignment="1" applyProtection="1">
      <alignment horizontal="center"/>
    </xf>
    <xf numFmtId="0" fontId="115" fillId="0" borderId="19" xfId="0" applyFont="1" applyBorder="1" applyAlignment="1" applyProtection="1">
      <alignment horizontal="center"/>
    </xf>
    <xf numFmtId="0" fontId="112" fillId="0" borderId="0" xfId="0" applyFont="1" applyBorder="1" applyAlignment="1" applyProtection="1">
      <alignment horizontal="center"/>
    </xf>
    <xf numFmtId="1" fontId="115" fillId="0" borderId="19" xfId="0" applyNumberFormat="1" applyFont="1" applyBorder="1" applyAlignment="1" applyProtection="1">
      <alignment horizontal="center"/>
    </xf>
    <xf numFmtId="49" fontId="112" fillId="32" borderId="19" xfId="0" applyNumberFormat="1" applyFont="1" applyFill="1" applyBorder="1" applyAlignment="1" applyProtection="1">
      <alignment horizontal="center"/>
    </xf>
    <xf numFmtId="0" fontId="112" fillId="32" borderId="19" xfId="0" applyFont="1" applyFill="1" applyBorder="1" applyAlignment="1" applyProtection="1">
      <alignment horizontal="center"/>
    </xf>
    <xf numFmtId="9" fontId="112" fillId="32" borderId="19" xfId="448" applyFont="1" applyFill="1" applyBorder="1" applyAlignment="1" applyProtection="1">
      <alignment horizontal="center"/>
    </xf>
    <xf numFmtId="10" fontId="114" fillId="32" borderId="19" xfId="448" applyNumberFormat="1" applyFont="1" applyFill="1" applyBorder="1" applyAlignment="1" applyProtection="1">
      <alignment horizontal="center"/>
    </xf>
    <xf numFmtId="1" fontId="114" fillId="32" borderId="19" xfId="448" applyNumberFormat="1" applyFont="1" applyFill="1" applyBorder="1" applyAlignment="1" applyProtection="1">
      <alignment horizontal="center"/>
    </xf>
    <xf numFmtId="49" fontId="112" fillId="0" borderId="19" xfId="0" applyNumberFormat="1" applyFont="1" applyBorder="1" applyAlignment="1" applyProtection="1">
      <alignment horizontal="center"/>
    </xf>
    <xf numFmtId="0" fontId="112" fillId="0" borderId="19" xfId="0" applyFont="1" applyBorder="1" applyAlignment="1" applyProtection="1">
      <alignment horizontal="center"/>
    </xf>
    <xf numFmtId="9" fontId="112" fillId="0" borderId="19" xfId="448" applyFont="1" applyBorder="1" applyAlignment="1" applyProtection="1">
      <alignment horizontal="center"/>
    </xf>
    <xf numFmtId="9" fontId="114" fillId="0" borderId="19" xfId="448" applyFont="1" applyBorder="1" applyAlignment="1" applyProtection="1">
      <alignment horizontal="center"/>
    </xf>
    <xf numFmtId="1" fontId="114" fillId="0" borderId="19" xfId="448" applyNumberFormat="1" applyFont="1" applyFill="1" applyBorder="1" applyAlignment="1" applyProtection="1">
      <alignment horizontal="center"/>
    </xf>
    <xf numFmtId="1" fontId="114" fillId="0" borderId="19" xfId="448" applyNumberFormat="1" applyFont="1" applyBorder="1" applyAlignment="1" applyProtection="1">
      <alignment horizontal="center"/>
    </xf>
    <xf numFmtId="0" fontId="112" fillId="32" borderId="19" xfId="0" applyNumberFormat="1" applyFont="1" applyFill="1" applyBorder="1" applyAlignment="1" applyProtection="1">
      <alignment horizontal="center"/>
    </xf>
    <xf numFmtId="0" fontId="112" fillId="32" borderId="19" xfId="448" applyNumberFormat="1" applyFont="1" applyFill="1" applyBorder="1" applyAlignment="1" applyProtection="1">
      <alignment horizontal="center"/>
    </xf>
    <xf numFmtId="0" fontId="114" fillId="32" borderId="19" xfId="448" applyNumberFormat="1" applyFont="1" applyFill="1" applyBorder="1" applyAlignment="1" applyProtection="1">
      <alignment horizontal="center"/>
    </xf>
    <xf numFmtId="0" fontId="112" fillId="0" borderId="19" xfId="448" applyNumberFormat="1" applyFont="1" applyBorder="1" applyAlignment="1" applyProtection="1">
      <alignment horizontal="center"/>
    </xf>
    <xf numFmtId="9" fontId="116" fillId="0" borderId="19" xfId="448" applyFont="1" applyBorder="1" applyAlignment="1" applyProtection="1">
      <alignment horizontal="center"/>
    </xf>
    <xf numFmtId="1" fontId="116" fillId="0" borderId="19" xfId="448" applyNumberFormat="1" applyFont="1" applyBorder="1" applyAlignment="1" applyProtection="1">
      <alignment horizontal="center"/>
    </xf>
    <xf numFmtId="0" fontId="112" fillId="77" borderId="19" xfId="0" applyNumberFormat="1" applyFont="1" applyFill="1" applyBorder="1" applyAlignment="1" applyProtection="1">
      <alignment horizontal="center"/>
    </xf>
    <xf numFmtId="0" fontId="112" fillId="77" borderId="19" xfId="0" applyFont="1" applyFill="1" applyBorder="1" applyAlignment="1" applyProtection="1">
      <alignment horizontal="center"/>
    </xf>
    <xf numFmtId="9" fontId="112" fillId="77" borderId="19" xfId="448" applyFont="1" applyFill="1" applyBorder="1" applyAlignment="1" applyProtection="1">
      <alignment horizontal="center"/>
    </xf>
    <xf numFmtId="10" fontId="112" fillId="77" borderId="19" xfId="448" applyNumberFormat="1" applyFont="1" applyFill="1" applyBorder="1" applyAlignment="1" applyProtection="1">
      <alignment horizontal="center"/>
    </xf>
    <xf numFmtId="1" fontId="114" fillId="77" borderId="19" xfId="448" applyNumberFormat="1" applyFont="1" applyFill="1" applyBorder="1" applyAlignment="1" applyProtection="1">
      <alignment horizontal="center"/>
    </xf>
    <xf numFmtId="1" fontId="112" fillId="77" borderId="19" xfId="448" applyNumberFormat="1" applyFont="1" applyFill="1" applyBorder="1" applyAlignment="1" applyProtection="1">
      <alignment horizontal="center"/>
    </xf>
    <xf numFmtId="9" fontId="112" fillId="0" borderId="19" xfId="448" applyFont="1" applyFill="1" applyBorder="1" applyAlignment="1" applyProtection="1">
      <alignment horizontal="center"/>
    </xf>
    <xf numFmtId="1" fontId="112" fillId="0" borderId="19" xfId="448" applyNumberFormat="1" applyFont="1" applyFill="1" applyBorder="1" applyAlignment="1" applyProtection="1">
      <alignment horizontal="center"/>
    </xf>
    <xf numFmtId="49" fontId="112" fillId="0" borderId="19" xfId="0" applyNumberFormat="1" applyFont="1" applyFill="1" applyBorder="1" applyAlignment="1" applyProtection="1">
      <alignment horizontal="center"/>
    </xf>
    <xf numFmtId="0" fontId="112" fillId="0" borderId="19" xfId="0" applyFont="1" applyFill="1" applyBorder="1" applyAlignment="1" applyProtection="1">
      <alignment horizontal="center"/>
    </xf>
    <xf numFmtId="10" fontId="112" fillId="0" borderId="19" xfId="448" applyNumberFormat="1" applyFont="1" applyFill="1" applyBorder="1" applyAlignment="1" applyProtection="1">
      <alignment horizontal="center"/>
    </xf>
    <xf numFmtId="49" fontId="112" fillId="0" borderId="0" xfId="0" applyNumberFormat="1" applyFont="1" applyBorder="1" applyAlignment="1" applyProtection="1">
      <alignment horizontal="center"/>
    </xf>
    <xf numFmtId="9" fontId="112" fillId="0" borderId="0" xfId="448" applyFont="1" applyBorder="1" applyAlignment="1" applyProtection="1">
      <alignment horizontal="center"/>
    </xf>
    <xf numFmtId="9" fontId="116" fillId="0" borderId="0" xfId="448" applyFont="1" applyBorder="1" applyAlignment="1" applyProtection="1">
      <alignment horizontal="center"/>
    </xf>
    <xf numFmtId="1" fontId="114" fillId="0" borderId="0" xfId="448" applyNumberFormat="1" applyFont="1" applyFill="1" applyBorder="1" applyAlignment="1" applyProtection="1">
      <alignment horizontal="center"/>
    </xf>
    <xf numFmtId="1" fontId="116" fillId="0" borderId="0" xfId="448" applyNumberFormat="1" applyFont="1" applyBorder="1" applyAlignment="1" applyProtection="1">
      <alignment horizontal="center"/>
    </xf>
    <xf numFmtId="0" fontId="111" fillId="0" borderId="0" xfId="0" applyFont="1" applyProtection="1"/>
    <xf numFmtId="0" fontId="112" fillId="0" borderId="0" xfId="0" applyFont="1" applyFill="1" applyAlignment="1"/>
    <xf numFmtId="0" fontId="112" fillId="0" borderId="0" xfId="0" applyNumberFormat="1" applyFont="1" applyFill="1" applyProtection="1"/>
    <xf numFmtId="0" fontId="112" fillId="0" borderId="0" xfId="0" applyFont="1" applyFill="1" applyAlignment="1" applyProtection="1">
      <alignment horizontal="left"/>
    </xf>
    <xf numFmtId="0" fontId="112" fillId="86" borderId="0" xfId="0" applyFont="1" applyFill="1" applyProtection="1"/>
    <xf numFmtId="0" fontId="73" fillId="0" borderId="19" xfId="0" applyFont="1" applyFill="1" applyBorder="1" applyAlignment="1">
      <alignment vertical="center" wrapText="1"/>
    </xf>
    <xf numFmtId="0" fontId="73" fillId="0" borderId="0" xfId="0" applyFont="1" applyFill="1" applyAlignment="1">
      <alignment vertical="center"/>
    </xf>
    <xf numFmtId="0" fontId="73" fillId="0" borderId="19" xfId="0" applyFont="1" applyFill="1" applyBorder="1" applyAlignment="1">
      <alignment horizontal="left" vertical="center" wrapText="1"/>
    </xf>
    <xf numFmtId="9" fontId="73" fillId="0" borderId="19" xfId="0" applyNumberFormat="1" applyFont="1" applyFill="1" applyBorder="1" applyAlignment="1">
      <alignment horizontal="center" vertical="center" wrapText="1"/>
    </xf>
    <xf numFmtId="9" fontId="73" fillId="0" borderId="19" xfId="0" applyNumberFormat="1" applyFont="1" applyFill="1" applyBorder="1" applyAlignment="1">
      <alignment horizontal="center" vertical="center"/>
    </xf>
    <xf numFmtId="0" fontId="73" fillId="0" borderId="19" xfId="0" applyFont="1" applyFill="1" applyBorder="1" applyAlignment="1">
      <alignment horizontal="center" vertical="center" wrapText="1"/>
    </xf>
    <xf numFmtId="0" fontId="117" fillId="0" borderId="0" xfId="0" applyFont="1" applyBorder="1" applyAlignment="1" applyProtection="1">
      <alignment vertical="center"/>
    </xf>
    <xf numFmtId="49" fontId="117" fillId="0" borderId="0" xfId="0" applyNumberFormat="1" applyFont="1" applyBorder="1" applyAlignment="1" applyProtection="1">
      <alignment horizontal="center" vertical="center"/>
    </xf>
    <xf numFmtId="49" fontId="117" fillId="0" borderId="0" xfId="0" applyNumberFormat="1" applyFont="1" applyBorder="1" applyAlignment="1" applyProtection="1">
      <alignment horizontal="center" vertical="center" wrapText="1"/>
    </xf>
    <xf numFmtId="49" fontId="117" fillId="0" borderId="0" xfId="0" applyNumberFormat="1" applyFont="1" applyFill="1" applyBorder="1" applyAlignment="1" applyProtection="1">
      <alignment horizontal="center" vertical="center"/>
    </xf>
    <xf numFmtId="0" fontId="117" fillId="0" borderId="0" xfId="0" applyFont="1" applyAlignment="1">
      <alignment vertical="center"/>
    </xf>
    <xf numFmtId="0" fontId="117" fillId="0" borderId="0" xfId="0" applyFont="1" applyAlignment="1">
      <alignment horizontal="center" vertical="center"/>
    </xf>
    <xf numFmtId="0" fontId="118" fillId="0" borderId="19" xfId="0" applyFont="1" applyBorder="1" applyAlignment="1">
      <alignment horizontal="center" vertical="center" wrapText="1"/>
    </xf>
    <xf numFmtId="0" fontId="119" fillId="0" borderId="19" xfId="0" applyFont="1" applyBorder="1" applyAlignment="1">
      <alignment horizontal="center" vertical="center" wrapText="1"/>
    </xf>
    <xf numFmtId="0" fontId="117" fillId="0" borderId="0" xfId="0" applyFont="1" applyAlignment="1" applyProtection="1">
      <alignment vertical="center"/>
    </xf>
    <xf numFmtId="0" fontId="117" fillId="0" borderId="19" xfId="0" applyFont="1" applyBorder="1" applyAlignment="1" applyProtection="1">
      <alignment vertical="center"/>
    </xf>
    <xf numFmtId="49" fontId="120" fillId="36" borderId="26" xfId="0" applyNumberFormat="1" applyFont="1" applyFill="1" applyBorder="1" applyAlignment="1" applyProtection="1">
      <alignment horizontal="center" vertical="center" wrapText="1"/>
    </xf>
    <xf numFmtId="0" fontId="117" fillId="0" borderId="27" xfId="0" applyFont="1" applyFill="1" applyBorder="1" applyAlignment="1" applyProtection="1">
      <alignment horizontal="center" vertical="center"/>
    </xf>
    <xf numFmtId="0" fontId="121" fillId="0" borderId="27" xfId="0" applyFont="1" applyBorder="1" applyAlignment="1" applyProtection="1">
      <alignment horizontal="left" vertical="center"/>
    </xf>
    <xf numFmtId="0" fontId="117" fillId="0" borderId="27" xfId="0" applyFont="1" applyBorder="1" applyAlignment="1" applyProtection="1">
      <alignment horizontal="left" vertical="center"/>
    </xf>
    <xf numFmtId="0" fontId="117" fillId="0" borderId="28" xfId="0" applyFont="1" applyBorder="1" applyAlignment="1" applyProtection="1">
      <alignment horizontal="center" vertical="center"/>
    </xf>
    <xf numFmtId="0" fontId="117" fillId="0" borderId="19" xfId="0" applyFont="1" applyBorder="1" applyAlignment="1" applyProtection="1">
      <alignment horizontal="center" vertical="center"/>
    </xf>
    <xf numFmtId="0" fontId="117" fillId="0" borderId="19" xfId="0" applyFont="1" applyFill="1" applyBorder="1" applyAlignment="1" applyProtection="1">
      <alignment horizontal="center" vertical="center"/>
    </xf>
    <xf numFmtId="0" fontId="121" fillId="0" borderId="19" xfId="0" applyFont="1" applyBorder="1" applyAlignment="1" applyProtection="1">
      <alignment horizontal="left" vertical="center"/>
    </xf>
    <xf numFmtId="0" fontId="117" fillId="0" borderId="19" xfId="0" applyFont="1" applyBorder="1" applyAlignment="1" applyProtection="1">
      <alignment horizontal="left" vertical="center"/>
    </xf>
    <xf numFmtId="0" fontId="117" fillId="0" borderId="29" xfId="0" applyFont="1" applyBorder="1" applyAlignment="1" applyProtection="1">
      <alignment horizontal="center" vertical="center"/>
    </xf>
    <xf numFmtId="0" fontId="117" fillId="0" borderId="30" xfId="0" applyFont="1" applyFill="1" applyBorder="1" applyAlignment="1" applyProtection="1">
      <alignment horizontal="center" vertical="center"/>
    </xf>
    <xf numFmtId="0" fontId="121" fillId="0" borderId="30" xfId="0" applyFont="1" applyFill="1" applyBorder="1" applyAlignment="1" applyProtection="1">
      <alignment horizontal="left" vertical="center"/>
    </xf>
    <xf numFmtId="0" fontId="117" fillId="0" borderId="30" xfId="0" applyFont="1" applyBorder="1" applyAlignment="1" applyProtection="1">
      <alignment horizontal="left" vertical="center"/>
    </xf>
    <xf numFmtId="0" fontId="117" fillId="0" borderId="31" xfId="0" applyFont="1" applyBorder="1" applyAlignment="1" applyProtection="1">
      <alignment horizontal="center" vertical="center"/>
    </xf>
    <xf numFmtId="0" fontId="117" fillId="0" borderId="0" xfId="0" applyFont="1" applyBorder="1" applyAlignment="1" applyProtection="1">
      <alignment horizontal="center" vertical="center"/>
    </xf>
    <xf numFmtId="0" fontId="117" fillId="0" borderId="0" xfId="0" applyFont="1" applyBorder="1" applyAlignment="1">
      <alignment vertical="center"/>
    </xf>
    <xf numFmtId="0" fontId="120" fillId="36" borderId="25" xfId="0" applyFont="1" applyFill="1" applyBorder="1" applyAlignment="1" applyProtection="1">
      <alignment horizontal="center" vertical="center" wrapText="1"/>
    </xf>
    <xf numFmtId="0" fontId="121" fillId="0" borderId="30" xfId="0" applyFont="1" applyBorder="1" applyAlignment="1" applyProtection="1">
      <alignment horizontal="left" vertical="center"/>
    </xf>
    <xf numFmtId="0" fontId="120" fillId="29" borderId="18" xfId="0" applyFont="1" applyFill="1" applyBorder="1" applyAlignment="1" applyProtection="1">
      <alignment horizontal="center" vertical="center" wrapText="1"/>
    </xf>
    <xf numFmtId="0" fontId="117" fillId="0" borderId="32" xfId="0" applyFont="1" applyFill="1" applyBorder="1" applyAlignment="1" applyProtection="1">
      <alignment horizontal="center" vertical="center"/>
    </xf>
    <xf numFmtId="0" fontId="121" fillId="0" borderId="32" xfId="0" applyFont="1" applyBorder="1" applyAlignment="1" applyProtection="1">
      <alignment horizontal="left" vertical="center"/>
    </xf>
    <xf numFmtId="0" fontId="117" fillId="0" borderId="32" xfId="0" applyFont="1" applyBorder="1" applyAlignment="1" applyProtection="1">
      <alignment horizontal="left" vertical="center"/>
    </xf>
    <xf numFmtId="0" fontId="117" fillId="0" borderId="33" xfId="0" applyFont="1" applyBorder="1" applyAlignment="1" applyProtection="1">
      <alignment horizontal="center" vertical="center"/>
    </xf>
    <xf numFmtId="0" fontId="120" fillId="31" borderId="26" xfId="0" applyFont="1" applyFill="1" applyBorder="1" applyAlignment="1" applyProtection="1">
      <alignment horizontal="center" vertical="center" wrapText="1"/>
    </xf>
    <xf numFmtId="0" fontId="120" fillId="31" borderId="25" xfId="0" applyFont="1" applyFill="1" applyBorder="1" applyAlignment="1" applyProtection="1">
      <alignment horizontal="center" vertical="center" wrapText="1"/>
    </xf>
    <xf numFmtId="0" fontId="120" fillId="31" borderId="18" xfId="0" applyFont="1" applyFill="1" applyBorder="1" applyAlignment="1" applyProtection="1">
      <alignment horizontal="center" vertical="center" wrapText="1"/>
    </xf>
    <xf numFmtId="0" fontId="117" fillId="0" borderId="0" xfId="0" applyFont="1" applyBorder="1" applyAlignment="1">
      <alignment vertical="center" wrapText="1"/>
    </xf>
    <xf numFmtId="0" fontId="117" fillId="0" borderId="0" xfId="0" applyFont="1" applyFill="1" applyBorder="1" applyAlignment="1">
      <alignment horizontal="center" vertical="center"/>
    </xf>
    <xf numFmtId="0" fontId="117" fillId="36" borderId="19" xfId="0" applyFont="1" applyFill="1" applyBorder="1" applyAlignment="1">
      <alignment horizontal="center" vertical="center"/>
    </xf>
    <xf numFmtId="0" fontId="117" fillId="36" borderId="19" xfId="0" applyFont="1" applyFill="1" applyBorder="1" applyAlignment="1" applyProtection="1">
      <alignment horizontal="center" vertical="center"/>
    </xf>
    <xf numFmtId="0" fontId="117" fillId="34" borderId="19" xfId="0" applyFont="1" applyFill="1" applyBorder="1" applyAlignment="1" applyProtection="1">
      <alignment horizontal="center" vertical="center"/>
    </xf>
    <xf numFmtId="0" fontId="117" fillId="29" borderId="19" xfId="0" applyFont="1" applyFill="1" applyBorder="1" applyAlignment="1" applyProtection="1">
      <alignment horizontal="center" vertical="center"/>
    </xf>
    <xf numFmtId="0" fontId="123" fillId="0" borderId="0" xfId="0" applyFont="1" applyProtection="1"/>
    <xf numFmtId="0" fontId="124" fillId="0" borderId="0" xfId="0" applyFont="1" applyAlignment="1" applyProtection="1"/>
    <xf numFmtId="0" fontId="123" fillId="0" borderId="0" xfId="0" applyFont="1" applyFill="1" applyProtection="1"/>
    <xf numFmtId="0" fontId="125" fillId="0" borderId="0" xfId="0" applyFont="1" applyAlignment="1" applyProtection="1">
      <alignment horizontal="left" vertical="center"/>
    </xf>
    <xf numFmtId="0" fontId="126" fillId="0" borderId="0" xfId="0" applyFont="1" applyAlignment="1" applyProtection="1">
      <alignment horizontal="left" vertical="center"/>
    </xf>
    <xf numFmtId="0" fontId="123" fillId="0" borderId="0" xfId="0" applyFont="1" applyFill="1" applyAlignment="1" applyProtection="1">
      <alignment horizontal="center"/>
    </xf>
    <xf numFmtId="0" fontId="124" fillId="0" borderId="0" xfId="510" applyFont="1" applyAlignment="1" applyProtection="1">
      <alignment vertical="center"/>
    </xf>
    <xf numFmtId="14" fontId="124" fillId="0" borderId="0" xfId="510" applyNumberFormat="1" applyFont="1" applyFill="1" applyBorder="1" applyAlignment="1" applyProtection="1">
      <alignment horizontal="center" vertical="center"/>
    </xf>
    <xf numFmtId="14" fontId="124" fillId="0" borderId="0" xfId="510" applyNumberFormat="1" applyFont="1" applyFill="1" applyBorder="1" applyAlignment="1" applyProtection="1">
      <alignment horizontal="left" vertical="center"/>
    </xf>
    <xf numFmtId="0" fontId="124" fillId="0" borderId="0" xfId="510" applyFont="1" applyBorder="1" applyProtection="1"/>
    <xf numFmtId="0" fontId="124" fillId="0" borderId="0" xfId="510" applyFont="1" applyProtection="1"/>
    <xf numFmtId="0" fontId="128" fillId="0" borderId="0" xfId="510" applyFont="1" applyProtection="1"/>
    <xf numFmtId="0" fontId="123" fillId="0" borderId="0" xfId="0" applyFont="1" applyAlignment="1" applyProtection="1">
      <alignment vertical="center"/>
    </xf>
    <xf numFmtId="0" fontId="124" fillId="0" borderId="0" xfId="0" applyFont="1" applyProtection="1"/>
    <xf numFmtId="0" fontId="123" fillId="27" borderId="0" xfId="0" applyFont="1" applyFill="1" applyBorder="1" applyAlignment="1" applyProtection="1">
      <alignment horizontal="center" vertical="center" wrapText="1"/>
    </xf>
    <xf numFmtId="0" fontId="123" fillId="0" borderId="0" xfId="0" applyFont="1" applyBorder="1" applyAlignment="1"/>
    <xf numFmtId="0" fontId="124" fillId="0" borderId="0" xfId="510" applyFont="1" applyAlignment="1" applyProtection="1">
      <alignment horizontal="center" wrapText="1"/>
    </xf>
    <xf numFmtId="0" fontId="124" fillId="0" borderId="0" xfId="510" applyFont="1" applyFill="1" applyBorder="1" applyAlignment="1" applyProtection="1">
      <alignment horizontal="center"/>
    </xf>
    <xf numFmtId="0" fontId="129" fillId="0" borderId="0" xfId="0" applyFont="1"/>
    <xf numFmtId="0" fontId="134" fillId="0" borderId="19" xfId="0" applyFont="1" applyBorder="1" applyAlignment="1">
      <alignment horizontal="center" textRotation="90" wrapText="1"/>
    </xf>
    <xf numFmtId="0" fontId="124" fillId="41" borderId="47" xfId="510" applyNumberFormat="1" applyFont="1" applyFill="1" applyBorder="1" applyAlignment="1" applyProtection="1">
      <alignment horizontal="center" vertical="center"/>
      <protection locked="0"/>
    </xf>
    <xf numFmtId="0" fontId="124" fillId="41" borderId="36" xfId="510" applyNumberFormat="1" applyFont="1" applyFill="1" applyBorder="1" applyAlignment="1" applyProtection="1">
      <alignment horizontal="center" vertical="center"/>
      <protection locked="0"/>
    </xf>
    <xf numFmtId="0" fontId="136" fillId="41" borderId="19" xfId="510" applyNumberFormat="1" applyFont="1" applyFill="1" applyBorder="1" applyAlignment="1" applyProtection="1">
      <alignment horizontal="center" vertical="center"/>
      <protection locked="0"/>
    </xf>
    <xf numFmtId="0" fontId="124" fillId="0" borderId="47" xfId="510" applyNumberFormat="1" applyFont="1" applyFill="1" applyBorder="1" applyAlignment="1" applyProtection="1">
      <alignment horizontal="center" vertical="center"/>
    </xf>
    <xf numFmtId="0" fontId="124" fillId="0" borderId="19" xfId="510" applyNumberFormat="1" applyFont="1" applyFill="1" applyBorder="1" applyAlignment="1" applyProtection="1">
      <alignment horizontal="center" vertical="center"/>
    </xf>
    <xf numFmtId="0" fontId="136" fillId="0" borderId="22" xfId="510" applyNumberFormat="1" applyFont="1" applyFill="1" applyBorder="1" applyAlignment="1" applyProtection="1">
      <alignment horizontal="center" vertical="center"/>
    </xf>
    <xf numFmtId="0" fontId="124" fillId="0" borderId="36" xfId="510" applyNumberFormat="1" applyFont="1" applyFill="1" applyBorder="1" applyAlignment="1" applyProtection="1">
      <alignment horizontal="center" vertical="center"/>
    </xf>
    <xf numFmtId="0" fontId="124" fillId="85" borderId="36" xfId="510" applyNumberFormat="1" applyFont="1" applyFill="1" applyBorder="1" applyAlignment="1" applyProtection="1">
      <alignment horizontal="center" vertical="center"/>
    </xf>
    <xf numFmtId="0" fontId="124" fillId="41" borderId="54" xfId="510" applyNumberFormat="1" applyFont="1" applyFill="1" applyBorder="1" applyAlignment="1" applyProtection="1">
      <alignment horizontal="center" vertical="center"/>
      <protection locked="0"/>
    </xf>
    <xf numFmtId="0" fontId="124" fillId="41" borderId="29" xfId="510" applyNumberFormat="1" applyFont="1" applyFill="1" applyBorder="1" applyAlignment="1" applyProtection="1">
      <alignment horizontal="center" vertical="center"/>
      <protection locked="0"/>
    </xf>
    <xf numFmtId="0" fontId="123" fillId="0" borderId="34" xfId="0" applyFont="1" applyBorder="1" applyAlignment="1">
      <alignment horizontal="center" vertical="center"/>
    </xf>
    <xf numFmtId="0" fontId="123" fillId="0" borderId="19" xfId="0" applyFont="1" applyBorder="1" applyAlignment="1">
      <alignment horizontal="center" vertical="center"/>
    </xf>
    <xf numFmtId="0" fontId="123" fillId="0" borderId="0" xfId="0" quotePrefix="1" applyFont="1" applyProtection="1"/>
    <xf numFmtId="0" fontId="123" fillId="0" borderId="47" xfId="0" applyFont="1" applyFill="1" applyBorder="1" applyAlignment="1">
      <alignment horizontal="center" vertical="center"/>
    </xf>
    <xf numFmtId="0" fontId="123" fillId="0" borderId="19" xfId="0" applyFont="1" applyFill="1" applyBorder="1" applyAlignment="1">
      <alignment horizontal="center" vertical="center"/>
    </xf>
    <xf numFmtId="0" fontId="123" fillId="82" borderId="47" xfId="0" applyFont="1" applyFill="1" applyBorder="1" applyAlignment="1">
      <alignment horizontal="center" vertical="center"/>
    </xf>
    <xf numFmtId="0" fontId="123" fillId="82" borderId="19" xfId="0" applyFont="1" applyFill="1" applyBorder="1" applyAlignment="1">
      <alignment horizontal="center" vertical="center"/>
    </xf>
    <xf numFmtId="0" fontId="138" fillId="82" borderId="19" xfId="0" applyFont="1" applyFill="1" applyBorder="1" applyAlignment="1">
      <alignment horizontal="center" vertical="center"/>
    </xf>
    <xf numFmtId="0" fontId="123" fillId="82" borderId="36" xfId="0" applyFont="1" applyFill="1" applyBorder="1" applyAlignment="1">
      <alignment horizontal="center" vertical="center"/>
    </xf>
    <xf numFmtId="0" fontId="123" fillId="82" borderId="29" xfId="0" applyFont="1" applyFill="1" applyBorder="1" applyAlignment="1">
      <alignment horizontal="center" vertical="center"/>
    </xf>
    <xf numFmtId="0" fontId="124" fillId="82" borderId="43" xfId="510" applyNumberFormat="1" applyFont="1" applyFill="1" applyBorder="1" applyAlignment="1" applyProtection="1">
      <alignment horizontal="center" vertical="center"/>
    </xf>
    <xf numFmtId="0" fontId="123" fillId="82" borderId="0" xfId="0" applyFont="1" applyFill="1" applyBorder="1" applyAlignment="1">
      <alignment horizontal="center" vertical="center" wrapText="1"/>
    </xf>
    <xf numFmtId="0" fontId="123" fillId="82" borderId="0" xfId="0" applyFont="1" applyFill="1" applyBorder="1" applyAlignment="1">
      <alignment horizontal="center" vertical="center"/>
    </xf>
    <xf numFmtId="0" fontId="124" fillId="82" borderId="0" xfId="510" applyNumberFormat="1" applyFont="1" applyFill="1" applyBorder="1" applyAlignment="1" applyProtection="1">
      <alignment horizontal="center" vertical="center"/>
    </xf>
    <xf numFmtId="0" fontId="112" fillId="87" borderId="19" xfId="0" applyNumberFormat="1" applyFont="1" applyFill="1" applyBorder="1" applyAlignment="1" applyProtection="1">
      <alignment horizontal="center"/>
    </xf>
    <xf numFmtId="0" fontId="112" fillId="87" borderId="19" xfId="0" applyFont="1" applyFill="1" applyBorder="1" applyAlignment="1" applyProtection="1">
      <alignment horizontal="center"/>
    </xf>
    <xf numFmtId="9" fontId="112" fillId="87" borderId="19" xfId="448" applyFont="1" applyFill="1" applyBorder="1" applyAlignment="1" applyProtection="1">
      <alignment horizontal="center"/>
    </xf>
    <xf numFmtId="10" fontId="112" fillId="87" borderId="19" xfId="448" applyNumberFormat="1" applyFont="1" applyFill="1" applyBorder="1" applyAlignment="1" applyProtection="1">
      <alignment horizontal="center"/>
    </xf>
    <xf numFmtId="1" fontId="114" fillId="87" borderId="19" xfId="448" applyNumberFormat="1" applyFont="1" applyFill="1" applyBorder="1" applyAlignment="1" applyProtection="1">
      <alignment horizontal="center"/>
    </xf>
    <xf numFmtId="1" fontId="112" fillId="87" borderId="19" xfId="448" applyNumberFormat="1" applyFont="1" applyFill="1" applyBorder="1" applyAlignment="1" applyProtection="1">
      <alignment horizontal="center"/>
    </xf>
    <xf numFmtId="2" fontId="72" fillId="87" borderId="19" xfId="0" applyNumberFormat="1" applyFont="1" applyFill="1" applyBorder="1" applyAlignment="1" applyProtection="1">
      <alignment horizontal="center" vertical="center"/>
    </xf>
    <xf numFmtId="0" fontId="112" fillId="0" borderId="0" xfId="0" applyFont="1" applyFill="1" applyAlignment="1" applyProtection="1">
      <alignment horizontal="center"/>
    </xf>
    <xf numFmtId="49" fontId="23" fillId="0" borderId="19" xfId="0" applyNumberFormat="1" applyFont="1" applyBorder="1" applyAlignment="1" applyProtection="1">
      <alignment horizontal="center" vertical="center"/>
    </xf>
    <xf numFmtId="0" fontId="8" fillId="0" borderId="0" xfId="0" applyFont="1" applyFill="1" applyBorder="1" applyAlignment="1" applyProtection="1">
      <alignment horizontal="center" vertical="center" wrapText="1"/>
    </xf>
    <xf numFmtId="10" fontId="8" fillId="0" borderId="0" xfId="431" applyNumberFormat="1" applyFont="1" applyFill="1" applyBorder="1" applyAlignment="1" applyProtection="1">
      <alignment horizontal="center" vertical="center" wrapText="1"/>
    </xf>
    <xf numFmtId="10" fontId="19" fillId="0" borderId="0" xfId="0" applyNumberFormat="1" applyFont="1" applyFill="1" applyAlignment="1" applyProtection="1">
      <alignment vertical="center"/>
    </xf>
    <xf numFmtId="14" fontId="15" fillId="89" borderId="0" xfId="0" applyNumberFormat="1" applyFont="1" applyFill="1" applyAlignment="1">
      <alignment horizontal="left"/>
    </xf>
    <xf numFmtId="0" fontId="104" fillId="0" borderId="19" xfId="0" applyFont="1" applyBorder="1"/>
    <xf numFmtId="0" fontId="104" fillId="0" borderId="19" xfId="0" applyFont="1" applyFill="1" applyBorder="1"/>
    <xf numFmtId="0" fontId="104" fillId="80" borderId="19" xfId="0" applyFont="1" applyFill="1" applyBorder="1"/>
    <xf numFmtId="0" fontId="104" fillId="87" borderId="19" xfId="0" applyFont="1" applyFill="1" applyBorder="1"/>
    <xf numFmtId="0" fontId="104" fillId="88" borderId="19" xfId="0" applyFont="1" applyFill="1" applyBorder="1"/>
    <xf numFmtId="0" fontId="8" fillId="81" borderId="36" xfId="0" applyFont="1" applyFill="1" applyBorder="1" applyAlignment="1">
      <alignment vertical="center"/>
    </xf>
    <xf numFmtId="0" fontId="114" fillId="0" borderId="19" xfId="448" applyNumberFormat="1" applyFont="1" applyFill="1" applyBorder="1" applyAlignment="1" applyProtection="1">
      <alignment horizontal="center"/>
    </xf>
    <xf numFmtId="0" fontId="112" fillId="0" borderId="19" xfId="448" applyNumberFormat="1" applyFont="1" applyFill="1" applyBorder="1" applyAlignment="1" applyProtection="1">
      <alignment horizontal="center"/>
    </xf>
    <xf numFmtId="0" fontId="8" fillId="0" borderId="20" xfId="0" applyFont="1" applyBorder="1" applyAlignment="1" applyProtection="1">
      <alignment vertical="center" wrapText="1"/>
    </xf>
    <xf numFmtId="10" fontId="9" fillId="0" borderId="20" xfId="0" applyNumberFormat="1" applyFont="1" applyBorder="1" applyAlignment="1">
      <alignment horizontal="center" vertical="center"/>
    </xf>
    <xf numFmtId="1" fontId="9" fillId="33" borderId="20" xfId="0" applyNumberFormat="1" applyFont="1" applyFill="1" applyBorder="1" applyAlignment="1" applyProtection="1">
      <alignment horizontal="center" vertical="center"/>
      <protection locked="0"/>
    </xf>
    <xf numFmtId="0" fontId="73" fillId="0" borderId="24" xfId="0" applyFont="1" applyBorder="1" applyAlignment="1">
      <alignment horizontal="center" vertical="center"/>
    </xf>
    <xf numFmtId="0" fontId="120" fillId="31" borderId="65" xfId="0" applyFont="1" applyFill="1" applyBorder="1" applyAlignment="1" applyProtection="1">
      <alignment horizontal="center" vertical="center" wrapText="1"/>
    </xf>
    <xf numFmtId="0" fontId="8" fillId="0" borderId="0" xfId="0" applyFont="1" applyFill="1" applyBorder="1" applyAlignment="1" applyProtection="1">
      <alignment wrapText="1"/>
    </xf>
    <xf numFmtId="0" fontId="121" fillId="0" borderId="0" xfId="0" applyFont="1" applyFill="1" applyBorder="1" applyAlignment="1">
      <alignment vertical="center"/>
    </xf>
    <xf numFmtId="0" fontId="117" fillId="0" borderId="30" xfId="0" applyFont="1" applyFill="1" applyBorder="1" applyAlignment="1" applyProtection="1">
      <alignment horizontal="left" vertical="center"/>
    </xf>
    <xf numFmtId="0" fontId="117" fillId="0" borderId="31" xfId="0" applyFont="1" applyFill="1" applyBorder="1" applyAlignment="1" applyProtection="1">
      <alignment horizontal="center" vertical="center"/>
    </xf>
    <xf numFmtId="0" fontId="117" fillId="0" borderId="0" xfId="0" applyFont="1" applyFill="1" applyAlignment="1">
      <alignment vertical="center"/>
    </xf>
    <xf numFmtId="0" fontId="121" fillId="0" borderId="0" xfId="0" applyFont="1" applyFill="1" applyAlignment="1">
      <alignment vertical="center"/>
    </xf>
    <xf numFmtId="0" fontId="120" fillId="90" borderId="25" xfId="0" applyFont="1" applyFill="1" applyBorder="1" applyAlignment="1" applyProtection="1">
      <alignment horizontal="center" vertical="center" wrapText="1"/>
    </xf>
    <xf numFmtId="0" fontId="117" fillId="79" borderId="27" xfId="0" applyFont="1" applyFill="1" applyBorder="1" applyAlignment="1" applyProtection="1">
      <alignment horizontal="center" vertical="center"/>
    </xf>
    <xf numFmtId="0" fontId="121" fillId="79" borderId="27" xfId="0" applyFont="1" applyFill="1" applyBorder="1" applyAlignment="1" applyProtection="1">
      <alignment horizontal="left" vertical="center"/>
    </xf>
    <xf numFmtId="0" fontId="117" fillId="79" borderId="27" xfId="0" applyFont="1" applyFill="1" applyBorder="1" applyAlignment="1" applyProtection="1">
      <alignment horizontal="left" vertical="center"/>
    </xf>
    <xf numFmtId="0" fontId="117" fillId="79" borderId="28" xfId="0" applyFont="1" applyFill="1" applyBorder="1" applyAlignment="1" applyProtection="1">
      <alignment horizontal="center" vertical="center"/>
    </xf>
    <xf numFmtId="0" fontId="121" fillId="0" borderId="19" xfId="0" applyFont="1" applyFill="1" applyBorder="1" applyAlignment="1" applyProtection="1">
      <alignment horizontal="left" vertical="center"/>
    </xf>
    <xf numFmtId="9" fontId="112" fillId="32" borderId="19" xfId="448" applyNumberFormat="1" applyFont="1" applyFill="1" applyBorder="1" applyAlignment="1" applyProtection="1">
      <alignment horizontal="center"/>
    </xf>
    <xf numFmtId="0" fontId="18" fillId="0" borderId="47" xfId="0" applyFont="1" applyBorder="1" applyAlignment="1">
      <alignment horizontal="center" textRotation="90" wrapText="1"/>
    </xf>
    <xf numFmtId="0" fontId="18" fillId="0" borderId="19" xfId="0" applyFont="1" applyBorder="1" applyAlignment="1">
      <alignment horizontal="center" textRotation="90" wrapText="1"/>
    </xf>
    <xf numFmtId="0" fontId="8" fillId="76" borderId="0" xfId="543" applyFont="1" applyFill="1"/>
    <xf numFmtId="14" fontId="73" fillId="76" borderId="0" xfId="0" applyNumberFormat="1" applyFont="1" applyFill="1"/>
    <xf numFmtId="0" fontId="15" fillId="32" borderId="19" xfId="0" applyNumberFormat="1" applyFont="1" applyFill="1" applyBorder="1" applyAlignment="1" applyProtection="1">
      <alignment horizontal="center"/>
    </xf>
    <xf numFmtId="0" fontId="17" fillId="0" borderId="19" xfId="0" applyFont="1" applyBorder="1" applyAlignment="1" applyProtection="1">
      <alignment horizontal="center" vertical="center"/>
    </xf>
    <xf numFmtId="0" fontId="8" fillId="0" borderId="39" xfId="0" applyFont="1" applyBorder="1" applyAlignment="1" applyProtection="1">
      <alignment vertical="center" wrapText="1"/>
    </xf>
    <xf numFmtId="2" fontId="72" fillId="37" borderId="19" xfId="0" applyNumberFormat="1" applyFont="1" applyFill="1" applyBorder="1" applyAlignment="1" applyProtection="1">
      <alignment horizontal="center" vertical="center"/>
    </xf>
    <xf numFmtId="0" fontId="105" fillId="0" borderId="0" xfId="510" applyFont="1" applyFill="1" applyAlignment="1" applyProtection="1">
      <alignment horizontal="left" wrapText="1"/>
    </xf>
    <xf numFmtId="0" fontId="8" fillId="0" borderId="0" xfId="0" applyFont="1" applyFill="1" applyBorder="1" applyAlignment="1">
      <alignment horizontal="center" vertical="center"/>
    </xf>
    <xf numFmtId="0" fontId="34"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59" fillId="0" borderId="0" xfId="0" applyFont="1" applyFill="1" applyBorder="1" applyAlignment="1">
      <alignment horizontal="center" vertical="center"/>
    </xf>
    <xf numFmtId="0" fontId="59" fillId="0" borderId="0" xfId="0" applyFont="1" applyFill="1" applyBorder="1" applyAlignment="1">
      <alignment horizontal="center" vertical="center" wrapText="1"/>
    </xf>
    <xf numFmtId="0" fontId="8" fillId="0" borderId="0" xfId="0" applyFont="1" applyFill="1" applyBorder="1" applyAlignment="1" applyProtection="1">
      <alignment vertical="center" wrapText="1"/>
    </xf>
    <xf numFmtId="10" fontId="9" fillId="0" borderId="0" xfId="0" applyNumberFormat="1" applyFont="1" applyFill="1" applyBorder="1" applyAlignment="1">
      <alignment horizontal="center" vertical="center"/>
    </xf>
    <xf numFmtId="0" fontId="33"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36" fillId="0" borderId="0" xfId="0" applyFont="1" applyFill="1"/>
    <xf numFmtId="0" fontId="142" fillId="0" borderId="0" xfId="0" applyFont="1" applyFill="1" applyBorder="1" applyAlignment="1">
      <alignment horizontal="left" vertical="center"/>
    </xf>
    <xf numFmtId="10" fontId="146" fillId="0" borderId="20" xfId="0" applyNumberFormat="1" applyFont="1" applyBorder="1" applyAlignment="1">
      <alignment horizontal="center" vertical="center"/>
    </xf>
    <xf numFmtId="0" fontId="143" fillId="0" borderId="39" xfId="0" applyFont="1" applyBorder="1" applyAlignment="1" applyProtection="1">
      <alignment vertical="center" wrapText="1"/>
    </xf>
    <xf numFmtId="0" fontId="143" fillId="0" borderId="20" xfId="0" applyFont="1" applyFill="1" applyBorder="1" applyAlignment="1" applyProtection="1">
      <alignment vertical="center" wrapText="1"/>
    </xf>
    <xf numFmtId="1" fontId="146" fillId="33" borderId="20" xfId="0" applyNumberFormat="1" applyFont="1" applyFill="1" applyBorder="1" applyAlignment="1" applyProtection="1">
      <alignment horizontal="center" vertical="center"/>
      <protection locked="0"/>
    </xf>
    <xf numFmtId="0" fontId="143" fillId="0" borderId="20" xfId="0" applyFont="1" applyBorder="1" applyAlignment="1" applyProtection="1">
      <alignment vertical="center" wrapText="1"/>
    </xf>
    <xf numFmtId="0" fontId="15" fillId="0" borderId="0" xfId="0" applyFont="1" applyFill="1" applyAlignment="1" applyProtection="1">
      <alignment horizontal="left" vertical="center" wrapText="1"/>
    </xf>
    <xf numFmtId="164" fontId="8" fillId="0" borderId="38" xfId="418" applyNumberFormat="1" applyFont="1" applyFill="1" applyBorder="1" applyAlignment="1" applyProtection="1">
      <alignment horizontal="center" vertical="top" wrapText="1"/>
    </xf>
    <xf numFmtId="0" fontId="19" fillId="0" borderId="0" xfId="0" applyFont="1" applyFill="1" applyProtection="1"/>
    <xf numFmtId="0" fontId="15" fillId="0" borderId="0" xfId="0" applyFont="1" applyFill="1" applyProtection="1"/>
    <xf numFmtId="0" fontId="15" fillId="0" borderId="0" xfId="0" applyFont="1" applyAlignment="1" applyProtection="1">
      <alignment vertical="center"/>
    </xf>
    <xf numFmtId="0" fontId="36" fillId="0" borderId="0" xfId="0" applyFont="1"/>
    <xf numFmtId="164" fontId="8" fillId="91" borderId="68" xfId="418" applyNumberFormat="1" applyFont="1" applyFill="1" applyBorder="1" applyAlignment="1" applyProtection="1">
      <alignment horizontal="center" vertical="center"/>
    </xf>
    <xf numFmtId="9" fontId="8" fillId="91" borderId="20" xfId="418" applyFont="1" applyFill="1" applyBorder="1" applyAlignment="1" applyProtection="1">
      <alignment horizontal="center" vertical="center"/>
    </xf>
    <xf numFmtId="164" fontId="8" fillId="92" borderId="64" xfId="418" applyNumberFormat="1" applyFont="1" applyFill="1" applyBorder="1" applyAlignment="1" applyProtection="1">
      <alignment horizontal="center" vertical="center"/>
    </xf>
    <xf numFmtId="164" fontId="8" fillId="92" borderId="39" xfId="418" applyNumberFormat="1" applyFont="1" applyFill="1" applyBorder="1" applyAlignment="1" applyProtection="1">
      <alignment horizontal="center" vertical="center"/>
    </xf>
    <xf numFmtId="164" fontId="8" fillId="0" borderId="68" xfId="418" applyNumberFormat="1" applyFont="1" applyFill="1" applyBorder="1" applyAlignment="1" applyProtection="1">
      <alignment horizontal="center" vertical="center"/>
    </xf>
    <xf numFmtId="164" fontId="8" fillId="94" borderId="67" xfId="418" applyNumberFormat="1" applyFont="1" applyFill="1" applyBorder="1" applyAlignment="1" applyProtection="1">
      <alignment horizontal="center" vertical="center"/>
    </xf>
    <xf numFmtId="164" fontId="8" fillId="94" borderId="38" xfId="418" applyNumberFormat="1" applyFont="1" applyFill="1" applyBorder="1" applyAlignment="1" applyProtection="1">
      <alignment horizontal="center" vertical="center"/>
    </xf>
    <xf numFmtId="164" fontId="8" fillId="94" borderId="68" xfId="418" applyNumberFormat="1" applyFont="1" applyFill="1" applyBorder="1" applyAlignment="1" applyProtection="1">
      <alignment horizontal="center" vertical="center"/>
    </xf>
    <xf numFmtId="164" fontId="8" fillId="94" borderId="20" xfId="418" applyNumberFormat="1" applyFont="1" applyFill="1" applyBorder="1" applyAlignment="1" applyProtection="1">
      <alignment horizontal="center" vertical="center"/>
    </xf>
    <xf numFmtId="0" fontId="15" fillId="0" borderId="0" xfId="0" applyFont="1" applyFill="1" applyAlignment="1" applyProtection="1">
      <alignment horizontal="justify" vertical="center" wrapText="1"/>
    </xf>
    <xf numFmtId="49" fontId="15" fillId="87" borderId="19" xfId="0" applyNumberFormat="1" applyFont="1" applyFill="1" applyBorder="1" applyAlignment="1" applyProtection="1">
      <alignment horizontal="center"/>
    </xf>
    <xf numFmtId="9" fontId="8" fillId="87" borderId="19" xfId="448" applyFont="1" applyFill="1" applyBorder="1" applyAlignment="1" applyProtection="1">
      <alignment horizontal="center"/>
    </xf>
    <xf numFmtId="0" fontId="15" fillId="87" borderId="19" xfId="0" applyNumberFormat="1" applyFont="1" applyFill="1" applyBorder="1" applyAlignment="1" applyProtection="1">
      <alignment horizontal="center"/>
    </xf>
    <xf numFmtId="0" fontId="15" fillId="0" borderId="0" xfId="0" applyFont="1" applyAlignment="1">
      <alignment wrapText="1"/>
    </xf>
    <xf numFmtId="0" fontId="73" fillId="87" borderId="19" xfId="0" applyFont="1" applyFill="1" applyBorder="1" applyAlignment="1">
      <alignment horizontal="center" vertical="center" wrapText="1"/>
    </xf>
    <xf numFmtId="0" fontId="78" fillId="0" borderId="0" xfId="0" applyFont="1" applyFill="1" applyAlignment="1">
      <alignment vertical="center"/>
    </xf>
    <xf numFmtId="0" fontId="149" fillId="79" borderId="20" xfId="0" applyNumberFormat="1" applyFont="1" applyFill="1" applyBorder="1" applyAlignment="1" applyProtection="1">
      <alignment vertical="center" wrapText="1"/>
    </xf>
    <xf numFmtId="0" fontId="150" fillId="79" borderId="20" xfId="0" applyNumberFormat="1" applyFont="1" applyFill="1" applyBorder="1" applyAlignment="1" applyProtection="1">
      <alignment horizontal="center" vertical="center"/>
    </xf>
    <xf numFmtId="0" fontId="18" fillId="0" borderId="36" xfId="0" applyFont="1" applyFill="1" applyBorder="1" applyAlignment="1">
      <alignment horizontal="left" vertical="center" wrapText="1"/>
    </xf>
    <xf numFmtId="0" fontId="18" fillId="0" borderId="43" xfId="0" applyFont="1" applyFill="1" applyBorder="1" applyAlignment="1">
      <alignment horizontal="left" vertical="center" wrapText="1"/>
    </xf>
    <xf numFmtId="0" fontId="137" fillId="83" borderId="21" xfId="510" applyNumberFormat="1" applyFont="1" applyFill="1" applyBorder="1" applyAlignment="1" applyProtection="1">
      <alignment horizontal="center" vertical="center"/>
    </xf>
    <xf numFmtId="0" fontId="137" fillId="83" borderId="37" xfId="510" applyNumberFormat="1" applyFont="1" applyFill="1" applyBorder="1" applyAlignment="1" applyProtection="1">
      <alignment horizontal="center" vertical="center"/>
    </xf>
    <xf numFmtId="0" fontId="137" fillId="83" borderId="56" xfId="510" applyNumberFormat="1" applyFont="1" applyFill="1" applyBorder="1" applyAlignment="1" applyProtection="1">
      <alignment horizontal="center" vertical="center"/>
    </xf>
    <xf numFmtId="0" fontId="137" fillId="83" borderId="57" xfId="510" applyNumberFormat="1" applyFont="1" applyFill="1" applyBorder="1" applyAlignment="1" applyProtection="1">
      <alignment horizontal="center" vertical="center"/>
    </xf>
    <xf numFmtId="0" fontId="137" fillId="83" borderId="50" xfId="510" applyNumberFormat="1" applyFont="1" applyFill="1" applyBorder="1" applyAlignment="1" applyProtection="1">
      <alignment horizontal="center" vertical="center"/>
    </xf>
    <xf numFmtId="0" fontId="137" fillId="83" borderId="35" xfId="510" applyNumberFormat="1" applyFont="1" applyFill="1" applyBorder="1" applyAlignment="1" applyProtection="1">
      <alignment horizontal="center" vertical="center"/>
    </xf>
    <xf numFmtId="0" fontId="135" fillId="0" borderId="36" xfId="0" applyFont="1" applyFill="1" applyBorder="1" applyAlignment="1">
      <alignment horizontal="left" vertical="center" wrapText="1"/>
    </xf>
    <xf numFmtId="0" fontId="135" fillId="0" borderId="43" xfId="0" applyFont="1" applyFill="1" applyBorder="1" applyAlignment="1">
      <alignment horizontal="left" vertical="center" wrapText="1"/>
    </xf>
    <xf numFmtId="0" fontId="123" fillId="0" borderId="36" xfId="0" applyFont="1" applyFill="1" applyBorder="1" applyAlignment="1">
      <alignment horizontal="left" vertical="center" wrapText="1"/>
    </xf>
    <xf numFmtId="0" fontId="123" fillId="0" borderId="43" xfId="0" applyFont="1" applyFill="1" applyBorder="1" applyAlignment="1">
      <alignment horizontal="left" vertical="center" wrapText="1"/>
    </xf>
    <xf numFmtId="0" fontId="17" fillId="0" borderId="22" xfId="0" applyFont="1" applyFill="1" applyBorder="1" applyAlignment="1">
      <alignment horizontal="center" vertical="center" textRotation="90" wrapText="1"/>
    </xf>
    <xf numFmtId="0" fontId="123" fillId="0" borderId="52" xfId="0" applyFont="1" applyFill="1" applyBorder="1" applyAlignment="1">
      <alignment horizontal="center" vertical="center" textRotation="90" wrapText="1"/>
    </xf>
    <xf numFmtId="0" fontId="123" fillId="0" borderId="24" xfId="0" applyFont="1" applyFill="1" applyBorder="1" applyAlignment="1">
      <alignment horizontal="center" vertical="center" textRotation="90" wrapText="1"/>
    </xf>
    <xf numFmtId="0" fontId="124" fillId="82" borderId="43" xfId="510" applyNumberFormat="1" applyFont="1" applyFill="1" applyBorder="1" applyAlignment="1" applyProtection="1">
      <alignment horizontal="center" vertical="center"/>
    </xf>
    <xf numFmtId="0" fontId="124" fillId="82" borderId="34" xfId="510" applyNumberFormat="1" applyFont="1" applyFill="1" applyBorder="1" applyAlignment="1" applyProtection="1">
      <alignment horizontal="center" vertical="center"/>
    </xf>
    <xf numFmtId="0" fontId="123" fillId="82" borderId="21" xfId="0" applyFont="1" applyFill="1" applyBorder="1" applyAlignment="1">
      <alignment horizontal="left" vertical="center" wrapText="1"/>
    </xf>
    <xf numFmtId="0" fontId="123" fillId="82" borderId="55" xfId="0" applyFont="1" applyFill="1" applyBorder="1" applyAlignment="1">
      <alignment horizontal="left" vertical="center" wrapText="1"/>
    </xf>
    <xf numFmtId="0" fontId="123" fillId="82" borderId="23" xfId="0" applyFont="1" applyFill="1" applyBorder="1" applyAlignment="1">
      <alignment horizontal="center" vertical="center" wrapText="1"/>
    </xf>
    <xf numFmtId="0" fontId="123" fillId="82" borderId="50" xfId="0" applyFont="1" applyFill="1" applyBorder="1" applyAlignment="1">
      <alignment horizontal="center" vertical="center" wrapText="1"/>
    </xf>
    <xf numFmtId="0" fontId="123" fillId="82" borderId="54" xfId="0" applyFont="1" applyFill="1" applyBorder="1" applyAlignment="1">
      <alignment horizontal="center" vertical="center"/>
    </xf>
    <xf numFmtId="0" fontId="123" fillId="82" borderId="43" xfId="0" applyFont="1" applyFill="1" applyBorder="1" applyAlignment="1">
      <alignment horizontal="center" vertical="center"/>
    </xf>
    <xf numFmtId="0" fontId="123" fillId="82" borderId="58" xfId="0" applyFont="1" applyFill="1" applyBorder="1" applyAlignment="1">
      <alignment horizontal="center" vertical="center"/>
    </xf>
    <xf numFmtId="0" fontId="137" fillId="79" borderId="85" xfId="510" applyNumberFormat="1" applyFont="1" applyFill="1" applyBorder="1" applyAlignment="1" applyProtection="1">
      <alignment horizontal="center" vertical="center"/>
    </xf>
    <xf numFmtId="0" fontId="137" fillId="79" borderId="55" xfId="510" applyNumberFormat="1" applyFont="1" applyFill="1" applyBorder="1" applyAlignment="1" applyProtection="1">
      <alignment horizontal="center" vertical="center"/>
    </xf>
    <xf numFmtId="0" fontId="137" fillId="79" borderId="57" xfId="510" applyNumberFormat="1" applyFont="1" applyFill="1" applyBorder="1" applyAlignment="1" applyProtection="1">
      <alignment horizontal="center" vertical="center"/>
    </xf>
    <xf numFmtId="0" fontId="137" fillId="79" borderId="65" xfId="510" applyNumberFormat="1" applyFont="1" applyFill="1" applyBorder="1" applyAlignment="1" applyProtection="1">
      <alignment horizontal="center" vertical="center"/>
    </xf>
    <xf numFmtId="0" fontId="137" fillId="79" borderId="0" xfId="510" applyNumberFormat="1" applyFont="1" applyFill="1" applyBorder="1" applyAlignment="1" applyProtection="1">
      <alignment horizontal="center" vertical="center"/>
    </xf>
    <xf numFmtId="0" fontId="137" fillId="79" borderId="86" xfId="510" applyNumberFormat="1" applyFont="1" applyFill="1" applyBorder="1" applyAlignment="1" applyProtection="1">
      <alignment horizontal="center" vertical="center"/>
    </xf>
    <xf numFmtId="0" fontId="137" fillId="79" borderId="50" xfId="510" applyNumberFormat="1" applyFont="1" applyFill="1" applyBorder="1" applyAlignment="1" applyProtection="1">
      <alignment horizontal="center" vertical="center"/>
    </xf>
    <xf numFmtId="0" fontId="137" fillId="79" borderId="35" xfId="510" applyNumberFormat="1" applyFont="1" applyFill="1" applyBorder="1" applyAlignment="1" applyProtection="1">
      <alignment horizontal="center" vertical="center"/>
    </xf>
    <xf numFmtId="0" fontId="124" fillId="41" borderId="61" xfId="510" applyNumberFormat="1" applyFont="1" applyFill="1" applyBorder="1" applyAlignment="1" applyProtection="1">
      <alignment horizontal="center" vertical="center"/>
      <protection locked="0"/>
    </xf>
    <xf numFmtId="0" fontId="124" fillId="41" borderId="62" xfId="510" applyNumberFormat="1" applyFont="1" applyFill="1" applyBorder="1" applyAlignment="1" applyProtection="1">
      <alignment horizontal="center" vertical="center"/>
      <protection locked="0"/>
    </xf>
    <xf numFmtId="0" fontId="123" fillId="0" borderId="34" xfId="0" applyFont="1" applyFill="1" applyBorder="1" applyAlignment="1">
      <alignment horizontal="center" vertical="center"/>
    </xf>
    <xf numFmtId="0" fontId="123" fillId="0" borderId="19" xfId="0" applyFont="1" applyFill="1" applyBorder="1" applyAlignment="1">
      <alignment horizontal="center" vertical="center"/>
    </xf>
    <xf numFmtId="0" fontId="124" fillId="41" borderId="59" xfId="510" applyNumberFormat="1" applyFont="1" applyFill="1" applyBorder="1" applyAlignment="1" applyProtection="1">
      <alignment horizontal="center" vertical="center"/>
      <protection locked="0"/>
    </xf>
    <xf numFmtId="0" fontId="124" fillId="41" borderId="60" xfId="510" applyNumberFormat="1" applyFont="1" applyFill="1" applyBorder="1" applyAlignment="1" applyProtection="1">
      <alignment horizontal="center" vertical="center"/>
      <protection locked="0"/>
    </xf>
    <xf numFmtId="0" fontId="127" fillId="0" borderId="0" xfId="0" applyFont="1" applyFill="1" applyAlignment="1" applyProtection="1">
      <alignment horizontal="center" vertical="top"/>
    </xf>
    <xf numFmtId="14" fontId="124" fillId="0" borderId="36" xfId="510" applyNumberFormat="1" applyFont="1" applyFill="1" applyBorder="1" applyAlignment="1" applyProtection="1">
      <alignment horizontal="center" vertical="center"/>
    </xf>
    <xf numFmtId="0" fontId="123" fillId="0" borderId="34" xfId="0" applyFont="1" applyFill="1" applyBorder="1" applyAlignment="1"/>
    <xf numFmtId="0" fontId="124" fillId="0" borderId="36" xfId="510" applyFont="1" applyFill="1" applyBorder="1" applyAlignment="1" applyProtection="1">
      <alignment vertical="center"/>
    </xf>
    <xf numFmtId="0" fontId="123" fillId="0" borderId="43" xfId="0" applyFont="1" applyFill="1" applyBorder="1" applyAlignment="1" applyProtection="1">
      <alignment vertical="center"/>
    </xf>
    <xf numFmtId="0" fontId="123" fillId="0" borderId="34" xfId="0" applyFont="1" applyFill="1" applyBorder="1" applyAlignment="1" applyProtection="1">
      <alignment vertical="center"/>
    </xf>
    <xf numFmtId="0" fontId="123" fillId="27" borderId="36" xfId="0" applyFont="1" applyFill="1" applyBorder="1" applyAlignment="1" applyProtection="1">
      <alignment horizontal="center" vertical="center" wrapText="1"/>
    </xf>
    <xf numFmtId="0" fontId="123" fillId="0" borderId="34" xfId="0" applyFont="1" applyBorder="1" applyAlignment="1"/>
    <xf numFmtId="14" fontId="124" fillId="41" borderId="19" xfId="510" applyNumberFormat="1" applyFont="1" applyFill="1" applyBorder="1" applyAlignment="1" applyProtection="1">
      <alignment horizontal="center" vertical="center"/>
      <protection locked="0"/>
    </xf>
    <xf numFmtId="49" fontId="4" fillId="41" borderId="36" xfId="510" applyNumberFormat="1" applyFont="1" applyFill="1" applyBorder="1" applyAlignment="1" applyProtection="1">
      <alignment horizontal="left" vertical="center" wrapText="1"/>
      <protection locked="0"/>
    </xf>
    <xf numFmtId="49" fontId="124" fillId="41" borderId="43" xfId="510" applyNumberFormat="1" applyFont="1" applyFill="1" applyBorder="1" applyAlignment="1" applyProtection="1">
      <alignment horizontal="left" vertical="center" wrapText="1"/>
      <protection locked="0"/>
    </xf>
    <xf numFmtId="49" fontId="124" fillId="41" borderId="34" xfId="510" applyNumberFormat="1" applyFont="1" applyFill="1" applyBorder="1" applyAlignment="1" applyProtection="1">
      <alignment horizontal="left" vertical="center" wrapText="1"/>
      <protection locked="0"/>
    </xf>
    <xf numFmtId="14" fontId="124" fillId="41" borderId="36" xfId="510" applyNumberFormat="1" applyFont="1" applyFill="1" applyBorder="1" applyAlignment="1" applyProtection="1">
      <alignment horizontal="center" vertical="center"/>
      <protection locked="0"/>
    </xf>
    <xf numFmtId="14" fontId="124" fillId="41" borderId="34" xfId="510" applyNumberFormat="1" applyFont="1" applyFill="1" applyBorder="1" applyAlignment="1" applyProtection="1">
      <alignment horizontal="center" vertical="center"/>
      <protection locked="0"/>
    </xf>
    <xf numFmtId="0" fontId="8" fillId="0" borderId="0" xfId="0" applyFont="1" applyFill="1" applyAlignment="1" applyProtection="1">
      <alignment horizontal="justify" wrapText="1"/>
    </xf>
    <xf numFmtId="0" fontId="124" fillId="0" borderId="0" xfId="0" applyFont="1" applyFill="1" applyAlignment="1">
      <alignment horizontal="justify"/>
    </xf>
    <xf numFmtId="0" fontId="124" fillId="41" borderId="48" xfId="510" applyNumberFormat="1" applyFont="1" applyFill="1" applyBorder="1" applyAlignment="1" applyProtection="1">
      <alignment horizontal="center" vertical="center"/>
      <protection locked="0"/>
    </xf>
    <xf numFmtId="0" fontId="124" fillId="41" borderId="63" xfId="510" applyNumberFormat="1" applyFont="1" applyFill="1" applyBorder="1" applyAlignment="1" applyProtection="1">
      <alignment horizontal="center" vertical="center"/>
      <protection locked="0"/>
    </xf>
    <xf numFmtId="0" fontId="17" fillId="0" borderId="54" xfId="0" applyFont="1" applyBorder="1" applyAlignment="1" applyProtection="1">
      <alignment horizontal="center" vertical="center" wrapText="1"/>
    </xf>
    <xf numFmtId="0" fontId="123" fillId="0" borderId="43" xfId="0" applyFont="1" applyBorder="1" applyAlignment="1" applyProtection="1">
      <alignment horizontal="center" vertical="center" wrapText="1"/>
    </xf>
    <xf numFmtId="0" fontId="123" fillId="0" borderId="43" xfId="0" applyFont="1" applyBorder="1" applyAlignment="1">
      <alignment horizontal="center" vertical="center"/>
    </xf>
    <xf numFmtId="0" fontId="123" fillId="0" borderId="37" xfId="0" applyFont="1" applyBorder="1" applyAlignment="1">
      <alignment horizontal="center" vertical="center"/>
    </xf>
    <xf numFmtId="0" fontId="123" fillId="0" borderId="57" xfId="0" applyFont="1" applyBorder="1" applyAlignment="1">
      <alignment horizontal="center" vertical="center"/>
    </xf>
    <xf numFmtId="0" fontId="123" fillId="0" borderId="35" xfId="0" applyFont="1" applyBorder="1" applyAlignment="1">
      <alignment horizontal="center" vertical="center"/>
    </xf>
    <xf numFmtId="0" fontId="124" fillId="0" borderId="61" xfId="0" applyFont="1" applyBorder="1" applyAlignment="1" applyProtection="1">
      <alignment horizontal="center" vertical="center" wrapText="1"/>
    </xf>
    <xf numFmtId="0" fontId="124" fillId="0" borderId="63" xfId="0" applyFont="1" applyBorder="1" applyAlignment="1" applyProtection="1">
      <alignment horizontal="center" vertical="center" wrapText="1"/>
    </xf>
    <xf numFmtId="0" fontId="123" fillId="0" borderId="37" xfId="0" applyFont="1" applyBorder="1" applyAlignment="1" applyProtection="1">
      <alignment horizontal="center" vertical="center" wrapText="1"/>
    </xf>
    <xf numFmtId="0" fontId="123" fillId="0" borderId="35" xfId="0" applyFont="1" applyBorder="1" applyAlignment="1" applyProtection="1">
      <alignment horizontal="center" vertical="center" wrapText="1"/>
    </xf>
    <xf numFmtId="0" fontId="123" fillId="0" borderId="22" xfId="0" applyFont="1" applyBorder="1" applyAlignment="1">
      <alignment horizontal="center" vertical="center"/>
    </xf>
    <xf numFmtId="0" fontId="123" fillId="0" borderId="52" xfId="0" applyFont="1" applyBorder="1" applyAlignment="1">
      <alignment horizontal="center" vertical="center"/>
    </xf>
    <xf numFmtId="0" fontId="123" fillId="0" borderId="24" xfId="0" applyFont="1" applyBorder="1" applyAlignment="1">
      <alignment horizontal="center" vertical="center"/>
    </xf>
    <xf numFmtId="0" fontId="123" fillId="0" borderId="59" xfId="0" applyFont="1" applyBorder="1" applyAlignment="1" applyProtection="1">
      <alignment horizontal="center" vertical="center"/>
    </xf>
    <xf numFmtId="0" fontId="123" fillId="0" borderId="48" xfId="0" applyFont="1" applyBorder="1" applyAlignment="1" applyProtection="1">
      <alignment horizontal="center" vertical="center"/>
    </xf>
    <xf numFmtId="0" fontId="15" fillId="0" borderId="0" xfId="0" applyFont="1" applyAlignment="1" applyProtection="1">
      <alignment horizontal="left" vertical="center" wrapText="1"/>
    </xf>
    <xf numFmtId="0" fontId="140" fillId="0" borderId="0" xfId="0" applyFont="1" applyAlignment="1" applyProtection="1">
      <alignment horizontal="left" vertical="center" wrapText="1"/>
    </xf>
    <xf numFmtId="0" fontId="17" fillId="0" borderId="36" xfId="0" applyFont="1" applyFill="1" applyBorder="1" applyAlignment="1">
      <alignment horizontal="left" vertical="center" wrapText="1"/>
    </xf>
    <xf numFmtId="0" fontId="123" fillId="0" borderId="21" xfId="0" applyFont="1" applyFill="1" applyBorder="1" applyAlignment="1">
      <alignment horizontal="center" vertical="center" textRotation="90" wrapText="1"/>
    </xf>
    <xf numFmtId="0" fontId="123" fillId="0" borderId="56" xfId="0" applyFont="1" applyFill="1" applyBorder="1" applyAlignment="1">
      <alignment horizontal="center" vertical="center" textRotation="90" wrapText="1"/>
    </xf>
    <xf numFmtId="0" fontId="123" fillId="0" borderId="23" xfId="0" applyFont="1" applyFill="1" applyBorder="1" applyAlignment="1">
      <alignment horizontal="center" vertical="center" textRotation="90" wrapText="1"/>
    </xf>
    <xf numFmtId="0" fontId="8" fillId="0" borderId="0" xfId="0" applyFont="1" applyAlignment="1" applyProtection="1">
      <alignment horizontal="left" vertical="center" wrapText="1"/>
    </xf>
    <xf numFmtId="0" fontId="139" fillId="0" borderId="0" xfId="0" applyFont="1" applyAlignment="1" applyProtection="1">
      <alignment horizontal="left" vertical="center" wrapText="1"/>
    </xf>
    <xf numFmtId="0" fontId="124" fillId="0" borderId="36" xfId="510" quotePrefix="1" applyFont="1" applyFill="1" applyBorder="1" applyAlignment="1" applyProtection="1">
      <alignment horizontal="center" vertical="center" wrapText="1"/>
    </xf>
    <xf numFmtId="0" fontId="124" fillId="0" borderId="43" xfId="510" quotePrefix="1" applyFont="1" applyFill="1" applyBorder="1" applyAlignment="1" applyProtection="1">
      <alignment horizontal="center" vertical="center" wrapText="1"/>
    </xf>
    <xf numFmtId="0" fontId="124" fillId="0" borderId="34" xfId="510" quotePrefix="1" applyFont="1" applyFill="1" applyBorder="1" applyAlignment="1" applyProtection="1">
      <alignment horizontal="center" vertical="center" wrapText="1"/>
    </xf>
    <xf numFmtId="0" fontId="124" fillId="0" borderId="36" xfId="510" applyFont="1" applyFill="1" applyBorder="1" applyAlignment="1" applyProtection="1">
      <alignment horizontal="center" vertical="center" wrapText="1"/>
    </xf>
    <xf numFmtId="0" fontId="124" fillId="0" borderId="43" xfId="510" applyFont="1" applyFill="1" applyBorder="1" applyAlignment="1" applyProtection="1">
      <alignment horizontal="center" vertical="center" wrapText="1"/>
    </xf>
    <xf numFmtId="0" fontId="124" fillId="0" borderId="34" xfId="510" applyFont="1" applyFill="1" applyBorder="1" applyAlignment="1" applyProtection="1">
      <alignment horizontal="center" vertical="center" wrapText="1"/>
    </xf>
    <xf numFmtId="0" fontId="124" fillId="41" borderId="36" xfId="510" applyFont="1" applyFill="1" applyBorder="1" applyAlignment="1" applyProtection="1">
      <alignment horizontal="center" vertical="center" wrapText="1"/>
      <protection locked="0"/>
    </xf>
    <xf numFmtId="0" fontId="124" fillId="41" borderId="43" xfId="510" applyFont="1" applyFill="1" applyBorder="1" applyAlignment="1" applyProtection="1">
      <alignment horizontal="center" vertical="center" wrapText="1"/>
      <protection locked="0"/>
    </xf>
    <xf numFmtId="0" fontId="124" fillId="41" borderId="34" xfId="510" applyFont="1" applyFill="1" applyBorder="1" applyAlignment="1" applyProtection="1">
      <alignment horizontal="center" vertical="center" wrapText="1"/>
      <protection locked="0"/>
    </xf>
    <xf numFmtId="0" fontId="124" fillId="27" borderId="19" xfId="510" applyFont="1" applyFill="1" applyBorder="1" applyAlignment="1" applyProtection="1">
      <alignment horizontal="center" vertical="center" wrapText="1"/>
    </xf>
    <xf numFmtId="0" fontId="124" fillId="41" borderId="19" xfId="510" applyFont="1" applyFill="1" applyBorder="1" applyAlignment="1" applyProtection="1">
      <alignment horizontal="center" vertical="center"/>
      <protection locked="0"/>
    </xf>
    <xf numFmtId="0" fontId="124" fillId="0" borderId="19" xfId="510" applyFont="1" applyFill="1" applyBorder="1" applyAlignment="1" applyProtection="1">
      <alignment horizontal="center" vertical="center"/>
    </xf>
    <xf numFmtId="0" fontId="123" fillId="0" borderId="19" xfId="0" applyFont="1" applyBorder="1" applyAlignment="1" applyProtection="1">
      <alignment horizontal="center" vertical="center"/>
    </xf>
    <xf numFmtId="0" fontId="123" fillId="0" borderId="34" xfId="0" applyFont="1" applyBorder="1" applyAlignment="1">
      <alignment horizontal="center" vertical="center"/>
    </xf>
    <xf numFmtId="0" fontId="123" fillId="0" borderId="21" xfId="0" applyFont="1" applyBorder="1" applyAlignment="1">
      <alignment horizontal="center" vertical="center" wrapText="1"/>
    </xf>
    <xf numFmtId="0" fontId="123" fillId="0" borderId="23" xfId="0" applyFont="1" applyBorder="1" applyAlignment="1">
      <alignment horizontal="center" vertical="center" wrapText="1"/>
    </xf>
    <xf numFmtId="0" fontId="123" fillId="0" borderId="22" xfId="0" applyFont="1" applyBorder="1" applyAlignment="1" applyProtection="1">
      <alignment horizontal="center" vertical="center" wrapText="1"/>
    </xf>
    <xf numFmtId="0" fontId="123" fillId="0" borderId="24" xfId="0" applyFont="1" applyBorder="1" applyAlignment="1" applyProtection="1">
      <alignment horizontal="center" vertical="center" wrapText="1"/>
    </xf>
    <xf numFmtId="0" fontId="123" fillId="0" borderId="54" xfId="0" applyFont="1" applyBorder="1" applyAlignment="1" applyProtection="1">
      <alignment horizontal="center" vertical="center" wrapText="1"/>
    </xf>
    <xf numFmtId="0" fontId="123" fillId="0" borderId="58" xfId="0" applyFont="1" applyBorder="1" applyAlignment="1">
      <alignment horizontal="center" vertical="center"/>
    </xf>
    <xf numFmtId="0" fontId="130" fillId="0" borderId="50" xfId="0" applyFont="1" applyBorder="1" applyAlignment="1" applyProtection="1">
      <alignment horizontal="left" vertical="center" wrapText="1"/>
    </xf>
    <xf numFmtId="0" fontId="130" fillId="0" borderId="50" xfId="0" applyFont="1" applyBorder="1" applyAlignment="1" applyProtection="1">
      <alignment horizontal="left" vertical="center"/>
    </xf>
    <xf numFmtId="0" fontId="132" fillId="0" borderId="85" xfId="0" applyFont="1" applyBorder="1" applyAlignment="1" applyProtection="1">
      <alignment horizontal="center" vertical="center" wrapText="1"/>
    </xf>
    <xf numFmtId="0" fontId="132" fillId="0" borderId="55" xfId="0" applyFont="1" applyBorder="1" applyAlignment="1" applyProtection="1">
      <alignment horizontal="center" vertical="center" wrapText="1"/>
    </xf>
    <xf numFmtId="0" fontId="132" fillId="0" borderId="37" xfId="0" applyFont="1" applyBorder="1" applyAlignment="1" applyProtection="1">
      <alignment horizontal="center" vertical="center" wrapText="1"/>
    </xf>
    <xf numFmtId="0" fontId="16" fillId="0" borderId="21" xfId="0" applyFont="1" applyFill="1" applyBorder="1" applyAlignment="1" applyProtection="1">
      <alignment horizontal="center" vertical="center" wrapText="1"/>
    </xf>
    <xf numFmtId="0" fontId="129" fillId="0" borderId="55" xfId="0" applyFont="1" applyFill="1" applyBorder="1" applyAlignment="1"/>
    <xf numFmtId="0" fontId="126" fillId="0" borderId="56" xfId="0" applyFont="1" applyFill="1" applyBorder="1" applyAlignment="1" applyProtection="1">
      <alignment horizontal="center" vertical="center" wrapText="1"/>
    </xf>
    <xf numFmtId="0" fontId="129" fillId="0" borderId="0" xfId="0" applyFont="1" applyFill="1" applyBorder="1" applyAlignment="1"/>
    <xf numFmtId="0" fontId="129" fillId="0" borderId="23" xfId="0" applyFont="1" applyFill="1" applyBorder="1" applyAlignment="1" applyProtection="1"/>
    <xf numFmtId="0" fontId="129" fillId="0" borderId="50" xfId="0" applyFont="1" applyFill="1" applyBorder="1" applyAlignment="1"/>
    <xf numFmtId="0" fontId="72" fillId="0" borderId="51" xfId="0" applyFont="1" applyFill="1" applyBorder="1" applyAlignment="1">
      <alignment horizontal="center" vertical="center" wrapText="1"/>
    </xf>
    <xf numFmtId="0" fontId="72" fillId="0" borderId="31" xfId="0" applyFont="1" applyFill="1" applyBorder="1" applyAlignment="1">
      <alignment horizontal="center" vertical="center" wrapText="1"/>
    </xf>
    <xf numFmtId="0" fontId="72" fillId="0" borderId="30" xfId="0" applyFont="1" applyFill="1" applyBorder="1" applyAlignment="1">
      <alignment horizontal="center" vertical="center" wrapText="1"/>
    </xf>
    <xf numFmtId="0" fontId="33" fillId="34" borderId="20" xfId="0" applyFont="1" applyFill="1" applyBorder="1" applyAlignment="1" applyProtection="1">
      <alignment horizontal="center" vertical="center" wrapText="1"/>
    </xf>
    <xf numFmtId="0" fontId="8" fillId="82" borderId="20" xfId="0" applyFont="1" applyFill="1" applyBorder="1" applyAlignment="1">
      <alignment horizontal="left" vertical="center" wrapText="1"/>
    </xf>
    <xf numFmtId="0" fontId="59" fillId="0" borderId="20" xfId="0" applyFont="1" applyFill="1" applyBorder="1" applyAlignment="1">
      <alignment horizontal="center" vertical="center"/>
    </xf>
    <xf numFmtId="0" fontId="143" fillId="82" borderId="26" xfId="0" applyFont="1" applyFill="1" applyBorder="1" applyAlignment="1">
      <alignment horizontal="left" vertical="center" wrapText="1"/>
    </xf>
    <xf numFmtId="0" fontId="143" fillId="82" borderId="64" xfId="0" applyFont="1" applyFill="1" applyBorder="1" applyAlignment="1">
      <alignment horizontal="left" vertical="center" wrapText="1"/>
    </xf>
    <xf numFmtId="0" fontId="143" fillId="82" borderId="65" xfId="0" applyFont="1" applyFill="1" applyBorder="1" applyAlignment="1">
      <alignment horizontal="left" vertical="center" wrapText="1"/>
    </xf>
    <xf numFmtId="0" fontId="143" fillId="82" borderId="66" xfId="0" applyFont="1" applyFill="1" applyBorder="1" applyAlignment="1">
      <alignment horizontal="left" vertical="center" wrapText="1"/>
    </xf>
    <xf numFmtId="0" fontId="143" fillId="82" borderId="25" xfId="0" applyFont="1" applyFill="1" applyBorder="1" applyAlignment="1">
      <alignment horizontal="left" vertical="center" wrapText="1"/>
    </xf>
    <xf numFmtId="0" fontId="143" fillId="82" borderId="67" xfId="0" applyFont="1" applyFill="1" applyBorder="1" applyAlignment="1">
      <alignment horizontal="left" vertical="center" wrapText="1"/>
    </xf>
    <xf numFmtId="0" fontId="145" fillId="0" borderId="20" xfId="0" applyFont="1" applyFill="1" applyBorder="1" applyAlignment="1">
      <alignment horizontal="center" vertical="center"/>
    </xf>
    <xf numFmtId="0" fontId="8" fillId="0" borderId="20" xfId="0" applyFont="1" applyFill="1" applyBorder="1" applyAlignment="1">
      <alignment horizontal="left" vertical="center" wrapText="1"/>
    </xf>
    <xf numFmtId="0" fontId="8" fillId="82" borderId="26" xfId="0" applyFont="1" applyFill="1" applyBorder="1" applyAlignment="1">
      <alignment horizontal="left" vertical="center" wrapText="1"/>
    </xf>
    <xf numFmtId="0" fontId="8" fillId="82" borderId="64" xfId="0" applyFont="1" applyFill="1" applyBorder="1" applyAlignment="1">
      <alignment horizontal="left" vertical="center" wrapText="1"/>
    </xf>
    <xf numFmtId="0" fontId="8" fillId="82" borderId="65" xfId="0" applyFont="1" applyFill="1" applyBorder="1" applyAlignment="1">
      <alignment horizontal="left" vertical="center" wrapText="1"/>
    </xf>
    <xf numFmtId="0" fontId="8" fillId="82" borderId="66" xfId="0" applyFont="1" applyFill="1" applyBorder="1" applyAlignment="1">
      <alignment horizontal="left" vertical="center" wrapText="1"/>
    </xf>
    <xf numFmtId="0" fontId="8" fillId="82" borderId="25" xfId="0" applyFont="1" applyFill="1" applyBorder="1" applyAlignment="1">
      <alignment horizontal="left" vertical="center" wrapText="1"/>
    </xf>
    <xf numFmtId="0" fontId="8" fillId="82" borderId="67" xfId="0" applyFont="1" applyFill="1" applyBorder="1" applyAlignment="1">
      <alignment horizontal="left" vertical="center" wrapText="1"/>
    </xf>
    <xf numFmtId="0" fontId="8" fillId="82" borderId="39" xfId="0" applyFont="1" applyFill="1" applyBorder="1" applyAlignment="1">
      <alignment horizontal="left" vertical="center" wrapText="1"/>
    </xf>
    <xf numFmtId="0" fontId="8" fillId="82" borderId="40" xfId="0" applyFont="1" applyFill="1" applyBorder="1" applyAlignment="1">
      <alignment horizontal="left" vertical="center" wrapText="1"/>
    </xf>
    <xf numFmtId="0" fontId="8" fillId="82" borderId="38" xfId="0" applyFont="1" applyFill="1" applyBorder="1" applyAlignment="1">
      <alignment horizontal="left" vertical="center" wrapText="1"/>
    </xf>
    <xf numFmtId="0" fontId="59" fillId="0" borderId="39" xfId="0" applyFont="1" applyFill="1" applyBorder="1" applyAlignment="1">
      <alignment horizontal="center" vertical="center"/>
    </xf>
    <xf numFmtId="0" fontId="59" fillId="0" borderId="40" xfId="0" applyFont="1" applyFill="1" applyBorder="1" applyAlignment="1">
      <alignment horizontal="center" vertical="center"/>
    </xf>
    <xf numFmtId="0" fontId="59" fillId="0" borderId="38" xfId="0" applyFont="1" applyFill="1" applyBorder="1" applyAlignment="1">
      <alignment horizontal="center" vertical="center"/>
    </xf>
    <xf numFmtId="0" fontId="8" fillId="33" borderId="39" xfId="0" applyFont="1" applyFill="1" applyBorder="1" applyAlignment="1" applyProtection="1">
      <alignment horizontal="left" vertical="center" wrapText="1"/>
      <protection locked="0"/>
    </xf>
    <xf numFmtId="0" fontId="8" fillId="33" borderId="40" xfId="0" applyFont="1" applyFill="1" applyBorder="1" applyAlignment="1" applyProtection="1">
      <alignment horizontal="left" vertical="center" wrapText="1"/>
      <protection locked="0"/>
    </xf>
    <xf numFmtId="0" fontId="8" fillId="33" borderId="38" xfId="0" applyFont="1" applyFill="1" applyBorder="1" applyAlignment="1" applyProtection="1">
      <alignment horizontal="left" vertical="center" wrapText="1"/>
      <protection locked="0"/>
    </xf>
    <xf numFmtId="9" fontId="59" fillId="0" borderId="39" xfId="0" applyNumberFormat="1" applyFont="1" applyFill="1" applyBorder="1" applyAlignment="1">
      <alignment horizontal="center" vertical="center"/>
    </xf>
    <xf numFmtId="0" fontId="8" fillId="0" borderId="26" xfId="0" applyFont="1" applyBorder="1" applyAlignment="1">
      <alignment horizontal="left" vertical="center" wrapText="1"/>
    </xf>
    <xf numFmtId="0" fontId="8" fillId="0" borderId="64" xfId="0" applyFont="1" applyBorder="1" applyAlignment="1">
      <alignment horizontal="left" vertical="center" wrapText="1"/>
    </xf>
    <xf numFmtId="0" fontId="8" fillId="0" borderId="65" xfId="0" applyFont="1" applyBorder="1" applyAlignment="1">
      <alignment horizontal="left" vertical="center" wrapText="1"/>
    </xf>
    <xf numFmtId="0" fontId="8" fillId="0" borderId="66" xfId="0" applyFont="1" applyBorder="1" applyAlignment="1">
      <alignment horizontal="left" vertical="center" wrapText="1"/>
    </xf>
    <xf numFmtId="0" fontId="8" fillId="0" borderId="25" xfId="0" applyFont="1" applyBorder="1" applyAlignment="1">
      <alignment horizontal="left" vertical="center" wrapText="1"/>
    </xf>
    <xf numFmtId="0" fontId="8" fillId="0" borderId="67" xfId="0" applyFont="1" applyBorder="1" applyAlignment="1">
      <alignment horizontal="left" vertical="center" wrapText="1"/>
    </xf>
    <xf numFmtId="9" fontId="145" fillId="0" borderId="20" xfId="0" applyNumberFormat="1" applyFont="1" applyFill="1" applyBorder="1" applyAlignment="1">
      <alignment horizontal="center" vertical="center"/>
    </xf>
    <xf numFmtId="0" fontId="144" fillId="0" borderId="20" xfId="0" applyFont="1" applyFill="1" applyBorder="1" applyAlignment="1" applyProtection="1">
      <alignment horizontal="center" vertical="center" wrapText="1"/>
    </xf>
    <xf numFmtId="0" fontId="143" fillId="33" borderId="39" xfId="0" quotePrefix="1" applyNumberFormat="1" applyFont="1" applyFill="1" applyBorder="1" applyAlignment="1" applyProtection="1">
      <alignment horizontal="left" vertical="center" wrapText="1"/>
      <protection locked="0"/>
    </xf>
    <xf numFmtId="0" fontId="146" fillId="42" borderId="20" xfId="0" applyFont="1" applyFill="1" applyBorder="1" applyAlignment="1" applyProtection="1">
      <alignment horizontal="left" vertical="center" wrapText="1"/>
      <protection locked="0"/>
    </xf>
    <xf numFmtId="0" fontId="143" fillId="33" borderId="20" xfId="0" applyFont="1" applyFill="1" applyBorder="1" applyAlignment="1" applyProtection="1">
      <alignment horizontal="left" vertical="center" wrapText="1"/>
      <protection locked="0"/>
    </xf>
    <xf numFmtId="0" fontId="34" fillId="82" borderId="20" xfId="0" applyFont="1" applyFill="1" applyBorder="1" applyAlignment="1">
      <alignment horizontal="center" vertical="center" wrapText="1"/>
    </xf>
    <xf numFmtId="0" fontId="8" fillId="33" borderId="39" xfId="0" applyNumberFormat="1" applyFont="1" applyFill="1" applyBorder="1" applyAlignment="1" applyProtection="1">
      <alignment horizontal="left" vertical="center" wrapText="1"/>
      <protection locked="0"/>
    </xf>
    <xf numFmtId="0" fontId="9" fillId="42" borderId="20" xfId="0" applyFont="1" applyFill="1" applyBorder="1" applyAlignment="1" applyProtection="1">
      <alignment horizontal="left" vertical="center" wrapText="1"/>
      <protection locked="0"/>
    </xf>
    <xf numFmtId="0" fontId="8" fillId="33" borderId="20" xfId="0" quotePrefix="1" applyFont="1" applyFill="1" applyBorder="1" applyAlignment="1" applyProtection="1">
      <alignment horizontal="left" vertical="center" wrapText="1"/>
      <protection locked="0"/>
    </xf>
    <xf numFmtId="0" fontId="8" fillId="33" borderId="20" xfId="0" applyFont="1" applyFill="1" applyBorder="1" applyAlignment="1" applyProtection="1">
      <alignment horizontal="left" vertical="center" wrapText="1"/>
      <protection locked="0"/>
    </xf>
    <xf numFmtId="0" fontId="59" fillId="0" borderId="26" xfId="0" applyFont="1" applyFill="1" applyBorder="1" applyAlignment="1">
      <alignment horizontal="center" vertical="center" wrapText="1"/>
    </xf>
    <xf numFmtId="0" fontId="59" fillId="0" borderId="64" xfId="0" applyFont="1" applyFill="1" applyBorder="1" applyAlignment="1">
      <alignment horizontal="center" vertical="center" wrapText="1"/>
    </xf>
    <xf numFmtId="0" fontId="59" fillId="0" borderId="65" xfId="0" applyFont="1" applyFill="1" applyBorder="1" applyAlignment="1">
      <alignment horizontal="center" vertical="center" wrapText="1"/>
    </xf>
    <xf numFmtId="0" fontId="59" fillId="0" borderId="66" xfId="0" applyFont="1" applyFill="1" applyBorder="1" applyAlignment="1">
      <alignment horizontal="center" vertical="center" wrapText="1"/>
    </xf>
    <xf numFmtId="0" fontId="59" fillId="0" borderId="25" xfId="0" applyFont="1" applyFill="1" applyBorder="1" applyAlignment="1">
      <alignment horizontal="center" vertical="center" wrapText="1"/>
    </xf>
    <xf numFmtId="0" fontId="59" fillId="0" borderId="67" xfId="0" applyFont="1" applyFill="1" applyBorder="1" applyAlignment="1">
      <alignment horizontal="center" vertical="center" wrapText="1"/>
    </xf>
    <xf numFmtId="9" fontId="59" fillId="0" borderId="20" xfId="0" applyNumberFormat="1" applyFont="1" applyFill="1" applyBorder="1" applyAlignment="1">
      <alignment horizontal="center" vertical="center"/>
    </xf>
    <xf numFmtId="0" fontId="8" fillId="33" borderId="39" xfId="0" quotePrefix="1" applyNumberFormat="1" applyFont="1" applyFill="1" applyBorder="1" applyAlignment="1" applyProtection="1">
      <alignment horizontal="left" vertical="center" wrapText="1"/>
      <protection locked="0"/>
    </xf>
    <xf numFmtId="0" fontId="8" fillId="82" borderId="39" xfId="0" applyFont="1" applyFill="1" applyBorder="1" applyAlignment="1">
      <alignment horizontal="center" vertical="center" wrapText="1"/>
    </xf>
    <xf numFmtId="0" fontId="8" fillId="82" borderId="40" xfId="0" applyFont="1" applyFill="1" applyBorder="1" applyAlignment="1">
      <alignment horizontal="center" vertical="center"/>
    </xf>
    <xf numFmtId="0" fontId="8" fillId="82" borderId="38" xfId="0" applyFont="1" applyFill="1" applyBorder="1" applyAlignment="1">
      <alignment horizontal="center" vertical="center"/>
    </xf>
    <xf numFmtId="0" fontId="8" fillId="82" borderId="20" xfId="0" applyFont="1" applyFill="1" applyBorder="1" applyAlignment="1">
      <alignment horizontal="center" vertical="center" wrapText="1"/>
    </xf>
    <xf numFmtId="0" fontId="8" fillId="82" borderId="20" xfId="0" applyFont="1" applyFill="1" applyBorder="1" applyAlignment="1">
      <alignment horizontal="center" vertical="center"/>
    </xf>
    <xf numFmtId="0" fontId="34" fillId="82" borderId="39" xfId="0" applyFont="1" applyFill="1" applyBorder="1" applyAlignment="1">
      <alignment horizontal="center" vertical="center" wrapText="1"/>
    </xf>
    <xf numFmtId="0" fontId="34" fillId="82" borderId="40" xfId="0" applyFont="1" applyFill="1" applyBorder="1" applyAlignment="1">
      <alignment horizontal="center" vertical="center" wrapText="1"/>
    </xf>
    <xf numFmtId="0" fontId="34" fillId="82" borderId="38" xfId="0" applyFont="1" applyFill="1" applyBorder="1" applyAlignment="1">
      <alignment horizontal="center" vertical="center" wrapText="1"/>
    </xf>
    <xf numFmtId="0" fontId="130" fillId="79" borderId="20" xfId="0" applyNumberFormat="1" applyFont="1" applyFill="1" applyBorder="1" applyAlignment="1" applyProtection="1">
      <alignment horizontal="left" vertical="center" wrapText="1"/>
    </xf>
    <xf numFmtId="0" fontId="8" fillId="79" borderId="20" xfId="0" applyNumberFormat="1" applyFont="1" applyFill="1" applyBorder="1" applyAlignment="1" applyProtection="1">
      <alignment horizontal="left" vertical="center" wrapText="1"/>
    </xf>
    <xf numFmtId="0" fontId="147" fillId="79" borderId="20" xfId="0" applyNumberFormat="1" applyFont="1" applyFill="1" applyBorder="1" applyAlignment="1" applyProtection="1">
      <alignment horizontal="center" vertical="center"/>
    </xf>
    <xf numFmtId="0" fontId="151" fillId="79" borderId="20" xfId="0" applyNumberFormat="1" applyFont="1" applyFill="1" applyBorder="1" applyAlignment="1" applyProtection="1">
      <alignment horizontal="center" vertical="center" wrapText="1"/>
    </xf>
    <xf numFmtId="0" fontId="8" fillId="0" borderId="20" xfId="0" applyFont="1" applyBorder="1" applyAlignment="1">
      <alignment horizontal="center" vertical="center" wrapText="1"/>
    </xf>
    <xf numFmtId="0" fontId="8" fillId="0" borderId="20" xfId="0" applyFont="1" applyBorder="1" applyAlignment="1">
      <alignment horizontal="center" vertical="center"/>
    </xf>
    <xf numFmtId="0" fontId="34" fillId="0" borderId="20" xfId="0" applyFont="1" applyBorder="1" applyAlignment="1">
      <alignment horizontal="center" vertical="center"/>
    </xf>
    <xf numFmtId="0" fontId="8" fillId="0" borderId="20" xfId="0" applyFont="1" applyBorder="1" applyAlignment="1">
      <alignment horizontal="left" vertical="center" wrapText="1"/>
    </xf>
    <xf numFmtId="0" fontId="147" fillId="79" borderId="20" xfId="0" applyNumberFormat="1" applyFont="1" applyFill="1" applyBorder="1" applyAlignment="1" applyProtection="1">
      <alignment horizontal="center" vertical="center" wrapText="1"/>
    </xf>
    <xf numFmtId="0" fontId="148" fillId="79" borderId="20" xfId="0" applyNumberFormat="1" applyFont="1" applyFill="1" applyBorder="1" applyAlignment="1" applyProtection="1">
      <alignment horizontal="center" vertical="center"/>
    </xf>
    <xf numFmtId="0" fontId="8" fillId="33" borderId="40" xfId="0" applyNumberFormat="1" applyFont="1" applyFill="1" applyBorder="1" applyAlignment="1" applyProtection="1">
      <alignment horizontal="left" vertical="center" wrapText="1"/>
      <protection locked="0"/>
    </xf>
    <xf numFmtId="0" fontId="8" fillId="33" borderId="38" xfId="0" applyNumberFormat="1" applyFont="1" applyFill="1" applyBorder="1" applyAlignment="1" applyProtection="1">
      <alignment horizontal="left" vertical="center" wrapText="1"/>
      <protection locked="0"/>
    </xf>
    <xf numFmtId="1" fontId="26" fillId="30" borderId="39" xfId="0" applyNumberFormat="1" applyFont="1" applyFill="1" applyBorder="1" applyAlignment="1" applyProtection="1">
      <alignment horizontal="center" vertical="center" wrapText="1"/>
    </xf>
    <xf numFmtId="0" fontId="68" fillId="0" borderId="40" xfId="0" applyFont="1" applyBorder="1" applyAlignment="1"/>
    <xf numFmtId="0" fontId="68" fillId="0" borderId="38" xfId="0" applyFont="1" applyBorder="1" applyAlignment="1"/>
    <xf numFmtId="0" fontId="15" fillId="0" borderId="20" xfId="0" applyFont="1" applyBorder="1" applyAlignment="1" applyProtection="1">
      <alignment vertical="center" wrapText="1"/>
    </xf>
    <xf numFmtId="0" fontId="59" fillId="0" borderId="39"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38" xfId="0" applyFont="1" applyFill="1" applyBorder="1" applyAlignment="1">
      <alignment horizontal="center" vertical="center" wrapText="1"/>
    </xf>
    <xf numFmtId="0" fontId="8" fillId="0" borderId="26" xfId="0" quotePrefix="1" applyFont="1" applyBorder="1" applyAlignment="1">
      <alignment horizontal="left" vertical="center" wrapText="1"/>
    </xf>
    <xf numFmtId="0" fontId="36" fillId="0" borderId="65" xfId="0" applyFont="1" applyBorder="1" applyAlignment="1">
      <alignment horizontal="left" vertical="center" wrapText="1"/>
    </xf>
    <xf numFmtId="0" fontId="36" fillId="0" borderId="66" xfId="0" applyFont="1" applyBorder="1" applyAlignment="1">
      <alignment horizontal="left" vertical="center" wrapText="1"/>
    </xf>
    <xf numFmtId="0" fontId="36" fillId="0" borderId="25" xfId="0" applyFont="1" applyBorder="1" applyAlignment="1">
      <alignment horizontal="left" vertical="center" wrapText="1"/>
    </xf>
    <xf numFmtId="0" fontId="36" fillId="0" borderId="67" xfId="0" applyFont="1" applyBorder="1" applyAlignment="1">
      <alignment horizontal="left" vertical="center" wrapText="1"/>
    </xf>
    <xf numFmtId="0" fontId="8" fillId="0" borderId="39"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38" xfId="0" applyFont="1" applyBorder="1" applyAlignment="1">
      <alignment horizontal="center" vertical="center" wrapText="1"/>
    </xf>
    <xf numFmtId="0" fontId="9" fillId="0" borderId="26" xfId="0" applyFont="1" applyFill="1" applyBorder="1" applyAlignment="1">
      <alignment horizontal="left" vertical="center" wrapText="1"/>
    </xf>
    <xf numFmtId="0" fontId="8" fillId="0" borderId="64" xfId="0" applyFont="1" applyFill="1" applyBorder="1" applyAlignment="1">
      <alignment horizontal="left" vertical="center" wrapText="1"/>
    </xf>
    <xf numFmtId="0" fontId="36" fillId="0" borderId="65" xfId="0" applyFont="1" applyFill="1" applyBorder="1" applyAlignment="1">
      <alignment horizontal="left" vertical="center" wrapText="1"/>
    </xf>
    <xf numFmtId="0" fontId="36" fillId="0" borderId="66" xfId="0" applyFont="1" applyFill="1" applyBorder="1" applyAlignment="1">
      <alignment horizontal="left" vertical="center" wrapText="1"/>
    </xf>
    <xf numFmtId="0" fontId="36" fillId="0" borderId="25" xfId="0" applyFont="1" applyFill="1" applyBorder="1" applyAlignment="1">
      <alignment horizontal="left" vertical="center" wrapText="1"/>
    </xf>
    <xf numFmtId="0" fontId="36" fillId="0" borderId="67" xfId="0" applyFont="1" applyFill="1" applyBorder="1" applyAlignment="1">
      <alignment horizontal="left" vertical="center" wrapText="1"/>
    </xf>
    <xf numFmtId="0" fontId="109" fillId="0" borderId="39" xfId="0" applyFont="1" applyFill="1" applyBorder="1" applyAlignment="1">
      <alignment horizontal="left" vertical="center" wrapText="1"/>
    </xf>
    <xf numFmtId="0" fontId="36" fillId="0" borderId="40" xfId="0" applyFont="1" applyFill="1" applyBorder="1" applyAlignment="1">
      <alignment horizontal="left" vertical="center" wrapText="1"/>
    </xf>
    <xf numFmtId="0" fontId="36" fillId="0" borderId="38" xfId="0" applyFont="1" applyFill="1" applyBorder="1" applyAlignment="1">
      <alignment horizontal="left" vertical="center" wrapText="1"/>
    </xf>
    <xf numFmtId="49" fontId="34" fillId="0" borderId="39" xfId="0" applyNumberFormat="1" applyFont="1" applyBorder="1" applyAlignment="1">
      <alignment horizontal="center" vertical="center" wrapText="1"/>
    </xf>
    <xf numFmtId="49" fontId="110" fillId="0" borderId="40" xfId="0" applyNumberFormat="1" applyFont="1" applyBorder="1" applyAlignment="1">
      <alignment horizontal="center" vertical="center" wrapText="1"/>
    </xf>
    <xf numFmtId="49" fontId="110" fillId="0" borderId="38" xfId="0" applyNumberFormat="1" applyFont="1" applyBorder="1" applyAlignment="1">
      <alignment horizontal="center" vertical="center" wrapText="1"/>
    </xf>
    <xf numFmtId="0" fontId="30" fillId="0" borderId="18" xfId="0" applyFont="1" applyBorder="1" applyAlignment="1" applyProtection="1">
      <alignment horizontal="center" vertical="center"/>
    </xf>
    <xf numFmtId="0" fontId="30" fillId="0" borderId="68" xfId="0" applyFont="1" applyBorder="1" applyAlignment="1" applyProtection="1">
      <alignment horizontal="center" vertical="center"/>
    </xf>
    <xf numFmtId="0" fontId="30" fillId="0" borderId="26" xfId="0" applyFont="1" applyBorder="1" applyAlignment="1" applyProtection="1">
      <alignment horizontal="center" vertical="center" wrapText="1"/>
    </xf>
    <xf numFmtId="0" fontId="30" fillId="0" borderId="64" xfId="0" applyFont="1" applyBorder="1" applyAlignment="1" applyProtection="1">
      <alignment horizontal="center" vertical="center" wrapText="1"/>
    </xf>
    <xf numFmtId="0" fontId="30" fillId="0" borderId="25" xfId="0" applyFont="1" applyBorder="1" applyAlignment="1" applyProtection="1">
      <alignment horizontal="center" vertical="center" wrapText="1"/>
    </xf>
    <xf numFmtId="0" fontId="30" fillId="0" borderId="67" xfId="0" applyFont="1" applyBorder="1" applyAlignment="1" applyProtection="1">
      <alignment horizontal="center" vertical="center" wrapText="1"/>
    </xf>
    <xf numFmtId="9" fontId="59" fillId="0" borderId="39" xfId="0" applyNumberFormat="1" applyFont="1" applyFill="1" applyBorder="1" applyAlignment="1">
      <alignment horizontal="center" vertical="center" wrapText="1"/>
    </xf>
    <xf numFmtId="0" fontId="80" fillId="0" borderId="39" xfId="0" applyFont="1" applyBorder="1" applyAlignment="1">
      <alignment horizontal="center" vertical="center" wrapText="1"/>
    </xf>
    <xf numFmtId="0" fontId="80" fillId="0" borderId="38" xfId="0" applyFont="1" applyBorder="1" applyAlignment="1">
      <alignment horizontal="center" vertical="center" wrapText="1"/>
    </xf>
    <xf numFmtId="0" fontId="30" fillId="0" borderId="39" xfId="0" applyFont="1" applyFill="1" applyBorder="1" applyAlignment="1" applyProtection="1">
      <alignment horizontal="center" vertical="center" wrapText="1"/>
    </xf>
    <xf numFmtId="0" fontId="23" fillId="0" borderId="38" xfId="0" applyFont="1" applyFill="1" applyBorder="1" applyAlignment="1" applyProtection="1">
      <alignment horizontal="center" vertical="center" wrapText="1"/>
    </xf>
    <xf numFmtId="0" fontId="23" fillId="0" borderId="64" xfId="0" applyFont="1" applyBorder="1" applyAlignment="1" applyProtection="1">
      <alignment horizontal="center" vertical="center" wrapText="1"/>
    </xf>
    <xf numFmtId="0" fontId="23" fillId="0" borderId="25" xfId="0" applyFont="1" applyBorder="1" applyAlignment="1" applyProtection="1">
      <alignment horizontal="center" vertical="center" wrapText="1"/>
    </xf>
    <xf numFmtId="0" fontId="23" fillId="0" borderId="67" xfId="0" applyFont="1" applyBorder="1" applyAlignment="1" applyProtection="1">
      <alignment horizontal="center" vertical="center" wrapText="1"/>
    </xf>
    <xf numFmtId="0" fontId="34" fillId="0" borderId="39" xfId="0" applyFont="1" applyBorder="1" applyAlignment="1">
      <alignment horizontal="center" vertical="center" wrapText="1"/>
    </xf>
    <xf numFmtId="0" fontId="110" fillId="0" borderId="40" xfId="0" applyFont="1" applyBorder="1" applyAlignment="1">
      <alignment horizontal="center" vertical="center" wrapText="1"/>
    </xf>
    <xf numFmtId="0" fontId="110" fillId="0" borderId="38" xfId="0" applyFont="1" applyBorder="1" applyAlignment="1">
      <alignment horizontal="center" vertical="center" wrapText="1"/>
    </xf>
    <xf numFmtId="0" fontId="30" fillId="0" borderId="39" xfId="0" applyFont="1" applyBorder="1" applyAlignment="1" applyProtection="1">
      <alignment horizontal="center" vertical="center" wrapText="1"/>
    </xf>
    <xf numFmtId="0" fontId="30" fillId="0" borderId="38" xfId="0" applyFont="1" applyBorder="1" applyAlignment="1" applyProtection="1">
      <alignment horizontal="center" vertical="center" wrapText="1"/>
    </xf>
    <xf numFmtId="0" fontId="36" fillId="0" borderId="40" xfId="0" applyFont="1" applyBorder="1" applyAlignment="1">
      <alignment horizontal="center" vertical="center" wrapText="1"/>
    </xf>
    <xf numFmtId="0" fontId="36" fillId="0" borderId="38" xfId="0" applyFont="1" applyBorder="1" applyAlignment="1">
      <alignment horizontal="center" vertical="center" wrapText="1"/>
    </xf>
    <xf numFmtId="0" fontId="8" fillId="0" borderId="39" xfId="0" applyFont="1" applyFill="1" applyBorder="1" applyAlignment="1">
      <alignment horizontal="left" vertical="center" wrapText="1"/>
    </xf>
    <xf numFmtId="0" fontId="8" fillId="0" borderId="39" xfId="0" applyFont="1" applyBorder="1" applyAlignment="1">
      <alignment horizontal="left" vertical="center" wrapText="1"/>
    </xf>
    <xf numFmtId="0" fontId="36" fillId="0" borderId="40" xfId="0" applyFont="1" applyBorder="1" applyAlignment="1">
      <alignment horizontal="left" vertical="center" wrapText="1"/>
    </xf>
    <xf numFmtId="0" fontId="36" fillId="0" borderId="38" xfId="0" applyFont="1" applyBorder="1" applyAlignment="1">
      <alignment horizontal="left" vertical="center" wrapText="1"/>
    </xf>
    <xf numFmtId="0" fontId="12" fillId="30" borderId="36" xfId="510" applyFont="1" applyFill="1" applyBorder="1" applyAlignment="1" applyProtection="1">
      <alignment vertical="center"/>
    </xf>
    <xf numFmtId="0" fontId="12" fillId="30" borderId="43" xfId="510" applyFont="1" applyFill="1" applyBorder="1" applyAlignment="1" applyProtection="1">
      <alignment vertical="center"/>
    </xf>
    <xf numFmtId="0" fontId="30" fillId="30" borderId="43" xfId="0" applyFont="1" applyFill="1" applyBorder="1" applyAlignment="1" applyProtection="1"/>
    <xf numFmtId="0" fontId="0" fillId="0" borderId="34" xfId="0" applyBorder="1" applyAlignment="1"/>
    <xf numFmtId="0" fontId="0" fillId="0" borderId="34" xfId="0" applyBorder="1" applyAlignment="1">
      <alignment vertical="center"/>
    </xf>
    <xf numFmtId="0" fontId="30" fillId="0" borderId="20" xfId="0" applyFont="1" applyBorder="1" applyAlignment="1" applyProtection="1">
      <alignment horizontal="center" vertical="center" wrapText="1"/>
    </xf>
    <xf numFmtId="0" fontId="0" fillId="0" borderId="20" xfId="0" applyBorder="1" applyAlignment="1">
      <alignment horizontal="center" vertical="center" wrapText="1"/>
    </xf>
    <xf numFmtId="0" fontId="23" fillId="0" borderId="20" xfId="0" applyFont="1" applyBorder="1" applyAlignment="1" applyProtection="1">
      <alignment horizontal="center" vertical="center" wrapText="1"/>
    </xf>
    <xf numFmtId="0" fontId="15" fillId="0" borderId="84" xfId="0" applyFont="1" applyFill="1" applyBorder="1" applyAlignment="1" applyProtection="1">
      <alignment vertical="center" wrapText="1"/>
    </xf>
    <xf numFmtId="14" fontId="30" fillId="30" borderId="36" xfId="0" applyNumberFormat="1" applyFont="1" applyFill="1" applyBorder="1" applyAlignment="1" applyProtection="1">
      <alignment horizontal="center" vertical="center"/>
    </xf>
    <xf numFmtId="14" fontId="30" fillId="30" borderId="43" xfId="0" applyNumberFormat="1" applyFont="1" applyFill="1" applyBorder="1" applyAlignment="1" applyProtection="1">
      <alignment horizontal="center" vertical="center"/>
    </xf>
    <xf numFmtId="0" fontId="0" fillId="0" borderId="43" xfId="0" applyBorder="1" applyAlignment="1">
      <alignment horizontal="center" vertical="center"/>
    </xf>
    <xf numFmtId="0" fontId="0" fillId="0" borderId="34" xfId="0" applyBorder="1" applyAlignment="1">
      <alignment horizontal="center" vertical="center"/>
    </xf>
    <xf numFmtId="0" fontId="58" fillId="0" borderId="20" xfId="0" applyFont="1" applyBorder="1" applyAlignment="1" applyProtection="1">
      <alignment horizontal="center" vertical="center" wrapText="1"/>
    </xf>
    <xf numFmtId="0" fontId="80" fillId="0" borderId="20" xfId="0" applyFont="1" applyBorder="1" applyAlignment="1">
      <alignment horizontal="center" vertical="center" wrapText="1"/>
    </xf>
    <xf numFmtId="0" fontId="8" fillId="0" borderId="26" xfId="0" applyFont="1" applyFill="1" applyBorder="1" applyAlignment="1">
      <alignment horizontal="left" vertical="center" wrapText="1"/>
    </xf>
    <xf numFmtId="0" fontId="8" fillId="0" borderId="65" xfId="0" applyFont="1" applyFill="1" applyBorder="1" applyAlignment="1">
      <alignment horizontal="left" vertical="center" wrapText="1"/>
    </xf>
    <xf numFmtId="0" fontId="8" fillId="0" borderId="66"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0" borderId="67" xfId="0" applyFont="1" applyFill="1" applyBorder="1" applyAlignment="1">
      <alignment horizontal="left" vertical="center" wrapText="1"/>
    </xf>
    <xf numFmtId="0" fontId="147" fillId="79" borderId="20" xfId="0" applyNumberFormat="1" applyFont="1" applyFill="1" applyBorder="1" applyAlignment="1" applyProtection="1">
      <alignment horizontal="left" vertical="center" wrapText="1"/>
    </xf>
    <xf numFmtId="0" fontId="147" fillId="79" borderId="26" xfId="0" applyNumberFormat="1" applyFont="1" applyFill="1" applyBorder="1" applyAlignment="1" applyProtection="1">
      <alignment horizontal="left" vertical="center" wrapText="1"/>
    </xf>
    <xf numFmtId="0" fontId="147" fillId="79" borderId="64" xfId="0" applyNumberFormat="1" applyFont="1" applyFill="1" applyBorder="1" applyAlignment="1" applyProtection="1">
      <alignment horizontal="left" vertical="center" wrapText="1"/>
    </xf>
    <xf numFmtId="0" fontId="147" fillId="79" borderId="65" xfId="0" applyNumberFormat="1" applyFont="1" applyFill="1" applyBorder="1" applyAlignment="1" applyProtection="1">
      <alignment horizontal="left" vertical="center" wrapText="1"/>
    </xf>
    <xf numFmtId="0" fontId="147" fillId="79" borderId="66" xfId="0" applyNumberFormat="1" applyFont="1" applyFill="1" applyBorder="1" applyAlignment="1" applyProtection="1">
      <alignment horizontal="left" vertical="center" wrapText="1"/>
    </xf>
    <xf numFmtId="0" fontId="147" fillId="79" borderId="25" xfId="0" applyNumberFormat="1" applyFont="1" applyFill="1" applyBorder="1" applyAlignment="1" applyProtection="1">
      <alignment horizontal="left" vertical="center" wrapText="1"/>
    </xf>
    <xf numFmtId="0" fontId="147" fillId="79" borderId="67" xfId="0" applyNumberFormat="1" applyFont="1" applyFill="1" applyBorder="1" applyAlignment="1" applyProtection="1">
      <alignment horizontal="left" vertical="center" wrapText="1"/>
    </xf>
    <xf numFmtId="0" fontId="147" fillId="79" borderId="26" xfId="0" applyNumberFormat="1" applyFont="1" applyFill="1" applyBorder="1" applyAlignment="1" applyProtection="1">
      <alignment horizontal="center" vertical="center" wrapText="1"/>
    </xf>
    <xf numFmtId="0" fontId="147" fillId="79" borderId="64" xfId="0" applyNumberFormat="1" applyFont="1" applyFill="1" applyBorder="1" applyAlignment="1" applyProtection="1">
      <alignment horizontal="center" vertical="center" wrapText="1"/>
    </xf>
    <xf numFmtId="0" fontId="147" fillId="79" borderId="65" xfId="0" applyNumberFormat="1" applyFont="1" applyFill="1" applyBorder="1" applyAlignment="1" applyProtection="1">
      <alignment horizontal="center" vertical="center" wrapText="1"/>
    </xf>
    <xf numFmtId="0" fontId="147" fillId="79" borderId="66" xfId="0" applyNumberFormat="1" applyFont="1" applyFill="1" applyBorder="1" applyAlignment="1" applyProtection="1">
      <alignment horizontal="center" vertical="center" wrapText="1"/>
    </xf>
    <xf numFmtId="0" fontId="147" fillId="79" borderId="25" xfId="0" applyNumberFormat="1" applyFont="1" applyFill="1" applyBorder="1" applyAlignment="1" applyProtection="1">
      <alignment horizontal="center" vertical="center" wrapText="1"/>
    </xf>
    <xf numFmtId="0" fontId="147" fillId="79" borderId="67" xfId="0" applyNumberFormat="1" applyFont="1" applyFill="1" applyBorder="1" applyAlignment="1" applyProtection="1">
      <alignment horizontal="center" vertical="center" wrapText="1"/>
    </xf>
    <xf numFmtId="0" fontId="44" fillId="0" borderId="0" xfId="0" applyFont="1" applyFill="1" applyAlignment="1" applyProtection="1">
      <alignment horizontal="left" vertical="center" wrapText="1"/>
    </xf>
    <xf numFmtId="164" fontId="8" fillId="91" borderId="26" xfId="418" applyNumberFormat="1" applyFont="1" applyFill="1" applyBorder="1" applyAlignment="1" applyProtection="1">
      <alignment horizontal="center" vertical="center"/>
    </xf>
    <xf numFmtId="164" fontId="8" fillId="91" borderId="64" xfId="418" applyNumberFormat="1" applyFont="1" applyFill="1" applyBorder="1" applyAlignment="1" applyProtection="1">
      <alignment horizontal="center" vertical="center"/>
    </xf>
    <xf numFmtId="164" fontId="8" fillId="91" borderId="65" xfId="418" applyNumberFormat="1" applyFont="1" applyFill="1" applyBorder="1" applyAlignment="1" applyProtection="1">
      <alignment horizontal="center" vertical="center"/>
    </xf>
    <xf numFmtId="164" fontId="8" fillId="91" borderId="66" xfId="418" applyNumberFormat="1" applyFont="1" applyFill="1" applyBorder="1" applyAlignment="1" applyProtection="1">
      <alignment horizontal="center" vertical="center"/>
    </xf>
    <xf numFmtId="164" fontId="8" fillId="0" borderId="20" xfId="418" applyNumberFormat="1" applyFont="1" applyFill="1" applyBorder="1" applyAlignment="1" applyProtection="1">
      <alignment horizontal="center" vertical="center"/>
    </xf>
    <xf numFmtId="164" fontId="8" fillId="93" borderId="18" xfId="418" applyNumberFormat="1" applyFont="1" applyFill="1" applyBorder="1" applyAlignment="1" applyProtection="1">
      <alignment horizontal="left" vertical="center" wrapText="1"/>
    </xf>
    <xf numFmtId="164" fontId="8" fillId="93" borderId="88" xfId="418" applyNumberFormat="1" applyFont="1" applyFill="1" applyBorder="1" applyAlignment="1" applyProtection="1">
      <alignment horizontal="left" vertical="center" wrapText="1"/>
    </xf>
    <xf numFmtId="164" fontId="8" fillId="93" borderId="68" xfId="418" applyNumberFormat="1" applyFont="1" applyFill="1" applyBorder="1" applyAlignment="1" applyProtection="1">
      <alignment horizontal="left" vertical="center" wrapText="1"/>
    </xf>
    <xf numFmtId="164" fontId="8" fillId="94" borderId="26" xfId="418" applyNumberFormat="1" applyFont="1" applyFill="1" applyBorder="1" applyAlignment="1" applyProtection="1">
      <alignment horizontal="center" vertical="center"/>
    </xf>
    <xf numFmtId="164" fontId="8" fillId="94" borderId="64" xfId="418" applyNumberFormat="1" applyFont="1" applyFill="1" applyBorder="1" applyAlignment="1" applyProtection="1">
      <alignment horizontal="center" vertical="center"/>
    </xf>
    <xf numFmtId="164" fontId="8" fillId="94" borderId="25" xfId="418" applyNumberFormat="1" applyFont="1" applyFill="1" applyBorder="1" applyAlignment="1" applyProtection="1">
      <alignment horizontal="center" vertical="center"/>
    </xf>
    <xf numFmtId="164" fontId="8" fillId="94" borderId="67" xfId="418" applyNumberFormat="1" applyFont="1" applyFill="1" applyBorder="1" applyAlignment="1" applyProtection="1">
      <alignment horizontal="center" vertical="center"/>
    </xf>
    <xf numFmtId="164" fontId="8" fillId="0" borderId="39" xfId="418" applyNumberFormat="1" applyFont="1" applyFill="1" applyBorder="1" applyAlignment="1" applyProtection="1">
      <alignment horizontal="center" wrapText="1"/>
    </xf>
    <xf numFmtId="164" fontId="8" fillId="0" borderId="40" xfId="418" applyNumberFormat="1" applyFont="1" applyFill="1" applyBorder="1" applyAlignment="1" applyProtection="1">
      <alignment horizontal="center" wrapText="1"/>
    </xf>
    <xf numFmtId="0" fontId="143" fillId="33" borderId="39" xfId="0" applyNumberFormat="1" applyFont="1" applyFill="1" applyBorder="1" applyAlignment="1" applyProtection="1">
      <alignment horizontal="left" vertical="center" wrapText="1"/>
      <protection locked="0"/>
    </xf>
    <xf numFmtId="0" fontId="143" fillId="82" borderId="39" xfId="0" applyFont="1" applyFill="1" applyBorder="1" applyAlignment="1">
      <alignment horizontal="left" vertical="center" wrapText="1"/>
    </xf>
    <xf numFmtId="0" fontId="143" fillId="82" borderId="40" xfId="0" applyFont="1" applyFill="1" applyBorder="1" applyAlignment="1">
      <alignment horizontal="left" vertical="center" wrapText="1"/>
    </xf>
    <xf numFmtId="0" fontId="143" fillId="82" borderId="38" xfId="0" applyFont="1" applyFill="1" applyBorder="1" applyAlignment="1">
      <alignment horizontal="left" vertical="center" wrapText="1"/>
    </xf>
    <xf numFmtId="0" fontId="145" fillId="0" borderId="39" xfId="0" applyFont="1" applyFill="1" applyBorder="1" applyAlignment="1">
      <alignment horizontal="center" vertical="center"/>
    </xf>
    <xf numFmtId="0" fontId="145" fillId="0" borderId="40" xfId="0" applyFont="1" applyFill="1" applyBorder="1" applyAlignment="1">
      <alignment horizontal="center" vertical="center"/>
    </xf>
    <xf numFmtId="0" fontId="145" fillId="0" borderId="38" xfId="0" applyFont="1" applyFill="1" applyBorder="1" applyAlignment="1">
      <alignment horizontal="center" vertical="center"/>
    </xf>
    <xf numFmtId="0" fontId="145" fillId="0" borderId="26" xfId="0" applyFont="1" applyFill="1" applyBorder="1" applyAlignment="1">
      <alignment horizontal="center" vertical="center" wrapText="1"/>
    </xf>
    <xf numFmtId="0" fontId="145" fillId="0" borderId="64" xfId="0" applyFont="1" applyFill="1" applyBorder="1" applyAlignment="1">
      <alignment horizontal="center" vertical="center" wrapText="1"/>
    </xf>
    <xf numFmtId="0" fontId="145" fillId="0" borderId="65" xfId="0" applyFont="1" applyFill="1" applyBorder="1" applyAlignment="1">
      <alignment horizontal="center" vertical="center" wrapText="1"/>
    </xf>
    <xf numFmtId="0" fontId="145" fillId="0" borderId="66" xfId="0" applyFont="1" applyFill="1" applyBorder="1" applyAlignment="1">
      <alignment horizontal="center" vertical="center" wrapText="1"/>
    </xf>
    <xf numFmtId="0" fontId="145" fillId="0" borderId="25" xfId="0" applyFont="1" applyFill="1" applyBorder="1" applyAlignment="1">
      <alignment horizontal="center" vertical="center" wrapText="1"/>
    </xf>
    <xf numFmtId="0" fontId="145" fillId="0" borderId="67" xfId="0" applyFont="1" applyFill="1" applyBorder="1" applyAlignment="1">
      <alignment horizontal="center" vertical="center" wrapText="1"/>
    </xf>
    <xf numFmtId="0" fontId="15" fillId="79" borderId="85" xfId="0" applyFont="1" applyFill="1" applyBorder="1" applyAlignment="1" applyProtection="1">
      <alignment horizontal="center" vertical="center"/>
    </xf>
    <xf numFmtId="0" fontId="15" fillId="79" borderId="55" xfId="0" applyFont="1" applyFill="1" applyBorder="1" applyAlignment="1" applyProtection="1">
      <alignment horizontal="center" vertical="center"/>
    </xf>
    <xf numFmtId="0" fontId="15" fillId="79" borderId="65" xfId="0" applyFont="1" applyFill="1" applyBorder="1" applyAlignment="1" applyProtection="1">
      <alignment horizontal="center" vertical="center"/>
    </xf>
    <xf numFmtId="0" fontId="15" fillId="79" borderId="0" xfId="0" applyFont="1" applyFill="1" applyBorder="1" applyAlignment="1" applyProtection="1">
      <alignment horizontal="center" vertical="center"/>
    </xf>
    <xf numFmtId="0" fontId="15" fillId="79" borderId="86" xfId="0" applyFont="1" applyFill="1" applyBorder="1" applyAlignment="1" applyProtection="1">
      <alignment horizontal="center" vertical="center"/>
    </xf>
    <xf numFmtId="0" fontId="15" fillId="79" borderId="50" xfId="0" applyFont="1" applyFill="1" applyBorder="1" applyAlignment="1" applyProtection="1">
      <alignment horizontal="center" vertical="center"/>
    </xf>
    <xf numFmtId="0" fontId="15" fillId="0" borderId="36" xfId="0" applyFont="1" applyFill="1" applyBorder="1" applyAlignment="1" applyProtection="1">
      <alignment horizontal="left"/>
    </xf>
    <xf numFmtId="0" fontId="15" fillId="0" borderId="43" xfId="0" applyFont="1" applyFill="1" applyBorder="1" applyAlignment="1" applyProtection="1">
      <alignment horizontal="left"/>
    </xf>
    <xf numFmtId="0" fontId="15" fillId="84" borderId="69" xfId="0" applyFont="1" applyFill="1" applyBorder="1" applyAlignment="1" applyProtection="1">
      <alignment horizontal="center" vertical="center"/>
    </xf>
    <xf numFmtId="0" fontId="15" fillId="84" borderId="44" xfId="0" applyFont="1" applyFill="1" applyBorder="1" applyAlignment="1" applyProtection="1">
      <alignment horizontal="center" vertical="center"/>
    </xf>
    <xf numFmtId="0" fontId="15" fillId="84" borderId="70" xfId="0" applyFont="1" applyFill="1" applyBorder="1" applyAlignment="1" applyProtection="1">
      <alignment horizontal="center" vertical="center"/>
    </xf>
    <xf numFmtId="0" fontId="15" fillId="79" borderId="37" xfId="0" applyFont="1" applyFill="1" applyBorder="1" applyAlignment="1" applyProtection="1">
      <alignment horizontal="center" vertical="center"/>
    </xf>
    <xf numFmtId="0" fontId="15" fillId="79" borderId="57" xfId="0" applyFont="1" applyFill="1" applyBorder="1" applyAlignment="1" applyProtection="1">
      <alignment horizontal="center" vertical="center"/>
    </xf>
    <xf numFmtId="0" fontId="15" fillId="79" borderId="35" xfId="0" applyFont="1" applyFill="1" applyBorder="1" applyAlignment="1" applyProtection="1">
      <alignment horizontal="center" vertical="center"/>
    </xf>
    <xf numFmtId="0" fontId="15" fillId="79" borderId="21" xfId="0" applyFont="1" applyFill="1" applyBorder="1" applyAlignment="1" applyProtection="1">
      <alignment horizontal="center" vertical="center"/>
    </xf>
    <xf numFmtId="0" fontId="15" fillId="79" borderId="56" xfId="0" applyFont="1" applyFill="1" applyBorder="1" applyAlignment="1" applyProtection="1">
      <alignment horizontal="center" vertical="center"/>
    </xf>
    <xf numFmtId="0" fontId="15" fillId="79" borderId="23" xfId="0" applyFont="1" applyFill="1" applyBorder="1" applyAlignment="1" applyProtection="1">
      <alignment horizontal="center" vertical="center"/>
    </xf>
    <xf numFmtId="0" fontId="15" fillId="0" borderId="0" xfId="0" applyFont="1" applyFill="1" applyAlignment="1" applyProtection="1">
      <alignment horizontal="justify" wrapText="1"/>
    </xf>
    <xf numFmtId="0" fontId="15" fillId="0" borderId="0" xfId="0" applyFont="1" applyFill="1" applyAlignment="1" applyProtection="1">
      <alignment horizontal="justify" vertical="top" wrapText="1"/>
    </xf>
    <xf numFmtId="0" fontId="143" fillId="33" borderId="39" xfId="0" applyFont="1" applyFill="1" applyBorder="1" applyAlignment="1" applyProtection="1">
      <alignment horizontal="left" vertical="center" wrapText="1"/>
      <protection locked="0"/>
    </xf>
    <xf numFmtId="0" fontId="143" fillId="33" borderId="40" xfId="0" applyFont="1" applyFill="1" applyBorder="1" applyAlignment="1" applyProtection="1">
      <alignment horizontal="left" vertical="center" wrapText="1"/>
      <protection locked="0"/>
    </xf>
    <xf numFmtId="0" fontId="143" fillId="33" borderId="38" xfId="0" applyFont="1" applyFill="1" applyBorder="1" applyAlignment="1" applyProtection="1">
      <alignment horizontal="left" vertical="center" wrapText="1"/>
      <protection locked="0"/>
    </xf>
    <xf numFmtId="0" fontId="15" fillId="0" borderId="0" xfId="0" applyFont="1" applyFill="1" applyAlignment="1" applyProtection="1">
      <alignment horizontal="left" vertical="center" wrapText="1"/>
    </xf>
    <xf numFmtId="0" fontId="143" fillId="82" borderId="39" xfId="0" applyFont="1" applyFill="1" applyBorder="1" applyAlignment="1">
      <alignment horizontal="center" vertical="center" wrapText="1"/>
    </xf>
    <xf numFmtId="0" fontId="143" fillId="82" borderId="40" xfId="0" applyFont="1" applyFill="1" applyBorder="1" applyAlignment="1">
      <alignment horizontal="center" vertical="center"/>
    </xf>
    <xf numFmtId="0" fontId="143" fillId="82" borderId="38" xfId="0" applyFont="1" applyFill="1" applyBorder="1" applyAlignment="1">
      <alignment horizontal="center" vertical="center"/>
    </xf>
    <xf numFmtId="0" fontId="144" fillId="82" borderId="39" xfId="0" applyFont="1" applyFill="1" applyBorder="1" applyAlignment="1">
      <alignment horizontal="center" vertical="center" wrapText="1"/>
    </xf>
    <xf numFmtId="0" fontId="144" fillId="82" borderId="40" xfId="0" applyFont="1" applyFill="1" applyBorder="1" applyAlignment="1">
      <alignment horizontal="center" vertical="center" wrapText="1"/>
    </xf>
    <xf numFmtId="0" fontId="144" fillId="82" borderId="38" xfId="0" applyFont="1" applyFill="1" applyBorder="1" applyAlignment="1">
      <alignment horizontal="center" vertical="center" wrapText="1"/>
    </xf>
    <xf numFmtId="0" fontId="143" fillId="82" borderId="20" xfId="0" applyFont="1" applyFill="1" applyBorder="1" applyAlignment="1">
      <alignment horizontal="center" vertical="center" wrapText="1"/>
    </xf>
    <xf numFmtId="0" fontId="143" fillId="82" borderId="20" xfId="0" applyFont="1" applyFill="1" applyBorder="1" applyAlignment="1">
      <alignment horizontal="center" vertical="center"/>
    </xf>
    <xf numFmtId="0" fontId="144" fillId="82" borderId="20" xfId="0" applyFont="1" applyFill="1" applyBorder="1" applyAlignment="1">
      <alignment horizontal="center" vertical="center" wrapText="1"/>
    </xf>
    <xf numFmtId="0" fontId="143" fillId="82" borderId="20" xfId="0" applyFont="1" applyFill="1" applyBorder="1" applyAlignment="1">
      <alignment horizontal="left" vertical="center" wrapText="1"/>
    </xf>
    <xf numFmtId="0" fontId="12" fillId="30" borderId="36" xfId="510" applyFont="1" applyFill="1" applyBorder="1" applyAlignment="1" applyProtection="1">
      <alignment horizontal="left" vertical="center"/>
    </xf>
    <xf numFmtId="0" fontId="12" fillId="30" borderId="43" xfId="510" applyFont="1" applyFill="1" applyBorder="1" applyAlignment="1" applyProtection="1">
      <alignment horizontal="left" vertical="center"/>
    </xf>
    <xf numFmtId="0" fontId="12" fillId="30" borderId="34" xfId="510" applyFont="1" applyFill="1" applyBorder="1" applyAlignment="1" applyProtection="1">
      <alignment horizontal="left" vertical="center"/>
    </xf>
    <xf numFmtId="0" fontId="75" fillId="0" borderId="19" xfId="0" applyFont="1" applyBorder="1" applyAlignment="1">
      <alignment horizontal="center" vertical="center" wrapText="1"/>
    </xf>
    <xf numFmtId="0" fontId="75" fillId="0" borderId="36" xfId="0" applyFont="1" applyBorder="1" applyAlignment="1">
      <alignment horizontal="center" vertical="center" wrapText="1"/>
    </xf>
    <xf numFmtId="0" fontId="75" fillId="0" borderId="0" xfId="0" applyFont="1" applyBorder="1" applyAlignment="1">
      <alignment horizontal="center" vertical="center" wrapText="1"/>
    </xf>
    <xf numFmtId="0" fontId="104" fillId="0" borderId="0" xfId="510" applyFont="1" applyFill="1" applyAlignment="1" applyProtection="1">
      <alignment horizontal="left" wrapText="1"/>
    </xf>
    <xf numFmtId="0" fontId="105" fillId="0" borderId="0" xfId="510" applyFont="1" applyFill="1" applyAlignment="1" applyProtection="1">
      <alignment horizontal="left" wrapText="1"/>
    </xf>
    <xf numFmtId="0" fontId="108" fillId="0" borderId="0" xfId="0" applyFont="1" applyAlignment="1" applyProtection="1">
      <alignment horizontal="left" vertical="center"/>
    </xf>
    <xf numFmtId="0" fontId="10" fillId="0" borderId="0" xfId="510" applyFont="1" applyAlignment="1" applyProtection="1">
      <alignment horizontal="left" wrapText="1"/>
    </xf>
    <xf numFmtId="0" fontId="8" fillId="0" borderId="24" xfId="0" applyFont="1" applyBorder="1" applyAlignment="1">
      <alignment horizontal="center" vertical="center" wrapText="1"/>
    </xf>
    <xf numFmtId="0" fontId="8" fillId="0" borderId="63" xfId="0" applyFont="1" applyBorder="1" applyAlignment="1">
      <alignment horizontal="center" vertical="center" wrapText="1"/>
    </xf>
    <xf numFmtId="0" fontId="23" fillId="28" borderId="21" xfId="0" applyFont="1" applyFill="1" applyBorder="1" applyAlignment="1" applyProtection="1">
      <alignment horizontal="center" vertical="center"/>
    </xf>
    <xf numFmtId="0" fontId="23" fillId="28" borderId="55" xfId="0" applyFont="1" applyFill="1" applyBorder="1" applyAlignment="1" applyProtection="1">
      <alignment horizontal="center" vertical="center"/>
    </xf>
    <xf numFmtId="0" fontId="23" fillId="28" borderId="37" xfId="0" applyFont="1" applyFill="1" applyBorder="1" applyAlignment="1" applyProtection="1">
      <alignment horizontal="center" vertical="center"/>
    </xf>
    <xf numFmtId="0" fontId="23" fillId="28" borderId="23" xfId="0" applyFont="1" applyFill="1" applyBorder="1" applyAlignment="1" applyProtection="1">
      <alignment horizontal="center" vertical="center"/>
    </xf>
    <xf numFmtId="0" fontId="23" fillId="28" borderId="50" xfId="0" applyFont="1" applyFill="1" applyBorder="1" applyAlignment="1" applyProtection="1">
      <alignment horizontal="center" vertical="center"/>
    </xf>
    <xf numFmtId="0" fontId="23" fillId="28" borderId="35" xfId="0" applyFont="1" applyFill="1" applyBorder="1" applyAlignment="1" applyProtection="1">
      <alignment horizontal="center" vertical="center"/>
    </xf>
    <xf numFmtId="0" fontId="9" fillId="0" borderId="46" xfId="0" applyFont="1" applyFill="1" applyBorder="1" applyAlignment="1" applyProtection="1">
      <alignment horizontal="center" vertical="center" wrapText="1"/>
    </xf>
    <xf numFmtId="0" fontId="9" fillId="0" borderId="32" xfId="0" applyFont="1" applyFill="1" applyBorder="1" applyAlignment="1" applyProtection="1">
      <alignment horizontal="center" vertical="center" wrapText="1"/>
    </xf>
    <xf numFmtId="0" fontId="9" fillId="0" borderId="33" xfId="0" applyFont="1" applyFill="1" applyBorder="1" applyAlignment="1" applyProtection="1">
      <alignment horizontal="center" vertical="center" wrapText="1"/>
    </xf>
    <xf numFmtId="0" fontId="9" fillId="0" borderId="46" xfId="0" applyFont="1" applyBorder="1" applyAlignment="1" applyProtection="1">
      <alignment horizontal="center" vertical="center" wrapText="1"/>
    </xf>
    <xf numFmtId="0" fontId="9" fillId="0" borderId="32" xfId="0" applyFont="1" applyBorder="1" applyAlignment="1" applyProtection="1">
      <alignment horizontal="center" vertical="center" wrapText="1"/>
    </xf>
    <xf numFmtId="0" fontId="9" fillId="0" borderId="33" xfId="0" applyFont="1" applyBorder="1" applyAlignment="1" applyProtection="1">
      <alignment horizontal="center" vertical="center" wrapText="1"/>
    </xf>
    <xf numFmtId="0" fontId="8" fillId="0" borderId="71" xfId="510" applyFont="1" applyBorder="1" applyAlignment="1" applyProtection="1">
      <alignment horizontal="center" vertical="center"/>
    </xf>
    <xf numFmtId="0" fontId="8" fillId="0" borderId="72" xfId="510" applyFont="1" applyBorder="1" applyAlignment="1" applyProtection="1">
      <alignment horizontal="center" vertical="center"/>
    </xf>
    <xf numFmtId="0" fontId="8" fillId="0" borderId="24" xfId="510" applyFont="1" applyBorder="1" applyAlignment="1" applyProtection="1">
      <alignment horizontal="center" vertical="center"/>
    </xf>
    <xf numFmtId="0" fontId="23" fillId="29" borderId="23" xfId="0" applyFont="1" applyFill="1" applyBorder="1" applyAlignment="1" applyProtection="1">
      <alignment horizontal="center" vertical="center"/>
    </xf>
    <xf numFmtId="0" fontId="23" fillId="29" borderId="50" xfId="0" applyFont="1" applyFill="1" applyBorder="1" applyAlignment="1" applyProtection="1">
      <alignment horizontal="center" vertical="center"/>
    </xf>
    <xf numFmtId="0" fontId="23" fillId="29" borderId="35" xfId="0" applyFont="1" applyFill="1" applyBorder="1" applyAlignment="1" applyProtection="1">
      <alignment horizontal="center" vertical="center"/>
    </xf>
    <xf numFmtId="0" fontId="8" fillId="0" borderId="48" xfId="0" applyFont="1" applyFill="1" applyBorder="1" applyAlignment="1" applyProtection="1">
      <alignment horizontal="center" vertical="center" wrapText="1"/>
    </xf>
    <xf numFmtId="0" fontId="0" fillId="0" borderId="24" xfId="0" applyFill="1" applyBorder="1" applyAlignment="1">
      <alignment horizontal="center" vertical="center" wrapText="1"/>
    </xf>
    <xf numFmtId="0" fontId="0" fillId="0" borderId="63" xfId="0" applyFill="1" applyBorder="1" applyAlignment="1">
      <alignment horizontal="center" vertical="center" wrapText="1"/>
    </xf>
    <xf numFmtId="0" fontId="8" fillId="0" borderId="61" xfId="510" applyFont="1" applyBorder="1" applyAlignment="1" applyProtection="1">
      <alignment horizontal="center" textRotation="90" wrapText="1"/>
    </xf>
    <xf numFmtId="0" fontId="8" fillId="0" borderId="63" xfId="510" applyFont="1" applyBorder="1" applyAlignment="1" applyProtection="1">
      <alignment horizontal="center" textRotation="90" wrapText="1"/>
    </xf>
    <xf numFmtId="0" fontId="9" fillId="0" borderId="29" xfId="0" applyFont="1" applyFill="1" applyBorder="1" applyAlignment="1" applyProtection="1">
      <alignment horizontal="center" textRotation="90" wrapText="1"/>
    </xf>
    <xf numFmtId="0" fontId="8" fillId="0" borderId="19" xfId="510" applyFont="1" applyBorder="1" applyAlignment="1" applyProtection="1">
      <alignment horizontal="center" textRotation="90" wrapText="1"/>
    </xf>
    <xf numFmtId="0" fontId="15" fillId="0" borderId="19" xfId="0" applyFont="1" applyFill="1" applyBorder="1" applyAlignment="1">
      <alignment horizontal="left" vertical="center" wrapText="1"/>
    </xf>
    <xf numFmtId="0" fontId="0" fillId="0" borderId="19" xfId="0" applyBorder="1" applyAlignment="1">
      <alignment horizontal="left" vertical="center" wrapText="1"/>
    </xf>
    <xf numFmtId="0" fontId="8" fillId="0" borderId="41" xfId="0" applyFont="1" applyBorder="1" applyAlignment="1" applyProtection="1">
      <alignment horizontal="center" textRotation="90" wrapText="1"/>
    </xf>
    <xf numFmtId="0" fontId="8" fillId="0" borderId="47" xfId="0" applyFont="1" applyBorder="1" applyAlignment="1" applyProtection="1">
      <alignment horizontal="center" textRotation="90" wrapText="1"/>
    </xf>
    <xf numFmtId="0" fontId="8" fillId="0" borderId="43" xfId="0" applyFont="1" applyBorder="1" applyAlignment="1" applyProtection="1">
      <alignment horizontal="center" textRotation="90" wrapText="1"/>
    </xf>
    <xf numFmtId="0" fontId="8" fillId="0" borderId="29" xfId="510" applyFont="1" applyBorder="1" applyAlignment="1" applyProtection="1">
      <alignment horizontal="center" textRotation="90" wrapText="1"/>
    </xf>
    <xf numFmtId="0" fontId="8" fillId="36" borderId="19" xfId="0" applyFont="1" applyFill="1" applyBorder="1" applyAlignment="1" applyProtection="1">
      <alignment horizontal="center" textRotation="90" wrapText="1"/>
    </xf>
    <xf numFmtId="0" fontId="0" fillId="0" borderId="19" xfId="0" applyBorder="1" applyAlignment="1">
      <alignment horizontal="center" textRotation="90" wrapText="1"/>
    </xf>
    <xf numFmtId="0" fontId="9" fillId="27" borderId="47" xfId="510" applyFont="1" applyFill="1" applyBorder="1" applyAlignment="1" applyProtection="1">
      <alignment horizontal="center" textRotation="90" wrapText="1"/>
    </xf>
    <xf numFmtId="0" fontId="9" fillId="27" borderId="29" xfId="0" applyFont="1" applyFill="1" applyBorder="1" applyAlignment="1" applyProtection="1">
      <alignment horizontal="center" textRotation="90" wrapText="1"/>
    </xf>
    <xf numFmtId="0" fontId="15" fillId="0" borderId="19" xfId="0" quotePrefix="1" applyFont="1" applyFill="1" applyBorder="1" applyAlignment="1" applyProtection="1">
      <alignment horizontal="center" vertical="center" wrapText="1"/>
    </xf>
    <xf numFmtId="0" fontId="15" fillId="0" borderId="19" xfId="0" applyFont="1" applyFill="1" applyBorder="1" applyAlignment="1">
      <alignment horizontal="center" vertical="center"/>
    </xf>
    <xf numFmtId="0" fontId="15" fillId="31" borderId="19" xfId="0" applyFont="1" applyFill="1" applyBorder="1" applyAlignment="1" applyProtection="1">
      <alignment horizontal="center" vertical="center" wrapText="1"/>
    </xf>
    <xf numFmtId="1" fontId="26" fillId="37" borderId="19" xfId="0" applyNumberFormat="1" applyFont="1" applyFill="1" applyBorder="1" applyAlignment="1" applyProtection="1">
      <alignment horizontal="center" vertical="center"/>
    </xf>
    <xf numFmtId="0" fontId="15" fillId="28" borderId="19" xfId="0" applyFont="1" applyFill="1" applyBorder="1" applyAlignment="1" applyProtection="1">
      <alignment horizontal="center" vertical="center" wrapText="1"/>
    </xf>
    <xf numFmtId="0" fontId="30" fillId="43" borderId="36" xfId="0" applyFont="1" applyFill="1" applyBorder="1" applyAlignment="1" applyProtection="1">
      <alignment horizontal="left" vertical="center"/>
    </xf>
    <xf numFmtId="0" fontId="30" fillId="43" borderId="43" xfId="0" applyFont="1" applyFill="1" applyBorder="1" applyAlignment="1" applyProtection="1">
      <alignment horizontal="left" vertical="center"/>
    </xf>
    <xf numFmtId="0" fontId="30" fillId="43" borderId="34" xfId="0" applyFont="1" applyFill="1" applyBorder="1" applyAlignment="1" applyProtection="1">
      <alignment horizontal="left" vertical="center"/>
    </xf>
    <xf numFmtId="14" fontId="30" fillId="30" borderId="34" xfId="0" applyNumberFormat="1" applyFont="1" applyFill="1" applyBorder="1" applyAlignment="1" applyProtection="1">
      <alignment horizontal="center" vertical="center"/>
    </xf>
    <xf numFmtId="0" fontId="81" fillId="0" borderId="19" xfId="0" applyFont="1" applyFill="1" applyBorder="1" applyAlignment="1" applyProtection="1">
      <alignment horizontal="center" textRotation="90" wrapText="1"/>
    </xf>
    <xf numFmtId="0" fontId="82" fillId="0" borderId="19" xfId="0" applyFont="1" applyFill="1" applyBorder="1" applyAlignment="1" applyProtection="1">
      <alignment horizontal="center" textRotation="90" wrapText="1"/>
    </xf>
    <xf numFmtId="0" fontId="26" fillId="0" borderId="19" xfId="0" applyFont="1" applyFill="1" applyBorder="1" applyAlignment="1" applyProtection="1">
      <alignment horizontal="center" vertical="center"/>
    </xf>
    <xf numFmtId="0" fontId="44" fillId="0" borderId="0" xfId="0" applyFont="1" applyAlignment="1">
      <alignment horizontal="left" wrapText="1"/>
    </xf>
    <xf numFmtId="0" fontId="26" fillId="0" borderId="50" xfId="0" applyFont="1" applyBorder="1" applyAlignment="1">
      <alignment horizontal="left"/>
    </xf>
    <xf numFmtId="0" fontId="8" fillId="0" borderId="53" xfId="0" applyFont="1" applyFill="1" applyBorder="1" applyAlignment="1" applyProtection="1">
      <alignment horizontal="center" vertical="center" wrapText="1"/>
    </xf>
    <xf numFmtId="0" fontId="0" fillId="0" borderId="27" xfId="0" applyFill="1" applyBorder="1" applyAlignment="1" applyProtection="1">
      <alignment horizontal="center" vertical="center" wrapText="1"/>
    </xf>
    <xf numFmtId="0" fontId="0" fillId="0" borderId="28" xfId="0" applyFill="1" applyBorder="1" applyAlignment="1" applyProtection="1">
      <alignment horizontal="center" vertical="center" wrapText="1"/>
    </xf>
    <xf numFmtId="164" fontId="18" fillId="31" borderId="21" xfId="419" applyNumberFormat="1" applyFont="1" applyFill="1" applyBorder="1" applyAlignment="1" applyProtection="1">
      <alignment horizontal="center" vertical="center" wrapText="1"/>
    </xf>
    <xf numFmtId="164" fontId="18" fillId="31" borderId="55" xfId="419" applyNumberFormat="1" applyFont="1" applyFill="1" applyBorder="1" applyAlignment="1" applyProtection="1">
      <alignment horizontal="center" vertical="center" wrapText="1"/>
    </xf>
    <xf numFmtId="0" fontId="23" fillId="31" borderId="55" xfId="0" applyFont="1" applyFill="1" applyBorder="1" applyAlignment="1" applyProtection="1">
      <alignment horizontal="center" vertical="center"/>
    </xf>
    <xf numFmtId="0" fontId="23" fillId="31" borderId="37" xfId="0" applyFont="1" applyFill="1" applyBorder="1" applyAlignment="1" applyProtection="1">
      <alignment horizontal="center" vertical="center"/>
    </xf>
    <xf numFmtId="0" fontId="23" fillId="29" borderId="21" xfId="0" applyFont="1" applyFill="1" applyBorder="1" applyAlignment="1" applyProtection="1">
      <alignment horizontal="center" vertical="center"/>
    </xf>
    <xf numFmtId="0" fontId="19" fillId="29" borderId="55" xfId="0" applyFont="1" applyFill="1" applyBorder="1" applyAlignment="1" applyProtection="1">
      <alignment horizontal="center" vertical="center"/>
    </xf>
    <xf numFmtId="0" fontId="19" fillId="29" borderId="37" xfId="0" applyFont="1" applyFill="1" applyBorder="1" applyAlignment="1" applyProtection="1">
      <alignment horizontal="center" vertical="center"/>
    </xf>
    <xf numFmtId="0" fontId="23" fillId="31" borderId="23" xfId="0" applyFont="1" applyFill="1" applyBorder="1" applyAlignment="1" applyProtection="1">
      <alignment horizontal="center" vertical="center" wrapText="1"/>
    </xf>
    <xf numFmtId="0" fontId="23" fillId="31" borderId="50" xfId="0" applyFont="1" applyFill="1" applyBorder="1" applyAlignment="1" applyProtection="1">
      <alignment horizontal="center" vertical="center" wrapText="1"/>
    </xf>
    <xf numFmtId="0" fontId="23" fillId="31" borderId="35" xfId="0" applyFont="1" applyFill="1" applyBorder="1" applyAlignment="1" applyProtection="1">
      <alignment horizontal="center" vertical="center" wrapText="1"/>
    </xf>
    <xf numFmtId="0" fontId="23" fillId="34" borderId="21" xfId="0" applyFont="1" applyFill="1" applyBorder="1" applyAlignment="1" applyProtection="1">
      <alignment horizontal="center" vertical="center"/>
    </xf>
    <xf numFmtId="0" fontId="23" fillId="34" borderId="55" xfId="0" applyFont="1" applyFill="1" applyBorder="1" applyAlignment="1" applyProtection="1">
      <alignment horizontal="center" vertical="center"/>
    </xf>
    <xf numFmtId="0" fontId="23" fillId="34" borderId="37" xfId="0" applyFont="1" applyFill="1" applyBorder="1" applyAlignment="1" applyProtection="1">
      <alignment horizontal="center" vertical="center"/>
    </xf>
    <xf numFmtId="0" fontId="25" fillId="34" borderId="23" xfId="0" applyFont="1" applyFill="1" applyBorder="1" applyAlignment="1" applyProtection="1">
      <alignment horizontal="center" vertical="center" wrapText="1"/>
    </xf>
    <xf numFmtId="0" fontId="25" fillId="34" borderId="50" xfId="0" applyFont="1" applyFill="1" applyBorder="1" applyAlignment="1" applyProtection="1">
      <alignment horizontal="center" vertical="center" wrapText="1"/>
    </xf>
    <xf numFmtId="0" fontId="25" fillId="34" borderId="35" xfId="0" applyFont="1" applyFill="1" applyBorder="1" applyAlignment="1" applyProtection="1">
      <alignment horizontal="center" vertical="center" wrapText="1"/>
    </xf>
    <xf numFmtId="0" fontId="8" fillId="0" borderId="73" xfId="510" applyFont="1" applyBorder="1" applyAlignment="1" applyProtection="1">
      <alignment horizontal="center" vertical="center"/>
    </xf>
    <xf numFmtId="0" fontId="26" fillId="0" borderId="19" xfId="0" applyFont="1" applyFill="1" applyBorder="1" applyAlignment="1">
      <alignment horizontal="left" vertical="center"/>
    </xf>
    <xf numFmtId="0" fontId="9" fillId="27" borderId="19" xfId="0" applyFont="1" applyFill="1" applyBorder="1" applyAlignment="1" applyProtection="1">
      <alignment horizontal="center" textRotation="90" wrapText="1"/>
    </xf>
    <xf numFmtId="0" fontId="8" fillId="0" borderId="46" xfId="0" applyNumberFormat="1" applyFont="1" applyBorder="1" applyAlignment="1" applyProtection="1">
      <alignment horizontal="center" vertical="center"/>
    </xf>
    <xf numFmtId="0" fontId="8" fillId="0" borderId="32" xfId="0" applyNumberFormat="1" applyFont="1" applyBorder="1" applyAlignment="1" applyProtection="1">
      <alignment horizontal="center" vertical="center"/>
    </xf>
    <xf numFmtId="0" fontId="8" fillId="0" borderId="33" xfId="0" applyNumberFormat="1" applyFont="1" applyBorder="1" applyAlignment="1" applyProtection="1">
      <alignment horizontal="center" vertical="center"/>
    </xf>
    <xf numFmtId="10" fontId="8" fillId="0" borderId="69" xfId="419" applyNumberFormat="1" applyFont="1" applyFill="1" applyBorder="1" applyAlignment="1" applyProtection="1">
      <alignment horizontal="center" vertical="center"/>
    </xf>
    <xf numFmtId="10" fontId="8" fillId="0" borderId="44" xfId="419" applyNumberFormat="1" applyFont="1" applyFill="1" applyBorder="1" applyAlignment="1" applyProtection="1">
      <alignment horizontal="center" vertical="center"/>
    </xf>
    <xf numFmtId="10" fontId="8" fillId="0" borderId="70" xfId="419" applyNumberFormat="1" applyFont="1" applyFill="1" applyBorder="1" applyAlignment="1" applyProtection="1">
      <alignment horizontal="center" vertical="center"/>
    </xf>
    <xf numFmtId="0" fontId="8" fillId="0" borderId="22" xfId="510" applyFont="1" applyBorder="1" applyAlignment="1" applyProtection="1">
      <alignment horizontal="center" textRotation="90" wrapText="1"/>
    </xf>
    <xf numFmtId="0" fontId="8" fillId="0" borderId="24" xfId="510" applyFont="1" applyBorder="1" applyAlignment="1" applyProtection="1">
      <alignment horizontal="center" textRotation="90" wrapText="1"/>
    </xf>
    <xf numFmtId="164" fontId="9" fillId="0" borderId="46" xfId="419" applyNumberFormat="1" applyFont="1" applyFill="1" applyBorder="1" applyAlignment="1" applyProtection="1">
      <alignment vertical="center"/>
    </xf>
    <xf numFmtId="164" fontId="9" fillId="0" borderId="32" xfId="419" applyNumberFormat="1" applyFont="1" applyFill="1" applyBorder="1" applyAlignment="1" applyProtection="1">
      <alignment vertical="center"/>
    </xf>
    <xf numFmtId="164" fontId="9" fillId="0" borderId="33" xfId="419" applyNumberFormat="1" applyFont="1" applyFill="1" applyBorder="1" applyAlignment="1" applyProtection="1">
      <alignment vertical="center"/>
    </xf>
    <xf numFmtId="0" fontId="15" fillId="0" borderId="19" xfId="0" applyFont="1" applyFill="1" applyBorder="1" applyAlignment="1" applyProtection="1">
      <alignment horizontal="center" vertical="center"/>
    </xf>
    <xf numFmtId="0" fontId="61" fillId="44" borderId="19" xfId="0" applyFont="1" applyFill="1" applyBorder="1" applyAlignment="1" applyProtection="1">
      <alignment horizontal="center"/>
    </xf>
    <xf numFmtId="0" fontId="15" fillId="0" borderId="19" xfId="0" applyFont="1" applyFill="1" applyBorder="1" applyAlignment="1">
      <alignment horizontal="left" vertical="center"/>
    </xf>
    <xf numFmtId="0" fontId="0" fillId="0" borderId="19" xfId="0" applyFill="1" applyBorder="1" applyAlignment="1">
      <alignment horizontal="left" vertical="center"/>
    </xf>
    <xf numFmtId="0" fontId="0" fillId="0" borderId="19" xfId="0" applyBorder="1" applyAlignment="1">
      <alignment horizontal="left" vertical="center"/>
    </xf>
    <xf numFmtId="0" fontId="8" fillId="0" borderId="47" xfId="510" applyFont="1" applyBorder="1" applyAlignment="1" applyProtection="1">
      <alignment horizontal="center" textRotation="90" wrapText="1"/>
    </xf>
    <xf numFmtId="0" fontId="8" fillId="0" borderId="69" xfId="0" applyNumberFormat="1" applyFont="1" applyFill="1" applyBorder="1" applyAlignment="1" applyProtection="1">
      <alignment horizontal="center" vertical="center"/>
    </xf>
    <xf numFmtId="0" fontId="8" fillId="0" borderId="44" xfId="0" applyNumberFormat="1" applyFont="1" applyFill="1" applyBorder="1" applyAlignment="1" applyProtection="1">
      <alignment horizontal="center" vertical="center"/>
    </xf>
    <xf numFmtId="0" fontId="8" fillId="0" borderId="70" xfId="0" applyNumberFormat="1" applyFont="1" applyFill="1" applyBorder="1" applyAlignment="1" applyProtection="1">
      <alignment horizontal="center" vertical="center"/>
    </xf>
    <xf numFmtId="0" fontId="26" fillId="0" borderId="19" xfId="0" applyFont="1" applyFill="1" applyBorder="1" applyAlignment="1">
      <alignment horizontal="center" vertical="center"/>
    </xf>
    <xf numFmtId="0" fontId="9" fillId="37" borderId="39" xfId="0" applyFont="1" applyFill="1" applyBorder="1" applyAlignment="1" applyProtection="1">
      <alignment horizontal="center" wrapText="1"/>
    </xf>
    <xf numFmtId="0" fontId="9" fillId="37" borderId="40" xfId="0" applyFont="1" applyFill="1" applyBorder="1" applyAlignment="1" applyProtection="1">
      <alignment horizontal="center" wrapText="1"/>
    </xf>
    <xf numFmtId="0" fontId="9" fillId="37" borderId="38" xfId="0" applyFont="1" applyFill="1" applyBorder="1" applyAlignment="1" applyProtection="1">
      <alignment horizontal="center" wrapText="1"/>
    </xf>
    <xf numFmtId="0" fontId="8" fillId="37" borderId="39" xfId="0" applyFont="1" applyFill="1" applyBorder="1" applyAlignment="1" applyProtection="1">
      <alignment horizontal="center" vertical="center" wrapText="1"/>
    </xf>
    <xf numFmtId="0" fontId="8" fillId="37" borderId="40" xfId="0" applyFont="1" applyFill="1" applyBorder="1" applyAlignment="1" applyProtection="1">
      <alignment horizontal="center" vertical="center" wrapText="1"/>
    </xf>
    <xf numFmtId="0" fontId="8" fillId="37" borderId="38" xfId="0" applyFont="1" applyFill="1" applyBorder="1" applyAlignment="1" applyProtection="1">
      <alignment horizontal="center" vertical="center" wrapText="1"/>
    </xf>
    <xf numFmtId="0" fontId="9" fillId="27" borderId="46" xfId="0" applyFont="1" applyFill="1" applyBorder="1" applyAlignment="1" applyProtection="1">
      <alignment horizontal="center" vertical="center" wrapText="1"/>
    </xf>
    <xf numFmtId="0" fontId="9" fillId="27" borderId="32" xfId="0" applyFont="1" applyFill="1" applyBorder="1" applyAlignment="1" applyProtection="1">
      <alignment horizontal="center" vertical="center" wrapText="1"/>
    </xf>
    <xf numFmtId="0" fontId="9" fillId="27" borderId="33" xfId="0" applyFont="1" applyFill="1" applyBorder="1" applyAlignment="1" applyProtection="1">
      <alignment horizontal="center" vertical="center" wrapText="1"/>
    </xf>
    <xf numFmtId="0" fontId="34" fillId="36" borderId="19" xfId="0" applyFont="1" applyFill="1" applyBorder="1" applyAlignment="1" applyProtection="1">
      <alignment horizontal="center" vertical="center" wrapText="1"/>
    </xf>
    <xf numFmtId="0" fontId="15" fillId="29" borderId="19" xfId="0" applyFont="1" applyFill="1" applyBorder="1" applyAlignment="1" applyProtection="1">
      <alignment horizontal="center" vertical="center" wrapText="1"/>
    </xf>
    <xf numFmtId="0" fontId="74" fillId="34" borderId="21" xfId="0" applyFont="1" applyFill="1" applyBorder="1" applyAlignment="1" applyProtection="1">
      <alignment horizontal="center" vertical="center"/>
    </xf>
    <xf numFmtId="0" fontId="74" fillId="34" borderId="37" xfId="0" applyFont="1" applyFill="1" applyBorder="1" applyAlignment="1" applyProtection="1">
      <alignment horizontal="center" vertical="center"/>
    </xf>
    <xf numFmtId="0" fontId="23" fillId="0" borderId="19" xfId="0" applyFont="1" applyFill="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0" fillId="0" borderId="19" xfId="0" applyBorder="1" applyAlignment="1" applyProtection="1">
      <protection locked="0"/>
    </xf>
    <xf numFmtId="0" fontId="30" fillId="0" borderId="21" xfId="0" applyFont="1" applyBorder="1" applyAlignment="1" applyProtection="1">
      <alignment horizontal="center" vertical="center" wrapText="1"/>
    </xf>
    <xf numFmtId="0" fontId="14" fillId="0" borderId="23"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9" xfId="0" applyFont="1" applyBorder="1" applyAlignment="1" applyProtection="1">
      <alignment horizontal="left" vertical="center" wrapText="1"/>
    </xf>
    <xf numFmtId="0" fontId="14" fillId="0" borderId="19" xfId="0" applyFont="1" applyBorder="1" applyAlignment="1" applyProtection="1">
      <alignment horizontal="left" vertical="center"/>
    </xf>
    <xf numFmtId="0" fontId="0" fillId="0" borderId="19" xfId="0" applyBorder="1" applyAlignment="1"/>
    <xf numFmtId="0" fontId="26" fillId="0" borderId="19" xfId="0" applyFont="1" applyBorder="1" applyAlignment="1" applyProtection="1">
      <alignment horizontal="center" vertical="center"/>
    </xf>
    <xf numFmtId="0" fontId="26" fillId="0" borderId="19" xfId="0" applyFont="1" applyBorder="1" applyAlignment="1">
      <alignment horizontal="center" vertical="center"/>
    </xf>
    <xf numFmtId="0" fontId="26" fillId="0" borderId="21" xfId="0" applyFont="1" applyBorder="1" applyAlignment="1" applyProtection="1">
      <alignment horizontal="center" vertical="center" wrapText="1"/>
    </xf>
    <xf numFmtId="0" fontId="26" fillId="0" borderId="23" xfId="0" applyFont="1" applyBorder="1" applyAlignment="1">
      <alignment horizontal="center" vertical="center"/>
    </xf>
    <xf numFmtId="0" fontId="26" fillId="0" borderId="22" xfId="0" applyFont="1" applyBorder="1" applyAlignment="1" applyProtection="1">
      <alignment horizontal="center" vertical="center" wrapText="1"/>
    </xf>
    <xf numFmtId="0" fontId="73" fillId="0" borderId="24" xfId="0" applyFont="1" applyBorder="1" applyAlignment="1">
      <alignment horizontal="center" vertical="center"/>
    </xf>
    <xf numFmtId="0" fontId="122" fillId="34" borderId="19" xfId="0" applyFont="1" applyFill="1" applyBorder="1" applyAlignment="1">
      <alignment horizontal="right" vertical="center"/>
    </xf>
    <xf numFmtId="0" fontId="122" fillId="29" borderId="19" xfId="0" applyFont="1" applyFill="1" applyBorder="1" applyAlignment="1">
      <alignment horizontal="right" vertical="center"/>
    </xf>
    <xf numFmtId="0" fontId="120" fillId="31" borderId="65" xfId="0" applyFont="1" applyFill="1" applyBorder="1" applyAlignment="1" applyProtection="1">
      <alignment horizontal="center" vertical="center" wrapText="1"/>
    </xf>
    <xf numFmtId="0" fontId="122" fillId="36" borderId="19" xfId="0" applyFont="1" applyFill="1" applyBorder="1" applyAlignment="1" applyProtection="1">
      <alignment horizontal="right" vertical="center"/>
    </xf>
    <xf numFmtId="0" fontId="122" fillId="36" borderId="19" xfId="0" applyFont="1" applyFill="1" applyBorder="1" applyAlignment="1">
      <alignment horizontal="right" vertical="center"/>
    </xf>
    <xf numFmtId="49" fontId="120" fillId="36" borderId="60" xfId="0" applyNumberFormat="1" applyFont="1" applyFill="1" applyBorder="1" applyAlignment="1" applyProtection="1">
      <alignment horizontal="center" vertical="center" wrapText="1"/>
    </xf>
    <xf numFmtId="0" fontId="120" fillId="36" borderId="65" xfId="0" applyFont="1" applyFill="1" applyBorder="1" applyAlignment="1" applyProtection="1">
      <alignment horizontal="center" vertical="center" wrapText="1"/>
    </xf>
    <xf numFmtId="49" fontId="120" fillId="36" borderId="87" xfId="0" applyNumberFormat="1" applyFont="1" applyFill="1" applyBorder="1" applyAlignment="1" applyProtection="1">
      <alignment horizontal="center" vertical="center" wrapText="1"/>
    </xf>
  </cellXfs>
  <cellStyles count="581">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3" xfId="10" xr:uid="{00000000-0005-0000-0000-000009000000}"/>
    <cellStyle name="20 % - Akzent1 4" xfId="11" xr:uid="{00000000-0005-0000-0000-00000A000000}"/>
    <cellStyle name="20 % - Akzent1 4 2" xfId="12" xr:uid="{00000000-0005-0000-0000-00000B000000}"/>
    <cellStyle name="20 % - Akzent1 4 3" xfId="13" xr:uid="{00000000-0005-0000-0000-00000C000000}"/>
    <cellStyle name="20 % - Akzent1 5" xfId="14" xr:uid="{00000000-0005-0000-0000-00000D000000}"/>
    <cellStyle name="20 % - Akzent1 6" xfId="15" xr:uid="{00000000-0005-0000-0000-00000E000000}"/>
    <cellStyle name="20 % - Akzent1 7" xfId="16" xr:uid="{00000000-0005-0000-0000-00000F000000}"/>
    <cellStyle name="20 % - Akzent2 2" xfId="17" xr:uid="{00000000-0005-0000-0000-000010000000}"/>
    <cellStyle name="20 % - Akzent2 2 2" xfId="18" xr:uid="{00000000-0005-0000-0000-000011000000}"/>
    <cellStyle name="20 % - Akzent2 2 3" xfId="19" xr:uid="{00000000-0005-0000-0000-000012000000}"/>
    <cellStyle name="20 % - Akzent2 2 3 2" xfId="20" xr:uid="{00000000-0005-0000-0000-000013000000}"/>
    <cellStyle name="20 % - Akzent2 2 3 2 2" xfId="21" xr:uid="{00000000-0005-0000-0000-000014000000}"/>
    <cellStyle name="20 % - Akzent2 2 3 3" xfId="22" xr:uid="{00000000-0005-0000-0000-000015000000}"/>
    <cellStyle name="20 % - Akzent2 2 4" xfId="23" xr:uid="{00000000-0005-0000-0000-000016000000}"/>
    <cellStyle name="20 % - Akzent2 3" xfId="24" xr:uid="{00000000-0005-0000-0000-000017000000}"/>
    <cellStyle name="20 % - Akzent2 3 2" xfId="25" xr:uid="{00000000-0005-0000-0000-000018000000}"/>
    <cellStyle name="20 % - Akzent2 3 3" xfId="26" xr:uid="{00000000-0005-0000-0000-000019000000}"/>
    <cellStyle name="20 % - Akzent2 4" xfId="27" xr:uid="{00000000-0005-0000-0000-00001A000000}"/>
    <cellStyle name="20 % - Akzent2 4 2" xfId="28" xr:uid="{00000000-0005-0000-0000-00001B000000}"/>
    <cellStyle name="20 % - Akzent2 4 3" xfId="29" xr:uid="{00000000-0005-0000-0000-00001C000000}"/>
    <cellStyle name="20 % - Akzent2 5" xfId="30" xr:uid="{00000000-0005-0000-0000-00001D000000}"/>
    <cellStyle name="20 % - Akzent2 6" xfId="31" xr:uid="{00000000-0005-0000-0000-00001E000000}"/>
    <cellStyle name="20 % - Akzent2 7" xfId="32" xr:uid="{00000000-0005-0000-0000-00001F000000}"/>
    <cellStyle name="20 % - Akzent3 2" xfId="33" xr:uid="{00000000-0005-0000-0000-000020000000}"/>
    <cellStyle name="20 % - Akzent3 2 2" xfId="34" xr:uid="{00000000-0005-0000-0000-000021000000}"/>
    <cellStyle name="20 % - Akzent3 2 3" xfId="35" xr:uid="{00000000-0005-0000-0000-000022000000}"/>
    <cellStyle name="20 % - Akzent3 2 3 2" xfId="36" xr:uid="{00000000-0005-0000-0000-000023000000}"/>
    <cellStyle name="20 % - Akzent3 2 3 2 2" xfId="37" xr:uid="{00000000-0005-0000-0000-000024000000}"/>
    <cellStyle name="20 % - Akzent3 2 3 3" xfId="38" xr:uid="{00000000-0005-0000-0000-000025000000}"/>
    <cellStyle name="20 % - Akzent3 2 4" xfId="39" xr:uid="{00000000-0005-0000-0000-000026000000}"/>
    <cellStyle name="20 % - Akzent3 3" xfId="40" xr:uid="{00000000-0005-0000-0000-000027000000}"/>
    <cellStyle name="20 % - Akzent3 3 2" xfId="41" xr:uid="{00000000-0005-0000-0000-000028000000}"/>
    <cellStyle name="20 % - Akzent3 3 3" xfId="42" xr:uid="{00000000-0005-0000-0000-000029000000}"/>
    <cellStyle name="20 % - Akzent3 4" xfId="43" xr:uid="{00000000-0005-0000-0000-00002A000000}"/>
    <cellStyle name="20 % - Akzent3 4 2" xfId="44" xr:uid="{00000000-0005-0000-0000-00002B000000}"/>
    <cellStyle name="20 % - Akzent3 4 3" xfId="45" xr:uid="{00000000-0005-0000-0000-00002C000000}"/>
    <cellStyle name="20 % - Akzent3 5" xfId="46" xr:uid="{00000000-0005-0000-0000-00002D000000}"/>
    <cellStyle name="20 % - Akzent3 6" xfId="47" xr:uid="{00000000-0005-0000-0000-00002E000000}"/>
    <cellStyle name="20 % - Akzent3 7" xfId="48" xr:uid="{00000000-0005-0000-0000-00002F000000}"/>
    <cellStyle name="20 % - Akzent4 2" xfId="49" xr:uid="{00000000-0005-0000-0000-000030000000}"/>
    <cellStyle name="20 % - Akzent4 2 2" xfId="50" xr:uid="{00000000-0005-0000-0000-000031000000}"/>
    <cellStyle name="20 % - Akzent4 2 3" xfId="51" xr:uid="{00000000-0005-0000-0000-000032000000}"/>
    <cellStyle name="20 % - Akzent4 2 3 2" xfId="52" xr:uid="{00000000-0005-0000-0000-000033000000}"/>
    <cellStyle name="20 % - Akzent4 2 3 2 2" xfId="53" xr:uid="{00000000-0005-0000-0000-000034000000}"/>
    <cellStyle name="20 % - Akzent4 2 3 3" xfId="54" xr:uid="{00000000-0005-0000-0000-000035000000}"/>
    <cellStyle name="20 % - Akzent4 2 4" xfId="55" xr:uid="{00000000-0005-0000-0000-000036000000}"/>
    <cellStyle name="20 % - Akzent4 3" xfId="56" xr:uid="{00000000-0005-0000-0000-000037000000}"/>
    <cellStyle name="20 % - Akzent4 3 2" xfId="57" xr:uid="{00000000-0005-0000-0000-000038000000}"/>
    <cellStyle name="20 % - Akzent4 3 3" xfId="58" xr:uid="{00000000-0005-0000-0000-000039000000}"/>
    <cellStyle name="20 % - Akzent4 4" xfId="59" xr:uid="{00000000-0005-0000-0000-00003A000000}"/>
    <cellStyle name="20 % - Akzent4 4 2" xfId="60" xr:uid="{00000000-0005-0000-0000-00003B000000}"/>
    <cellStyle name="20 % - Akzent4 4 3" xfId="61" xr:uid="{00000000-0005-0000-0000-00003C000000}"/>
    <cellStyle name="20 % - Akzent4 5" xfId="62" xr:uid="{00000000-0005-0000-0000-00003D000000}"/>
    <cellStyle name="20 % - Akzent4 6" xfId="63" xr:uid="{00000000-0005-0000-0000-00003E000000}"/>
    <cellStyle name="20 % - Akzent4 7" xfId="64" xr:uid="{00000000-0005-0000-0000-00003F000000}"/>
    <cellStyle name="20 % - Akzent5 2" xfId="65" xr:uid="{00000000-0005-0000-0000-000040000000}"/>
    <cellStyle name="20 % - Akzent5 2 2" xfId="66" xr:uid="{00000000-0005-0000-0000-000041000000}"/>
    <cellStyle name="20 % - Akzent5 2 2 2" xfId="67" xr:uid="{00000000-0005-0000-0000-000042000000}"/>
    <cellStyle name="20 % - Akzent5 2 3" xfId="68" xr:uid="{00000000-0005-0000-0000-000043000000}"/>
    <cellStyle name="20 % - Akzent5 3" xfId="69" xr:uid="{00000000-0005-0000-0000-000044000000}"/>
    <cellStyle name="20 % - Akzent5 3 2" xfId="70" xr:uid="{00000000-0005-0000-0000-000045000000}"/>
    <cellStyle name="20 % - Akzent5 3 3" xfId="71" xr:uid="{00000000-0005-0000-0000-000046000000}"/>
    <cellStyle name="20 % - Akzent5 4" xfId="72" xr:uid="{00000000-0005-0000-0000-000047000000}"/>
    <cellStyle name="20 % - Akzent5 4 2" xfId="73" xr:uid="{00000000-0005-0000-0000-000048000000}"/>
    <cellStyle name="20 % - Akzent5 4 3" xfId="74" xr:uid="{00000000-0005-0000-0000-000049000000}"/>
    <cellStyle name="20 % - Akzent5 5" xfId="75" xr:uid="{00000000-0005-0000-0000-00004A000000}"/>
    <cellStyle name="20 % - Akzent5 6" xfId="76" xr:uid="{00000000-0005-0000-0000-00004B000000}"/>
    <cellStyle name="20 % - Akzent5 7" xfId="77" xr:uid="{00000000-0005-0000-0000-00004C000000}"/>
    <cellStyle name="20 % - Akzent6 2" xfId="78" xr:uid="{00000000-0005-0000-0000-00004D000000}"/>
    <cellStyle name="20 % - Akzent6 3" xfId="79" xr:uid="{00000000-0005-0000-0000-00004E000000}"/>
    <cellStyle name="20 % - Akzent6 3 2" xfId="80" xr:uid="{00000000-0005-0000-0000-00004F000000}"/>
    <cellStyle name="20 % - Akzent6 3 3" xfId="81" xr:uid="{00000000-0005-0000-0000-000050000000}"/>
    <cellStyle name="20 % - Akzent6 4" xfId="82" xr:uid="{00000000-0005-0000-0000-000051000000}"/>
    <cellStyle name="20 % - Akzent6 4 2" xfId="83" xr:uid="{00000000-0005-0000-0000-000052000000}"/>
    <cellStyle name="20 % - Akzent6 4 3" xfId="84" xr:uid="{00000000-0005-0000-0000-000053000000}"/>
    <cellStyle name="20 % - Akzent6 5" xfId="85" xr:uid="{00000000-0005-0000-0000-000054000000}"/>
    <cellStyle name="20 % - Akzent6 6" xfId="86" xr:uid="{00000000-0005-0000-0000-000055000000}"/>
    <cellStyle name="20 % - Akzent6 7" xfId="87" xr:uid="{00000000-0005-0000-0000-000056000000}"/>
    <cellStyle name="40 % - Akzent1 2" xfId="88" xr:uid="{00000000-0005-0000-0000-000057000000}"/>
    <cellStyle name="40 % - Akzent1 2 2" xfId="89" xr:uid="{00000000-0005-0000-0000-000058000000}"/>
    <cellStyle name="40 % - Akzent1 2 3" xfId="90" xr:uid="{00000000-0005-0000-0000-000059000000}"/>
    <cellStyle name="40 % - Akzent1 3" xfId="91" xr:uid="{00000000-0005-0000-0000-00005A000000}"/>
    <cellStyle name="40 % - Akzent1 3 2" xfId="92" xr:uid="{00000000-0005-0000-0000-00005B000000}"/>
    <cellStyle name="40 % - Akzent1 3 3" xfId="93" xr:uid="{00000000-0005-0000-0000-00005C000000}"/>
    <cellStyle name="40 % - Akzent1 4" xfId="94" xr:uid="{00000000-0005-0000-0000-00005D000000}"/>
    <cellStyle name="40 % - Akzent1 4 2" xfId="95" xr:uid="{00000000-0005-0000-0000-00005E000000}"/>
    <cellStyle name="40 % - Akzent1 4 3" xfId="96" xr:uid="{00000000-0005-0000-0000-00005F000000}"/>
    <cellStyle name="40 % - Akzent1 5" xfId="97" xr:uid="{00000000-0005-0000-0000-000060000000}"/>
    <cellStyle name="40 % - Akzent1 6" xfId="98" xr:uid="{00000000-0005-0000-0000-000061000000}"/>
    <cellStyle name="40 % - Akzent1 7" xfId="99" xr:uid="{00000000-0005-0000-0000-000062000000}"/>
    <cellStyle name="40 % - Akzent2 2" xfId="100" xr:uid="{00000000-0005-0000-0000-000063000000}"/>
    <cellStyle name="40 % - Akzent2 3" xfId="101" xr:uid="{00000000-0005-0000-0000-000064000000}"/>
    <cellStyle name="40 % - Akzent2 3 2" xfId="102" xr:uid="{00000000-0005-0000-0000-000065000000}"/>
    <cellStyle name="40 % - Akzent2 3 3" xfId="103" xr:uid="{00000000-0005-0000-0000-000066000000}"/>
    <cellStyle name="40 % - Akzent2 4" xfId="104" xr:uid="{00000000-0005-0000-0000-000067000000}"/>
    <cellStyle name="40 % - Akzent2 4 2" xfId="105" xr:uid="{00000000-0005-0000-0000-000068000000}"/>
    <cellStyle name="40 % - Akzent2 4 3" xfId="106" xr:uid="{00000000-0005-0000-0000-000069000000}"/>
    <cellStyle name="40 % - Akzent2 5" xfId="107" xr:uid="{00000000-0005-0000-0000-00006A000000}"/>
    <cellStyle name="40 % - Akzent2 6" xfId="108" xr:uid="{00000000-0005-0000-0000-00006B000000}"/>
    <cellStyle name="40 % - Akzent2 7" xfId="109" xr:uid="{00000000-0005-0000-0000-00006C000000}"/>
    <cellStyle name="40 % - Akzent3 2" xfId="110" xr:uid="{00000000-0005-0000-0000-00006D000000}"/>
    <cellStyle name="40 % - Akzent3 2 2" xfId="111" xr:uid="{00000000-0005-0000-0000-00006E000000}"/>
    <cellStyle name="40 % - Akzent3 2 3" xfId="112" xr:uid="{00000000-0005-0000-0000-00006F000000}"/>
    <cellStyle name="40 % - Akzent3 2 3 2" xfId="113" xr:uid="{00000000-0005-0000-0000-000070000000}"/>
    <cellStyle name="40 % - Akzent3 2 3 2 2" xfId="114" xr:uid="{00000000-0005-0000-0000-000071000000}"/>
    <cellStyle name="40 % - Akzent3 2 3 3" xfId="115" xr:uid="{00000000-0005-0000-0000-000072000000}"/>
    <cellStyle name="40 % - Akzent3 2 4" xfId="116" xr:uid="{00000000-0005-0000-0000-000073000000}"/>
    <cellStyle name="40 % - Akzent3 3" xfId="117" xr:uid="{00000000-0005-0000-0000-000074000000}"/>
    <cellStyle name="40 % - Akzent3 3 2" xfId="118" xr:uid="{00000000-0005-0000-0000-000075000000}"/>
    <cellStyle name="40 % - Akzent3 3 3" xfId="119" xr:uid="{00000000-0005-0000-0000-000076000000}"/>
    <cellStyle name="40 % - Akzent3 4" xfId="120" xr:uid="{00000000-0005-0000-0000-000077000000}"/>
    <cellStyle name="40 % - Akzent3 4 2" xfId="121" xr:uid="{00000000-0005-0000-0000-000078000000}"/>
    <cellStyle name="40 % - Akzent3 4 3" xfId="122" xr:uid="{00000000-0005-0000-0000-000079000000}"/>
    <cellStyle name="40 % - Akzent3 5" xfId="123" xr:uid="{00000000-0005-0000-0000-00007A000000}"/>
    <cellStyle name="40 % - Akzent3 6" xfId="124" xr:uid="{00000000-0005-0000-0000-00007B000000}"/>
    <cellStyle name="40 % - Akzent3 7" xfId="125" xr:uid="{00000000-0005-0000-0000-00007C000000}"/>
    <cellStyle name="40 % - Akzent4 2" xfId="126" xr:uid="{00000000-0005-0000-0000-00007D000000}"/>
    <cellStyle name="40 % - Akzent4 2 2" xfId="127" xr:uid="{00000000-0005-0000-0000-00007E000000}"/>
    <cellStyle name="40 % - Akzent4 2 2 2" xfId="128" xr:uid="{00000000-0005-0000-0000-00007F000000}"/>
    <cellStyle name="40 % - Akzent4 2 3" xfId="129" xr:uid="{00000000-0005-0000-0000-000080000000}"/>
    <cellStyle name="40 % - Akzent4 3" xfId="130" xr:uid="{00000000-0005-0000-0000-000081000000}"/>
    <cellStyle name="40 % - Akzent4 3 2" xfId="131" xr:uid="{00000000-0005-0000-0000-000082000000}"/>
    <cellStyle name="40 % - Akzent4 3 3" xfId="132" xr:uid="{00000000-0005-0000-0000-000083000000}"/>
    <cellStyle name="40 % - Akzent4 4" xfId="133" xr:uid="{00000000-0005-0000-0000-000084000000}"/>
    <cellStyle name="40 % - Akzent4 4 2" xfId="134" xr:uid="{00000000-0005-0000-0000-000085000000}"/>
    <cellStyle name="40 % - Akzent4 4 3" xfId="135" xr:uid="{00000000-0005-0000-0000-000086000000}"/>
    <cellStyle name="40 % - Akzent4 5" xfId="136" xr:uid="{00000000-0005-0000-0000-000087000000}"/>
    <cellStyle name="40 % - Akzent4 6" xfId="137" xr:uid="{00000000-0005-0000-0000-000088000000}"/>
    <cellStyle name="40 % - Akzent4 7" xfId="138" xr:uid="{00000000-0005-0000-0000-000089000000}"/>
    <cellStyle name="40 % - Akzent5 2" xfId="139" xr:uid="{00000000-0005-0000-0000-00008A000000}"/>
    <cellStyle name="40 % - Akzent5 2 2" xfId="140" xr:uid="{00000000-0005-0000-0000-00008B000000}"/>
    <cellStyle name="40 % - Akzent5 2 3" xfId="141" xr:uid="{00000000-0005-0000-0000-00008C000000}"/>
    <cellStyle name="40 % - Akzent5 3" xfId="142" xr:uid="{00000000-0005-0000-0000-00008D000000}"/>
    <cellStyle name="40 % - Akzent5 3 2" xfId="143" xr:uid="{00000000-0005-0000-0000-00008E000000}"/>
    <cellStyle name="40 % - Akzent5 3 3" xfId="144" xr:uid="{00000000-0005-0000-0000-00008F000000}"/>
    <cellStyle name="40 % - Akzent5 4" xfId="145" xr:uid="{00000000-0005-0000-0000-000090000000}"/>
    <cellStyle name="40 % - Akzent5 4 2" xfId="146" xr:uid="{00000000-0005-0000-0000-000091000000}"/>
    <cellStyle name="40 % - Akzent5 4 3" xfId="147" xr:uid="{00000000-0005-0000-0000-000092000000}"/>
    <cellStyle name="40 % - Akzent5 5" xfId="148" xr:uid="{00000000-0005-0000-0000-000093000000}"/>
    <cellStyle name="40 % - Akzent5 6" xfId="149" xr:uid="{00000000-0005-0000-0000-000094000000}"/>
    <cellStyle name="40 % - Akzent5 7" xfId="150" xr:uid="{00000000-0005-0000-0000-000095000000}"/>
    <cellStyle name="40 % - Akzent6 2" xfId="151" xr:uid="{00000000-0005-0000-0000-000096000000}"/>
    <cellStyle name="40 % - Akzent6 2 2" xfId="152" xr:uid="{00000000-0005-0000-0000-000097000000}"/>
    <cellStyle name="40 % - Akzent6 2 2 2" xfId="153" xr:uid="{00000000-0005-0000-0000-000098000000}"/>
    <cellStyle name="40 % - Akzent6 2 3" xfId="154" xr:uid="{00000000-0005-0000-0000-000099000000}"/>
    <cellStyle name="40 % - Akzent6 3" xfId="155" xr:uid="{00000000-0005-0000-0000-00009A000000}"/>
    <cellStyle name="40 % - Akzent6 3 2" xfId="156" xr:uid="{00000000-0005-0000-0000-00009B000000}"/>
    <cellStyle name="40 % - Akzent6 3 3" xfId="157" xr:uid="{00000000-0005-0000-0000-00009C000000}"/>
    <cellStyle name="40 % - Akzent6 4" xfId="158" xr:uid="{00000000-0005-0000-0000-00009D000000}"/>
    <cellStyle name="40 % - Akzent6 4 2" xfId="159" xr:uid="{00000000-0005-0000-0000-00009E000000}"/>
    <cellStyle name="40 % - Akzent6 4 3" xfId="160" xr:uid="{00000000-0005-0000-0000-00009F000000}"/>
    <cellStyle name="40 % - Akzent6 5" xfId="161" xr:uid="{00000000-0005-0000-0000-0000A0000000}"/>
    <cellStyle name="40 % - Akzent6 6" xfId="162" xr:uid="{00000000-0005-0000-0000-0000A1000000}"/>
    <cellStyle name="40 % - Akzent6 7" xfId="163" xr:uid="{00000000-0005-0000-0000-0000A2000000}"/>
    <cellStyle name="60 % - Akzent1 2" xfId="164" xr:uid="{00000000-0005-0000-0000-0000A3000000}"/>
    <cellStyle name="60 % - Akzent1 2 2" xfId="165" xr:uid="{00000000-0005-0000-0000-0000A4000000}"/>
    <cellStyle name="60 % - Akzent1 2 2 2" xfId="166" xr:uid="{00000000-0005-0000-0000-0000A5000000}"/>
    <cellStyle name="60 % - Akzent1 2 3" xfId="167" xr:uid="{00000000-0005-0000-0000-0000A6000000}"/>
    <cellStyle name="60 % - Akzent1 3" xfId="168" xr:uid="{00000000-0005-0000-0000-0000A7000000}"/>
    <cellStyle name="60 % - Akzent1 4" xfId="169" xr:uid="{00000000-0005-0000-0000-0000A8000000}"/>
    <cellStyle name="60 % - Akzent1 5" xfId="170" xr:uid="{00000000-0005-0000-0000-0000A9000000}"/>
    <cellStyle name="60 % - Akzent1 6" xfId="171" xr:uid="{00000000-0005-0000-0000-0000AA000000}"/>
    <cellStyle name="60 % - Akzent2 2" xfId="172" xr:uid="{00000000-0005-0000-0000-0000AB000000}"/>
    <cellStyle name="60 % - Akzent2 3" xfId="173" xr:uid="{00000000-0005-0000-0000-0000AC000000}"/>
    <cellStyle name="60 % - Akzent2 4" xfId="174" xr:uid="{00000000-0005-0000-0000-0000AD000000}"/>
    <cellStyle name="60 % - Akzent2 5" xfId="175" xr:uid="{00000000-0005-0000-0000-0000AE000000}"/>
    <cellStyle name="60 % - Akzent2 6" xfId="176" xr:uid="{00000000-0005-0000-0000-0000AF000000}"/>
    <cellStyle name="60 % - Akzent3 2" xfId="177" xr:uid="{00000000-0005-0000-0000-0000B0000000}"/>
    <cellStyle name="60 % - Akzent3 3" xfId="178" xr:uid="{00000000-0005-0000-0000-0000B1000000}"/>
    <cellStyle name="60 % - Akzent3 4" xfId="179" xr:uid="{00000000-0005-0000-0000-0000B2000000}"/>
    <cellStyle name="60 % - Akzent3 5" xfId="180" xr:uid="{00000000-0005-0000-0000-0000B3000000}"/>
    <cellStyle name="60 % - Akzent3 6" xfId="181" xr:uid="{00000000-0005-0000-0000-0000B4000000}"/>
    <cellStyle name="60 % - Akzent4 2" xfId="182" xr:uid="{00000000-0005-0000-0000-0000B5000000}"/>
    <cellStyle name="60 % - Akzent4 2 2" xfId="183" xr:uid="{00000000-0005-0000-0000-0000B6000000}"/>
    <cellStyle name="60 % - Akzent4 2 3" xfId="184" xr:uid="{00000000-0005-0000-0000-0000B7000000}"/>
    <cellStyle name="60 % - Akzent4 2 3 2" xfId="185" xr:uid="{00000000-0005-0000-0000-0000B8000000}"/>
    <cellStyle name="60 % - Akzent4 2 3 2 2" xfId="186" xr:uid="{00000000-0005-0000-0000-0000B9000000}"/>
    <cellStyle name="60 % - Akzent4 2 3 3" xfId="187" xr:uid="{00000000-0005-0000-0000-0000BA000000}"/>
    <cellStyle name="60 % - Akzent4 2 4" xfId="188" xr:uid="{00000000-0005-0000-0000-0000BB000000}"/>
    <cellStyle name="60 % - Akzent4 3" xfId="189" xr:uid="{00000000-0005-0000-0000-0000BC000000}"/>
    <cellStyle name="60 % - Akzent4 4" xfId="190" xr:uid="{00000000-0005-0000-0000-0000BD000000}"/>
    <cellStyle name="60 % - Akzent4 5" xfId="191" xr:uid="{00000000-0005-0000-0000-0000BE000000}"/>
    <cellStyle name="60 % - Akzent4 6" xfId="192" xr:uid="{00000000-0005-0000-0000-0000BF000000}"/>
    <cellStyle name="60 % - Akzent5 2" xfId="193" xr:uid="{00000000-0005-0000-0000-0000C0000000}"/>
    <cellStyle name="60 % - Akzent5 2 2" xfId="194" xr:uid="{00000000-0005-0000-0000-0000C1000000}"/>
    <cellStyle name="60 % - Akzent5 2 2 2" xfId="195" xr:uid="{00000000-0005-0000-0000-0000C2000000}"/>
    <cellStyle name="60 % - Akzent5 2 3" xfId="196" xr:uid="{00000000-0005-0000-0000-0000C3000000}"/>
    <cellStyle name="60 % - Akzent5 3" xfId="197" xr:uid="{00000000-0005-0000-0000-0000C4000000}"/>
    <cellStyle name="60 % - Akzent5 4" xfId="198" xr:uid="{00000000-0005-0000-0000-0000C5000000}"/>
    <cellStyle name="60 % - Akzent5 5" xfId="199" xr:uid="{00000000-0005-0000-0000-0000C6000000}"/>
    <cellStyle name="60 % - Akzent5 6" xfId="200" xr:uid="{00000000-0005-0000-0000-0000C7000000}"/>
    <cellStyle name="60 % - Akzent6 2" xfId="201" xr:uid="{00000000-0005-0000-0000-0000C8000000}"/>
    <cellStyle name="60 % - Akzent6 2 2" xfId="202" xr:uid="{00000000-0005-0000-0000-0000C9000000}"/>
    <cellStyle name="60 % - Akzent6 2 3" xfId="203" xr:uid="{00000000-0005-0000-0000-0000CA000000}"/>
    <cellStyle name="60 % - Akzent6 2 3 2" xfId="204" xr:uid="{00000000-0005-0000-0000-0000CB000000}"/>
    <cellStyle name="60 % - Akzent6 2 3 2 2" xfId="205" xr:uid="{00000000-0005-0000-0000-0000CC000000}"/>
    <cellStyle name="60 % - Akzent6 2 3 3" xfId="206" xr:uid="{00000000-0005-0000-0000-0000CD000000}"/>
    <cellStyle name="60 % - Akzent6 2 4" xfId="207" xr:uid="{00000000-0005-0000-0000-0000CE000000}"/>
    <cellStyle name="60 % - Akzent6 3" xfId="208" xr:uid="{00000000-0005-0000-0000-0000CF000000}"/>
    <cellStyle name="60 % - Akzent6 4" xfId="209" xr:uid="{00000000-0005-0000-0000-0000D0000000}"/>
    <cellStyle name="60 % - Akzent6 5" xfId="210" xr:uid="{00000000-0005-0000-0000-0000D1000000}"/>
    <cellStyle name="60 % - Akzent6 6" xfId="211" xr:uid="{00000000-0005-0000-0000-0000D2000000}"/>
    <cellStyle name="Accent1" xfId="234" xr:uid="{00000000-0005-0000-0000-0000D3000000}"/>
    <cellStyle name="Accent1 2" xfId="212" xr:uid="{00000000-0005-0000-0000-0000D4000000}"/>
    <cellStyle name="Accent1 3" xfId="213" xr:uid="{00000000-0005-0000-0000-0000D5000000}"/>
    <cellStyle name="Accent1 3 2" xfId="214" xr:uid="{00000000-0005-0000-0000-0000D6000000}"/>
    <cellStyle name="Accent1 4" xfId="215" xr:uid="{00000000-0005-0000-0000-0000D7000000}"/>
    <cellStyle name="Accent1 5" xfId="216" xr:uid="{00000000-0005-0000-0000-0000D8000000}"/>
    <cellStyle name="Accent1 6" xfId="217" xr:uid="{00000000-0005-0000-0000-0000D9000000}"/>
    <cellStyle name="Accent2" xfId="237" xr:uid="{00000000-0005-0000-0000-0000DA000000}"/>
    <cellStyle name="Accent2 2" xfId="218" xr:uid="{00000000-0005-0000-0000-0000DB000000}"/>
    <cellStyle name="Accent2 3" xfId="219" xr:uid="{00000000-0005-0000-0000-0000DC000000}"/>
    <cellStyle name="Accent2 4" xfId="220" xr:uid="{00000000-0005-0000-0000-0000DD000000}"/>
    <cellStyle name="Accent2 5" xfId="221" xr:uid="{00000000-0005-0000-0000-0000DE000000}"/>
    <cellStyle name="Accent3" xfId="240" xr:uid="{00000000-0005-0000-0000-0000DF000000}"/>
    <cellStyle name="Accent3 2" xfId="222" xr:uid="{00000000-0005-0000-0000-0000E0000000}"/>
    <cellStyle name="Accent3 3" xfId="223" xr:uid="{00000000-0005-0000-0000-0000E1000000}"/>
    <cellStyle name="Accent4" xfId="243" xr:uid="{00000000-0005-0000-0000-0000E2000000}"/>
    <cellStyle name="Accent4 2" xfId="224" xr:uid="{00000000-0005-0000-0000-0000E3000000}"/>
    <cellStyle name="Accent4 3" xfId="225" xr:uid="{00000000-0005-0000-0000-0000E4000000}"/>
    <cellStyle name="Accent4 3 2" xfId="226" xr:uid="{00000000-0005-0000-0000-0000E5000000}"/>
    <cellStyle name="Accent4 4" xfId="227" xr:uid="{00000000-0005-0000-0000-0000E6000000}"/>
    <cellStyle name="Accent4 5" xfId="228" xr:uid="{00000000-0005-0000-0000-0000E7000000}"/>
    <cellStyle name="Accent4 6" xfId="229" xr:uid="{00000000-0005-0000-0000-0000E8000000}"/>
    <cellStyle name="Accent5" xfId="246" xr:uid="{00000000-0005-0000-0000-0000E9000000}"/>
    <cellStyle name="Accent5 2" xfId="230" xr:uid="{00000000-0005-0000-0000-0000EA000000}"/>
    <cellStyle name="Accent5 3" xfId="231" xr:uid="{00000000-0005-0000-0000-0000EB000000}"/>
    <cellStyle name="Accent6" xfId="249" xr:uid="{00000000-0005-0000-0000-0000EC000000}"/>
    <cellStyle name="Accent6 2" xfId="232" xr:uid="{00000000-0005-0000-0000-0000ED000000}"/>
    <cellStyle name="Accent6 3" xfId="233" xr:uid="{00000000-0005-0000-0000-0000EE000000}"/>
    <cellStyle name="Akzent1 2" xfId="235" xr:uid="{00000000-0005-0000-0000-0000EF000000}"/>
    <cellStyle name="Akzent1 3" xfId="236" xr:uid="{00000000-0005-0000-0000-0000F0000000}"/>
    <cellStyle name="Akzent2 2" xfId="238" xr:uid="{00000000-0005-0000-0000-0000F1000000}"/>
    <cellStyle name="Akzent2 3" xfId="239" xr:uid="{00000000-0005-0000-0000-0000F2000000}"/>
    <cellStyle name="Akzent3 2" xfId="241" xr:uid="{00000000-0005-0000-0000-0000F3000000}"/>
    <cellStyle name="Akzent3 3" xfId="242" xr:uid="{00000000-0005-0000-0000-0000F4000000}"/>
    <cellStyle name="Akzent4 2" xfId="244" xr:uid="{00000000-0005-0000-0000-0000F5000000}"/>
    <cellStyle name="Akzent4 3" xfId="245" xr:uid="{00000000-0005-0000-0000-0000F6000000}"/>
    <cellStyle name="Akzent5 2" xfId="247" xr:uid="{00000000-0005-0000-0000-0000F7000000}"/>
    <cellStyle name="Akzent5 3" xfId="248" xr:uid="{00000000-0005-0000-0000-0000F8000000}"/>
    <cellStyle name="Akzent6 2" xfId="250" xr:uid="{00000000-0005-0000-0000-0000F9000000}"/>
    <cellStyle name="Akzent6 3" xfId="251" xr:uid="{00000000-0005-0000-0000-0000FA000000}"/>
    <cellStyle name="Ausgabe 2" xfId="252" xr:uid="{00000000-0005-0000-0000-0000FB000000}"/>
    <cellStyle name="Ausgabe 2 2" xfId="253" xr:uid="{00000000-0005-0000-0000-0000FC000000}"/>
    <cellStyle name="Ausgabe 2 2 2" xfId="254" xr:uid="{00000000-0005-0000-0000-0000FD000000}"/>
    <cellStyle name="Ausgabe 2 2 3" xfId="255" xr:uid="{00000000-0005-0000-0000-0000FE000000}"/>
    <cellStyle name="Ausgabe 2 2 3 2" xfId="256" xr:uid="{00000000-0005-0000-0000-0000FF000000}"/>
    <cellStyle name="Ausgabe 2 3" xfId="257" xr:uid="{00000000-0005-0000-0000-000000010000}"/>
    <cellStyle name="Ausgabe 2 3 2" xfId="258" xr:uid="{00000000-0005-0000-0000-000001010000}"/>
    <cellStyle name="Ausgabe 2 3 2 2" xfId="259" xr:uid="{00000000-0005-0000-0000-000002010000}"/>
    <cellStyle name="Ausgabe 2 3 3" xfId="260" xr:uid="{00000000-0005-0000-0000-000003010000}"/>
    <cellStyle name="Ausgabe 2 3 3 2" xfId="261" xr:uid="{00000000-0005-0000-0000-000004010000}"/>
    <cellStyle name="Ausgabe 2 4" xfId="262" xr:uid="{00000000-0005-0000-0000-000005010000}"/>
    <cellStyle name="Ausgabe 2 5" xfId="263" xr:uid="{00000000-0005-0000-0000-000006010000}"/>
    <cellStyle name="Ausgabe 2 5 2" xfId="264" xr:uid="{00000000-0005-0000-0000-000007010000}"/>
    <cellStyle name="Ausgabe 3" xfId="265" xr:uid="{00000000-0005-0000-0000-000008010000}"/>
    <cellStyle name="Ausgabe 3 2" xfId="266" xr:uid="{00000000-0005-0000-0000-000009010000}"/>
    <cellStyle name="Ausgabe 3 3" xfId="267" xr:uid="{00000000-0005-0000-0000-00000A010000}"/>
    <cellStyle name="Ausgabe 3 3 2" xfId="268" xr:uid="{00000000-0005-0000-0000-00000B010000}"/>
    <cellStyle name="Ausgabe 4" xfId="269" xr:uid="{00000000-0005-0000-0000-00000C010000}"/>
    <cellStyle name="Ausgabe 5" xfId="270" xr:uid="{00000000-0005-0000-0000-00000D010000}"/>
    <cellStyle name="Ausgabe 6" xfId="271" xr:uid="{00000000-0005-0000-0000-00000E010000}"/>
    <cellStyle name="Ausgabe 7" xfId="272" xr:uid="{00000000-0005-0000-0000-00000F010000}"/>
    <cellStyle name="Ausgabe 7 2" xfId="273" xr:uid="{00000000-0005-0000-0000-000010010000}"/>
    <cellStyle name="Ausgabe 7 3" xfId="274" xr:uid="{00000000-0005-0000-0000-000011010000}"/>
    <cellStyle name="Ausgabe 7 3 2" xfId="275" xr:uid="{00000000-0005-0000-0000-000012010000}"/>
    <cellStyle name="Ausgabe 7 3 3" xfId="276" xr:uid="{00000000-0005-0000-0000-000013010000}"/>
    <cellStyle name="Ausgabe 7 4" xfId="277" xr:uid="{00000000-0005-0000-0000-000014010000}"/>
    <cellStyle name="Ausgabe 8" xfId="278" xr:uid="{00000000-0005-0000-0000-000015010000}"/>
    <cellStyle name="Ausgabe 8 2" xfId="279" xr:uid="{00000000-0005-0000-0000-000016010000}"/>
    <cellStyle name="Bad" xfId="507" xr:uid="{00000000-0005-0000-0000-000017010000}"/>
    <cellStyle name="Bad 2" xfId="280" xr:uid="{00000000-0005-0000-0000-000018010000}"/>
    <cellStyle name="Bad 3" xfId="281" xr:uid="{00000000-0005-0000-0000-000019010000}"/>
    <cellStyle name="Berechnung 2" xfId="282" xr:uid="{00000000-0005-0000-0000-00001A010000}"/>
    <cellStyle name="Berechnung 2 2" xfId="283" xr:uid="{00000000-0005-0000-0000-00001B010000}"/>
    <cellStyle name="Berechnung 2 3" xfId="284" xr:uid="{00000000-0005-0000-0000-00001C010000}"/>
    <cellStyle name="Berechnung 2 3 2" xfId="285" xr:uid="{00000000-0005-0000-0000-00001D010000}"/>
    <cellStyle name="Berechnung 2 3 2 2" xfId="286" xr:uid="{00000000-0005-0000-0000-00001E010000}"/>
    <cellStyle name="Berechnung 2 3 3" xfId="287" xr:uid="{00000000-0005-0000-0000-00001F010000}"/>
    <cellStyle name="Berechnung 2 4" xfId="288" xr:uid="{00000000-0005-0000-0000-000020010000}"/>
    <cellStyle name="Berechnung 3" xfId="289" xr:uid="{00000000-0005-0000-0000-000021010000}"/>
    <cellStyle name="Berechnung 4" xfId="290" xr:uid="{00000000-0005-0000-0000-000022010000}"/>
    <cellStyle name="Berechnung 5" xfId="291" xr:uid="{00000000-0005-0000-0000-000023010000}"/>
    <cellStyle name="Berechnung 6" xfId="292" xr:uid="{00000000-0005-0000-0000-000024010000}"/>
    <cellStyle name="Berechnung 7" xfId="293" xr:uid="{00000000-0005-0000-0000-000025010000}"/>
    <cellStyle name="Berechnung 7 2" xfId="294" xr:uid="{00000000-0005-0000-0000-000026010000}"/>
    <cellStyle name="Berechnung 7 3" xfId="295" xr:uid="{00000000-0005-0000-0000-000027010000}"/>
    <cellStyle name="Berechnung 8" xfId="296" xr:uid="{00000000-0005-0000-0000-000028010000}"/>
    <cellStyle name="Calculation 2" xfId="297" xr:uid="{00000000-0005-0000-0000-000029010000}"/>
    <cellStyle name="Check Cell" xfId="576" xr:uid="{00000000-0005-0000-0000-00002A010000}"/>
    <cellStyle name="Check Cell 2" xfId="298" xr:uid="{00000000-0005-0000-0000-00002B010000}"/>
    <cellStyle name="Check Cell 3" xfId="299" xr:uid="{00000000-0005-0000-0000-00002C010000}"/>
    <cellStyle name="Check Cell 4" xfId="300" xr:uid="{00000000-0005-0000-0000-00002D010000}"/>
    <cellStyle name="Check Cell 5" xfId="301" xr:uid="{00000000-0005-0000-0000-00002E010000}"/>
    <cellStyle name="Eingabe 2" xfId="302" xr:uid="{00000000-0005-0000-0000-00002F010000}"/>
    <cellStyle name="Eingabe 3" xfId="303" xr:uid="{00000000-0005-0000-0000-000030010000}"/>
    <cellStyle name="Eingabe 4" xfId="304" xr:uid="{00000000-0005-0000-0000-000031010000}"/>
    <cellStyle name="Eingabe 5" xfId="305" xr:uid="{00000000-0005-0000-0000-000032010000}"/>
    <cellStyle name="Eingabe 6" xfId="306" xr:uid="{00000000-0005-0000-0000-000033010000}"/>
    <cellStyle name="Eingabe 7" xfId="307" xr:uid="{00000000-0005-0000-0000-000034010000}"/>
    <cellStyle name="Ergebnis 2" xfId="308" xr:uid="{00000000-0005-0000-0000-000035010000}"/>
    <cellStyle name="Ergebnis 2 2" xfId="309" xr:uid="{00000000-0005-0000-0000-000036010000}"/>
    <cellStyle name="Ergebnis 2 2 2" xfId="310" xr:uid="{00000000-0005-0000-0000-000037010000}"/>
    <cellStyle name="Ergebnis 2 3" xfId="311" xr:uid="{00000000-0005-0000-0000-000038010000}"/>
    <cellStyle name="Ergebnis 2 4" xfId="312" xr:uid="{00000000-0005-0000-0000-000039010000}"/>
    <cellStyle name="Ergebnis 2 4 2" xfId="313" xr:uid="{00000000-0005-0000-0000-00003A010000}"/>
    <cellStyle name="Ergebnis 2 4 2 2" xfId="314" xr:uid="{00000000-0005-0000-0000-00003B010000}"/>
    <cellStyle name="Ergebnis 2 4 3" xfId="315" xr:uid="{00000000-0005-0000-0000-00003C010000}"/>
    <cellStyle name="Ergebnis 2 5" xfId="316" xr:uid="{00000000-0005-0000-0000-00003D010000}"/>
    <cellStyle name="Ergebnis 3" xfId="317" xr:uid="{00000000-0005-0000-0000-00003E010000}"/>
    <cellStyle name="Ergebnis 3 2" xfId="318" xr:uid="{00000000-0005-0000-0000-00003F010000}"/>
    <cellStyle name="Ergebnis 4" xfId="319" xr:uid="{00000000-0005-0000-0000-000040010000}"/>
    <cellStyle name="Ergebnis 4 2" xfId="320" xr:uid="{00000000-0005-0000-0000-000041010000}"/>
    <cellStyle name="Ergebnis 5" xfId="321" xr:uid="{00000000-0005-0000-0000-000042010000}"/>
    <cellStyle name="Ergebnis 6" xfId="322" xr:uid="{00000000-0005-0000-0000-000043010000}"/>
    <cellStyle name="Ergebnis 7" xfId="323" xr:uid="{00000000-0005-0000-0000-000044010000}"/>
    <cellStyle name="Ergebnis 8" xfId="324" xr:uid="{00000000-0005-0000-0000-000045010000}"/>
    <cellStyle name="Ergebnis 8 2" xfId="325" xr:uid="{00000000-0005-0000-0000-000046010000}"/>
    <cellStyle name="Ergebnis 8 3" xfId="326" xr:uid="{00000000-0005-0000-0000-000047010000}"/>
    <cellStyle name="Ergebnis 9" xfId="327" xr:uid="{00000000-0005-0000-0000-000048010000}"/>
    <cellStyle name="Erklärender Text 2" xfId="328" xr:uid="{00000000-0005-0000-0000-000049010000}"/>
    <cellStyle name="Erklärender Text 3" xfId="329" xr:uid="{00000000-0005-0000-0000-00004A010000}"/>
    <cellStyle name="Erklärender Text 4" xfId="330" xr:uid="{00000000-0005-0000-0000-00004B010000}"/>
    <cellStyle name="Erklärender Text 5" xfId="331" xr:uid="{00000000-0005-0000-0000-00004C010000}"/>
    <cellStyle name="Erklärender Text 6" xfId="332" xr:uid="{00000000-0005-0000-0000-00004D010000}"/>
    <cellStyle name="Good" xfId="335" xr:uid="{00000000-0005-0000-0000-00004E010000}"/>
    <cellStyle name="Good 2" xfId="333" xr:uid="{00000000-0005-0000-0000-00004F010000}"/>
    <cellStyle name="Good 3" xfId="334" xr:uid="{00000000-0005-0000-0000-000050010000}"/>
    <cellStyle name="Gut 2" xfId="336" xr:uid="{00000000-0005-0000-0000-000051010000}"/>
    <cellStyle name="Gut 3" xfId="337" xr:uid="{00000000-0005-0000-0000-000052010000}"/>
    <cellStyle name="Heading 1" xfId="551" xr:uid="{00000000-0005-0000-0000-000053010000}"/>
    <cellStyle name="Heading 1 2" xfId="338" xr:uid="{00000000-0005-0000-0000-000054010000}"/>
    <cellStyle name="Heading 1 2 2" xfId="339" xr:uid="{00000000-0005-0000-0000-000055010000}"/>
    <cellStyle name="Heading 1 3" xfId="340" xr:uid="{00000000-0005-0000-0000-000056010000}"/>
    <cellStyle name="Heading 1 4" xfId="341" xr:uid="{00000000-0005-0000-0000-000057010000}"/>
    <cellStyle name="Heading 1 5" xfId="342" xr:uid="{00000000-0005-0000-0000-000058010000}"/>
    <cellStyle name="Heading 2" xfId="554" xr:uid="{00000000-0005-0000-0000-000059010000}"/>
    <cellStyle name="Heading 2 2" xfId="343" xr:uid="{00000000-0005-0000-0000-00005A010000}"/>
    <cellStyle name="Heading 2 2 2" xfId="344" xr:uid="{00000000-0005-0000-0000-00005B010000}"/>
    <cellStyle name="Heading 2 3" xfId="345" xr:uid="{00000000-0005-0000-0000-00005C010000}"/>
    <cellStyle name="Heading 2 4" xfId="346" xr:uid="{00000000-0005-0000-0000-00005D010000}"/>
    <cellStyle name="Heading 2 5" xfId="347" xr:uid="{00000000-0005-0000-0000-00005E010000}"/>
    <cellStyle name="Heading 3" xfId="557" xr:uid="{00000000-0005-0000-0000-00005F010000}"/>
    <cellStyle name="Heading 3 2" xfId="348" xr:uid="{00000000-0005-0000-0000-000060010000}"/>
    <cellStyle name="Heading 3 2 2" xfId="349" xr:uid="{00000000-0005-0000-0000-000061010000}"/>
    <cellStyle name="Heading 3 3" xfId="350" xr:uid="{00000000-0005-0000-0000-000062010000}"/>
    <cellStyle name="Heading 3 4" xfId="351" xr:uid="{00000000-0005-0000-0000-000063010000}"/>
    <cellStyle name="Heading 3 5" xfId="352" xr:uid="{00000000-0005-0000-0000-000064010000}"/>
    <cellStyle name="Heading 4" xfId="560" xr:uid="{00000000-0005-0000-0000-000065010000}"/>
    <cellStyle name="Heading 4 2" xfId="353" xr:uid="{00000000-0005-0000-0000-000066010000}"/>
    <cellStyle name="Heading 4 2 2" xfId="354" xr:uid="{00000000-0005-0000-0000-000067010000}"/>
    <cellStyle name="Heading 4 3" xfId="355" xr:uid="{00000000-0005-0000-0000-000068010000}"/>
    <cellStyle name="Heading 4 4" xfId="356" xr:uid="{00000000-0005-0000-0000-000069010000}"/>
    <cellStyle name="Heading 4 5" xfId="357" xr:uid="{00000000-0005-0000-0000-00006A010000}"/>
    <cellStyle name="Input 2" xfId="358" xr:uid="{00000000-0005-0000-0000-00006B010000}"/>
    <cellStyle name="Linked Cell" xfId="565" xr:uid="{00000000-0005-0000-0000-00006C010000}"/>
    <cellStyle name="Linked Cell 2" xfId="359" xr:uid="{00000000-0005-0000-0000-00006D010000}"/>
    <cellStyle name="Linked Cell 3" xfId="360" xr:uid="{00000000-0005-0000-0000-00006E010000}"/>
    <cellStyle name="Neutral" xfId="361" builtinId="28" customBuiltin="1"/>
    <cellStyle name="Normal" xfId="0" builtinId="0"/>
    <cellStyle name="Normal 2" xfId="362" xr:uid="{00000000-0005-0000-0000-000070010000}"/>
    <cellStyle name="Note" xfId="370" xr:uid="{00000000-0005-0000-0000-000071010000}"/>
    <cellStyle name="Note 2" xfId="363" xr:uid="{00000000-0005-0000-0000-000072010000}"/>
    <cellStyle name="Note 2 2" xfId="364" xr:uid="{00000000-0005-0000-0000-000073010000}"/>
    <cellStyle name="Note 3" xfId="365" xr:uid="{00000000-0005-0000-0000-000074010000}"/>
    <cellStyle name="Note 4" xfId="366" xr:uid="{00000000-0005-0000-0000-000075010000}"/>
    <cellStyle name="Note 5" xfId="367" xr:uid="{00000000-0005-0000-0000-000076010000}"/>
    <cellStyle name="Note 5 2" xfId="368" xr:uid="{00000000-0005-0000-0000-000077010000}"/>
    <cellStyle name="Note 6" xfId="369" xr:uid="{00000000-0005-0000-0000-000078010000}"/>
    <cellStyle name="Notiz 2" xfId="371" xr:uid="{00000000-0005-0000-0000-000079010000}"/>
    <cellStyle name="Notiz 2 2" xfId="372" xr:uid="{00000000-0005-0000-0000-00007A010000}"/>
    <cellStyle name="Notiz 2 2 2" xfId="373" xr:uid="{00000000-0005-0000-0000-00007B010000}"/>
    <cellStyle name="Notiz 2 2 2 2" xfId="374" xr:uid="{00000000-0005-0000-0000-00007C010000}"/>
    <cellStyle name="Notiz 2 2 2 2 2" xfId="375" xr:uid="{00000000-0005-0000-0000-00007D010000}"/>
    <cellStyle name="Notiz 2 2 2 3" xfId="376" xr:uid="{00000000-0005-0000-0000-00007E010000}"/>
    <cellStyle name="Notiz 2 2 3" xfId="377" xr:uid="{00000000-0005-0000-0000-00007F010000}"/>
    <cellStyle name="Notiz 2 2 3 2" xfId="378" xr:uid="{00000000-0005-0000-0000-000080010000}"/>
    <cellStyle name="Notiz 2 2 4" xfId="379" xr:uid="{00000000-0005-0000-0000-000081010000}"/>
    <cellStyle name="Notiz 2 2 4 2" xfId="380" xr:uid="{00000000-0005-0000-0000-000082010000}"/>
    <cellStyle name="Notiz 2 2 4 3" xfId="381" xr:uid="{00000000-0005-0000-0000-000083010000}"/>
    <cellStyle name="Notiz 2 2 4 3 2" xfId="382" xr:uid="{00000000-0005-0000-0000-000084010000}"/>
    <cellStyle name="Notiz 2 2 4 4" xfId="383" xr:uid="{00000000-0005-0000-0000-000085010000}"/>
    <cellStyle name="Notiz 2 2 4 4 2" xfId="384" xr:uid="{00000000-0005-0000-0000-000086010000}"/>
    <cellStyle name="Notiz 2 2 5" xfId="385" xr:uid="{00000000-0005-0000-0000-000087010000}"/>
    <cellStyle name="Notiz 2 2 5 2" xfId="386" xr:uid="{00000000-0005-0000-0000-000088010000}"/>
    <cellStyle name="Notiz 2 2 5 3" xfId="387" xr:uid="{00000000-0005-0000-0000-000089010000}"/>
    <cellStyle name="Notiz 2 2 5 4" xfId="388" xr:uid="{00000000-0005-0000-0000-00008A010000}"/>
    <cellStyle name="Notiz 2 2 5 4 2" xfId="389" xr:uid="{00000000-0005-0000-0000-00008B010000}"/>
    <cellStyle name="Notiz 2 3" xfId="390" xr:uid="{00000000-0005-0000-0000-00008C010000}"/>
    <cellStyle name="Notiz 2 3 2" xfId="391" xr:uid="{00000000-0005-0000-0000-00008D010000}"/>
    <cellStyle name="Notiz 2 3 2 2" xfId="392" xr:uid="{00000000-0005-0000-0000-00008E010000}"/>
    <cellStyle name="Notiz 2 3 3" xfId="393" xr:uid="{00000000-0005-0000-0000-00008F010000}"/>
    <cellStyle name="Notiz 2 4" xfId="394" xr:uid="{00000000-0005-0000-0000-000090010000}"/>
    <cellStyle name="Notiz 2 4 2" xfId="395" xr:uid="{00000000-0005-0000-0000-000091010000}"/>
    <cellStyle name="Notiz 2 5" xfId="396" xr:uid="{00000000-0005-0000-0000-000092010000}"/>
    <cellStyle name="Notiz 3" xfId="397" xr:uid="{00000000-0005-0000-0000-000093010000}"/>
    <cellStyle name="Notiz 3 2" xfId="398" xr:uid="{00000000-0005-0000-0000-000094010000}"/>
    <cellStyle name="Notiz 3 2 2" xfId="399" xr:uid="{00000000-0005-0000-0000-000095010000}"/>
    <cellStyle name="Notiz 3 2 2 2" xfId="400" xr:uid="{00000000-0005-0000-0000-000096010000}"/>
    <cellStyle name="Notiz 3 2 3" xfId="401" xr:uid="{00000000-0005-0000-0000-000097010000}"/>
    <cellStyle name="Notiz 3 3" xfId="402" xr:uid="{00000000-0005-0000-0000-000098010000}"/>
    <cellStyle name="Notiz 3 3 2" xfId="403" xr:uid="{00000000-0005-0000-0000-000099010000}"/>
    <cellStyle name="Notiz 3 4" xfId="404" xr:uid="{00000000-0005-0000-0000-00009A010000}"/>
    <cellStyle name="Notiz 4" xfId="405" xr:uid="{00000000-0005-0000-0000-00009B010000}"/>
    <cellStyle name="Notiz 4 2" xfId="406" xr:uid="{00000000-0005-0000-0000-00009C010000}"/>
    <cellStyle name="Notiz 4 2 2" xfId="407" xr:uid="{00000000-0005-0000-0000-00009D010000}"/>
    <cellStyle name="Notiz 4 3" xfId="408" xr:uid="{00000000-0005-0000-0000-00009E010000}"/>
    <cellStyle name="Notiz 5" xfId="409" xr:uid="{00000000-0005-0000-0000-00009F010000}"/>
    <cellStyle name="Notiz 5 2" xfId="410" xr:uid="{00000000-0005-0000-0000-0000A0010000}"/>
    <cellStyle name="Notiz 5 2 2" xfId="411" xr:uid="{00000000-0005-0000-0000-0000A1010000}"/>
    <cellStyle name="Notiz 5 3" xfId="412" xr:uid="{00000000-0005-0000-0000-0000A2010000}"/>
    <cellStyle name="Notiz 6" xfId="413" xr:uid="{00000000-0005-0000-0000-0000A3010000}"/>
    <cellStyle name="Notiz 6 2" xfId="414" xr:uid="{00000000-0005-0000-0000-0000A4010000}"/>
    <cellStyle name="Notiz 7" xfId="415" xr:uid="{00000000-0005-0000-0000-0000A5010000}"/>
    <cellStyle name="Notiz 8" xfId="416" xr:uid="{00000000-0005-0000-0000-0000A6010000}"/>
    <cellStyle name="Output 2" xfId="417" xr:uid="{00000000-0005-0000-0000-0000A7010000}"/>
    <cellStyle name="Percent" xfId="419" builtinId="5"/>
    <cellStyle name="Percent 2" xfId="418" xr:uid="{00000000-0005-0000-0000-0000A8010000}"/>
    <cellStyle name="Prozent 10" xfId="420" xr:uid="{00000000-0005-0000-0000-0000AA010000}"/>
    <cellStyle name="Prozent 10 2" xfId="421" xr:uid="{00000000-0005-0000-0000-0000AB010000}"/>
    <cellStyle name="Prozent 10 3" xfId="422" xr:uid="{00000000-0005-0000-0000-0000AC010000}"/>
    <cellStyle name="Prozent 10 4" xfId="423" xr:uid="{00000000-0005-0000-0000-0000AD010000}"/>
    <cellStyle name="Prozent 10 4 2" xfId="424" xr:uid="{00000000-0005-0000-0000-0000AE010000}"/>
    <cellStyle name="Prozent 11" xfId="425" xr:uid="{00000000-0005-0000-0000-0000AF010000}"/>
    <cellStyle name="Prozent 12" xfId="426" xr:uid="{00000000-0005-0000-0000-0000B0010000}"/>
    <cellStyle name="Prozent 2" xfId="427" xr:uid="{00000000-0005-0000-0000-0000B1010000}"/>
    <cellStyle name="Prozent 3" xfId="428" xr:uid="{00000000-0005-0000-0000-0000B2010000}"/>
    <cellStyle name="Prozent 3 2" xfId="429" xr:uid="{00000000-0005-0000-0000-0000B3010000}"/>
    <cellStyle name="Prozent 3 2 2" xfId="430" xr:uid="{00000000-0005-0000-0000-0000B4010000}"/>
    <cellStyle name="Prozent 3 2 2 2" xfId="431" xr:uid="{00000000-0005-0000-0000-0000B5010000}"/>
    <cellStyle name="Prozent 3 2 2 2 2" xfId="432" xr:uid="{00000000-0005-0000-0000-0000B6010000}"/>
    <cellStyle name="Prozent 3 2 2 3" xfId="433" xr:uid="{00000000-0005-0000-0000-0000B7010000}"/>
    <cellStyle name="Prozent 3 2 3" xfId="434" xr:uid="{00000000-0005-0000-0000-0000B8010000}"/>
    <cellStyle name="Prozent 3 2 3 2" xfId="435" xr:uid="{00000000-0005-0000-0000-0000B9010000}"/>
    <cellStyle name="Prozent 3 2 4" xfId="436" xr:uid="{00000000-0005-0000-0000-0000BA010000}"/>
    <cellStyle name="Prozent 3 2 4 2" xfId="437" xr:uid="{00000000-0005-0000-0000-0000BB010000}"/>
    <cellStyle name="Prozent 3 2 4 3" xfId="438" xr:uid="{00000000-0005-0000-0000-0000BC010000}"/>
    <cellStyle name="Prozent 3 2 5" xfId="439" xr:uid="{00000000-0005-0000-0000-0000BD010000}"/>
    <cellStyle name="Prozent 3 3" xfId="440" xr:uid="{00000000-0005-0000-0000-0000BE010000}"/>
    <cellStyle name="Prozent 3 3 2" xfId="441" xr:uid="{00000000-0005-0000-0000-0000BF010000}"/>
    <cellStyle name="Prozent 3 3 2 2" xfId="442" xr:uid="{00000000-0005-0000-0000-0000C0010000}"/>
    <cellStyle name="Prozent 3 3 3" xfId="443" xr:uid="{00000000-0005-0000-0000-0000C1010000}"/>
    <cellStyle name="Prozent 3 4" xfId="444" xr:uid="{00000000-0005-0000-0000-0000C2010000}"/>
    <cellStyle name="Prozent 3 4 2" xfId="445" xr:uid="{00000000-0005-0000-0000-0000C3010000}"/>
    <cellStyle name="Prozent 3 5" xfId="446" xr:uid="{00000000-0005-0000-0000-0000C4010000}"/>
    <cellStyle name="Prozent 4" xfId="447" xr:uid="{00000000-0005-0000-0000-0000C5010000}"/>
    <cellStyle name="Prozent 4 2" xfId="448" xr:uid="{00000000-0005-0000-0000-0000C6010000}"/>
    <cellStyle name="Prozent 4 2 2" xfId="449" xr:uid="{00000000-0005-0000-0000-0000C7010000}"/>
    <cellStyle name="Prozent 4 2 2 2" xfId="450" xr:uid="{00000000-0005-0000-0000-0000C8010000}"/>
    <cellStyle name="Prozent 4 2 2 2 2" xfId="451" xr:uid="{00000000-0005-0000-0000-0000C9010000}"/>
    <cellStyle name="Prozent 4 2 2 3" xfId="452" xr:uid="{00000000-0005-0000-0000-0000CA010000}"/>
    <cellStyle name="Prozent 4 2 3" xfId="453" xr:uid="{00000000-0005-0000-0000-0000CB010000}"/>
    <cellStyle name="Prozent 4 2 3 2" xfId="454" xr:uid="{00000000-0005-0000-0000-0000CC010000}"/>
    <cellStyle name="Prozent 4 2 4" xfId="455" xr:uid="{00000000-0005-0000-0000-0000CD010000}"/>
    <cellStyle name="Prozent 4 3" xfId="456" xr:uid="{00000000-0005-0000-0000-0000CE010000}"/>
    <cellStyle name="Prozent 4 3 2" xfId="457" xr:uid="{00000000-0005-0000-0000-0000CF010000}"/>
    <cellStyle name="Prozent 4 3 2 2" xfId="458" xr:uid="{00000000-0005-0000-0000-0000D0010000}"/>
    <cellStyle name="Prozent 4 3 3" xfId="459" xr:uid="{00000000-0005-0000-0000-0000D1010000}"/>
    <cellStyle name="Prozent 4 3 3 2" xfId="460" xr:uid="{00000000-0005-0000-0000-0000D2010000}"/>
    <cellStyle name="Prozent 4 3 4" xfId="461" xr:uid="{00000000-0005-0000-0000-0000D3010000}"/>
    <cellStyle name="Prozent 4 3 4 2" xfId="462" xr:uid="{00000000-0005-0000-0000-0000D4010000}"/>
    <cellStyle name="Prozent 4 3 4 3" xfId="463" xr:uid="{00000000-0005-0000-0000-0000D5010000}"/>
    <cellStyle name="Prozent 4 3 4 4" xfId="464" xr:uid="{00000000-0005-0000-0000-0000D6010000}"/>
    <cellStyle name="Prozent 4 3 4 4 2" xfId="465" xr:uid="{00000000-0005-0000-0000-0000D7010000}"/>
    <cellStyle name="Prozent 4 4" xfId="466" xr:uid="{00000000-0005-0000-0000-0000D8010000}"/>
    <cellStyle name="Prozent 4 4 2" xfId="467" xr:uid="{00000000-0005-0000-0000-0000D9010000}"/>
    <cellStyle name="Prozent 4 5" xfId="468" xr:uid="{00000000-0005-0000-0000-0000DA010000}"/>
    <cellStyle name="Prozent 5" xfId="469" xr:uid="{00000000-0005-0000-0000-0000DB010000}"/>
    <cellStyle name="Prozent 5 2" xfId="470" xr:uid="{00000000-0005-0000-0000-0000DC010000}"/>
    <cellStyle name="Prozent 5 2 2" xfId="471" xr:uid="{00000000-0005-0000-0000-0000DD010000}"/>
    <cellStyle name="Prozent 5 2 2 2" xfId="472" xr:uid="{00000000-0005-0000-0000-0000DE010000}"/>
    <cellStyle name="Prozent 5 2 3" xfId="473" xr:uid="{00000000-0005-0000-0000-0000DF010000}"/>
    <cellStyle name="Prozent 5 3" xfId="474" xr:uid="{00000000-0005-0000-0000-0000E0010000}"/>
    <cellStyle name="Prozent 5 3 2" xfId="475" xr:uid="{00000000-0005-0000-0000-0000E1010000}"/>
    <cellStyle name="Prozent 5 4" xfId="476" xr:uid="{00000000-0005-0000-0000-0000E2010000}"/>
    <cellStyle name="Prozent 5 4 2" xfId="477" xr:uid="{00000000-0005-0000-0000-0000E3010000}"/>
    <cellStyle name="Prozent 5 4 3" xfId="478" xr:uid="{00000000-0005-0000-0000-0000E4010000}"/>
    <cellStyle name="Prozent 5 4 3 2" xfId="479" xr:uid="{00000000-0005-0000-0000-0000E5010000}"/>
    <cellStyle name="Prozent 5 4 4" xfId="480" xr:uid="{00000000-0005-0000-0000-0000E6010000}"/>
    <cellStyle name="Prozent 5 4 4 2" xfId="481" xr:uid="{00000000-0005-0000-0000-0000E7010000}"/>
    <cellStyle name="Prozent 5 5" xfId="482" xr:uid="{00000000-0005-0000-0000-0000E8010000}"/>
    <cellStyle name="Prozent 5 5 2" xfId="483" xr:uid="{00000000-0005-0000-0000-0000E9010000}"/>
    <cellStyle name="Prozent 5 5 3" xfId="484" xr:uid="{00000000-0005-0000-0000-0000EA010000}"/>
    <cellStyle name="Prozent 5 5 4" xfId="485" xr:uid="{00000000-0005-0000-0000-0000EB010000}"/>
    <cellStyle name="Prozent 5 5 4 2" xfId="486" xr:uid="{00000000-0005-0000-0000-0000EC010000}"/>
    <cellStyle name="Prozent 6" xfId="487" xr:uid="{00000000-0005-0000-0000-0000ED010000}"/>
    <cellStyle name="Prozent 6 2" xfId="488" xr:uid="{00000000-0005-0000-0000-0000EE010000}"/>
    <cellStyle name="Prozent 6 2 2" xfId="489" xr:uid="{00000000-0005-0000-0000-0000EF010000}"/>
    <cellStyle name="Prozent 6 3" xfId="490" xr:uid="{00000000-0005-0000-0000-0000F0010000}"/>
    <cellStyle name="Prozent 7" xfId="491" xr:uid="{00000000-0005-0000-0000-0000F1010000}"/>
    <cellStyle name="Prozent 7 2" xfId="492" xr:uid="{00000000-0005-0000-0000-0000F2010000}"/>
    <cellStyle name="Prozent 7 2 2" xfId="493" xr:uid="{00000000-0005-0000-0000-0000F3010000}"/>
    <cellStyle name="Prozent 7 3" xfId="494" xr:uid="{00000000-0005-0000-0000-0000F4010000}"/>
    <cellStyle name="Prozent 8" xfId="495" xr:uid="{00000000-0005-0000-0000-0000F5010000}"/>
    <cellStyle name="Prozent 8 2" xfId="496" xr:uid="{00000000-0005-0000-0000-0000F6010000}"/>
    <cellStyle name="Prozent 8 2 2" xfId="497" xr:uid="{00000000-0005-0000-0000-0000F7010000}"/>
    <cellStyle name="Prozent 8 2 3" xfId="498" xr:uid="{00000000-0005-0000-0000-0000F8010000}"/>
    <cellStyle name="Prozent 8 3" xfId="499" xr:uid="{00000000-0005-0000-0000-0000F9010000}"/>
    <cellStyle name="Prozent 8 3 2" xfId="500" xr:uid="{00000000-0005-0000-0000-0000FA010000}"/>
    <cellStyle name="Prozent 8 3 2 2" xfId="501" xr:uid="{00000000-0005-0000-0000-0000FB010000}"/>
    <cellStyle name="Prozent 8 3 2 3" xfId="502" xr:uid="{00000000-0005-0000-0000-0000FC010000}"/>
    <cellStyle name="Prozent 8 3 3" xfId="503" xr:uid="{00000000-0005-0000-0000-0000FD010000}"/>
    <cellStyle name="Prozent 8 3 3 2" xfId="504" xr:uid="{00000000-0005-0000-0000-0000FE010000}"/>
    <cellStyle name="Prozent 8 3 3 3" xfId="505" xr:uid="{00000000-0005-0000-0000-0000FF010000}"/>
    <cellStyle name="Prozent 9" xfId="506" xr:uid="{00000000-0005-0000-0000-000000020000}"/>
    <cellStyle name="Schlecht 2" xfId="508" xr:uid="{00000000-0005-0000-0000-000001020000}"/>
    <cellStyle name="Schlecht 3" xfId="509" xr:uid="{00000000-0005-0000-0000-000002020000}"/>
    <cellStyle name="Standard 2" xfId="510" xr:uid="{00000000-0005-0000-0000-000004020000}"/>
    <cellStyle name="Standard 2 2" xfId="511" xr:uid="{00000000-0005-0000-0000-000005020000}"/>
    <cellStyle name="Standard 2 2 2" xfId="512" xr:uid="{00000000-0005-0000-0000-000006020000}"/>
    <cellStyle name="Standard 2 2 3" xfId="513" xr:uid="{00000000-0005-0000-0000-000007020000}"/>
    <cellStyle name="Standard 2 3" xfId="514" xr:uid="{00000000-0005-0000-0000-000008020000}"/>
    <cellStyle name="Standard 2 4" xfId="515" xr:uid="{00000000-0005-0000-0000-000009020000}"/>
    <cellStyle name="Standard 2 5" xfId="516" xr:uid="{00000000-0005-0000-0000-00000A020000}"/>
    <cellStyle name="Standard 2 6" xfId="517" xr:uid="{00000000-0005-0000-0000-00000B020000}"/>
    <cellStyle name="Standard 3" xfId="518" xr:uid="{00000000-0005-0000-0000-00000C020000}"/>
    <cellStyle name="Standard 3 2" xfId="519" xr:uid="{00000000-0005-0000-0000-00000D020000}"/>
    <cellStyle name="Standard 3 2 2" xfId="520" xr:uid="{00000000-0005-0000-0000-00000E020000}"/>
    <cellStyle name="Standard 3 2 2 2" xfId="521" xr:uid="{00000000-0005-0000-0000-00000F020000}"/>
    <cellStyle name="Standard 3 2 2 2 2" xfId="522" xr:uid="{00000000-0005-0000-0000-000010020000}"/>
    <cellStyle name="Standard 3 2 2 3" xfId="523" xr:uid="{00000000-0005-0000-0000-000011020000}"/>
    <cellStyle name="Standard 3 2 3" xfId="524" xr:uid="{00000000-0005-0000-0000-000012020000}"/>
    <cellStyle name="Standard 3 2 3 2" xfId="525" xr:uid="{00000000-0005-0000-0000-000013020000}"/>
    <cellStyle name="Standard 3 2 4" xfId="526" xr:uid="{00000000-0005-0000-0000-000014020000}"/>
    <cellStyle name="Standard 3 2 4 2" xfId="527" xr:uid="{00000000-0005-0000-0000-000015020000}"/>
    <cellStyle name="Standard 3 2 4 3" xfId="528" xr:uid="{00000000-0005-0000-0000-000016020000}"/>
    <cellStyle name="Standard 3 2 5" xfId="529" xr:uid="{00000000-0005-0000-0000-000017020000}"/>
    <cellStyle name="Standard 3 2 6" xfId="530" xr:uid="{00000000-0005-0000-0000-000018020000}"/>
    <cellStyle name="Standard 3 3" xfId="531" xr:uid="{00000000-0005-0000-0000-000019020000}"/>
    <cellStyle name="Standard 3 3 2" xfId="532" xr:uid="{00000000-0005-0000-0000-00001A020000}"/>
    <cellStyle name="Standard 3 3 2 2" xfId="533" xr:uid="{00000000-0005-0000-0000-00001B020000}"/>
    <cellStyle name="Standard 3 3 3" xfId="534" xr:uid="{00000000-0005-0000-0000-00001C020000}"/>
    <cellStyle name="Standard 3 4" xfId="535" xr:uid="{00000000-0005-0000-0000-00001D020000}"/>
    <cellStyle name="Standard 3 4 2" xfId="536" xr:uid="{00000000-0005-0000-0000-00001E020000}"/>
    <cellStyle name="Standard 3 5" xfId="537" xr:uid="{00000000-0005-0000-0000-00001F020000}"/>
    <cellStyle name="Standard 3 6" xfId="538" xr:uid="{00000000-0005-0000-0000-000020020000}"/>
    <cellStyle name="Standard 4" xfId="539" xr:uid="{00000000-0005-0000-0000-000021020000}"/>
    <cellStyle name="Standard 5" xfId="540" xr:uid="{00000000-0005-0000-0000-000022020000}"/>
    <cellStyle name="Standard 5 2" xfId="541" xr:uid="{00000000-0005-0000-0000-000023020000}"/>
    <cellStyle name="Standard_Bearbeitungsqualität 2011" xfId="542" xr:uid="{00000000-0005-0000-0000-000024020000}"/>
    <cellStyle name="Standard_Werte" xfId="543" xr:uid="{00000000-0005-0000-0000-000025020000}"/>
    <cellStyle name="Title" xfId="550" xr:uid="{00000000-0005-0000-0000-000026020000}"/>
    <cellStyle name="Title 2" xfId="544" xr:uid="{00000000-0005-0000-0000-000027020000}"/>
    <cellStyle name="Title 2 2" xfId="545" xr:uid="{00000000-0005-0000-0000-000028020000}"/>
    <cellStyle name="Title 3" xfId="546" xr:uid="{00000000-0005-0000-0000-000029020000}"/>
    <cellStyle name="Title 4" xfId="547" xr:uid="{00000000-0005-0000-0000-00002A020000}"/>
    <cellStyle name="Title 5" xfId="548" xr:uid="{00000000-0005-0000-0000-00002B020000}"/>
    <cellStyle name="Total 2" xfId="549" xr:uid="{00000000-0005-0000-0000-00002C020000}"/>
    <cellStyle name="Überschrift 1 2" xfId="552" xr:uid="{00000000-0005-0000-0000-00002D020000}"/>
    <cellStyle name="Überschrift 1 3" xfId="553" xr:uid="{00000000-0005-0000-0000-00002E020000}"/>
    <cellStyle name="Überschrift 2 2" xfId="555" xr:uid="{00000000-0005-0000-0000-00002F020000}"/>
    <cellStyle name="Überschrift 2 3" xfId="556" xr:uid="{00000000-0005-0000-0000-000030020000}"/>
    <cellStyle name="Überschrift 3 2" xfId="558" xr:uid="{00000000-0005-0000-0000-000031020000}"/>
    <cellStyle name="Überschrift 3 3" xfId="559" xr:uid="{00000000-0005-0000-0000-000032020000}"/>
    <cellStyle name="Überschrift 4 2" xfId="561" xr:uid="{00000000-0005-0000-0000-000033020000}"/>
    <cellStyle name="Überschrift 4 3" xfId="562" xr:uid="{00000000-0005-0000-0000-000034020000}"/>
    <cellStyle name="Überschrift 5" xfId="563" xr:uid="{00000000-0005-0000-0000-000035020000}"/>
    <cellStyle name="Überschrift 6" xfId="564" xr:uid="{00000000-0005-0000-0000-000036020000}"/>
    <cellStyle name="Verknüpfte Zelle 2" xfId="566" xr:uid="{00000000-0005-0000-0000-000037020000}"/>
    <cellStyle name="Verknüpfte Zelle 3" xfId="567" xr:uid="{00000000-0005-0000-0000-000038020000}"/>
    <cellStyle name="Warnender Text 2" xfId="568" xr:uid="{00000000-0005-0000-0000-000039020000}"/>
    <cellStyle name="Warnender Text 2 2" xfId="569" xr:uid="{00000000-0005-0000-0000-00003A020000}"/>
    <cellStyle name="Warnender Text 2 3" xfId="570" xr:uid="{00000000-0005-0000-0000-00003B020000}"/>
    <cellStyle name="Warnender Text 2 3 2" xfId="571" xr:uid="{00000000-0005-0000-0000-00003C020000}"/>
    <cellStyle name="Warnender Text 3" xfId="572" xr:uid="{00000000-0005-0000-0000-00003D020000}"/>
    <cellStyle name="Warnender Text 4" xfId="573" xr:uid="{00000000-0005-0000-0000-00003E020000}"/>
    <cellStyle name="Warnender Text 5" xfId="574" xr:uid="{00000000-0005-0000-0000-00003F020000}"/>
    <cellStyle name="Warnender Text 6" xfId="575" xr:uid="{00000000-0005-0000-0000-000040020000}"/>
    <cellStyle name="Zelle überprüfen 2" xfId="577" xr:uid="{00000000-0005-0000-0000-000041020000}"/>
    <cellStyle name="Zelle überprüfen 2 2" xfId="578" xr:uid="{00000000-0005-0000-0000-000042020000}"/>
    <cellStyle name="Zelle überprüfen 3" xfId="579" xr:uid="{00000000-0005-0000-0000-000043020000}"/>
    <cellStyle name="Zelle überprüfen 4" xfId="580" xr:uid="{00000000-0005-0000-0000-000044020000}"/>
  </cellStyles>
  <dxfs count="203">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7C80"/>
        </patternFill>
      </fill>
    </dxf>
    <dxf>
      <fill>
        <patternFill>
          <bgColor rgb="FFFF7C80"/>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rgb="FFFF7C80"/>
        </patternFill>
      </fill>
    </dxf>
    <dxf>
      <fill>
        <patternFill>
          <bgColor indexed="42"/>
        </patternFill>
      </fill>
    </dxf>
    <dxf>
      <fill>
        <patternFill>
          <bgColor indexed="43"/>
        </patternFill>
      </fill>
    </dxf>
    <dxf>
      <fill>
        <patternFill>
          <bgColor indexed="10"/>
        </patternFill>
      </fill>
    </dxf>
    <dxf>
      <fill>
        <patternFill>
          <bgColor theme="0" tint="-0.24994659260841701"/>
        </patternFill>
      </fill>
    </dxf>
    <dxf>
      <fill>
        <patternFill>
          <bgColor theme="4" tint="0.79998168889431442"/>
        </patternFill>
      </fill>
    </dxf>
    <dxf>
      <fill>
        <patternFill>
          <bgColor indexed="23"/>
        </patternFill>
      </fill>
    </dxf>
    <dxf>
      <fill>
        <patternFill>
          <bgColor indexed="42"/>
        </patternFill>
      </fill>
    </dxf>
    <dxf>
      <fill>
        <patternFill patternType="solid">
          <bgColor indexed="9"/>
        </patternFill>
      </fill>
    </dxf>
    <dxf>
      <fill>
        <patternFill>
          <bgColor indexed="23"/>
        </patternFill>
      </fill>
    </dxf>
    <dxf>
      <fill>
        <patternFill>
          <bgColor rgb="FFCCFFCC"/>
        </patternFill>
      </fill>
    </dxf>
    <dxf>
      <fill>
        <patternFill>
          <bgColor indexed="23"/>
        </patternFill>
      </fill>
    </dxf>
    <dxf>
      <fill>
        <patternFill>
          <bgColor indexed="42"/>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indexed="10"/>
        </patternFill>
      </fill>
    </dxf>
    <dxf>
      <fill>
        <patternFill patternType="none">
          <bgColor indexed="65"/>
        </patternFill>
      </fill>
    </dxf>
    <dxf>
      <fill>
        <patternFill>
          <bgColor indexed="23"/>
        </patternFill>
      </fill>
    </dxf>
    <dxf>
      <fill>
        <patternFill patternType="none">
          <bgColor indexed="65"/>
        </patternFill>
      </fill>
    </dxf>
    <dxf>
      <fill>
        <patternFill>
          <bgColor indexed="23"/>
        </patternFill>
      </fill>
    </dxf>
    <dxf>
      <fill>
        <patternFill patternType="none">
          <bgColor indexed="65"/>
        </patternFill>
      </fill>
    </dxf>
    <dxf>
      <fill>
        <patternFill>
          <bgColor indexed="23"/>
        </patternFill>
      </fill>
    </dxf>
    <dxf>
      <fill>
        <patternFill>
          <bgColor rgb="FFFF7C80"/>
        </patternFill>
      </fill>
    </dxf>
    <dxf>
      <fill>
        <patternFill>
          <bgColor rgb="FFFF7C8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43"/>
        </patternFill>
      </fill>
    </dxf>
    <dxf>
      <fill>
        <patternFill>
          <bgColor indexed="42"/>
        </patternFill>
      </fill>
    </dxf>
    <dxf>
      <fill>
        <patternFill>
          <bgColor indexed="10"/>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indexed="23"/>
        </patternFill>
      </fill>
    </dxf>
    <dxf>
      <border>
        <left style="thin">
          <color indexed="64"/>
        </left>
        <right style="thin">
          <color indexed="64"/>
        </right>
        <top style="thin">
          <color indexed="64"/>
        </top>
        <bottom style="thin">
          <color indexed="64"/>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border>
        <left style="thin">
          <color auto="1"/>
        </left>
        <right style="thin">
          <color auto="1"/>
        </right>
        <top style="thin">
          <color auto="1"/>
        </top>
        <bottom style="thin">
          <color auto="1"/>
        </bottom>
        <vertical/>
        <horizontal/>
      </border>
    </dxf>
    <dxf>
      <fill>
        <patternFill>
          <bgColor rgb="FFCCFFCC"/>
        </patternFill>
      </fill>
      <border>
        <left style="thin">
          <color auto="1"/>
        </left>
        <right style="thin">
          <color auto="1"/>
        </right>
        <top style="thin">
          <color auto="1"/>
        </top>
        <bottom style="thin">
          <color auto="1"/>
        </bottom>
        <vertical/>
        <horizontal/>
      </border>
    </dxf>
    <dxf>
      <border>
        <left style="thin">
          <color indexed="64"/>
        </left>
        <right style="thin">
          <color indexed="64"/>
        </right>
        <top style="thin">
          <color indexed="64"/>
        </top>
        <bottom style="thin">
          <color indexed="64"/>
        </bottom>
      </border>
    </dxf>
    <dxf>
      <fill>
        <patternFill>
          <bgColor rgb="FF99FF66"/>
        </patternFill>
      </fill>
    </dxf>
    <dxf>
      <fill>
        <patternFill>
          <bgColor rgb="FFFFFF99"/>
        </patternFill>
      </fill>
    </dxf>
    <dxf>
      <fill>
        <patternFill>
          <bgColor indexed="42"/>
        </patternFill>
      </fill>
    </dxf>
    <dxf>
      <fill>
        <patternFill>
          <bgColor rgb="FFCCFFCC"/>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CCFFCC"/>
        </patternFill>
      </fill>
    </dxf>
    <dxf>
      <fill>
        <patternFill>
          <bgColor rgb="FF99FF66"/>
        </patternFill>
      </fill>
    </dxf>
    <dxf>
      <fill>
        <patternFill>
          <bgColor rgb="FFFFFF99"/>
        </patternFill>
      </fill>
    </dxf>
    <dxf>
      <fill>
        <patternFill>
          <bgColor indexed="42"/>
        </patternFill>
      </fill>
    </dxf>
    <dxf>
      <fill>
        <patternFill>
          <bgColor rgb="FFCCFFCC"/>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CCFFCC"/>
        </patternFill>
      </fill>
    </dxf>
    <dxf>
      <fill>
        <patternFill>
          <bgColor rgb="FF99FF66"/>
        </patternFill>
      </fill>
    </dxf>
    <dxf>
      <fill>
        <patternFill>
          <bgColor rgb="FFFFFF99"/>
        </patternFill>
      </fill>
    </dxf>
    <dxf>
      <fill>
        <patternFill>
          <bgColor indexed="42"/>
        </patternFill>
      </fill>
    </dxf>
    <dxf>
      <fill>
        <patternFill>
          <bgColor rgb="FFCCFFCC"/>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CCFFCC"/>
        </patternFill>
      </fill>
    </dxf>
    <dxf>
      <fill>
        <patternFill>
          <bgColor theme="4"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0" tint="-0.24994659260841701"/>
        </patternFill>
      </fill>
    </dxf>
    <dxf>
      <fill>
        <patternFill>
          <bgColor rgb="FF99FF66"/>
        </patternFill>
      </fill>
    </dxf>
    <dxf>
      <fill>
        <patternFill>
          <bgColor rgb="FFFFFF99"/>
        </patternFill>
      </fill>
    </dxf>
    <dxf>
      <fill>
        <patternFill>
          <bgColor indexed="42"/>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CCFFCC"/>
        </patternFill>
      </fill>
    </dxf>
    <dxf>
      <fill>
        <patternFill patternType="solid">
          <fgColor auto="1"/>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indexed="22"/>
        </patternFill>
      </fill>
    </dxf>
    <dxf>
      <font>
        <b val="0"/>
        <i val="0"/>
        <strike val="0"/>
        <condense val="0"/>
        <extend val="0"/>
        <outline val="0"/>
        <shadow val="0"/>
        <u val="none"/>
        <vertAlign val="baseline"/>
        <sz val="8"/>
        <color indexed="8"/>
        <name val="Arial"/>
        <scheme val="none"/>
      </font>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border diagonalUp="0" diagonalDown="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dxf>
    <dxf>
      <border outline="0">
        <bottom style="thin">
          <color indexed="64"/>
        </bottom>
      </border>
    </dxf>
    <dxf>
      <font>
        <b/>
        <i val="0"/>
        <strike val="0"/>
        <condense val="0"/>
        <extend val="0"/>
        <outline val="0"/>
        <shadow val="0"/>
        <u val="none"/>
        <vertAlign val="baseline"/>
        <sz val="8"/>
        <color auto="1"/>
        <name val="Arial"/>
        <scheme val="none"/>
      </font>
      <border diagonalUp="0" diagonalDown="0" outline="0">
        <left style="thin">
          <color indexed="64"/>
        </left>
        <right style="thin">
          <color indexed="64"/>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C80"/>
      <rgbColor rgb="0099FF66"/>
      <rgbColor rgb="000000FF"/>
      <rgbColor rgb="00FFFF00"/>
      <rgbColor rgb="00FF00FF"/>
      <rgbColor rgb="0000B0AC"/>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CE6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CCFFCC"/>
      <color rgb="FFFFFF66"/>
      <color rgb="FFFF7C80"/>
      <color rgb="FFFFFF99"/>
      <color rgb="FF99FF66"/>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8.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10</xdr:col>
      <xdr:colOff>457200</xdr:colOff>
      <xdr:row>1</xdr:row>
      <xdr:rowOff>0</xdr:rowOff>
    </xdr:from>
    <xdr:to>
      <xdr:col>14</xdr:col>
      <xdr:colOff>26483</xdr:colOff>
      <xdr:row>4</xdr:row>
      <xdr:rowOff>66675</xdr:rowOff>
    </xdr:to>
    <xdr:pic>
      <xdr:nvPicPr>
        <xdr:cNvPr id="200005" name="Grafik 1">
          <a:extLst>
            <a:ext uri="{FF2B5EF4-FFF2-40B4-BE49-F238E27FC236}">
              <a16:creationId xmlns:a16="http://schemas.microsoft.com/office/drawing/2014/main" id="{00000000-0008-0000-0100-0000450D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28575"/>
          <a:ext cx="1426658"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480123</xdr:colOff>
      <xdr:row>20</xdr:row>
      <xdr:rowOff>9525</xdr:rowOff>
    </xdr:from>
    <xdr:to>
      <xdr:col>13</xdr:col>
      <xdr:colOff>0</xdr:colOff>
      <xdr:row>20</xdr:row>
      <xdr:rowOff>114300</xdr:rowOff>
    </xdr:to>
    <xdr:pic>
      <xdr:nvPicPr>
        <xdr:cNvPr id="200006" name="Grafik 22">
          <a:extLst>
            <a:ext uri="{FF2B5EF4-FFF2-40B4-BE49-F238E27FC236}">
              <a16:creationId xmlns:a16="http://schemas.microsoft.com/office/drawing/2014/main" id="{00000000-0008-0000-0100-000046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4773" y="3009900"/>
          <a:ext cx="100902"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480123</xdr:colOff>
      <xdr:row>13</xdr:row>
      <xdr:rowOff>9525</xdr:rowOff>
    </xdr:from>
    <xdr:to>
      <xdr:col>13</xdr:col>
      <xdr:colOff>0</xdr:colOff>
      <xdr:row>13</xdr:row>
      <xdr:rowOff>114300</xdr:rowOff>
    </xdr:to>
    <xdr:pic>
      <xdr:nvPicPr>
        <xdr:cNvPr id="200007" name="Grafik 25">
          <a:extLst>
            <a:ext uri="{FF2B5EF4-FFF2-40B4-BE49-F238E27FC236}">
              <a16:creationId xmlns:a16="http://schemas.microsoft.com/office/drawing/2014/main" id="{00000000-0008-0000-0100-000047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20892" y="1893591"/>
          <a:ext cx="1060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5</xdr:row>
      <xdr:rowOff>9525</xdr:rowOff>
    </xdr:from>
    <xdr:to>
      <xdr:col>5</xdr:col>
      <xdr:colOff>0</xdr:colOff>
      <xdr:row>5</xdr:row>
      <xdr:rowOff>104775</xdr:rowOff>
    </xdr:to>
    <xdr:pic>
      <xdr:nvPicPr>
        <xdr:cNvPr id="200008" name="Grafik 26">
          <a:extLst>
            <a:ext uri="{FF2B5EF4-FFF2-40B4-BE49-F238E27FC236}">
              <a16:creationId xmlns:a16="http://schemas.microsoft.com/office/drawing/2014/main" id="{00000000-0008-0000-0100-000048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9334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480123</xdr:colOff>
      <xdr:row>5</xdr:row>
      <xdr:rowOff>9525</xdr:rowOff>
    </xdr:from>
    <xdr:to>
      <xdr:col>13</xdr:col>
      <xdr:colOff>0</xdr:colOff>
      <xdr:row>5</xdr:row>
      <xdr:rowOff>104775</xdr:rowOff>
    </xdr:to>
    <xdr:pic>
      <xdr:nvPicPr>
        <xdr:cNvPr id="200009" name="Grafik 28">
          <a:extLst>
            <a:ext uri="{FF2B5EF4-FFF2-40B4-BE49-F238E27FC236}">
              <a16:creationId xmlns:a16="http://schemas.microsoft.com/office/drawing/2014/main" id="{00000000-0008-0000-0100-000049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20892" y="805020"/>
          <a:ext cx="106031"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480123</xdr:colOff>
      <xdr:row>17</xdr:row>
      <xdr:rowOff>9525</xdr:rowOff>
    </xdr:from>
    <xdr:to>
      <xdr:col>13</xdr:col>
      <xdr:colOff>0</xdr:colOff>
      <xdr:row>17</xdr:row>
      <xdr:rowOff>114300</xdr:rowOff>
    </xdr:to>
    <xdr:pic>
      <xdr:nvPicPr>
        <xdr:cNvPr id="200010" name="Grafik 22">
          <a:extLst>
            <a:ext uri="{FF2B5EF4-FFF2-40B4-BE49-F238E27FC236}">
              <a16:creationId xmlns:a16="http://schemas.microsoft.com/office/drawing/2014/main" id="{00000000-0008-0000-0100-00004A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4773" y="2524125"/>
          <a:ext cx="100902"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323850</xdr:colOff>
      <xdr:row>24</xdr:row>
      <xdr:rowOff>9525</xdr:rowOff>
    </xdr:from>
    <xdr:to>
      <xdr:col>3</xdr:col>
      <xdr:colOff>0</xdr:colOff>
      <xdr:row>24</xdr:row>
      <xdr:rowOff>114300</xdr:rowOff>
    </xdr:to>
    <xdr:pic>
      <xdr:nvPicPr>
        <xdr:cNvPr id="200011" name="Grafik 22">
          <a:extLst>
            <a:ext uri="{FF2B5EF4-FFF2-40B4-BE49-F238E27FC236}">
              <a16:creationId xmlns:a16="http://schemas.microsoft.com/office/drawing/2014/main" id="{00000000-0008-0000-0100-00004B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44291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480123</xdr:colOff>
      <xdr:row>11</xdr:row>
      <xdr:rowOff>9525</xdr:rowOff>
    </xdr:from>
    <xdr:to>
      <xdr:col>13</xdr:col>
      <xdr:colOff>0</xdr:colOff>
      <xdr:row>11</xdr:row>
      <xdr:rowOff>114300</xdr:rowOff>
    </xdr:to>
    <xdr:pic>
      <xdr:nvPicPr>
        <xdr:cNvPr id="200012" name="Grafik 25">
          <a:extLst>
            <a:ext uri="{FF2B5EF4-FFF2-40B4-BE49-F238E27FC236}">
              <a16:creationId xmlns:a16="http://schemas.microsoft.com/office/drawing/2014/main" id="{00000000-0008-0000-0100-00004C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20892" y="1621448"/>
          <a:ext cx="1060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495300</xdr:colOff>
      <xdr:row>11</xdr:row>
      <xdr:rowOff>9525</xdr:rowOff>
    </xdr:from>
    <xdr:to>
      <xdr:col>8</xdr:col>
      <xdr:colOff>0</xdr:colOff>
      <xdr:row>11</xdr:row>
      <xdr:rowOff>114300</xdr:rowOff>
    </xdr:to>
    <xdr:pic>
      <xdr:nvPicPr>
        <xdr:cNvPr id="200013" name="Grafik 25">
          <a:extLst>
            <a:ext uri="{FF2B5EF4-FFF2-40B4-BE49-F238E27FC236}">
              <a16:creationId xmlns:a16="http://schemas.microsoft.com/office/drawing/2014/main" id="{00000000-0008-0000-0100-00004D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17621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480123</xdr:colOff>
      <xdr:row>54</xdr:row>
      <xdr:rowOff>9525</xdr:rowOff>
    </xdr:from>
    <xdr:to>
      <xdr:col>13</xdr:col>
      <xdr:colOff>0</xdr:colOff>
      <xdr:row>54</xdr:row>
      <xdr:rowOff>114300</xdr:rowOff>
    </xdr:to>
    <xdr:pic>
      <xdr:nvPicPr>
        <xdr:cNvPr id="200015" name="Grafik 25">
          <a:extLst>
            <a:ext uri="{FF2B5EF4-FFF2-40B4-BE49-F238E27FC236}">
              <a16:creationId xmlns:a16="http://schemas.microsoft.com/office/drawing/2014/main" id="{00000000-0008-0000-0100-00004F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20892" y="11345322"/>
          <a:ext cx="1060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476250</xdr:colOff>
      <xdr:row>53</xdr:row>
      <xdr:rowOff>9525</xdr:rowOff>
    </xdr:from>
    <xdr:to>
      <xdr:col>12</xdr:col>
      <xdr:colOff>0</xdr:colOff>
      <xdr:row>53</xdr:row>
      <xdr:rowOff>114300</xdr:rowOff>
    </xdr:to>
    <xdr:pic>
      <xdr:nvPicPr>
        <xdr:cNvPr id="200016" name="Grafik 25">
          <a:extLst>
            <a:ext uri="{FF2B5EF4-FFF2-40B4-BE49-F238E27FC236}">
              <a16:creationId xmlns:a16="http://schemas.microsoft.com/office/drawing/2014/main" id="{00000000-0008-0000-0100-000050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76975" y="107823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438150</xdr:colOff>
      <xdr:row>27</xdr:row>
      <xdr:rowOff>9525</xdr:rowOff>
    </xdr:from>
    <xdr:to>
      <xdr:col>4</xdr:col>
      <xdr:colOff>0</xdr:colOff>
      <xdr:row>27</xdr:row>
      <xdr:rowOff>114300</xdr:rowOff>
    </xdr:to>
    <xdr:pic>
      <xdr:nvPicPr>
        <xdr:cNvPr id="200017" name="Grafik 22">
          <a:extLst>
            <a:ext uri="{FF2B5EF4-FFF2-40B4-BE49-F238E27FC236}">
              <a16:creationId xmlns:a16="http://schemas.microsoft.com/office/drawing/2014/main" id="{00000000-0008-0000-0100-000051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5972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438150</xdr:colOff>
      <xdr:row>28</xdr:row>
      <xdr:rowOff>9525</xdr:rowOff>
    </xdr:from>
    <xdr:to>
      <xdr:col>4</xdr:col>
      <xdr:colOff>0</xdr:colOff>
      <xdr:row>28</xdr:row>
      <xdr:rowOff>114300</xdr:rowOff>
    </xdr:to>
    <xdr:pic>
      <xdr:nvPicPr>
        <xdr:cNvPr id="200018" name="Grafik 22">
          <a:extLst>
            <a:ext uri="{FF2B5EF4-FFF2-40B4-BE49-F238E27FC236}">
              <a16:creationId xmlns:a16="http://schemas.microsoft.com/office/drawing/2014/main" id="{00000000-0008-0000-0100-000052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6143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438150</xdr:colOff>
      <xdr:row>29</xdr:row>
      <xdr:rowOff>9525</xdr:rowOff>
    </xdr:from>
    <xdr:to>
      <xdr:col>4</xdr:col>
      <xdr:colOff>0</xdr:colOff>
      <xdr:row>29</xdr:row>
      <xdr:rowOff>114300</xdr:rowOff>
    </xdr:to>
    <xdr:pic>
      <xdr:nvPicPr>
        <xdr:cNvPr id="200019" name="Grafik 22">
          <a:extLst>
            <a:ext uri="{FF2B5EF4-FFF2-40B4-BE49-F238E27FC236}">
              <a16:creationId xmlns:a16="http://schemas.microsoft.com/office/drawing/2014/main" id="{00000000-0008-0000-0100-000053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6315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438150</xdr:colOff>
      <xdr:row>30</xdr:row>
      <xdr:rowOff>9525</xdr:rowOff>
    </xdr:from>
    <xdr:to>
      <xdr:col>4</xdr:col>
      <xdr:colOff>0</xdr:colOff>
      <xdr:row>30</xdr:row>
      <xdr:rowOff>114300</xdr:rowOff>
    </xdr:to>
    <xdr:pic>
      <xdr:nvPicPr>
        <xdr:cNvPr id="200020" name="Grafik 22">
          <a:extLst>
            <a:ext uri="{FF2B5EF4-FFF2-40B4-BE49-F238E27FC236}">
              <a16:creationId xmlns:a16="http://schemas.microsoft.com/office/drawing/2014/main" id="{00000000-0008-0000-0100-000054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6486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438150</xdr:colOff>
      <xdr:row>31</xdr:row>
      <xdr:rowOff>9525</xdr:rowOff>
    </xdr:from>
    <xdr:to>
      <xdr:col>4</xdr:col>
      <xdr:colOff>0</xdr:colOff>
      <xdr:row>31</xdr:row>
      <xdr:rowOff>114300</xdr:rowOff>
    </xdr:to>
    <xdr:pic>
      <xdr:nvPicPr>
        <xdr:cNvPr id="200021" name="Grafik 22">
          <a:extLst>
            <a:ext uri="{FF2B5EF4-FFF2-40B4-BE49-F238E27FC236}">
              <a16:creationId xmlns:a16="http://schemas.microsoft.com/office/drawing/2014/main" id="{00000000-0008-0000-0100-000055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66579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438150</xdr:colOff>
      <xdr:row>32</xdr:row>
      <xdr:rowOff>9525</xdr:rowOff>
    </xdr:from>
    <xdr:to>
      <xdr:col>4</xdr:col>
      <xdr:colOff>0</xdr:colOff>
      <xdr:row>32</xdr:row>
      <xdr:rowOff>114300</xdr:rowOff>
    </xdr:to>
    <xdr:pic>
      <xdr:nvPicPr>
        <xdr:cNvPr id="200022" name="Grafik 22">
          <a:extLst>
            <a:ext uri="{FF2B5EF4-FFF2-40B4-BE49-F238E27FC236}">
              <a16:creationId xmlns:a16="http://schemas.microsoft.com/office/drawing/2014/main" id="{00000000-0008-0000-0100-000056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68294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27</xdr:row>
      <xdr:rowOff>9525</xdr:rowOff>
    </xdr:from>
    <xdr:to>
      <xdr:col>5</xdr:col>
      <xdr:colOff>0</xdr:colOff>
      <xdr:row>27</xdr:row>
      <xdr:rowOff>114300</xdr:rowOff>
    </xdr:to>
    <xdr:pic>
      <xdr:nvPicPr>
        <xdr:cNvPr id="200023" name="Grafik 22">
          <a:extLst>
            <a:ext uri="{FF2B5EF4-FFF2-40B4-BE49-F238E27FC236}">
              <a16:creationId xmlns:a16="http://schemas.microsoft.com/office/drawing/2014/main" id="{00000000-0008-0000-0100-000057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5972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28</xdr:row>
      <xdr:rowOff>9525</xdr:rowOff>
    </xdr:from>
    <xdr:to>
      <xdr:col>5</xdr:col>
      <xdr:colOff>0</xdr:colOff>
      <xdr:row>28</xdr:row>
      <xdr:rowOff>114300</xdr:rowOff>
    </xdr:to>
    <xdr:pic>
      <xdr:nvPicPr>
        <xdr:cNvPr id="200024" name="Grafik 22">
          <a:extLst>
            <a:ext uri="{FF2B5EF4-FFF2-40B4-BE49-F238E27FC236}">
              <a16:creationId xmlns:a16="http://schemas.microsoft.com/office/drawing/2014/main" id="{00000000-0008-0000-0100-000058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6143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29</xdr:row>
      <xdr:rowOff>9525</xdr:rowOff>
    </xdr:from>
    <xdr:to>
      <xdr:col>5</xdr:col>
      <xdr:colOff>0</xdr:colOff>
      <xdr:row>29</xdr:row>
      <xdr:rowOff>114300</xdr:rowOff>
    </xdr:to>
    <xdr:pic>
      <xdr:nvPicPr>
        <xdr:cNvPr id="200025" name="Grafik 22">
          <a:extLst>
            <a:ext uri="{FF2B5EF4-FFF2-40B4-BE49-F238E27FC236}">
              <a16:creationId xmlns:a16="http://schemas.microsoft.com/office/drawing/2014/main" id="{00000000-0008-0000-0100-000059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6315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30</xdr:row>
      <xdr:rowOff>9525</xdr:rowOff>
    </xdr:from>
    <xdr:to>
      <xdr:col>5</xdr:col>
      <xdr:colOff>0</xdr:colOff>
      <xdr:row>30</xdr:row>
      <xdr:rowOff>114300</xdr:rowOff>
    </xdr:to>
    <xdr:pic>
      <xdr:nvPicPr>
        <xdr:cNvPr id="200026" name="Grafik 22">
          <a:extLst>
            <a:ext uri="{FF2B5EF4-FFF2-40B4-BE49-F238E27FC236}">
              <a16:creationId xmlns:a16="http://schemas.microsoft.com/office/drawing/2014/main" id="{00000000-0008-0000-0100-00005A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6486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31</xdr:row>
      <xdr:rowOff>9525</xdr:rowOff>
    </xdr:from>
    <xdr:to>
      <xdr:col>5</xdr:col>
      <xdr:colOff>0</xdr:colOff>
      <xdr:row>31</xdr:row>
      <xdr:rowOff>114300</xdr:rowOff>
    </xdr:to>
    <xdr:pic>
      <xdr:nvPicPr>
        <xdr:cNvPr id="200027" name="Grafik 22">
          <a:extLst>
            <a:ext uri="{FF2B5EF4-FFF2-40B4-BE49-F238E27FC236}">
              <a16:creationId xmlns:a16="http://schemas.microsoft.com/office/drawing/2014/main" id="{00000000-0008-0000-0100-00005B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66579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32</xdr:row>
      <xdr:rowOff>9525</xdr:rowOff>
    </xdr:from>
    <xdr:to>
      <xdr:col>5</xdr:col>
      <xdr:colOff>0</xdr:colOff>
      <xdr:row>32</xdr:row>
      <xdr:rowOff>114300</xdr:rowOff>
    </xdr:to>
    <xdr:pic>
      <xdr:nvPicPr>
        <xdr:cNvPr id="200028" name="Grafik 22">
          <a:extLst>
            <a:ext uri="{FF2B5EF4-FFF2-40B4-BE49-F238E27FC236}">
              <a16:creationId xmlns:a16="http://schemas.microsoft.com/office/drawing/2014/main" id="{00000000-0008-0000-0100-00005C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68294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495300</xdr:colOff>
      <xdr:row>48</xdr:row>
      <xdr:rowOff>9525</xdr:rowOff>
    </xdr:from>
    <xdr:to>
      <xdr:col>8</xdr:col>
      <xdr:colOff>0</xdr:colOff>
      <xdr:row>48</xdr:row>
      <xdr:rowOff>114300</xdr:rowOff>
    </xdr:to>
    <xdr:pic>
      <xdr:nvPicPr>
        <xdr:cNvPr id="200029" name="Grafik 22">
          <a:extLst>
            <a:ext uri="{FF2B5EF4-FFF2-40B4-BE49-F238E27FC236}">
              <a16:creationId xmlns:a16="http://schemas.microsoft.com/office/drawing/2014/main" id="{00000000-0008-0000-0100-00005D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9572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33</xdr:row>
      <xdr:rowOff>9525</xdr:rowOff>
    </xdr:from>
    <xdr:to>
      <xdr:col>5</xdr:col>
      <xdr:colOff>0</xdr:colOff>
      <xdr:row>33</xdr:row>
      <xdr:rowOff>114300</xdr:rowOff>
    </xdr:to>
    <xdr:pic>
      <xdr:nvPicPr>
        <xdr:cNvPr id="200030" name="Grafik 22">
          <a:extLst>
            <a:ext uri="{FF2B5EF4-FFF2-40B4-BE49-F238E27FC236}">
              <a16:creationId xmlns:a16="http://schemas.microsoft.com/office/drawing/2014/main" id="{00000000-0008-0000-0100-00005E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7000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34</xdr:row>
      <xdr:rowOff>9525</xdr:rowOff>
    </xdr:from>
    <xdr:to>
      <xdr:col>5</xdr:col>
      <xdr:colOff>0</xdr:colOff>
      <xdr:row>34</xdr:row>
      <xdr:rowOff>114300</xdr:rowOff>
    </xdr:to>
    <xdr:pic>
      <xdr:nvPicPr>
        <xdr:cNvPr id="200031" name="Grafik 22">
          <a:extLst>
            <a:ext uri="{FF2B5EF4-FFF2-40B4-BE49-F238E27FC236}">
              <a16:creationId xmlns:a16="http://schemas.microsoft.com/office/drawing/2014/main" id="{00000000-0008-0000-0100-00005F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71723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35</xdr:row>
      <xdr:rowOff>9525</xdr:rowOff>
    </xdr:from>
    <xdr:to>
      <xdr:col>5</xdr:col>
      <xdr:colOff>0</xdr:colOff>
      <xdr:row>35</xdr:row>
      <xdr:rowOff>114300</xdr:rowOff>
    </xdr:to>
    <xdr:pic>
      <xdr:nvPicPr>
        <xdr:cNvPr id="200032" name="Grafik 22">
          <a:extLst>
            <a:ext uri="{FF2B5EF4-FFF2-40B4-BE49-F238E27FC236}">
              <a16:creationId xmlns:a16="http://schemas.microsoft.com/office/drawing/2014/main" id="{00000000-0008-0000-0100-000060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73437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438150</xdr:colOff>
      <xdr:row>33</xdr:row>
      <xdr:rowOff>9525</xdr:rowOff>
    </xdr:from>
    <xdr:to>
      <xdr:col>4</xdr:col>
      <xdr:colOff>0</xdr:colOff>
      <xdr:row>33</xdr:row>
      <xdr:rowOff>114300</xdr:rowOff>
    </xdr:to>
    <xdr:pic>
      <xdr:nvPicPr>
        <xdr:cNvPr id="200033" name="Grafik 22">
          <a:extLst>
            <a:ext uri="{FF2B5EF4-FFF2-40B4-BE49-F238E27FC236}">
              <a16:creationId xmlns:a16="http://schemas.microsoft.com/office/drawing/2014/main" id="{00000000-0008-0000-0100-000061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7000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438150</xdr:colOff>
      <xdr:row>34</xdr:row>
      <xdr:rowOff>9525</xdr:rowOff>
    </xdr:from>
    <xdr:to>
      <xdr:col>4</xdr:col>
      <xdr:colOff>0</xdr:colOff>
      <xdr:row>34</xdr:row>
      <xdr:rowOff>114300</xdr:rowOff>
    </xdr:to>
    <xdr:pic>
      <xdr:nvPicPr>
        <xdr:cNvPr id="200034" name="Grafik 22">
          <a:extLst>
            <a:ext uri="{FF2B5EF4-FFF2-40B4-BE49-F238E27FC236}">
              <a16:creationId xmlns:a16="http://schemas.microsoft.com/office/drawing/2014/main" id="{00000000-0008-0000-0100-000062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71723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438150</xdr:colOff>
      <xdr:row>35</xdr:row>
      <xdr:rowOff>9525</xdr:rowOff>
    </xdr:from>
    <xdr:to>
      <xdr:col>4</xdr:col>
      <xdr:colOff>0</xdr:colOff>
      <xdr:row>35</xdr:row>
      <xdr:rowOff>114300</xdr:rowOff>
    </xdr:to>
    <xdr:pic>
      <xdr:nvPicPr>
        <xdr:cNvPr id="200035" name="Grafik 22">
          <a:extLst>
            <a:ext uri="{FF2B5EF4-FFF2-40B4-BE49-F238E27FC236}">
              <a16:creationId xmlns:a16="http://schemas.microsoft.com/office/drawing/2014/main" id="{00000000-0008-0000-0100-000063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73437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505244</xdr:colOff>
      <xdr:row>26</xdr:row>
      <xdr:rowOff>10048</xdr:rowOff>
    </xdr:from>
    <xdr:to>
      <xdr:col>6</xdr:col>
      <xdr:colOff>419</xdr:colOff>
      <xdr:row>26</xdr:row>
      <xdr:rowOff>114823</xdr:rowOff>
    </xdr:to>
    <xdr:pic>
      <xdr:nvPicPr>
        <xdr:cNvPr id="48" name="Grafik 22">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67469" y="4258198"/>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438150</xdr:colOff>
      <xdr:row>27</xdr:row>
      <xdr:rowOff>9525</xdr:rowOff>
    </xdr:from>
    <xdr:to>
      <xdr:col>4</xdr:col>
      <xdr:colOff>0</xdr:colOff>
      <xdr:row>27</xdr:row>
      <xdr:rowOff>114300</xdr:rowOff>
    </xdr:to>
    <xdr:pic>
      <xdr:nvPicPr>
        <xdr:cNvPr id="49" name="Grafik 22">
          <a:extLst>
            <a:ext uri="{FF2B5EF4-FFF2-40B4-BE49-F238E27FC236}">
              <a16:creationId xmlns:a16="http://schemas.microsoft.com/office/drawing/2014/main" id="{00000000-0008-0000-01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57054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438150</xdr:colOff>
      <xdr:row>28</xdr:row>
      <xdr:rowOff>9525</xdr:rowOff>
    </xdr:from>
    <xdr:to>
      <xdr:col>4</xdr:col>
      <xdr:colOff>0</xdr:colOff>
      <xdr:row>28</xdr:row>
      <xdr:rowOff>114300</xdr:rowOff>
    </xdr:to>
    <xdr:pic>
      <xdr:nvPicPr>
        <xdr:cNvPr id="50" name="Grafik 22">
          <a:extLst>
            <a:ext uri="{FF2B5EF4-FFF2-40B4-BE49-F238E27FC236}">
              <a16:creationId xmlns:a16="http://schemas.microsoft.com/office/drawing/2014/main" id="{00000000-0008-0000-01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58769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438150</xdr:colOff>
      <xdr:row>29</xdr:row>
      <xdr:rowOff>9525</xdr:rowOff>
    </xdr:from>
    <xdr:to>
      <xdr:col>4</xdr:col>
      <xdr:colOff>0</xdr:colOff>
      <xdr:row>29</xdr:row>
      <xdr:rowOff>114300</xdr:rowOff>
    </xdr:to>
    <xdr:pic>
      <xdr:nvPicPr>
        <xdr:cNvPr id="51" name="Grafik 22">
          <a:extLst>
            <a:ext uri="{FF2B5EF4-FFF2-40B4-BE49-F238E27FC236}">
              <a16:creationId xmlns:a16="http://schemas.microsoft.com/office/drawing/2014/main" id="{00000000-0008-0000-01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6048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438150</xdr:colOff>
      <xdr:row>30</xdr:row>
      <xdr:rowOff>9525</xdr:rowOff>
    </xdr:from>
    <xdr:to>
      <xdr:col>4</xdr:col>
      <xdr:colOff>0</xdr:colOff>
      <xdr:row>30</xdr:row>
      <xdr:rowOff>114300</xdr:rowOff>
    </xdr:to>
    <xdr:pic>
      <xdr:nvPicPr>
        <xdr:cNvPr id="52" name="Grafik 22">
          <a:extLst>
            <a:ext uri="{FF2B5EF4-FFF2-40B4-BE49-F238E27FC236}">
              <a16:creationId xmlns:a16="http://schemas.microsoft.com/office/drawing/2014/main" id="{00000000-0008-0000-01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6219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438150</xdr:colOff>
      <xdr:row>31</xdr:row>
      <xdr:rowOff>9525</xdr:rowOff>
    </xdr:from>
    <xdr:to>
      <xdr:col>4</xdr:col>
      <xdr:colOff>0</xdr:colOff>
      <xdr:row>31</xdr:row>
      <xdr:rowOff>114300</xdr:rowOff>
    </xdr:to>
    <xdr:pic>
      <xdr:nvPicPr>
        <xdr:cNvPr id="53" name="Grafik 22">
          <a:extLst>
            <a:ext uri="{FF2B5EF4-FFF2-40B4-BE49-F238E27FC236}">
              <a16:creationId xmlns:a16="http://schemas.microsoft.com/office/drawing/2014/main" id="{00000000-0008-0000-01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63912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438150</xdr:colOff>
      <xdr:row>32</xdr:row>
      <xdr:rowOff>9525</xdr:rowOff>
    </xdr:from>
    <xdr:to>
      <xdr:col>4</xdr:col>
      <xdr:colOff>0</xdr:colOff>
      <xdr:row>32</xdr:row>
      <xdr:rowOff>114300</xdr:rowOff>
    </xdr:to>
    <xdr:pic>
      <xdr:nvPicPr>
        <xdr:cNvPr id="54" name="Grafik 22">
          <a:extLst>
            <a:ext uri="{FF2B5EF4-FFF2-40B4-BE49-F238E27FC236}">
              <a16:creationId xmlns:a16="http://schemas.microsoft.com/office/drawing/2014/main" id="{00000000-0008-0000-01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6562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27</xdr:row>
      <xdr:rowOff>9525</xdr:rowOff>
    </xdr:from>
    <xdr:to>
      <xdr:col>5</xdr:col>
      <xdr:colOff>0</xdr:colOff>
      <xdr:row>27</xdr:row>
      <xdr:rowOff>114300</xdr:rowOff>
    </xdr:to>
    <xdr:pic>
      <xdr:nvPicPr>
        <xdr:cNvPr id="55" name="Grafik 22">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57054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28</xdr:row>
      <xdr:rowOff>9525</xdr:rowOff>
    </xdr:from>
    <xdr:to>
      <xdr:col>5</xdr:col>
      <xdr:colOff>0</xdr:colOff>
      <xdr:row>28</xdr:row>
      <xdr:rowOff>114300</xdr:rowOff>
    </xdr:to>
    <xdr:pic>
      <xdr:nvPicPr>
        <xdr:cNvPr id="56" name="Grafik 22">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58769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29</xdr:row>
      <xdr:rowOff>9525</xdr:rowOff>
    </xdr:from>
    <xdr:to>
      <xdr:col>5</xdr:col>
      <xdr:colOff>0</xdr:colOff>
      <xdr:row>29</xdr:row>
      <xdr:rowOff>114300</xdr:rowOff>
    </xdr:to>
    <xdr:pic>
      <xdr:nvPicPr>
        <xdr:cNvPr id="57" name="Grafik 22">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6048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30</xdr:row>
      <xdr:rowOff>9525</xdr:rowOff>
    </xdr:from>
    <xdr:to>
      <xdr:col>5</xdr:col>
      <xdr:colOff>0</xdr:colOff>
      <xdr:row>30</xdr:row>
      <xdr:rowOff>114300</xdr:rowOff>
    </xdr:to>
    <xdr:pic>
      <xdr:nvPicPr>
        <xdr:cNvPr id="58" name="Grafik 22">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6219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31</xdr:row>
      <xdr:rowOff>9525</xdr:rowOff>
    </xdr:from>
    <xdr:to>
      <xdr:col>5</xdr:col>
      <xdr:colOff>0</xdr:colOff>
      <xdr:row>31</xdr:row>
      <xdr:rowOff>114300</xdr:rowOff>
    </xdr:to>
    <xdr:pic>
      <xdr:nvPicPr>
        <xdr:cNvPr id="59" name="Grafik 22">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63912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32</xdr:row>
      <xdr:rowOff>9525</xdr:rowOff>
    </xdr:from>
    <xdr:to>
      <xdr:col>5</xdr:col>
      <xdr:colOff>0</xdr:colOff>
      <xdr:row>32</xdr:row>
      <xdr:rowOff>114300</xdr:rowOff>
    </xdr:to>
    <xdr:pic>
      <xdr:nvPicPr>
        <xdr:cNvPr id="60" name="Grafik 22">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6562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33</xdr:row>
      <xdr:rowOff>9525</xdr:rowOff>
    </xdr:from>
    <xdr:to>
      <xdr:col>5</xdr:col>
      <xdr:colOff>0</xdr:colOff>
      <xdr:row>33</xdr:row>
      <xdr:rowOff>114300</xdr:rowOff>
    </xdr:to>
    <xdr:pic>
      <xdr:nvPicPr>
        <xdr:cNvPr id="61" name="Grafik 22">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6734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34</xdr:row>
      <xdr:rowOff>9525</xdr:rowOff>
    </xdr:from>
    <xdr:to>
      <xdr:col>5</xdr:col>
      <xdr:colOff>0</xdr:colOff>
      <xdr:row>34</xdr:row>
      <xdr:rowOff>114300</xdr:rowOff>
    </xdr:to>
    <xdr:pic>
      <xdr:nvPicPr>
        <xdr:cNvPr id="62" name="Grafik 22">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6905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35</xdr:row>
      <xdr:rowOff>9525</xdr:rowOff>
    </xdr:from>
    <xdr:to>
      <xdr:col>5</xdr:col>
      <xdr:colOff>0</xdr:colOff>
      <xdr:row>35</xdr:row>
      <xdr:rowOff>114300</xdr:rowOff>
    </xdr:to>
    <xdr:pic>
      <xdr:nvPicPr>
        <xdr:cNvPr id="63" name="Grafik 22">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7077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438150</xdr:colOff>
      <xdr:row>33</xdr:row>
      <xdr:rowOff>9525</xdr:rowOff>
    </xdr:from>
    <xdr:to>
      <xdr:col>4</xdr:col>
      <xdr:colOff>0</xdr:colOff>
      <xdr:row>33</xdr:row>
      <xdr:rowOff>114300</xdr:rowOff>
    </xdr:to>
    <xdr:pic>
      <xdr:nvPicPr>
        <xdr:cNvPr id="64" name="Grafik 22">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6734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438150</xdr:colOff>
      <xdr:row>34</xdr:row>
      <xdr:rowOff>9525</xdr:rowOff>
    </xdr:from>
    <xdr:to>
      <xdr:col>4</xdr:col>
      <xdr:colOff>0</xdr:colOff>
      <xdr:row>34</xdr:row>
      <xdr:rowOff>114300</xdr:rowOff>
    </xdr:to>
    <xdr:pic>
      <xdr:nvPicPr>
        <xdr:cNvPr id="65" name="Grafik 22">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6905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438150</xdr:colOff>
      <xdr:row>35</xdr:row>
      <xdr:rowOff>9525</xdr:rowOff>
    </xdr:from>
    <xdr:to>
      <xdr:col>4</xdr:col>
      <xdr:colOff>0</xdr:colOff>
      <xdr:row>35</xdr:row>
      <xdr:rowOff>114300</xdr:rowOff>
    </xdr:to>
    <xdr:pic>
      <xdr:nvPicPr>
        <xdr:cNvPr id="66" name="Grafik 22">
          <a:extLst>
            <a:ext uri="{FF2B5EF4-FFF2-40B4-BE49-F238E27FC236}">
              <a16:creationId xmlns:a16="http://schemas.microsoft.com/office/drawing/2014/main" id="{00000000-0008-0000-01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7077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507781</xdr:colOff>
      <xdr:row>39</xdr:row>
      <xdr:rowOff>9525</xdr:rowOff>
    </xdr:from>
    <xdr:to>
      <xdr:col>8</xdr:col>
      <xdr:colOff>2956</xdr:colOff>
      <xdr:row>39</xdr:row>
      <xdr:rowOff>114300</xdr:rowOff>
    </xdr:to>
    <xdr:pic>
      <xdr:nvPicPr>
        <xdr:cNvPr id="73" name="Grafik 22">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08256" y="79057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507781</xdr:colOff>
      <xdr:row>42</xdr:row>
      <xdr:rowOff>9525</xdr:rowOff>
    </xdr:from>
    <xdr:to>
      <xdr:col>8</xdr:col>
      <xdr:colOff>2956</xdr:colOff>
      <xdr:row>42</xdr:row>
      <xdr:rowOff>114300</xdr:rowOff>
    </xdr:to>
    <xdr:pic>
      <xdr:nvPicPr>
        <xdr:cNvPr id="78" name="Grafik 22">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08256" y="84201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507781</xdr:colOff>
      <xdr:row>46</xdr:row>
      <xdr:rowOff>9525</xdr:rowOff>
    </xdr:from>
    <xdr:to>
      <xdr:col>8</xdr:col>
      <xdr:colOff>2956</xdr:colOff>
      <xdr:row>46</xdr:row>
      <xdr:rowOff>114300</xdr:rowOff>
    </xdr:to>
    <xdr:pic>
      <xdr:nvPicPr>
        <xdr:cNvPr id="83" name="Grafik 22">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08256" y="91059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507781</xdr:colOff>
      <xdr:row>45</xdr:row>
      <xdr:rowOff>9525</xdr:rowOff>
    </xdr:from>
    <xdr:to>
      <xdr:col>8</xdr:col>
      <xdr:colOff>2956</xdr:colOff>
      <xdr:row>45</xdr:row>
      <xdr:rowOff>114300</xdr:rowOff>
    </xdr:to>
    <xdr:pic>
      <xdr:nvPicPr>
        <xdr:cNvPr id="84" name="Grafik 22">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08256" y="89344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507781</xdr:colOff>
      <xdr:row>44</xdr:row>
      <xdr:rowOff>9525</xdr:rowOff>
    </xdr:from>
    <xdr:to>
      <xdr:col>8</xdr:col>
      <xdr:colOff>2956</xdr:colOff>
      <xdr:row>44</xdr:row>
      <xdr:rowOff>114300</xdr:rowOff>
    </xdr:to>
    <xdr:pic>
      <xdr:nvPicPr>
        <xdr:cNvPr id="85" name="Grafik 22">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08256" y="87630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507781</xdr:colOff>
      <xdr:row>43</xdr:row>
      <xdr:rowOff>8868</xdr:rowOff>
    </xdr:from>
    <xdr:to>
      <xdr:col>8</xdr:col>
      <xdr:colOff>2956</xdr:colOff>
      <xdr:row>43</xdr:row>
      <xdr:rowOff>114300</xdr:rowOff>
    </xdr:to>
    <xdr:pic>
      <xdr:nvPicPr>
        <xdr:cNvPr id="87" name="Grafik 22">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08256" y="8590893"/>
          <a:ext cx="95250" cy="1054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507781</xdr:colOff>
      <xdr:row>40</xdr:row>
      <xdr:rowOff>9525</xdr:rowOff>
    </xdr:from>
    <xdr:to>
      <xdr:col>8</xdr:col>
      <xdr:colOff>2956</xdr:colOff>
      <xdr:row>40</xdr:row>
      <xdr:rowOff>114300</xdr:rowOff>
    </xdr:to>
    <xdr:pic>
      <xdr:nvPicPr>
        <xdr:cNvPr id="88" name="Grafik 22">
          <a:extLst>
            <a:ext uri="{FF2B5EF4-FFF2-40B4-BE49-F238E27FC236}">
              <a16:creationId xmlns:a16="http://schemas.microsoft.com/office/drawing/2014/main" id="{00000000-0008-0000-01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08256" y="80772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507781</xdr:colOff>
      <xdr:row>41</xdr:row>
      <xdr:rowOff>9525</xdr:rowOff>
    </xdr:from>
    <xdr:to>
      <xdr:col>8</xdr:col>
      <xdr:colOff>2956</xdr:colOff>
      <xdr:row>41</xdr:row>
      <xdr:rowOff>114300</xdr:rowOff>
    </xdr:to>
    <xdr:pic>
      <xdr:nvPicPr>
        <xdr:cNvPr id="89" name="Grafik 22">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08256" y="82486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543080</xdr:colOff>
      <xdr:row>39</xdr:row>
      <xdr:rowOff>9339</xdr:rowOff>
    </xdr:from>
    <xdr:to>
      <xdr:col>7</xdr:col>
      <xdr:colOff>902</xdr:colOff>
      <xdr:row>39</xdr:row>
      <xdr:rowOff>114114</xdr:rowOff>
    </xdr:to>
    <xdr:pic>
      <xdr:nvPicPr>
        <xdr:cNvPr id="86" name="Grafik 22">
          <a:extLst>
            <a:ext uri="{FF2B5EF4-FFF2-40B4-BE49-F238E27FC236}">
              <a16:creationId xmlns:a16="http://schemas.microsoft.com/office/drawing/2014/main" id="{00000000-0008-0000-01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85315" y="7808633"/>
          <a:ext cx="115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543080</xdr:colOff>
      <xdr:row>42</xdr:row>
      <xdr:rowOff>9339</xdr:rowOff>
    </xdr:from>
    <xdr:to>
      <xdr:col>7</xdr:col>
      <xdr:colOff>902</xdr:colOff>
      <xdr:row>42</xdr:row>
      <xdr:rowOff>114114</xdr:rowOff>
    </xdr:to>
    <xdr:pic>
      <xdr:nvPicPr>
        <xdr:cNvPr id="97" name="Grafik 22">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85315" y="8301692"/>
          <a:ext cx="115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543080</xdr:colOff>
      <xdr:row>46</xdr:row>
      <xdr:rowOff>9339</xdr:rowOff>
    </xdr:from>
    <xdr:to>
      <xdr:col>7</xdr:col>
      <xdr:colOff>902</xdr:colOff>
      <xdr:row>46</xdr:row>
      <xdr:rowOff>114114</xdr:rowOff>
    </xdr:to>
    <xdr:pic>
      <xdr:nvPicPr>
        <xdr:cNvPr id="98" name="Grafik 22">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85315" y="8959104"/>
          <a:ext cx="115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543080</xdr:colOff>
      <xdr:row>45</xdr:row>
      <xdr:rowOff>9339</xdr:rowOff>
    </xdr:from>
    <xdr:to>
      <xdr:col>7</xdr:col>
      <xdr:colOff>902</xdr:colOff>
      <xdr:row>45</xdr:row>
      <xdr:rowOff>114114</xdr:rowOff>
    </xdr:to>
    <xdr:pic>
      <xdr:nvPicPr>
        <xdr:cNvPr id="99" name="Grafik 22">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85315" y="8794751"/>
          <a:ext cx="115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543080</xdr:colOff>
      <xdr:row>44</xdr:row>
      <xdr:rowOff>9339</xdr:rowOff>
    </xdr:from>
    <xdr:to>
      <xdr:col>7</xdr:col>
      <xdr:colOff>902</xdr:colOff>
      <xdr:row>44</xdr:row>
      <xdr:rowOff>114114</xdr:rowOff>
    </xdr:to>
    <xdr:pic>
      <xdr:nvPicPr>
        <xdr:cNvPr id="100" name="Grafik 22">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85315" y="8630398"/>
          <a:ext cx="115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543080</xdr:colOff>
      <xdr:row>43</xdr:row>
      <xdr:rowOff>8682</xdr:rowOff>
    </xdr:from>
    <xdr:to>
      <xdr:col>7</xdr:col>
      <xdr:colOff>902</xdr:colOff>
      <xdr:row>43</xdr:row>
      <xdr:rowOff>114114</xdr:rowOff>
    </xdr:to>
    <xdr:pic>
      <xdr:nvPicPr>
        <xdr:cNvPr id="101" name="Grafik 22">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85315" y="8465388"/>
          <a:ext cx="115234" cy="1054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543080</xdr:colOff>
      <xdr:row>40</xdr:row>
      <xdr:rowOff>9339</xdr:rowOff>
    </xdr:from>
    <xdr:to>
      <xdr:col>7</xdr:col>
      <xdr:colOff>902</xdr:colOff>
      <xdr:row>40</xdr:row>
      <xdr:rowOff>114114</xdr:rowOff>
    </xdr:to>
    <xdr:pic>
      <xdr:nvPicPr>
        <xdr:cNvPr id="102" name="Grafik 22">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85315" y="7972986"/>
          <a:ext cx="115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543080</xdr:colOff>
      <xdr:row>41</xdr:row>
      <xdr:rowOff>9339</xdr:rowOff>
    </xdr:from>
    <xdr:to>
      <xdr:col>7</xdr:col>
      <xdr:colOff>902</xdr:colOff>
      <xdr:row>41</xdr:row>
      <xdr:rowOff>114114</xdr:rowOff>
    </xdr:to>
    <xdr:pic>
      <xdr:nvPicPr>
        <xdr:cNvPr id="103" name="Grafik 22">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85315" y="8137339"/>
          <a:ext cx="115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471362</xdr:colOff>
      <xdr:row>39</xdr:row>
      <xdr:rowOff>4857</xdr:rowOff>
    </xdr:from>
    <xdr:to>
      <xdr:col>8</xdr:col>
      <xdr:colOff>577071</xdr:colOff>
      <xdr:row>39</xdr:row>
      <xdr:rowOff>109632</xdr:rowOff>
    </xdr:to>
    <xdr:pic>
      <xdr:nvPicPr>
        <xdr:cNvPr id="104" name="Grafik 22">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91068" y="7804151"/>
          <a:ext cx="115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471362</xdr:colOff>
      <xdr:row>42</xdr:row>
      <xdr:rowOff>4857</xdr:rowOff>
    </xdr:from>
    <xdr:to>
      <xdr:col>8</xdr:col>
      <xdr:colOff>577071</xdr:colOff>
      <xdr:row>42</xdr:row>
      <xdr:rowOff>109632</xdr:rowOff>
    </xdr:to>
    <xdr:pic>
      <xdr:nvPicPr>
        <xdr:cNvPr id="105" name="Grafik 22">
          <a:extLst>
            <a:ext uri="{FF2B5EF4-FFF2-40B4-BE49-F238E27FC236}">
              <a16:creationId xmlns:a16="http://schemas.microsoft.com/office/drawing/2014/main" id="{00000000-0008-0000-01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91068" y="8297210"/>
          <a:ext cx="115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471362</xdr:colOff>
      <xdr:row>46</xdr:row>
      <xdr:rowOff>4857</xdr:rowOff>
    </xdr:from>
    <xdr:to>
      <xdr:col>8</xdr:col>
      <xdr:colOff>577071</xdr:colOff>
      <xdr:row>46</xdr:row>
      <xdr:rowOff>109632</xdr:rowOff>
    </xdr:to>
    <xdr:pic>
      <xdr:nvPicPr>
        <xdr:cNvPr id="106" name="Grafik 22">
          <a:extLst>
            <a:ext uri="{FF2B5EF4-FFF2-40B4-BE49-F238E27FC236}">
              <a16:creationId xmlns:a16="http://schemas.microsoft.com/office/drawing/2014/main" id="{00000000-0008-0000-01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91068" y="8954622"/>
          <a:ext cx="115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471362</xdr:colOff>
      <xdr:row>45</xdr:row>
      <xdr:rowOff>4857</xdr:rowOff>
    </xdr:from>
    <xdr:to>
      <xdr:col>8</xdr:col>
      <xdr:colOff>577071</xdr:colOff>
      <xdr:row>45</xdr:row>
      <xdr:rowOff>109632</xdr:rowOff>
    </xdr:to>
    <xdr:pic>
      <xdr:nvPicPr>
        <xdr:cNvPr id="107" name="Grafik 22">
          <a:extLst>
            <a:ext uri="{FF2B5EF4-FFF2-40B4-BE49-F238E27FC236}">
              <a16:creationId xmlns:a16="http://schemas.microsoft.com/office/drawing/2014/main" id="{00000000-0008-0000-01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91068" y="8790269"/>
          <a:ext cx="115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471362</xdr:colOff>
      <xdr:row>44</xdr:row>
      <xdr:rowOff>4857</xdr:rowOff>
    </xdr:from>
    <xdr:to>
      <xdr:col>8</xdr:col>
      <xdr:colOff>577071</xdr:colOff>
      <xdr:row>44</xdr:row>
      <xdr:rowOff>109632</xdr:rowOff>
    </xdr:to>
    <xdr:pic>
      <xdr:nvPicPr>
        <xdr:cNvPr id="108" name="Grafik 22">
          <a:extLst>
            <a:ext uri="{FF2B5EF4-FFF2-40B4-BE49-F238E27FC236}">
              <a16:creationId xmlns:a16="http://schemas.microsoft.com/office/drawing/2014/main" id="{00000000-0008-0000-01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91068" y="8625916"/>
          <a:ext cx="115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471362</xdr:colOff>
      <xdr:row>43</xdr:row>
      <xdr:rowOff>4200</xdr:rowOff>
    </xdr:from>
    <xdr:to>
      <xdr:col>8</xdr:col>
      <xdr:colOff>577071</xdr:colOff>
      <xdr:row>43</xdr:row>
      <xdr:rowOff>109632</xdr:rowOff>
    </xdr:to>
    <xdr:pic>
      <xdr:nvPicPr>
        <xdr:cNvPr id="109" name="Grafik 22">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91068" y="8460906"/>
          <a:ext cx="115234" cy="1054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471362</xdr:colOff>
      <xdr:row>40</xdr:row>
      <xdr:rowOff>4857</xdr:rowOff>
    </xdr:from>
    <xdr:to>
      <xdr:col>8</xdr:col>
      <xdr:colOff>577071</xdr:colOff>
      <xdr:row>40</xdr:row>
      <xdr:rowOff>109632</xdr:rowOff>
    </xdr:to>
    <xdr:pic>
      <xdr:nvPicPr>
        <xdr:cNvPr id="110" name="Grafik 22">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91068" y="7968504"/>
          <a:ext cx="115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471362</xdr:colOff>
      <xdr:row>41</xdr:row>
      <xdr:rowOff>4857</xdr:rowOff>
    </xdr:from>
    <xdr:to>
      <xdr:col>8</xdr:col>
      <xdr:colOff>577071</xdr:colOff>
      <xdr:row>41</xdr:row>
      <xdr:rowOff>109632</xdr:rowOff>
    </xdr:to>
    <xdr:pic>
      <xdr:nvPicPr>
        <xdr:cNvPr id="111" name="Grafik 22">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91068" y="8132857"/>
          <a:ext cx="115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463177</xdr:colOff>
      <xdr:row>54</xdr:row>
      <xdr:rowOff>5790</xdr:rowOff>
    </xdr:from>
    <xdr:to>
      <xdr:col>8</xdr:col>
      <xdr:colOff>578411</xdr:colOff>
      <xdr:row>54</xdr:row>
      <xdr:rowOff>110565</xdr:rowOff>
    </xdr:to>
    <xdr:pic>
      <xdr:nvPicPr>
        <xdr:cNvPr id="113" name="Grafik 22">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82883" y="10658849"/>
          <a:ext cx="12475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474350</xdr:colOff>
      <xdr:row>31</xdr:row>
      <xdr:rowOff>7844</xdr:rowOff>
    </xdr:from>
    <xdr:to>
      <xdr:col>9</xdr:col>
      <xdr:colOff>1089</xdr:colOff>
      <xdr:row>31</xdr:row>
      <xdr:rowOff>112619</xdr:rowOff>
    </xdr:to>
    <xdr:pic>
      <xdr:nvPicPr>
        <xdr:cNvPr id="114" name="Grafik 22">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94056" y="6492315"/>
          <a:ext cx="115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474350</xdr:colOff>
      <xdr:row>34</xdr:row>
      <xdr:rowOff>7845</xdr:rowOff>
    </xdr:from>
    <xdr:to>
      <xdr:col>9</xdr:col>
      <xdr:colOff>1089</xdr:colOff>
      <xdr:row>34</xdr:row>
      <xdr:rowOff>112620</xdr:rowOff>
    </xdr:to>
    <xdr:pic>
      <xdr:nvPicPr>
        <xdr:cNvPr id="115" name="Grafik 22">
          <a:extLst>
            <a:ext uri="{FF2B5EF4-FFF2-40B4-BE49-F238E27FC236}">
              <a16:creationId xmlns:a16="http://schemas.microsoft.com/office/drawing/2014/main" id="{00000000-0008-0000-01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94056" y="6985374"/>
          <a:ext cx="115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474350</xdr:colOff>
      <xdr:row>35</xdr:row>
      <xdr:rowOff>7188</xdr:rowOff>
    </xdr:from>
    <xdr:to>
      <xdr:col>9</xdr:col>
      <xdr:colOff>1089</xdr:colOff>
      <xdr:row>35</xdr:row>
      <xdr:rowOff>112620</xdr:rowOff>
    </xdr:to>
    <xdr:pic>
      <xdr:nvPicPr>
        <xdr:cNvPr id="116" name="Grafik 22">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94056" y="7149070"/>
          <a:ext cx="115234" cy="1054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474350</xdr:colOff>
      <xdr:row>32</xdr:row>
      <xdr:rowOff>7844</xdr:rowOff>
    </xdr:from>
    <xdr:to>
      <xdr:col>9</xdr:col>
      <xdr:colOff>1089</xdr:colOff>
      <xdr:row>32</xdr:row>
      <xdr:rowOff>112619</xdr:rowOff>
    </xdr:to>
    <xdr:pic>
      <xdr:nvPicPr>
        <xdr:cNvPr id="117" name="Grafik 22">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94056" y="6656668"/>
          <a:ext cx="115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474350</xdr:colOff>
      <xdr:row>33</xdr:row>
      <xdr:rowOff>7845</xdr:rowOff>
    </xdr:from>
    <xdr:to>
      <xdr:col>9</xdr:col>
      <xdr:colOff>1089</xdr:colOff>
      <xdr:row>33</xdr:row>
      <xdr:rowOff>112620</xdr:rowOff>
    </xdr:to>
    <xdr:pic>
      <xdr:nvPicPr>
        <xdr:cNvPr id="118" name="Grafik 22">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94056" y="6821021"/>
          <a:ext cx="115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466166</xdr:colOff>
      <xdr:row>54</xdr:row>
      <xdr:rowOff>8778</xdr:rowOff>
    </xdr:from>
    <xdr:to>
      <xdr:col>11</xdr:col>
      <xdr:colOff>2430</xdr:colOff>
      <xdr:row>54</xdr:row>
      <xdr:rowOff>113553</xdr:rowOff>
    </xdr:to>
    <xdr:pic>
      <xdr:nvPicPr>
        <xdr:cNvPr id="119" name="Grafik 22">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81166" y="10661837"/>
          <a:ext cx="12475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435348</xdr:colOff>
      <xdr:row>36</xdr:row>
      <xdr:rowOff>8031</xdr:rowOff>
    </xdr:from>
    <xdr:to>
      <xdr:col>3</xdr:col>
      <xdr:colOff>540497</xdr:colOff>
      <xdr:row>36</xdr:row>
      <xdr:rowOff>112806</xdr:rowOff>
    </xdr:to>
    <xdr:pic>
      <xdr:nvPicPr>
        <xdr:cNvPr id="90" name="Grafik 22">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1877" y="7314266"/>
          <a:ext cx="11467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438336</xdr:colOff>
      <xdr:row>36</xdr:row>
      <xdr:rowOff>11019</xdr:rowOff>
    </xdr:from>
    <xdr:to>
      <xdr:col>5</xdr:col>
      <xdr:colOff>187</xdr:colOff>
      <xdr:row>36</xdr:row>
      <xdr:rowOff>115794</xdr:rowOff>
    </xdr:to>
    <xdr:pic>
      <xdr:nvPicPr>
        <xdr:cNvPr id="91" name="Grafik 22">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07689" y="7317254"/>
          <a:ext cx="11467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478118</xdr:colOff>
      <xdr:row>36</xdr:row>
      <xdr:rowOff>7471</xdr:rowOff>
    </xdr:from>
    <xdr:to>
      <xdr:col>9</xdr:col>
      <xdr:colOff>4297</xdr:colOff>
      <xdr:row>36</xdr:row>
      <xdr:rowOff>112246</xdr:rowOff>
    </xdr:to>
    <xdr:pic>
      <xdr:nvPicPr>
        <xdr:cNvPr id="92" name="Grafik 22">
          <a:extLst>
            <a:ext uri="{FF2B5EF4-FFF2-40B4-BE49-F238E27FC236}">
              <a16:creationId xmlns:a16="http://schemas.microsoft.com/office/drawing/2014/main" id="{00000000-0008-0000-01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97824" y="7313706"/>
          <a:ext cx="11467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466725</xdr:colOff>
      <xdr:row>30</xdr:row>
      <xdr:rowOff>9525</xdr:rowOff>
    </xdr:from>
    <xdr:to>
      <xdr:col>8</xdr:col>
      <xdr:colOff>574489</xdr:colOff>
      <xdr:row>30</xdr:row>
      <xdr:rowOff>114300</xdr:rowOff>
    </xdr:to>
    <xdr:pic>
      <xdr:nvPicPr>
        <xdr:cNvPr id="93" name="Grafik 22">
          <a:extLst>
            <a:ext uri="{FF2B5EF4-FFF2-40B4-BE49-F238E27FC236}">
              <a16:creationId xmlns:a16="http://schemas.microsoft.com/office/drawing/2014/main" id="{510BDF32-A37A-4F49-A478-17851DD746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67275" y="6362700"/>
          <a:ext cx="10776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200025</xdr:colOff>
      <xdr:row>1</xdr:row>
      <xdr:rowOff>19050</xdr:rowOff>
    </xdr:from>
    <xdr:to>
      <xdr:col>15</xdr:col>
      <xdr:colOff>609600</xdr:colOff>
      <xdr:row>4</xdr:row>
      <xdr:rowOff>28575</xdr:rowOff>
    </xdr:to>
    <xdr:pic>
      <xdr:nvPicPr>
        <xdr:cNvPr id="199038" name="Grafik 1">
          <a:extLst>
            <a:ext uri="{FF2B5EF4-FFF2-40B4-BE49-F238E27FC236}">
              <a16:creationId xmlns:a16="http://schemas.microsoft.com/office/drawing/2014/main" id="{00000000-0008-0000-0400-00007E09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10525" y="142875"/>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7</xdr:row>
      <xdr:rowOff>9525</xdr:rowOff>
    </xdr:from>
    <xdr:to>
      <xdr:col>5</xdr:col>
      <xdr:colOff>0</xdr:colOff>
      <xdr:row>7</xdr:row>
      <xdr:rowOff>114300</xdr:rowOff>
    </xdr:to>
    <xdr:pic>
      <xdr:nvPicPr>
        <xdr:cNvPr id="199039" name="Grafik 6">
          <a:extLst>
            <a:ext uri="{FF2B5EF4-FFF2-40B4-BE49-F238E27FC236}">
              <a16:creationId xmlns:a16="http://schemas.microsoft.com/office/drawing/2014/main" id="{00000000-0008-0000-0400-00007F0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48050"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23</xdr:row>
      <xdr:rowOff>9525</xdr:rowOff>
    </xdr:from>
    <xdr:to>
      <xdr:col>14</xdr:col>
      <xdr:colOff>529590</xdr:colOff>
      <xdr:row>23</xdr:row>
      <xdr:rowOff>114300</xdr:rowOff>
    </xdr:to>
    <xdr:pic>
      <xdr:nvPicPr>
        <xdr:cNvPr id="199040" name="Grafik 13">
          <a:extLst>
            <a:ext uri="{FF2B5EF4-FFF2-40B4-BE49-F238E27FC236}">
              <a16:creationId xmlns:a16="http://schemas.microsoft.com/office/drawing/2014/main" id="{00000000-0008-0000-0400-0000800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76360" y="82924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200025</xdr:colOff>
      <xdr:row>7</xdr:row>
      <xdr:rowOff>9525</xdr:rowOff>
    </xdr:from>
    <xdr:to>
      <xdr:col>12</xdr:col>
      <xdr:colOff>0</xdr:colOff>
      <xdr:row>7</xdr:row>
      <xdr:rowOff>114300</xdr:rowOff>
    </xdr:to>
    <xdr:pic>
      <xdr:nvPicPr>
        <xdr:cNvPr id="199041" name="Grafik 6">
          <a:extLst>
            <a:ext uri="{FF2B5EF4-FFF2-40B4-BE49-F238E27FC236}">
              <a16:creationId xmlns:a16="http://schemas.microsoft.com/office/drawing/2014/main" id="{00000000-0008-0000-0400-0000810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05675"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200025</xdr:colOff>
      <xdr:row>5</xdr:row>
      <xdr:rowOff>9525</xdr:rowOff>
    </xdr:from>
    <xdr:to>
      <xdr:col>12</xdr:col>
      <xdr:colOff>0</xdr:colOff>
      <xdr:row>5</xdr:row>
      <xdr:rowOff>114300</xdr:rowOff>
    </xdr:to>
    <xdr:pic>
      <xdr:nvPicPr>
        <xdr:cNvPr id="199042" name="Grafik 6">
          <a:extLst>
            <a:ext uri="{FF2B5EF4-FFF2-40B4-BE49-F238E27FC236}">
              <a16:creationId xmlns:a16="http://schemas.microsoft.com/office/drawing/2014/main" id="{00000000-0008-0000-0400-0000820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05675" y="8763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20</xdr:row>
      <xdr:rowOff>9525</xdr:rowOff>
    </xdr:from>
    <xdr:to>
      <xdr:col>14</xdr:col>
      <xdr:colOff>529590</xdr:colOff>
      <xdr:row>20</xdr:row>
      <xdr:rowOff>114300</xdr:rowOff>
    </xdr:to>
    <xdr:pic>
      <xdr:nvPicPr>
        <xdr:cNvPr id="199043" name="Grafik 18">
          <a:extLst>
            <a:ext uri="{FF2B5EF4-FFF2-40B4-BE49-F238E27FC236}">
              <a16:creationId xmlns:a16="http://schemas.microsoft.com/office/drawing/2014/main" id="{00000000-0008-0000-0400-0000830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76360" y="72180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25</xdr:row>
      <xdr:rowOff>9525</xdr:rowOff>
    </xdr:from>
    <xdr:to>
      <xdr:col>14</xdr:col>
      <xdr:colOff>529590</xdr:colOff>
      <xdr:row>25</xdr:row>
      <xdr:rowOff>114300</xdr:rowOff>
    </xdr:to>
    <xdr:pic>
      <xdr:nvPicPr>
        <xdr:cNvPr id="199044" name="Grafik 13">
          <a:extLst>
            <a:ext uri="{FF2B5EF4-FFF2-40B4-BE49-F238E27FC236}">
              <a16:creationId xmlns:a16="http://schemas.microsoft.com/office/drawing/2014/main" id="{00000000-0008-0000-0400-0000840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76360" y="90087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28</xdr:row>
      <xdr:rowOff>9525</xdr:rowOff>
    </xdr:from>
    <xdr:to>
      <xdr:col>14</xdr:col>
      <xdr:colOff>529590</xdr:colOff>
      <xdr:row>28</xdr:row>
      <xdr:rowOff>114300</xdr:rowOff>
    </xdr:to>
    <xdr:pic>
      <xdr:nvPicPr>
        <xdr:cNvPr id="199045" name="Grafik 13">
          <a:extLst>
            <a:ext uri="{FF2B5EF4-FFF2-40B4-BE49-F238E27FC236}">
              <a16:creationId xmlns:a16="http://schemas.microsoft.com/office/drawing/2014/main" id="{00000000-0008-0000-0400-0000850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76360" y="100831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34</xdr:row>
      <xdr:rowOff>9525</xdr:rowOff>
    </xdr:from>
    <xdr:to>
      <xdr:col>14</xdr:col>
      <xdr:colOff>529590</xdr:colOff>
      <xdr:row>34</xdr:row>
      <xdr:rowOff>114300</xdr:rowOff>
    </xdr:to>
    <xdr:pic>
      <xdr:nvPicPr>
        <xdr:cNvPr id="199046" name="Grafik 13">
          <a:extLst>
            <a:ext uri="{FF2B5EF4-FFF2-40B4-BE49-F238E27FC236}">
              <a16:creationId xmlns:a16="http://schemas.microsoft.com/office/drawing/2014/main" id="{00000000-0008-0000-0400-0000860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76360" y="1223200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329565</xdr:colOff>
      <xdr:row>11</xdr:row>
      <xdr:rowOff>9525</xdr:rowOff>
    </xdr:from>
    <xdr:to>
      <xdr:col>0</xdr:col>
      <xdr:colOff>424815</xdr:colOff>
      <xdr:row>11</xdr:row>
      <xdr:rowOff>114300</xdr:rowOff>
    </xdr:to>
    <xdr:pic>
      <xdr:nvPicPr>
        <xdr:cNvPr id="199048" name="Grafik 6">
          <a:extLst>
            <a:ext uri="{FF2B5EF4-FFF2-40B4-BE49-F238E27FC236}">
              <a16:creationId xmlns:a16="http://schemas.microsoft.com/office/drawing/2014/main" id="{00000000-0008-0000-0400-0000880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9565" y="42919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377190</xdr:colOff>
      <xdr:row>11</xdr:row>
      <xdr:rowOff>9525</xdr:rowOff>
    </xdr:from>
    <xdr:to>
      <xdr:col>2</xdr:col>
      <xdr:colOff>0</xdr:colOff>
      <xdr:row>11</xdr:row>
      <xdr:rowOff>114300</xdr:rowOff>
    </xdr:to>
    <xdr:pic>
      <xdr:nvPicPr>
        <xdr:cNvPr id="199049" name="Grafik 6">
          <a:extLst>
            <a:ext uri="{FF2B5EF4-FFF2-40B4-BE49-F238E27FC236}">
              <a16:creationId xmlns:a16="http://schemas.microsoft.com/office/drawing/2014/main" id="{00000000-0008-0000-0400-0000890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150" y="4291965"/>
          <a:ext cx="11811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11</xdr:row>
      <xdr:rowOff>9525</xdr:rowOff>
    </xdr:from>
    <xdr:to>
      <xdr:col>14</xdr:col>
      <xdr:colOff>529590</xdr:colOff>
      <xdr:row>11</xdr:row>
      <xdr:rowOff>114300</xdr:rowOff>
    </xdr:to>
    <xdr:pic>
      <xdr:nvPicPr>
        <xdr:cNvPr id="199050" name="Grafik 6">
          <a:extLst>
            <a:ext uri="{FF2B5EF4-FFF2-40B4-BE49-F238E27FC236}">
              <a16:creationId xmlns:a16="http://schemas.microsoft.com/office/drawing/2014/main" id="{00000000-0008-0000-0400-00008A0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76360" y="40938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14</xdr:row>
      <xdr:rowOff>9525</xdr:rowOff>
    </xdr:from>
    <xdr:to>
      <xdr:col>14</xdr:col>
      <xdr:colOff>529590</xdr:colOff>
      <xdr:row>14</xdr:row>
      <xdr:rowOff>114300</xdr:rowOff>
    </xdr:to>
    <xdr:pic>
      <xdr:nvPicPr>
        <xdr:cNvPr id="199051" name="Grafik 6">
          <a:extLst>
            <a:ext uri="{FF2B5EF4-FFF2-40B4-BE49-F238E27FC236}">
              <a16:creationId xmlns:a16="http://schemas.microsoft.com/office/drawing/2014/main" id="{00000000-0008-0000-0400-00008B0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76360" y="506920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17</xdr:row>
      <xdr:rowOff>9525</xdr:rowOff>
    </xdr:from>
    <xdr:to>
      <xdr:col>14</xdr:col>
      <xdr:colOff>529590</xdr:colOff>
      <xdr:row>17</xdr:row>
      <xdr:rowOff>114300</xdr:rowOff>
    </xdr:to>
    <xdr:pic>
      <xdr:nvPicPr>
        <xdr:cNvPr id="199052" name="Grafik 6">
          <a:extLst>
            <a:ext uri="{FF2B5EF4-FFF2-40B4-BE49-F238E27FC236}">
              <a16:creationId xmlns:a16="http://schemas.microsoft.com/office/drawing/2014/main" id="{00000000-0008-0000-0400-00008C0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76360" y="6143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41</xdr:row>
      <xdr:rowOff>9525</xdr:rowOff>
    </xdr:from>
    <xdr:to>
      <xdr:col>14</xdr:col>
      <xdr:colOff>529590</xdr:colOff>
      <xdr:row>41</xdr:row>
      <xdr:rowOff>114300</xdr:rowOff>
    </xdr:to>
    <xdr:pic>
      <xdr:nvPicPr>
        <xdr:cNvPr id="199053" name="Grafik 13">
          <a:extLst>
            <a:ext uri="{FF2B5EF4-FFF2-40B4-BE49-F238E27FC236}">
              <a16:creationId xmlns:a16="http://schemas.microsoft.com/office/drawing/2014/main" id="{00000000-0008-0000-0400-00008D0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76360" y="149675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44</xdr:row>
      <xdr:rowOff>9525</xdr:rowOff>
    </xdr:from>
    <xdr:to>
      <xdr:col>14</xdr:col>
      <xdr:colOff>529590</xdr:colOff>
      <xdr:row>44</xdr:row>
      <xdr:rowOff>114300</xdr:rowOff>
    </xdr:to>
    <xdr:pic>
      <xdr:nvPicPr>
        <xdr:cNvPr id="199054" name="Grafik 13">
          <a:extLst>
            <a:ext uri="{FF2B5EF4-FFF2-40B4-BE49-F238E27FC236}">
              <a16:creationId xmlns:a16="http://schemas.microsoft.com/office/drawing/2014/main" id="{00000000-0008-0000-0400-00008E0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76360" y="165982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47</xdr:row>
      <xdr:rowOff>9525</xdr:rowOff>
    </xdr:from>
    <xdr:to>
      <xdr:col>14</xdr:col>
      <xdr:colOff>529590</xdr:colOff>
      <xdr:row>47</xdr:row>
      <xdr:rowOff>114300</xdr:rowOff>
    </xdr:to>
    <xdr:pic>
      <xdr:nvPicPr>
        <xdr:cNvPr id="199055" name="Grafik 13">
          <a:extLst>
            <a:ext uri="{FF2B5EF4-FFF2-40B4-BE49-F238E27FC236}">
              <a16:creationId xmlns:a16="http://schemas.microsoft.com/office/drawing/2014/main" id="{00000000-0008-0000-0400-00008F0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76360" y="179774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53</xdr:row>
      <xdr:rowOff>9525</xdr:rowOff>
    </xdr:from>
    <xdr:to>
      <xdr:col>14</xdr:col>
      <xdr:colOff>523875</xdr:colOff>
      <xdr:row>53</xdr:row>
      <xdr:rowOff>114300</xdr:rowOff>
    </xdr:to>
    <xdr:pic>
      <xdr:nvPicPr>
        <xdr:cNvPr id="199056" name="Grafik 13">
          <a:extLst>
            <a:ext uri="{FF2B5EF4-FFF2-40B4-BE49-F238E27FC236}">
              <a16:creationId xmlns:a16="http://schemas.microsoft.com/office/drawing/2014/main" id="{00000000-0008-0000-0400-0000900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1526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56</xdr:row>
      <xdr:rowOff>9525</xdr:rowOff>
    </xdr:from>
    <xdr:to>
      <xdr:col>14</xdr:col>
      <xdr:colOff>523875</xdr:colOff>
      <xdr:row>56</xdr:row>
      <xdr:rowOff>114300</xdr:rowOff>
    </xdr:to>
    <xdr:pic>
      <xdr:nvPicPr>
        <xdr:cNvPr id="199058" name="Grafik 13">
          <a:extLst>
            <a:ext uri="{FF2B5EF4-FFF2-40B4-BE49-F238E27FC236}">
              <a16:creationId xmlns:a16="http://schemas.microsoft.com/office/drawing/2014/main" id="{00000000-0008-0000-0400-0000920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91846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428625</xdr:colOff>
      <xdr:row>52</xdr:row>
      <xdr:rowOff>9525</xdr:rowOff>
    </xdr:from>
    <xdr:to>
      <xdr:col>14</xdr:col>
      <xdr:colOff>523875</xdr:colOff>
      <xdr:row>52</xdr:row>
      <xdr:rowOff>114300</xdr:rowOff>
    </xdr:to>
    <xdr:pic>
      <xdr:nvPicPr>
        <xdr:cNvPr id="199060" name="Grafik 29">
          <a:extLst>
            <a:ext uri="{FF2B5EF4-FFF2-40B4-BE49-F238E27FC236}">
              <a16:creationId xmlns:a16="http://schemas.microsoft.com/office/drawing/2014/main" id="{00000000-0008-0000-0400-00009409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34425" y="20135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339090</xdr:colOff>
      <xdr:row>44</xdr:row>
      <xdr:rowOff>9525</xdr:rowOff>
    </xdr:from>
    <xdr:to>
      <xdr:col>14</xdr:col>
      <xdr:colOff>434340</xdr:colOff>
      <xdr:row>44</xdr:row>
      <xdr:rowOff>114300</xdr:rowOff>
    </xdr:to>
    <xdr:pic>
      <xdr:nvPicPr>
        <xdr:cNvPr id="199064" name="Grafik 29">
          <a:extLst>
            <a:ext uri="{FF2B5EF4-FFF2-40B4-BE49-F238E27FC236}">
              <a16:creationId xmlns:a16="http://schemas.microsoft.com/office/drawing/2014/main" id="{00000000-0008-0000-0400-00009809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81110" y="1659826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339090</xdr:colOff>
      <xdr:row>47</xdr:row>
      <xdr:rowOff>9525</xdr:rowOff>
    </xdr:from>
    <xdr:to>
      <xdr:col>14</xdr:col>
      <xdr:colOff>434340</xdr:colOff>
      <xdr:row>47</xdr:row>
      <xdr:rowOff>114300</xdr:rowOff>
    </xdr:to>
    <xdr:pic>
      <xdr:nvPicPr>
        <xdr:cNvPr id="199065" name="Grafik 29">
          <a:extLst>
            <a:ext uri="{FF2B5EF4-FFF2-40B4-BE49-F238E27FC236}">
              <a16:creationId xmlns:a16="http://schemas.microsoft.com/office/drawing/2014/main" id="{00000000-0008-0000-0400-00009909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81110" y="1797748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323850</xdr:colOff>
      <xdr:row>56</xdr:row>
      <xdr:rowOff>9525</xdr:rowOff>
    </xdr:from>
    <xdr:to>
      <xdr:col>14</xdr:col>
      <xdr:colOff>419100</xdr:colOff>
      <xdr:row>56</xdr:row>
      <xdr:rowOff>114300</xdr:rowOff>
    </xdr:to>
    <xdr:pic>
      <xdr:nvPicPr>
        <xdr:cNvPr id="199066" name="Grafik 29">
          <a:extLst>
            <a:ext uri="{FF2B5EF4-FFF2-40B4-BE49-F238E27FC236}">
              <a16:creationId xmlns:a16="http://schemas.microsoft.com/office/drawing/2014/main" id="{00000000-0008-0000-0400-00009A09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29650" y="291846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59</xdr:row>
      <xdr:rowOff>9525</xdr:rowOff>
    </xdr:from>
    <xdr:to>
      <xdr:col>14</xdr:col>
      <xdr:colOff>520065</xdr:colOff>
      <xdr:row>59</xdr:row>
      <xdr:rowOff>114300</xdr:rowOff>
    </xdr:to>
    <xdr:pic>
      <xdr:nvPicPr>
        <xdr:cNvPr id="199067" name="Grafik 29">
          <a:extLst>
            <a:ext uri="{FF2B5EF4-FFF2-40B4-BE49-F238E27FC236}">
              <a16:creationId xmlns:a16="http://schemas.microsoft.com/office/drawing/2014/main" id="{00000000-0008-0000-0400-00009B09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40140" y="25831800"/>
          <a:ext cx="857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424815</xdr:colOff>
      <xdr:row>22</xdr:row>
      <xdr:rowOff>9525</xdr:rowOff>
    </xdr:from>
    <xdr:to>
      <xdr:col>14</xdr:col>
      <xdr:colOff>529590</xdr:colOff>
      <xdr:row>22</xdr:row>
      <xdr:rowOff>95250</xdr:rowOff>
    </xdr:to>
    <xdr:pic>
      <xdr:nvPicPr>
        <xdr:cNvPr id="199072" name="Grafik 29">
          <a:extLst>
            <a:ext uri="{FF2B5EF4-FFF2-40B4-BE49-F238E27FC236}">
              <a16:creationId xmlns:a16="http://schemas.microsoft.com/office/drawing/2014/main" id="{00000000-0008-0000-0400-0000A009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66835" y="793432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14</xdr:col>
      <xdr:colOff>415290</xdr:colOff>
      <xdr:row>62</xdr:row>
      <xdr:rowOff>9525</xdr:rowOff>
    </xdr:from>
    <xdr:ext cx="104775" cy="104775"/>
    <xdr:pic>
      <xdr:nvPicPr>
        <xdr:cNvPr id="34" name="Grafik 1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1090" y="272986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14</xdr:col>
      <xdr:colOff>434340</xdr:colOff>
      <xdr:row>38</xdr:row>
      <xdr:rowOff>9525</xdr:rowOff>
    </xdr:from>
    <xdr:to>
      <xdr:col>14</xdr:col>
      <xdr:colOff>529590</xdr:colOff>
      <xdr:row>38</xdr:row>
      <xdr:rowOff>114300</xdr:rowOff>
    </xdr:to>
    <xdr:pic>
      <xdr:nvPicPr>
        <xdr:cNvPr id="35" name="Grafik 13">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76360" y="136645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31</xdr:row>
      <xdr:rowOff>9525</xdr:rowOff>
    </xdr:from>
    <xdr:to>
      <xdr:col>14</xdr:col>
      <xdr:colOff>529590</xdr:colOff>
      <xdr:row>31</xdr:row>
      <xdr:rowOff>114300</xdr:rowOff>
    </xdr:to>
    <xdr:pic>
      <xdr:nvPicPr>
        <xdr:cNvPr id="36" name="Grafik 13">
          <a:extLst>
            <a:ext uri="{FF2B5EF4-FFF2-40B4-BE49-F238E27FC236}">
              <a16:creationId xmlns:a16="http://schemas.microsoft.com/office/drawing/2014/main" id="{00000000-0008-0000-04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76360" y="111575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4732020</xdr:colOff>
      <xdr:row>12</xdr:row>
      <xdr:rowOff>9525</xdr:rowOff>
    </xdr:from>
    <xdr:to>
      <xdr:col>16</xdr:col>
      <xdr:colOff>4751070</xdr:colOff>
      <xdr:row>12</xdr:row>
      <xdr:rowOff>114300</xdr:rowOff>
    </xdr:to>
    <xdr:pic>
      <xdr:nvPicPr>
        <xdr:cNvPr id="37" name="Grafik 6">
          <a:extLst>
            <a:ext uri="{FF2B5EF4-FFF2-40B4-BE49-F238E27FC236}">
              <a16:creationId xmlns:a16="http://schemas.microsoft.com/office/drawing/2014/main" id="{00000000-0008-0000-04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00" y="43605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4613910</xdr:colOff>
      <xdr:row>12</xdr:row>
      <xdr:rowOff>7620</xdr:rowOff>
    </xdr:from>
    <xdr:to>
      <xdr:col>16</xdr:col>
      <xdr:colOff>4709160</xdr:colOff>
      <xdr:row>12</xdr:row>
      <xdr:rowOff>112395</xdr:rowOff>
    </xdr:to>
    <xdr:pic>
      <xdr:nvPicPr>
        <xdr:cNvPr id="38" name="Grafik 6">
          <a:extLst>
            <a:ext uri="{FF2B5EF4-FFF2-40B4-BE49-F238E27FC236}">
              <a16:creationId xmlns:a16="http://schemas.microsoft.com/office/drawing/2014/main" id="{00000000-0008-0000-04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91285" y="437959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2124075</xdr:colOff>
      <xdr:row>7</xdr:row>
      <xdr:rowOff>9525</xdr:rowOff>
    </xdr:from>
    <xdr:to>
      <xdr:col>10</xdr:col>
      <xdr:colOff>0</xdr:colOff>
      <xdr:row>7</xdr:row>
      <xdr:rowOff>114300</xdr:rowOff>
    </xdr:to>
    <xdr:pic>
      <xdr:nvPicPr>
        <xdr:cNvPr id="192788" name="Grafik 3">
          <a:extLst>
            <a:ext uri="{FF2B5EF4-FFF2-40B4-BE49-F238E27FC236}">
              <a16:creationId xmlns:a16="http://schemas.microsoft.com/office/drawing/2014/main" id="{00000000-0008-0000-0700-000014F1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58025" y="1085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333375</xdr:colOff>
      <xdr:row>7</xdr:row>
      <xdr:rowOff>9525</xdr:rowOff>
    </xdr:from>
    <xdr:to>
      <xdr:col>6</xdr:col>
      <xdr:colOff>0</xdr:colOff>
      <xdr:row>7</xdr:row>
      <xdr:rowOff>104775</xdr:rowOff>
    </xdr:to>
    <xdr:pic>
      <xdr:nvPicPr>
        <xdr:cNvPr id="192789" name="Grafik 4">
          <a:extLst>
            <a:ext uri="{FF2B5EF4-FFF2-40B4-BE49-F238E27FC236}">
              <a16:creationId xmlns:a16="http://schemas.microsoft.com/office/drawing/2014/main" id="{00000000-0008-0000-0700-000015F1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28975" y="10858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2124075</xdr:colOff>
      <xdr:row>5</xdr:row>
      <xdr:rowOff>9525</xdr:rowOff>
    </xdr:from>
    <xdr:to>
      <xdr:col>10</xdr:col>
      <xdr:colOff>0</xdr:colOff>
      <xdr:row>5</xdr:row>
      <xdr:rowOff>114300</xdr:rowOff>
    </xdr:to>
    <xdr:pic>
      <xdr:nvPicPr>
        <xdr:cNvPr id="192790" name="Grafik 3">
          <a:extLst>
            <a:ext uri="{FF2B5EF4-FFF2-40B4-BE49-F238E27FC236}">
              <a16:creationId xmlns:a16="http://schemas.microsoft.com/office/drawing/2014/main" id="{00000000-0008-0000-0700-000016F1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58025" y="809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742950</xdr:colOff>
      <xdr:row>1</xdr:row>
      <xdr:rowOff>104775</xdr:rowOff>
    </xdr:from>
    <xdr:to>
      <xdr:col>10</xdr:col>
      <xdr:colOff>2181225</xdr:colOff>
      <xdr:row>2</xdr:row>
      <xdr:rowOff>171450</xdr:rowOff>
    </xdr:to>
    <xdr:pic>
      <xdr:nvPicPr>
        <xdr:cNvPr id="192791" name="Grafik 1">
          <a:extLst>
            <a:ext uri="{FF2B5EF4-FFF2-40B4-BE49-F238E27FC236}">
              <a16:creationId xmlns:a16="http://schemas.microsoft.com/office/drawing/2014/main" id="{00000000-0008-0000-0700-000017F102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05750" y="104775"/>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28</xdr:col>
      <xdr:colOff>257175</xdr:colOff>
      <xdr:row>1</xdr:row>
      <xdr:rowOff>0</xdr:rowOff>
    </xdr:from>
    <xdr:to>
      <xdr:col>32</xdr:col>
      <xdr:colOff>295275</xdr:colOff>
      <xdr:row>4</xdr:row>
      <xdr:rowOff>66675</xdr:rowOff>
    </xdr:to>
    <xdr:pic>
      <xdr:nvPicPr>
        <xdr:cNvPr id="193881" name="Grafik 1">
          <a:extLst>
            <a:ext uri="{FF2B5EF4-FFF2-40B4-BE49-F238E27FC236}">
              <a16:creationId xmlns:a16="http://schemas.microsoft.com/office/drawing/2014/main" id="{00000000-0008-0000-0900-000059F50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9525" y="571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438150</xdr:colOff>
      <xdr:row>30</xdr:row>
      <xdr:rowOff>9525</xdr:rowOff>
    </xdr:from>
    <xdr:to>
      <xdr:col>19</xdr:col>
      <xdr:colOff>0</xdr:colOff>
      <xdr:row>30</xdr:row>
      <xdr:rowOff>85725</xdr:rowOff>
    </xdr:to>
    <xdr:pic>
      <xdr:nvPicPr>
        <xdr:cNvPr id="193882" name="Grafik 5">
          <a:extLst>
            <a:ext uri="{FF2B5EF4-FFF2-40B4-BE49-F238E27FC236}">
              <a16:creationId xmlns:a16="http://schemas.microsoft.com/office/drawing/2014/main" id="{00000000-0008-0000-0900-00005AF5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91150" y="63722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133350</xdr:colOff>
      <xdr:row>5</xdr:row>
      <xdr:rowOff>9525</xdr:rowOff>
    </xdr:from>
    <xdr:to>
      <xdr:col>26</xdr:col>
      <xdr:colOff>0</xdr:colOff>
      <xdr:row>5</xdr:row>
      <xdr:rowOff>114300</xdr:rowOff>
    </xdr:to>
    <xdr:pic>
      <xdr:nvPicPr>
        <xdr:cNvPr id="193883" name="Grafik 3">
          <a:extLst>
            <a:ext uri="{FF2B5EF4-FFF2-40B4-BE49-F238E27FC236}">
              <a16:creationId xmlns:a16="http://schemas.microsoft.com/office/drawing/2014/main" id="{00000000-0008-0000-0900-00005BF5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62750" y="6953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133350</xdr:colOff>
      <xdr:row>7</xdr:row>
      <xdr:rowOff>9525</xdr:rowOff>
    </xdr:from>
    <xdr:to>
      <xdr:col>26</xdr:col>
      <xdr:colOff>0</xdr:colOff>
      <xdr:row>7</xdr:row>
      <xdr:rowOff>114300</xdr:rowOff>
    </xdr:to>
    <xdr:pic>
      <xdr:nvPicPr>
        <xdr:cNvPr id="193884" name="Grafik 3">
          <a:extLst>
            <a:ext uri="{FF2B5EF4-FFF2-40B4-BE49-F238E27FC236}">
              <a16:creationId xmlns:a16="http://schemas.microsoft.com/office/drawing/2014/main" id="{00000000-0008-0000-0900-00005CF5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62750" y="9715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133350</xdr:colOff>
      <xdr:row>7</xdr:row>
      <xdr:rowOff>9525</xdr:rowOff>
    </xdr:from>
    <xdr:to>
      <xdr:col>7</xdr:col>
      <xdr:colOff>0</xdr:colOff>
      <xdr:row>7</xdr:row>
      <xdr:rowOff>114300</xdr:rowOff>
    </xdr:to>
    <xdr:pic>
      <xdr:nvPicPr>
        <xdr:cNvPr id="193885" name="Grafik 3">
          <a:extLst>
            <a:ext uri="{FF2B5EF4-FFF2-40B4-BE49-F238E27FC236}">
              <a16:creationId xmlns:a16="http://schemas.microsoft.com/office/drawing/2014/main" id="{00000000-0008-0000-0900-00005DF5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66925" y="9715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1162050</xdr:colOff>
      <xdr:row>5</xdr:row>
      <xdr:rowOff>9525</xdr:rowOff>
    </xdr:from>
    <xdr:to>
      <xdr:col>6</xdr:col>
      <xdr:colOff>0</xdr:colOff>
      <xdr:row>5</xdr:row>
      <xdr:rowOff>114300</xdr:rowOff>
    </xdr:to>
    <xdr:pic>
      <xdr:nvPicPr>
        <xdr:cNvPr id="194905" name="Grafik 3">
          <a:extLst>
            <a:ext uri="{FF2B5EF4-FFF2-40B4-BE49-F238E27FC236}">
              <a16:creationId xmlns:a16="http://schemas.microsoft.com/office/drawing/2014/main" id="{00000000-0008-0000-0A00-000059F9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62925" y="8667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1162050</xdr:colOff>
      <xdr:row>7</xdr:row>
      <xdr:rowOff>9525</xdr:rowOff>
    </xdr:from>
    <xdr:to>
      <xdr:col>6</xdr:col>
      <xdr:colOff>0</xdr:colOff>
      <xdr:row>7</xdr:row>
      <xdr:rowOff>104775</xdr:rowOff>
    </xdr:to>
    <xdr:pic>
      <xdr:nvPicPr>
        <xdr:cNvPr id="194906" name="Grafik 4">
          <a:extLst>
            <a:ext uri="{FF2B5EF4-FFF2-40B4-BE49-F238E27FC236}">
              <a16:creationId xmlns:a16="http://schemas.microsoft.com/office/drawing/2014/main" id="{00000000-0008-0000-0A00-00005AF9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62925" y="11430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1657350</xdr:colOff>
      <xdr:row>7</xdr:row>
      <xdr:rowOff>9525</xdr:rowOff>
    </xdr:from>
    <xdr:to>
      <xdr:col>2</xdr:col>
      <xdr:colOff>0</xdr:colOff>
      <xdr:row>7</xdr:row>
      <xdr:rowOff>104775</xdr:rowOff>
    </xdr:to>
    <xdr:pic>
      <xdr:nvPicPr>
        <xdr:cNvPr id="194907" name="Grafik 4">
          <a:extLst>
            <a:ext uri="{FF2B5EF4-FFF2-40B4-BE49-F238E27FC236}">
              <a16:creationId xmlns:a16="http://schemas.microsoft.com/office/drawing/2014/main" id="{00000000-0008-0000-0A00-00005BF9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0325" y="11430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1657350</xdr:colOff>
      <xdr:row>14</xdr:row>
      <xdr:rowOff>9525</xdr:rowOff>
    </xdr:from>
    <xdr:to>
      <xdr:col>2</xdr:col>
      <xdr:colOff>0</xdr:colOff>
      <xdr:row>14</xdr:row>
      <xdr:rowOff>104775</xdr:rowOff>
    </xdr:to>
    <xdr:pic>
      <xdr:nvPicPr>
        <xdr:cNvPr id="194908" name="Grafik 4">
          <a:extLst>
            <a:ext uri="{FF2B5EF4-FFF2-40B4-BE49-F238E27FC236}">
              <a16:creationId xmlns:a16="http://schemas.microsoft.com/office/drawing/2014/main" id="{00000000-0008-0000-0A00-00005CF9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0325" y="231457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638175</xdr:colOff>
      <xdr:row>1</xdr:row>
      <xdr:rowOff>57150</xdr:rowOff>
    </xdr:from>
    <xdr:to>
      <xdr:col>6</xdr:col>
      <xdr:colOff>800100</xdr:colOff>
      <xdr:row>2</xdr:row>
      <xdr:rowOff>142875</xdr:rowOff>
    </xdr:to>
    <xdr:pic>
      <xdr:nvPicPr>
        <xdr:cNvPr id="194909" name="Grafik 1">
          <a:extLst>
            <a:ext uri="{FF2B5EF4-FFF2-40B4-BE49-F238E27FC236}">
              <a16:creationId xmlns:a16="http://schemas.microsoft.com/office/drawing/2014/main" id="{00000000-0008-0000-0A00-00005DF902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39050" y="142875"/>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67:S88" totalsRowShown="0" headerRowDxfId="202" dataDxfId="200" headerRowBorderDxfId="201" totalsRowBorderDxfId="199">
  <autoFilter ref="A67:S88" xr:uid="{00000000-0009-0000-0100-000001000000}"/>
  <tableColumns count="19">
    <tableColumn id="1" xr3:uid="{00000000-0010-0000-0000-000001000000}" name="Baden-Württemberg" dataDxfId="198"/>
    <tableColumn id="2" xr3:uid="{00000000-0010-0000-0000-000002000000}" name="Bayern" dataDxfId="197"/>
    <tableColumn id="3" xr3:uid="{00000000-0010-0000-0000-000003000000}" name="Berlin" dataDxfId="196"/>
    <tableColumn id="4" xr3:uid="{00000000-0010-0000-0000-000004000000}" name="Brandenburg" dataDxfId="195"/>
    <tableColumn id="5" xr3:uid="{00000000-0010-0000-0000-000005000000}" name="Bremen" dataDxfId="194"/>
    <tableColumn id="6" xr3:uid="{00000000-0010-0000-0000-000006000000}" name="Hamburg" dataDxfId="193"/>
    <tableColumn id="7" xr3:uid="{00000000-0010-0000-0000-000007000000}" name="Hessen" dataDxfId="192"/>
    <tableColumn id="8" xr3:uid="{00000000-0010-0000-0000-000008000000}" name="Mecklenburg-Vorpommern" dataDxfId="191"/>
    <tableColumn id="9" xr3:uid="{00000000-0010-0000-0000-000009000000}" name="Niedersachsen" dataDxfId="190"/>
    <tableColumn id="10" xr3:uid="{00000000-0010-0000-0000-00000A000000}" name="Nordrhein-Westfalen" dataDxfId="189"/>
    <tableColumn id="11" xr3:uid="{00000000-0010-0000-0000-00000B000000}" name="Rheinland-Pfalz" dataDxfId="188"/>
    <tableColumn id="12" xr3:uid="{00000000-0010-0000-0000-00000C000000}" name="Saarland" dataDxfId="187"/>
    <tableColumn id="13" xr3:uid="{00000000-0010-0000-0000-00000D000000}" name="Sachsen" dataDxfId="186"/>
    <tableColumn id="14" xr3:uid="{00000000-0010-0000-0000-00000E000000}" name="Sachsen-Anhalt" dataDxfId="185"/>
    <tableColumn id="15" xr3:uid="{00000000-0010-0000-0000-00000F000000}" name="Schleswig-Holstein" dataDxfId="184"/>
    <tableColumn id="16" xr3:uid="{00000000-0010-0000-0000-000010000000}" name="Thüringen" dataDxfId="183"/>
    <tableColumn id="17" xr3:uid="{00000000-0010-0000-0000-000011000000}" name="Schweiz" dataDxfId="182"/>
    <tableColumn id="18" xr3:uid="{00000000-0010-0000-0000-000012000000}" name="Österreich" dataDxfId="181"/>
    <tableColumn id="19" xr3:uid="{00000000-0010-0000-0000-000013000000}" name="Italien" dataDxfId="18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8"/>
  <dimension ref="A1:IU395"/>
  <sheetViews>
    <sheetView zoomScaleNormal="100" workbookViewId="0">
      <selection activeCell="F99" sqref="F99"/>
    </sheetView>
  </sheetViews>
  <sheetFormatPr defaultColWidth="11.44140625" defaultRowHeight="10.199999999999999" x14ac:dyDescent="0.2"/>
  <cols>
    <col min="1" max="1" width="38" style="95" customWidth="1"/>
    <col min="2" max="2" width="64" style="95" customWidth="1"/>
    <col min="3" max="3" width="58.44140625" style="95" customWidth="1"/>
    <col min="4" max="4" width="15.88671875" style="95" customWidth="1"/>
    <col min="5" max="5" width="19.44140625" style="95" customWidth="1"/>
    <col min="6" max="6" width="10.33203125" style="95" customWidth="1"/>
    <col min="7" max="7" width="13.6640625" style="95" customWidth="1"/>
    <col min="8" max="8" width="24.88671875" style="95" customWidth="1"/>
    <col min="9" max="27" width="40.6640625" style="95" customWidth="1"/>
    <col min="28" max="32" width="9.109375" style="95" customWidth="1"/>
    <col min="33" max="33" width="13.5546875" style="95" customWidth="1"/>
    <col min="34" max="105" width="9.109375" style="95" customWidth="1"/>
    <col min="106" max="107" width="16.5546875" style="95" customWidth="1"/>
    <col min="108" max="108" width="15.5546875" style="95" customWidth="1"/>
    <col min="109" max="109" width="19" style="95" customWidth="1"/>
    <col min="110" max="16384" width="11.44140625" style="95"/>
  </cols>
  <sheetData>
    <row r="1" spans="1:255" x14ac:dyDescent="0.2">
      <c r="A1" s="186" t="s">
        <v>85</v>
      </c>
      <c r="B1" s="306" t="s">
        <v>200</v>
      </c>
      <c r="C1" s="557" t="s">
        <v>200</v>
      </c>
      <c r="D1" s="339"/>
      <c r="E1" s="4"/>
      <c r="F1" s="114" t="s">
        <v>315</v>
      </c>
      <c r="G1" s="187"/>
      <c r="H1" s="112" t="str">
        <f>IF(Basisdaten!L14="---",G1,Basisdaten!L14)</f>
        <v/>
      </c>
      <c r="J1" s="4"/>
      <c r="K1" s="4"/>
      <c r="M1" s="4"/>
      <c r="N1" s="4"/>
      <c r="O1" s="4"/>
      <c r="P1" s="4"/>
      <c r="Q1" s="4"/>
      <c r="S1" s="4"/>
      <c r="T1" s="4"/>
      <c r="V1" s="4"/>
      <c r="W1" s="4"/>
      <c r="Y1" s="4"/>
      <c r="Z1" s="4"/>
      <c r="AB1" s="4"/>
      <c r="AC1" s="4"/>
      <c r="AE1" s="4"/>
      <c r="AF1" s="4"/>
      <c r="AG1" s="4"/>
      <c r="AI1" s="4"/>
      <c r="AJ1" s="4"/>
      <c r="AL1" s="4"/>
      <c r="AM1" s="4"/>
      <c r="AO1" s="4"/>
      <c r="AP1" s="4"/>
      <c r="AR1" s="4"/>
      <c r="AS1" s="4"/>
      <c r="AU1" s="4"/>
      <c r="AV1" s="4"/>
      <c r="AX1" s="4"/>
      <c r="AY1" s="4"/>
      <c r="BA1" s="4"/>
      <c r="BB1" s="4"/>
      <c r="BD1" s="4"/>
      <c r="BE1" s="4"/>
      <c r="BG1" s="4"/>
      <c r="BH1" s="4"/>
      <c r="BJ1" s="4"/>
      <c r="BK1" s="4"/>
      <c r="BM1" s="4"/>
      <c r="BN1" s="4"/>
      <c r="BP1" s="4"/>
      <c r="BQ1" s="4"/>
      <c r="BS1" s="4"/>
      <c r="BT1" s="4"/>
      <c r="BV1" s="4"/>
      <c r="BW1" s="4"/>
      <c r="BY1" s="4"/>
      <c r="BZ1" s="4"/>
      <c r="CB1" s="4"/>
      <c r="CC1" s="4"/>
      <c r="CE1" s="4"/>
      <c r="CF1" s="4"/>
      <c r="CH1" s="4"/>
      <c r="CI1" s="4"/>
      <c r="CK1" s="4"/>
      <c r="CL1" s="4"/>
      <c r="CN1" s="4"/>
      <c r="CO1" s="4"/>
      <c r="CQ1" s="4"/>
      <c r="CR1" s="4"/>
      <c r="CT1" s="4"/>
      <c r="CU1" s="4"/>
      <c r="CW1" s="4"/>
      <c r="CX1" s="4"/>
      <c r="CZ1" s="4"/>
      <c r="DA1" s="4"/>
      <c r="DC1" s="4"/>
      <c r="DD1" s="4"/>
      <c r="DF1" s="4"/>
      <c r="DG1" s="4"/>
      <c r="DI1" s="4"/>
      <c r="DJ1" s="4"/>
      <c r="DL1" s="4"/>
      <c r="DM1" s="4"/>
      <c r="DO1" s="4"/>
      <c r="DP1" s="4"/>
      <c r="DR1" s="4"/>
      <c r="DS1" s="4"/>
      <c r="DU1" s="4"/>
      <c r="DV1" s="4"/>
      <c r="DX1" s="4"/>
      <c r="DY1" s="4"/>
      <c r="EA1" s="4"/>
      <c r="EB1" s="4"/>
      <c r="ED1" s="4"/>
      <c r="EE1" s="4"/>
      <c r="EG1" s="4"/>
      <c r="EH1" s="4"/>
      <c r="EJ1" s="4"/>
      <c r="EK1" s="4"/>
      <c r="EM1" s="4"/>
      <c r="EN1" s="4"/>
      <c r="EP1" s="4"/>
      <c r="EQ1" s="4"/>
      <c r="ES1" s="4"/>
      <c r="ET1" s="4"/>
      <c r="EV1" s="4"/>
      <c r="EW1" s="4"/>
      <c r="EY1" s="4"/>
      <c r="EZ1" s="4"/>
      <c r="FB1" s="4"/>
      <c r="FC1" s="4"/>
      <c r="FE1" s="4"/>
      <c r="FF1" s="4"/>
      <c r="FH1" s="4"/>
      <c r="FI1" s="4"/>
      <c r="FK1" s="4"/>
      <c r="FL1" s="4"/>
      <c r="FN1" s="4"/>
      <c r="FO1" s="4"/>
      <c r="FQ1" s="4"/>
      <c r="FR1" s="4"/>
      <c r="FT1" s="4"/>
      <c r="FU1" s="4"/>
      <c r="FW1" s="4"/>
      <c r="FX1" s="4"/>
      <c r="FZ1" s="4"/>
      <c r="GA1" s="4"/>
      <c r="GC1" s="4"/>
      <c r="GD1" s="4"/>
      <c r="GF1" s="4"/>
      <c r="GG1" s="4"/>
      <c r="GI1" s="4"/>
      <c r="GJ1" s="4"/>
      <c r="GL1" s="4"/>
      <c r="GM1" s="4"/>
      <c r="GO1" s="4"/>
      <c r="GP1" s="4"/>
      <c r="GR1" s="4"/>
      <c r="GS1" s="4"/>
      <c r="GU1" s="4"/>
      <c r="GV1" s="4"/>
      <c r="GX1" s="4"/>
      <c r="GY1" s="4"/>
      <c r="HA1" s="4"/>
      <c r="HB1" s="4"/>
      <c r="HD1" s="4"/>
      <c r="HE1" s="4"/>
      <c r="HG1" s="4"/>
      <c r="HH1" s="4"/>
      <c r="HJ1" s="4"/>
      <c r="HK1" s="4"/>
      <c r="HM1" s="4"/>
      <c r="HN1" s="4"/>
      <c r="HP1" s="4"/>
      <c r="HQ1" s="4"/>
      <c r="HS1" s="4"/>
      <c r="HT1" s="4"/>
      <c r="HV1" s="4"/>
      <c r="HW1" s="4"/>
      <c r="HY1" s="4"/>
      <c r="HZ1" s="4"/>
      <c r="IB1" s="4"/>
      <c r="IC1" s="4"/>
      <c r="IE1" s="4"/>
      <c r="IF1" s="4"/>
      <c r="IH1" s="4"/>
      <c r="II1" s="4"/>
      <c r="IK1" s="4"/>
      <c r="IL1" s="4"/>
      <c r="IN1" s="4"/>
      <c r="IO1" s="4"/>
      <c r="IQ1" s="4"/>
      <c r="IR1" s="4"/>
      <c r="IT1" s="4"/>
      <c r="IU1" s="4"/>
    </row>
    <row r="2" spans="1:255" x14ac:dyDescent="0.2">
      <c r="A2" s="585" t="s">
        <v>1139</v>
      </c>
      <c r="B2" s="306" t="s">
        <v>468</v>
      </c>
      <c r="C2" s="557" t="s">
        <v>468</v>
      </c>
      <c r="D2" s="339"/>
      <c r="E2" s="4"/>
      <c r="F2" s="113"/>
      <c r="G2" s="12" t="s">
        <v>148</v>
      </c>
      <c r="H2" s="12"/>
      <c r="J2" s="4"/>
      <c r="K2" s="4"/>
      <c r="M2" s="4"/>
      <c r="N2" s="4"/>
      <c r="O2" s="4"/>
      <c r="P2" s="4"/>
      <c r="Q2" s="4"/>
      <c r="S2" s="4"/>
      <c r="T2" s="4"/>
      <c r="V2" s="4"/>
      <c r="W2" s="4"/>
      <c r="Y2" s="4"/>
      <c r="Z2" s="4"/>
      <c r="AB2" s="4"/>
      <c r="AC2" s="4"/>
      <c r="AE2" s="4"/>
      <c r="AF2" s="4"/>
      <c r="AG2" s="4"/>
      <c r="AI2" s="4"/>
      <c r="AJ2" s="4"/>
      <c r="AL2" s="4"/>
      <c r="AM2" s="4"/>
      <c r="AO2" s="4"/>
      <c r="AP2" s="4"/>
      <c r="AR2" s="4"/>
      <c r="AS2" s="4"/>
      <c r="AU2" s="4"/>
      <c r="AV2" s="4"/>
      <c r="AX2" s="4"/>
      <c r="AY2" s="4"/>
      <c r="BA2" s="4"/>
      <c r="BB2" s="4"/>
      <c r="BD2" s="4"/>
      <c r="BE2" s="4"/>
      <c r="BG2" s="4"/>
      <c r="BH2" s="4"/>
      <c r="BJ2" s="4"/>
      <c r="BK2" s="4"/>
      <c r="BM2" s="4"/>
      <c r="BN2" s="4"/>
      <c r="BP2" s="4"/>
      <c r="BQ2" s="4"/>
      <c r="BS2" s="4"/>
      <c r="BT2" s="4"/>
      <c r="BV2" s="4"/>
      <c r="BW2" s="4"/>
      <c r="BY2" s="4"/>
      <c r="BZ2" s="4"/>
      <c r="CB2" s="4"/>
      <c r="CC2" s="4"/>
      <c r="CE2" s="4"/>
      <c r="CF2" s="4"/>
      <c r="CH2" s="4"/>
      <c r="CI2" s="4"/>
      <c r="CK2" s="4"/>
      <c r="CL2" s="4"/>
      <c r="CN2" s="4"/>
      <c r="CO2" s="4"/>
      <c r="CQ2" s="4"/>
      <c r="CR2" s="4"/>
      <c r="CT2" s="4"/>
      <c r="CU2" s="4"/>
      <c r="CW2" s="4"/>
      <c r="CX2" s="4"/>
      <c r="CZ2" s="4"/>
      <c r="DA2" s="4"/>
      <c r="DC2" s="4"/>
      <c r="DD2" s="4"/>
      <c r="DF2" s="4"/>
      <c r="DG2" s="4"/>
      <c r="DI2" s="4"/>
      <c r="DJ2" s="4"/>
      <c r="DL2" s="4"/>
      <c r="DM2" s="4"/>
      <c r="DO2" s="4"/>
      <c r="DP2" s="4"/>
      <c r="DR2" s="4"/>
      <c r="DS2" s="4"/>
      <c r="DU2" s="4"/>
      <c r="DV2" s="4"/>
      <c r="DX2" s="4"/>
      <c r="DY2" s="4"/>
      <c r="EA2" s="4"/>
      <c r="EB2" s="4"/>
      <c r="ED2" s="4"/>
      <c r="EE2" s="4"/>
      <c r="EG2" s="4"/>
      <c r="EH2" s="4"/>
      <c r="EJ2" s="4"/>
      <c r="EK2" s="4"/>
      <c r="EM2" s="4"/>
      <c r="EN2" s="4"/>
      <c r="EP2" s="4"/>
      <c r="EQ2" s="4"/>
      <c r="ES2" s="4"/>
      <c r="ET2" s="4"/>
      <c r="EV2" s="4"/>
      <c r="EW2" s="4"/>
      <c r="EY2" s="4"/>
      <c r="EZ2" s="4"/>
      <c r="FB2" s="4"/>
      <c r="FC2" s="4"/>
      <c r="FE2" s="4"/>
      <c r="FF2" s="4"/>
      <c r="FH2" s="4"/>
      <c r="FI2" s="4"/>
      <c r="FK2" s="4"/>
      <c r="FL2" s="4"/>
      <c r="FN2" s="4"/>
      <c r="FO2" s="4"/>
      <c r="FQ2" s="4"/>
      <c r="FR2" s="4"/>
      <c r="FT2" s="4"/>
      <c r="FU2" s="4"/>
      <c r="FW2" s="4"/>
      <c r="FX2" s="4"/>
      <c r="FZ2" s="4"/>
      <c r="GA2" s="4"/>
      <c r="GC2" s="4"/>
      <c r="GD2" s="4"/>
      <c r="GF2" s="4"/>
      <c r="GG2" s="4"/>
      <c r="GI2" s="4"/>
      <c r="GJ2" s="4"/>
      <c r="GL2" s="4"/>
      <c r="GM2" s="4"/>
      <c r="GO2" s="4"/>
      <c r="GP2" s="4"/>
      <c r="GR2" s="4"/>
      <c r="GS2" s="4"/>
      <c r="GU2" s="4"/>
      <c r="GV2" s="4"/>
      <c r="GX2" s="4"/>
      <c r="GY2" s="4"/>
      <c r="HA2" s="4"/>
      <c r="HB2" s="4"/>
      <c r="HD2" s="4"/>
      <c r="HE2" s="4"/>
      <c r="HG2" s="4"/>
      <c r="HH2" s="4"/>
      <c r="HJ2" s="4"/>
      <c r="HK2" s="4"/>
      <c r="HM2" s="4"/>
      <c r="HN2" s="4"/>
      <c r="HP2" s="4"/>
      <c r="HQ2" s="4"/>
      <c r="HS2" s="4"/>
      <c r="HT2" s="4"/>
      <c r="HV2" s="4"/>
      <c r="HW2" s="4"/>
      <c r="HY2" s="4"/>
      <c r="HZ2" s="4"/>
      <c r="IB2" s="4"/>
      <c r="IC2" s="4"/>
      <c r="IE2" s="4"/>
      <c r="IF2" s="4"/>
      <c r="IH2" s="4"/>
      <c r="II2" s="4"/>
      <c r="IK2" s="4"/>
      <c r="IL2" s="4"/>
      <c r="IN2" s="4"/>
      <c r="IO2" s="4"/>
      <c r="IQ2" s="4"/>
      <c r="IR2" s="4"/>
      <c r="IT2" s="4"/>
      <c r="IU2" s="4"/>
    </row>
    <row r="3" spans="1:255" x14ac:dyDescent="0.2">
      <c r="A3" s="4"/>
      <c r="B3" s="306" t="s">
        <v>441</v>
      </c>
      <c r="C3" s="557" t="s">
        <v>441</v>
      </c>
      <c r="D3" s="339"/>
      <c r="E3" s="4"/>
      <c r="F3" s="113"/>
      <c r="G3" s="16" t="str">
        <f>IF(Basisdaten!L14="","",Basisdaten!L14)</f>
        <v/>
      </c>
      <c r="H3" s="17">
        <f>IF(G3&gt;G4,0,DATEDIF(G3,G4,"y"))</f>
        <v>0</v>
      </c>
      <c r="J3" s="4"/>
      <c r="K3" s="4"/>
      <c r="M3" s="4"/>
      <c r="N3" s="4"/>
      <c r="O3" s="4"/>
      <c r="P3" s="4"/>
      <c r="Q3" s="4"/>
      <c r="S3" s="4"/>
      <c r="T3" s="4"/>
      <c r="V3" s="4"/>
      <c r="W3" s="4"/>
      <c r="Y3" s="4"/>
      <c r="Z3" s="4"/>
      <c r="AB3" s="4"/>
      <c r="AC3" s="4"/>
      <c r="AE3" s="4"/>
      <c r="AF3" s="4"/>
      <c r="AG3" s="4"/>
      <c r="AI3" s="4"/>
      <c r="AJ3" s="4"/>
      <c r="AL3" s="4"/>
      <c r="AM3" s="4"/>
      <c r="AO3" s="4"/>
      <c r="AP3" s="4"/>
      <c r="AR3" s="4"/>
      <c r="AS3" s="4"/>
      <c r="AU3" s="4"/>
      <c r="AV3" s="4"/>
      <c r="AX3" s="4"/>
      <c r="AY3" s="4"/>
      <c r="BA3" s="4"/>
      <c r="BB3" s="4"/>
      <c r="BD3" s="4"/>
      <c r="BE3" s="4"/>
      <c r="BG3" s="4"/>
      <c r="BH3" s="4"/>
      <c r="BJ3" s="4"/>
      <c r="BK3" s="4"/>
      <c r="BM3" s="4"/>
      <c r="BN3" s="4"/>
      <c r="BP3" s="4"/>
      <c r="BQ3" s="4"/>
      <c r="BS3" s="4"/>
      <c r="BT3" s="4"/>
      <c r="BV3" s="4"/>
      <c r="BW3" s="4"/>
      <c r="BY3" s="4"/>
      <c r="BZ3" s="4"/>
      <c r="CB3" s="4"/>
      <c r="CC3" s="4"/>
      <c r="CE3" s="4"/>
      <c r="CF3" s="4"/>
      <c r="CH3" s="4"/>
      <c r="CI3" s="4"/>
      <c r="CK3" s="4"/>
      <c r="CL3" s="4"/>
      <c r="CN3" s="4"/>
      <c r="CO3" s="4"/>
      <c r="CQ3" s="4"/>
      <c r="CR3" s="4"/>
      <c r="CT3" s="4"/>
      <c r="CU3" s="4"/>
      <c r="CW3" s="4"/>
      <c r="CX3" s="4"/>
      <c r="CZ3" s="4"/>
      <c r="DA3" s="4"/>
      <c r="DC3" s="4"/>
      <c r="DD3" s="4"/>
      <c r="DF3" s="4"/>
      <c r="DG3" s="4"/>
      <c r="DI3" s="4"/>
      <c r="DJ3" s="4"/>
      <c r="DL3" s="4"/>
      <c r="DM3" s="4"/>
      <c r="DO3" s="4"/>
      <c r="DP3" s="4"/>
      <c r="DR3" s="4"/>
      <c r="DS3" s="4"/>
      <c r="DU3" s="4"/>
      <c r="DV3" s="4"/>
      <c r="DX3" s="4"/>
      <c r="DY3" s="4"/>
      <c r="EA3" s="4"/>
      <c r="EB3" s="4"/>
      <c r="ED3" s="4"/>
      <c r="EE3" s="4"/>
      <c r="EG3" s="4"/>
      <c r="EH3" s="4"/>
      <c r="EJ3" s="4"/>
      <c r="EK3" s="4"/>
      <c r="EM3" s="4"/>
      <c r="EN3" s="4"/>
      <c r="EP3" s="4"/>
      <c r="EQ3" s="4"/>
      <c r="ES3" s="4"/>
      <c r="ET3" s="4"/>
      <c r="EV3" s="4"/>
      <c r="EW3" s="4"/>
      <c r="EY3" s="4"/>
      <c r="EZ3" s="4"/>
      <c r="FB3" s="4"/>
      <c r="FC3" s="4"/>
      <c r="FE3" s="4"/>
      <c r="FF3" s="4"/>
      <c r="FH3" s="4"/>
      <c r="FI3" s="4"/>
      <c r="FK3" s="4"/>
      <c r="FL3" s="4"/>
      <c r="FN3" s="4"/>
      <c r="FO3" s="4"/>
      <c r="FQ3" s="4"/>
      <c r="FR3" s="4"/>
      <c r="FT3" s="4"/>
      <c r="FU3" s="4"/>
      <c r="FW3" s="4"/>
      <c r="FX3" s="4"/>
      <c r="FZ3" s="4"/>
      <c r="GA3" s="4"/>
      <c r="GC3" s="4"/>
      <c r="GD3" s="4"/>
      <c r="GF3" s="4"/>
      <c r="GG3" s="4"/>
      <c r="GI3" s="4"/>
      <c r="GJ3" s="4"/>
      <c r="GL3" s="4"/>
      <c r="GM3" s="4"/>
      <c r="GO3" s="4"/>
      <c r="GP3" s="4"/>
      <c r="GR3" s="4"/>
      <c r="GS3" s="4"/>
      <c r="GU3" s="4"/>
      <c r="GV3" s="4"/>
      <c r="GX3" s="4"/>
      <c r="GY3" s="4"/>
      <c r="HA3" s="4"/>
      <c r="HB3" s="4"/>
      <c r="HD3" s="4"/>
      <c r="HE3" s="4"/>
      <c r="HG3" s="4"/>
      <c r="HH3" s="4"/>
      <c r="HJ3" s="4"/>
      <c r="HK3" s="4"/>
      <c r="HM3" s="4"/>
      <c r="HN3" s="4"/>
      <c r="HP3" s="4"/>
      <c r="HQ3" s="4"/>
      <c r="HS3" s="4"/>
      <c r="HT3" s="4"/>
      <c r="HV3" s="4"/>
      <c r="HW3" s="4"/>
      <c r="HY3" s="4"/>
      <c r="HZ3" s="4"/>
      <c r="IB3" s="4"/>
      <c r="IC3" s="4"/>
      <c r="IE3" s="4"/>
      <c r="IF3" s="4"/>
      <c r="IH3" s="4"/>
      <c r="II3" s="4"/>
      <c r="IK3" s="4"/>
      <c r="IL3" s="4"/>
      <c r="IN3" s="4"/>
      <c r="IO3" s="4"/>
      <c r="IQ3" s="4"/>
      <c r="IR3" s="4"/>
      <c r="IT3" s="4"/>
      <c r="IU3" s="4"/>
    </row>
    <row r="4" spans="1:255" x14ac:dyDescent="0.2">
      <c r="A4" s="4"/>
      <c r="B4" s="306" t="s">
        <v>896</v>
      </c>
      <c r="C4" s="558" t="s">
        <v>896</v>
      </c>
      <c r="D4" s="339"/>
      <c r="E4" s="4"/>
      <c r="F4" s="113"/>
      <c r="G4" s="556">
        <v>44926</v>
      </c>
      <c r="H4" s="17"/>
      <c r="I4" s="3"/>
      <c r="J4" s="4"/>
      <c r="K4" s="4"/>
      <c r="M4" s="4"/>
      <c r="N4" s="4"/>
      <c r="O4" s="4"/>
      <c r="P4" s="4"/>
      <c r="Q4" s="4"/>
      <c r="S4" s="4"/>
      <c r="T4" s="4"/>
      <c r="V4" s="4"/>
      <c r="W4" s="4"/>
      <c r="Y4" s="4"/>
      <c r="Z4" s="4"/>
      <c r="AB4" s="4"/>
      <c r="AC4" s="4"/>
      <c r="AE4" s="4"/>
      <c r="AF4" s="4"/>
      <c r="AG4" s="4"/>
      <c r="AI4" s="4"/>
      <c r="AJ4" s="4"/>
      <c r="AL4" s="4"/>
      <c r="AM4" s="4"/>
      <c r="AO4" s="4"/>
      <c r="AP4" s="4"/>
      <c r="AR4" s="4"/>
      <c r="AS4" s="4"/>
      <c r="AU4" s="4"/>
      <c r="AV4" s="4"/>
      <c r="AX4" s="4"/>
      <c r="AY4" s="4"/>
      <c r="BA4" s="4"/>
      <c r="BB4" s="4"/>
      <c r="BD4" s="4"/>
      <c r="BE4" s="4"/>
      <c r="BG4" s="4"/>
      <c r="BH4" s="4"/>
      <c r="BJ4" s="4"/>
      <c r="BK4" s="4"/>
      <c r="BM4" s="4"/>
      <c r="BN4" s="4"/>
      <c r="BP4" s="4"/>
      <c r="BQ4" s="4"/>
      <c r="BS4" s="4"/>
      <c r="BT4" s="4"/>
      <c r="BV4" s="4"/>
      <c r="BW4" s="4"/>
      <c r="BY4" s="4"/>
      <c r="BZ4" s="4"/>
      <c r="CB4" s="4"/>
      <c r="CC4" s="4"/>
      <c r="CE4" s="4"/>
      <c r="CF4" s="4"/>
      <c r="CH4" s="4"/>
      <c r="CI4" s="4"/>
      <c r="CK4" s="4"/>
      <c r="CL4" s="4"/>
      <c r="CN4" s="4"/>
      <c r="CO4" s="4"/>
      <c r="CQ4" s="4"/>
      <c r="CR4" s="4"/>
      <c r="CT4" s="4"/>
      <c r="CU4" s="4"/>
      <c r="CW4" s="4"/>
      <c r="CX4" s="4"/>
      <c r="CZ4" s="4"/>
      <c r="DA4" s="4"/>
      <c r="DC4" s="4"/>
      <c r="DD4" s="4"/>
      <c r="DF4" s="4"/>
      <c r="DG4" s="4"/>
      <c r="DI4" s="4"/>
      <c r="DJ4" s="4"/>
      <c r="DL4" s="4"/>
      <c r="DM4" s="4"/>
      <c r="DO4" s="4"/>
      <c r="DP4" s="4"/>
      <c r="DR4" s="4"/>
      <c r="DS4" s="4"/>
      <c r="DU4" s="4"/>
      <c r="DV4" s="4"/>
      <c r="DX4" s="4"/>
      <c r="DY4" s="4"/>
      <c r="EA4" s="4"/>
      <c r="EB4" s="4"/>
      <c r="ED4" s="4"/>
      <c r="EE4" s="4"/>
      <c r="EG4" s="4"/>
      <c r="EH4" s="4"/>
      <c r="EJ4" s="4"/>
      <c r="EK4" s="4"/>
      <c r="EM4" s="4"/>
      <c r="EN4" s="4"/>
      <c r="EP4" s="4"/>
      <c r="EQ4" s="4"/>
      <c r="ES4" s="4"/>
      <c r="ET4" s="4"/>
      <c r="EV4" s="4"/>
      <c r="EW4" s="4"/>
      <c r="EY4" s="4"/>
      <c r="EZ4" s="4"/>
      <c r="FB4" s="4"/>
      <c r="FC4" s="4"/>
      <c r="FE4" s="4"/>
      <c r="FF4" s="4"/>
      <c r="FH4" s="4"/>
      <c r="FI4" s="4"/>
      <c r="FK4" s="4"/>
      <c r="FL4" s="4"/>
      <c r="FN4" s="4"/>
      <c r="FO4" s="4"/>
      <c r="FQ4" s="4"/>
      <c r="FR4" s="4"/>
      <c r="FT4" s="4"/>
      <c r="FU4" s="4"/>
      <c r="FW4" s="4"/>
      <c r="FX4" s="4"/>
      <c r="FZ4" s="4"/>
      <c r="GA4" s="4"/>
      <c r="GC4" s="4"/>
      <c r="GD4" s="4"/>
      <c r="GF4" s="4"/>
      <c r="GG4" s="4"/>
      <c r="GI4" s="4"/>
      <c r="GJ4" s="4"/>
      <c r="GL4" s="4"/>
      <c r="GM4" s="4"/>
      <c r="GO4" s="4"/>
      <c r="GP4" s="4"/>
      <c r="GR4" s="4"/>
      <c r="GS4" s="4"/>
      <c r="GU4" s="4"/>
      <c r="GV4" s="4"/>
      <c r="GX4" s="4"/>
      <c r="GY4" s="4"/>
      <c r="HA4" s="4"/>
      <c r="HB4" s="4"/>
      <c r="HD4" s="4"/>
      <c r="HE4" s="4"/>
      <c r="HG4" s="4"/>
      <c r="HH4" s="4"/>
      <c r="HJ4" s="4"/>
      <c r="HK4" s="4"/>
      <c r="HM4" s="4"/>
      <c r="HN4" s="4"/>
      <c r="HP4" s="4"/>
      <c r="HQ4" s="4"/>
      <c r="HS4" s="4"/>
      <c r="HT4" s="4"/>
      <c r="HV4" s="4"/>
      <c r="HW4" s="4"/>
      <c r="HY4" s="4"/>
      <c r="HZ4" s="4"/>
      <c r="IB4" s="4"/>
      <c r="IC4" s="4"/>
      <c r="IE4" s="4"/>
      <c r="IF4" s="4"/>
      <c r="IH4" s="4"/>
      <c r="II4" s="4"/>
      <c r="IK4" s="4"/>
      <c r="IL4" s="4"/>
      <c r="IN4" s="4"/>
      <c r="IO4" s="4"/>
      <c r="IQ4" s="4"/>
      <c r="IR4" s="4"/>
      <c r="IT4" s="4"/>
      <c r="IU4" s="4"/>
    </row>
    <row r="5" spans="1:255" x14ac:dyDescent="0.2">
      <c r="A5" s="4"/>
      <c r="B5" s="306" t="s">
        <v>469</v>
      </c>
      <c r="C5" s="557" t="s">
        <v>469</v>
      </c>
      <c r="D5" s="339"/>
      <c r="E5" s="4"/>
      <c r="G5" s="3"/>
      <c r="J5" s="4"/>
      <c r="K5" s="4"/>
      <c r="M5" s="4"/>
      <c r="N5" s="4"/>
      <c r="O5" s="4"/>
      <c r="P5" s="4"/>
      <c r="Q5" s="4"/>
      <c r="S5" s="4"/>
      <c r="T5" s="4"/>
      <c r="V5" s="4"/>
      <c r="W5" s="4"/>
      <c r="Y5" s="4"/>
      <c r="Z5" s="4"/>
      <c r="AB5" s="4"/>
      <c r="AC5" s="4"/>
      <c r="AE5" s="4"/>
      <c r="AF5" s="4"/>
      <c r="AG5" s="4"/>
      <c r="AI5" s="4"/>
      <c r="AJ5" s="4"/>
      <c r="AL5" s="4"/>
      <c r="AM5" s="4"/>
      <c r="AO5" s="4"/>
      <c r="AP5" s="4"/>
      <c r="AR5" s="4"/>
      <c r="AS5" s="4"/>
      <c r="AU5" s="4"/>
      <c r="AV5" s="4"/>
      <c r="AX5" s="4"/>
      <c r="AY5" s="4"/>
      <c r="BA5" s="4"/>
      <c r="BB5" s="4"/>
      <c r="BD5" s="4"/>
      <c r="BE5" s="4"/>
      <c r="BG5" s="4"/>
      <c r="BH5" s="4"/>
      <c r="BJ5" s="4"/>
      <c r="BK5" s="4"/>
      <c r="BM5" s="4"/>
      <c r="BN5" s="4"/>
      <c r="BP5" s="4"/>
      <c r="BQ5" s="4"/>
      <c r="BS5" s="4"/>
      <c r="BT5" s="4"/>
      <c r="BV5" s="4"/>
      <c r="BW5" s="4"/>
      <c r="BY5" s="4"/>
      <c r="BZ5" s="4"/>
      <c r="CB5" s="4"/>
      <c r="CC5" s="4"/>
      <c r="CE5" s="4"/>
      <c r="CF5" s="4"/>
      <c r="CH5" s="4"/>
      <c r="CI5" s="4"/>
      <c r="CK5" s="4"/>
      <c r="CL5" s="4"/>
      <c r="CN5" s="4"/>
      <c r="CO5" s="4"/>
      <c r="CQ5" s="4"/>
      <c r="CR5" s="4"/>
      <c r="CT5" s="4"/>
      <c r="CU5" s="4"/>
      <c r="CW5" s="4"/>
      <c r="CX5" s="4"/>
      <c r="CZ5" s="4"/>
      <c r="DA5" s="4"/>
      <c r="DC5" s="4"/>
      <c r="DD5" s="4"/>
      <c r="DF5" s="4"/>
      <c r="DG5" s="4"/>
      <c r="DI5" s="4"/>
      <c r="DJ5" s="4"/>
      <c r="DL5" s="4"/>
      <c r="DM5" s="4"/>
      <c r="DO5" s="4"/>
      <c r="DP5" s="4"/>
      <c r="DR5" s="4"/>
      <c r="DS5" s="4"/>
      <c r="DU5" s="4"/>
      <c r="DV5" s="4"/>
      <c r="DX5" s="4"/>
      <c r="DY5" s="4"/>
      <c r="EA5" s="4"/>
      <c r="EB5" s="4"/>
      <c r="ED5" s="4"/>
      <c r="EE5" s="4"/>
      <c r="EG5" s="4"/>
      <c r="EH5" s="4"/>
      <c r="EJ5" s="4"/>
      <c r="EK5" s="4"/>
      <c r="EM5" s="4"/>
      <c r="EN5" s="4"/>
      <c r="EP5" s="4"/>
      <c r="EQ5" s="4"/>
      <c r="ES5" s="4"/>
      <c r="ET5" s="4"/>
      <c r="EV5" s="4"/>
      <c r="EW5" s="4"/>
      <c r="EY5" s="4"/>
      <c r="EZ5" s="4"/>
      <c r="FB5" s="4"/>
      <c r="FC5" s="4"/>
      <c r="FE5" s="4"/>
      <c r="FF5" s="4"/>
      <c r="FH5" s="4"/>
      <c r="FI5" s="4"/>
      <c r="FK5" s="4"/>
      <c r="FL5" s="4"/>
      <c r="FN5" s="4"/>
      <c r="FO5" s="4"/>
      <c r="FQ5" s="4"/>
      <c r="FR5" s="4"/>
      <c r="FT5" s="4"/>
      <c r="FU5" s="4"/>
      <c r="FW5" s="4"/>
      <c r="FX5" s="4"/>
      <c r="FZ5" s="4"/>
      <c r="GA5" s="4"/>
      <c r="GC5" s="4"/>
      <c r="GD5" s="4"/>
      <c r="GF5" s="4"/>
      <c r="GG5" s="4"/>
      <c r="GI5" s="4"/>
      <c r="GJ5" s="4"/>
      <c r="GL5" s="4"/>
      <c r="GM5" s="4"/>
      <c r="GO5" s="4"/>
      <c r="GP5" s="4"/>
      <c r="GR5" s="4"/>
      <c r="GS5" s="4"/>
      <c r="GU5" s="4"/>
      <c r="GV5" s="4"/>
      <c r="GX5" s="4"/>
      <c r="GY5" s="4"/>
      <c r="HA5" s="4"/>
      <c r="HB5" s="4"/>
      <c r="HD5" s="4"/>
      <c r="HE5" s="4"/>
      <c r="HG5" s="4"/>
      <c r="HH5" s="4"/>
      <c r="HJ5" s="4"/>
      <c r="HK5" s="4"/>
      <c r="HM5" s="4"/>
      <c r="HN5" s="4"/>
      <c r="HP5" s="4"/>
      <c r="HQ5" s="4"/>
      <c r="HS5" s="4"/>
      <c r="HT5" s="4"/>
      <c r="HV5" s="4"/>
      <c r="HW5" s="4"/>
      <c r="HY5" s="4"/>
      <c r="HZ5" s="4"/>
      <c r="IB5" s="4"/>
      <c r="IC5" s="4"/>
      <c r="IE5" s="4"/>
      <c r="IF5" s="4"/>
      <c r="IH5" s="4"/>
      <c r="II5" s="4"/>
      <c r="IK5" s="4"/>
      <c r="IL5" s="4"/>
      <c r="IN5" s="4"/>
      <c r="IO5" s="4"/>
      <c r="IQ5" s="4"/>
      <c r="IR5" s="4"/>
      <c r="IT5" s="4"/>
      <c r="IU5" s="4"/>
    </row>
    <row r="6" spans="1:255" x14ac:dyDescent="0.2">
      <c r="A6" s="4"/>
      <c r="B6" s="306" t="s">
        <v>554</v>
      </c>
      <c r="C6" s="557" t="s">
        <v>554</v>
      </c>
      <c r="D6" s="339"/>
      <c r="E6" s="4"/>
      <c r="G6" s="3"/>
      <c r="J6" s="4"/>
      <c r="K6" s="4"/>
      <c r="M6" s="4"/>
      <c r="N6" s="4"/>
      <c r="O6" s="4"/>
      <c r="P6" s="4"/>
      <c r="Q6" s="4"/>
      <c r="S6" s="4"/>
      <c r="T6" s="4"/>
      <c r="V6" s="4"/>
      <c r="W6" s="4"/>
      <c r="Y6" s="4"/>
      <c r="Z6" s="4"/>
      <c r="AB6" s="4"/>
      <c r="AC6" s="4"/>
      <c r="AE6" s="4"/>
      <c r="AF6" s="4"/>
      <c r="AG6" s="4"/>
      <c r="AI6" s="4"/>
      <c r="AJ6" s="4"/>
      <c r="AL6" s="4"/>
      <c r="AM6" s="4"/>
      <c r="AO6" s="4"/>
      <c r="AP6" s="4"/>
      <c r="AR6" s="4"/>
      <c r="AS6" s="4"/>
      <c r="AU6" s="4"/>
      <c r="AV6" s="4"/>
      <c r="AX6" s="4"/>
      <c r="AY6" s="4"/>
      <c r="BA6" s="4"/>
      <c r="BB6" s="4"/>
      <c r="BD6" s="4"/>
      <c r="BE6" s="4"/>
      <c r="BG6" s="4"/>
      <c r="BH6" s="4"/>
      <c r="BJ6" s="4"/>
      <c r="BK6" s="4"/>
      <c r="BM6" s="4"/>
      <c r="BN6" s="4"/>
      <c r="BP6" s="4"/>
      <c r="BQ6" s="4"/>
      <c r="BS6" s="4"/>
      <c r="BT6" s="4"/>
      <c r="BV6" s="4"/>
      <c r="BW6" s="4"/>
      <c r="BY6" s="4"/>
      <c r="BZ6" s="4"/>
      <c r="CB6" s="4"/>
      <c r="CC6" s="4"/>
      <c r="CE6" s="4"/>
      <c r="CF6" s="4"/>
      <c r="CH6" s="4"/>
      <c r="CI6" s="4"/>
      <c r="CK6" s="4"/>
      <c r="CL6" s="4"/>
      <c r="CN6" s="4"/>
      <c r="CO6" s="4"/>
      <c r="CQ6" s="4"/>
      <c r="CR6" s="4"/>
      <c r="CT6" s="4"/>
      <c r="CU6" s="4"/>
      <c r="CW6" s="4"/>
      <c r="CX6" s="4"/>
      <c r="CZ6" s="4"/>
      <c r="DA6" s="4"/>
      <c r="DC6" s="4"/>
      <c r="DD6" s="4"/>
      <c r="DF6" s="4"/>
      <c r="DG6" s="4"/>
      <c r="DI6" s="4"/>
      <c r="DJ6" s="4"/>
      <c r="DL6" s="4"/>
      <c r="DM6" s="4"/>
      <c r="DO6" s="4"/>
      <c r="DP6" s="4"/>
      <c r="DR6" s="4"/>
      <c r="DS6" s="4"/>
      <c r="DU6" s="4"/>
      <c r="DV6" s="4"/>
      <c r="DX6" s="4"/>
      <c r="DY6" s="4"/>
      <c r="EA6" s="4"/>
      <c r="EB6" s="4"/>
      <c r="ED6" s="4"/>
      <c r="EE6" s="4"/>
      <c r="EG6" s="4"/>
      <c r="EH6" s="4"/>
      <c r="EJ6" s="4"/>
      <c r="EK6" s="4"/>
      <c r="EM6" s="4"/>
      <c r="EN6" s="4"/>
      <c r="EP6" s="4"/>
      <c r="EQ6" s="4"/>
      <c r="ES6" s="4"/>
      <c r="ET6" s="4"/>
      <c r="EV6" s="4"/>
      <c r="EW6" s="4"/>
      <c r="EY6" s="4"/>
      <c r="EZ6" s="4"/>
      <c r="FB6" s="4"/>
      <c r="FC6" s="4"/>
      <c r="FE6" s="4"/>
      <c r="FF6" s="4"/>
      <c r="FH6" s="4"/>
      <c r="FI6" s="4"/>
      <c r="FK6" s="4"/>
      <c r="FL6" s="4"/>
      <c r="FN6" s="4"/>
      <c r="FO6" s="4"/>
      <c r="FQ6" s="4"/>
      <c r="FR6" s="4"/>
      <c r="FT6" s="4"/>
      <c r="FU6" s="4"/>
      <c r="FW6" s="4"/>
      <c r="FX6" s="4"/>
      <c r="FZ6" s="4"/>
      <c r="GA6" s="4"/>
      <c r="GC6" s="4"/>
      <c r="GD6" s="4"/>
      <c r="GF6" s="4"/>
      <c r="GG6" s="4"/>
      <c r="GI6" s="4"/>
      <c r="GJ6" s="4"/>
      <c r="GL6" s="4"/>
      <c r="GM6" s="4"/>
      <c r="GO6" s="4"/>
      <c r="GP6" s="4"/>
      <c r="GR6" s="4"/>
      <c r="GS6" s="4"/>
      <c r="GU6" s="4"/>
      <c r="GV6" s="4"/>
      <c r="GX6" s="4"/>
      <c r="GY6" s="4"/>
      <c r="HA6" s="4"/>
      <c r="HB6" s="4"/>
      <c r="HD6" s="4"/>
      <c r="HE6" s="4"/>
      <c r="HG6" s="4"/>
      <c r="HH6" s="4"/>
      <c r="HJ6" s="4"/>
      <c r="HK6" s="4"/>
      <c r="HM6" s="4"/>
      <c r="HN6" s="4"/>
      <c r="HP6" s="4"/>
      <c r="HQ6" s="4"/>
      <c r="HS6" s="4"/>
      <c r="HT6" s="4"/>
      <c r="HV6" s="4"/>
      <c r="HW6" s="4"/>
      <c r="HY6" s="4"/>
      <c r="HZ6" s="4"/>
      <c r="IB6" s="4"/>
      <c r="IC6" s="4"/>
      <c r="IE6" s="4"/>
      <c r="IF6" s="4"/>
      <c r="IH6" s="4"/>
      <c r="II6" s="4"/>
      <c r="IK6" s="4"/>
      <c r="IL6" s="4"/>
      <c r="IN6" s="4"/>
      <c r="IO6" s="4"/>
      <c r="IQ6" s="4"/>
      <c r="IR6" s="4"/>
      <c r="IT6" s="4"/>
      <c r="IU6" s="4"/>
    </row>
    <row r="7" spans="1:255" x14ac:dyDescent="0.2">
      <c r="B7" s="306" t="s">
        <v>470</v>
      </c>
      <c r="C7" s="557" t="s">
        <v>470</v>
      </c>
      <c r="D7" s="339"/>
      <c r="G7" s="3"/>
    </row>
    <row r="8" spans="1:255" x14ac:dyDescent="0.2">
      <c r="B8" s="306" t="s">
        <v>897</v>
      </c>
      <c r="C8" s="558" t="s">
        <v>897</v>
      </c>
      <c r="D8" s="339"/>
      <c r="G8" s="3"/>
    </row>
    <row r="9" spans="1:255" x14ac:dyDescent="0.2">
      <c r="B9" s="306" t="s">
        <v>898</v>
      </c>
      <c r="C9" s="558" t="s">
        <v>898</v>
      </c>
      <c r="D9" s="339"/>
      <c r="E9" s="4"/>
    </row>
    <row r="10" spans="1:255" x14ac:dyDescent="0.2">
      <c r="A10" s="4"/>
      <c r="B10" s="306" t="s">
        <v>438</v>
      </c>
      <c r="C10" s="557" t="s">
        <v>438</v>
      </c>
      <c r="D10" s="339"/>
      <c r="E10" s="4"/>
    </row>
    <row r="11" spans="1:255" x14ac:dyDescent="0.2">
      <c r="A11" s="4"/>
      <c r="B11" s="306" t="s">
        <v>899</v>
      </c>
      <c r="C11" s="560" t="s">
        <v>909</v>
      </c>
      <c r="D11" s="339" t="s">
        <v>904</v>
      </c>
      <c r="E11" s="4"/>
    </row>
    <row r="12" spans="1:255" x14ac:dyDescent="0.2">
      <c r="A12" s="4"/>
      <c r="B12" s="306" t="s">
        <v>86</v>
      </c>
      <c r="C12" s="557" t="s">
        <v>899</v>
      </c>
      <c r="D12" s="339"/>
      <c r="E12" s="4"/>
    </row>
    <row r="13" spans="1:255" x14ac:dyDescent="0.2">
      <c r="A13" s="4"/>
      <c r="B13" s="306" t="s">
        <v>555</v>
      </c>
      <c r="C13" s="557" t="s">
        <v>86</v>
      </c>
      <c r="D13" s="339"/>
      <c r="E13" s="4"/>
    </row>
    <row r="14" spans="1:255" x14ac:dyDescent="0.2">
      <c r="A14" s="4"/>
      <c r="B14" s="306" t="s">
        <v>556</v>
      </c>
      <c r="C14" s="559" t="s">
        <v>902</v>
      </c>
      <c r="D14" s="339" t="s">
        <v>903</v>
      </c>
      <c r="E14" s="4"/>
    </row>
    <row r="15" spans="1:255" x14ac:dyDescent="0.2">
      <c r="A15" s="4"/>
      <c r="B15" s="306" t="s">
        <v>83</v>
      </c>
      <c r="C15" s="557" t="s">
        <v>555</v>
      </c>
      <c r="D15" s="339"/>
      <c r="E15" s="4"/>
    </row>
    <row r="16" spans="1:255" x14ac:dyDescent="0.2">
      <c r="A16" s="4"/>
      <c r="B16" s="306" t="s">
        <v>439</v>
      </c>
      <c r="C16" s="557" t="s">
        <v>556</v>
      </c>
      <c r="D16" s="339"/>
      <c r="E16" s="4"/>
    </row>
    <row r="17" spans="1:5" x14ac:dyDescent="0.2">
      <c r="A17" s="4"/>
      <c r="B17" s="306" t="s">
        <v>532</v>
      </c>
      <c r="C17" s="557" t="s">
        <v>83</v>
      </c>
      <c r="D17" s="339"/>
      <c r="E17" s="4"/>
    </row>
    <row r="18" spans="1:5" x14ac:dyDescent="0.2">
      <c r="A18" s="4"/>
      <c r="B18" s="306" t="s">
        <v>201</v>
      </c>
      <c r="C18" s="557" t="s">
        <v>439</v>
      </c>
      <c r="D18" s="339"/>
      <c r="E18" s="4"/>
    </row>
    <row r="19" spans="1:5" x14ac:dyDescent="0.2">
      <c r="A19" s="4"/>
      <c r="B19" s="306" t="s">
        <v>4</v>
      </c>
      <c r="C19" s="557" t="s">
        <v>532</v>
      </c>
      <c r="D19" s="339"/>
      <c r="E19" s="4"/>
    </row>
    <row r="20" spans="1:5" x14ac:dyDescent="0.2">
      <c r="A20" s="4"/>
      <c r="B20" s="306" t="s">
        <v>87</v>
      </c>
      <c r="C20" s="557" t="s">
        <v>201</v>
      </c>
      <c r="D20" s="339"/>
      <c r="E20" s="4"/>
    </row>
    <row r="21" spans="1:5" x14ac:dyDescent="0.2">
      <c r="A21" s="4"/>
      <c r="B21" s="306" t="s">
        <v>566</v>
      </c>
      <c r="C21" s="557" t="s">
        <v>4</v>
      </c>
      <c r="D21" s="339"/>
      <c r="E21" s="4"/>
    </row>
    <row r="22" spans="1:5" x14ac:dyDescent="0.2">
      <c r="A22" s="4"/>
      <c r="B22" s="306" t="s">
        <v>202</v>
      </c>
      <c r="C22" s="557" t="s">
        <v>87</v>
      </c>
      <c r="D22" s="339"/>
      <c r="E22" s="4"/>
    </row>
    <row r="23" spans="1:5" x14ac:dyDescent="0.2">
      <c r="A23" s="4"/>
      <c r="B23" s="333" t="s">
        <v>617</v>
      </c>
      <c r="C23" s="561" t="s">
        <v>471</v>
      </c>
      <c r="D23" s="339" t="s">
        <v>903</v>
      </c>
      <c r="E23" s="4"/>
    </row>
    <row r="24" spans="1:5" x14ac:dyDescent="0.2">
      <c r="A24" s="4"/>
      <c r="B24" s="306" t="s">
        <v>850</v>
      </c>
      <c r="C24" s="561" t="s">
        <v>616</v>
      </c>
      <c r="D24" s="339" t="s">
        <v>903</v>
      </c>
      <c r="E24" s="4"/>
    </row>
    <row r="25" spans="1:5" x14ac:dyDescent="0.2">
      <c r="A25" s="4"/>
      <c r="B25" s="306" t="s">
        <v>440</v>
      </c>
      <c r="C25" s="557" t="s">
        <v>566</v>
      </c>
      <c r="D25" s="339"/>
      <c r="E25" s="4"/>
    </row>
    <row r="26" spans="1:5" x14ac:dyDescent="0.2">
      <c r="A26" s="4"/>
      <c r="B26" s="306" t="s">
        <v>472</v>
      </c>
      <c r="C26" s="557" t="s">
        <v>202</v>
      </c>
      <c r="D26" s="339"/>
      <c r="E26" s="4"/>
    </row>
    <row r="27" spans="1:5" x14ac:dyDescent="0.2">
      <c r="A27" s="4"/>
      <c r="B27" s="306" t="s">
        <v>473</v>
      </c>
      <c r="C27" s="562" t="s">
        <v>617</v>
      </c>
      <c r="D27" s="339" t="s">
        <v>905</v>
      </c>
      <c r="E27" s="4"/>
    </row>
    <row r="28" spans="1:5" x14ac:dyDescent="0.2">
      <c r="A28" s="4"/>
      <c r="B28" s="306" t="s">
        <v>900</v>
      </c>
      <c r="C28" s="557" t="s">
        <v>850</v>
      </c>
      <c r="D28" s="339"/>
      <c r="E28" s="4"/>
    </row>
    <row r="29" spans="1:5" x14ac:dyDescent="0.2">
      <c r="A29" s="4"/>
      <c r="B29" s="306" t="s">
        <v>559</v>
      </c>
      <c r="C29" s="560" t="s">
        <v>906</v>
      </c>
      <c r="D29" s="339" t="s">
        <v>904</v>
      </c>
      <c r="E29" s="4"/>
    </row>
    <row r="30" spans="1:5" x14ac:dyDescent="0.2">
      <c r="A30" s="4"/>
      <c r="B30" s="306" t="s">
        <v>163</v>
      </c>
      <c r="C30" s="557" t="s">
        <v>440</v>
      </c>
      <c r="D30" s="339"/>
      <c r="E30" s="4"/>
    </row>
    <row r="31" spans="1:5" x14ac:dyDescent="0.2">
      <c r="A31" s="4"/>
      <c r="B31" s="306" t="s">
        <v>561</v>
      </c>
      <c r="C31" s="561" t="s">
        <v>557</v>
      </c>
      <c r="D31" s="339" t="s">
        <v>903</v>
      </c>
      <c r="E31" s="4"/>
    </row>
    <row r="32" spans="1:5" x14ac:dyDescent="0.2">
      <c r="A32" s="4"/>
      <c r="B32" s="306" t="s">
        <v>474</v>
      </c>
      <c r="C32" s="557" t="s">
        <v>472</v>
      </c>
      <c r="D32" s="339"/>
      <c r="E32" s="2"/>
    </row>
    <row r="33" spans="1:5" x14ac:dyDescent="0.2">
      <c r="A33" s="2"/>
      <c r="B33" s="306" t="s">
        <v>203</v>
      </c>
      <c r="C33" s="557" t="s">
        <v>473</v>
      </c>
      <c r="D33" s="339"/>
      <c r="E33" s="4"/>
    </row>
    <row r="34" spans="1:5" x14ac:dyDescent="0.2">
      <c r="A34" s="4"/>
      <c r="B34" s="306" t="s">
        <v>204</v>
      </c>
      <c r="C34" s="557" t="s">
        <v>900</v>
      </c>
      <c r="D34" s="339"/>
      <c r="E34" s="4"/>
    </row>
    <row r="35" spans="1:5" x14ac:dyDescent="0.2">
      <c r="A35" s="4"/>
      <c r="B35" s="306" t="s">
        <v>475</v>
      </c>
      <c r="C35" s="557" t="s">
        <v>559</v>
      </c>
      <c r="D35" s="339"/>
    </row>
    <row r="36" spans="1:5" x14ac:dyDescent="0.2">
      <c r="A36" s="4"/>
      <c r="B36" s="306" t="s">
        <v>560</v>
      </c>
      <c r="C36" s="560" t="s">
        <v>907</v>
      </c>
      <c r="D36" s="339" t="s">
        <v>904</v>
      </c>
    </row>
    <row r="37" spans="1:5" x14ac:dyDescent="0.2">
      <c r="A37" s="4"/>
      <c r="B37" s="306" t="s">
        <v>476</v>
      </c>
      <c r="C37" s="557" t="s">
        <v>163</v>
      </c>
      <c r="D37" s="339"/>
    </row>
    <row r="38" spans="1:5" x14ac:dyDescent="0.2">
      <c r="A38" s="4"/>
      <c r="B38" s="306" t="s">
        <v>558</v>
      </c>
      <c r="C38" s="557" t="s">
        <v>561</v>
      </c>
      <c r="D38" s="339"/>
    </row>
    <row r="39" spans="1:5" x14ac:dyDescent="0.2">
      <c r="A39" s="4"/>
      <c r="B39" s="306" t="s">
        <v>534</v>
      </c>
      <c r="C39" s="557" t="s">
        <v>474</v>
      </c>
      <c r="D39" s="339"/>
    </row>
    <row r="40" spans="1:5" x14ac:dyDescent="0.2">
      <c r="A40" s="4"/>
      <c r="B40" s="306" t="s">
        <v>563</v>
      </c>
      <c r="C40" s="557" t="s">
        <v>203</v>
      </c>
      <c r="D40" s="339"/>
    </row>
    <row r="41" spans="1:5" x14ac:dyDescent="0.2">
      <c r="A41" s="4"/>
      <c r="B41" s="306" t="s">
        <v>477</v>
      </c>
      <c r="C41" s="557" t="s">
        <v>204</v>
      </c>
      <c r="D41" s="339"/>
    </row>
    <row r="42" spans="1:5" x14ac:dyDescent="0.2">
      <c r="A42" s="4"/>
      <c r="B42" s="337" t="s">
        <v>565</v>
      </c>
      <c r="C42" s="557" t="s">
        <v>475</v>
      </c>
      <c r="D42" s="339"/>
    </row>
    <row r="43" spans="1:5" x14ac:dyDescent="0.2">
      <c r="A43" s="4"/>
      <c r="B43" s="337" t="s">
        <v>901</v>
      </c>
      <c r="C43" s="557" t="s">
        <v>560</v>
      </c>
      <c r="D43" s="339"/>
    </row>
    <row r="44" spans="1:5" x14ac:dyDescent="0.2">
      <c r="A44" s="4"/>
      <c r="B44" s="337" t="s">
        <v>621</v>
      </c>
      <c r="C44" s="557" t="s">
        <v>476</v>
      </c>
      <c r="D44" s="339"/>
    </row>
    <row r="45" spans="1:5" x14ac:dyDescent="0.2">
      <c r="A45" s="4"/>
      <c r="B45" s="306" t="s">
        <v>314</v>
      </c>
      <c r="C45" s="557" t="s">
        <v>558</v>
      </c>
      <c r="D45" s="339"/>
    </row>
    <row r="46" spans="1:5" x14ac:dyDescent="0.2">
      <c r="A46" s="4"/>
      <c r="B46" s="306" t="s">
        <v>313</v>
      </c>
      <c r="C46" s="560" t="s">
        <v>618</v>
      </c>
      <c r="D46" s="339" t="s">
        <v>904</v>
      </c>
    </row>
    <row r="47" spans="1:5" x14ac:dyDescent="0.2">
      <c r="A47" s="4"/>
      <c r="C47" s="560" t="s">
        <v>533</v>
      </c>
      <c r="D47" s="339" t="s">
        <v>904</v>
      </c>
    </row>
    <row r="48" spans="1:5" x14ac:dyDescent="0.2">
      <c r="A48" s="4"/>
      <c r="C48" s="557" t="s">
        <v>534</v>
      </c>
      <c r="D48" s="339"/>
    </row>
    <row r="49" spans="1:4" x14ac:dyDescent="0.2">
      <c r="A49" s="4"/>
      <c r="B49" s="12"/>
      <c r="C49" s="561" t="s">
        <v>562</v>
      </c>
      <c r="D49" s="339" t="s">
        <v>903</v>
      </c>
    </row>
    <row r="50" spans="1:4" x14ac:dyDescent="0.2">
      <c r="A50" s="4"/>
      <c r="B50" s="12"/>
      <c r="C50" s="561" t="s">
        <v>910</v>
      </c>
      <c r="D50" s="339" t="s">
        <v>903</v>
      </c>
    </row>
    <row r="51" spans="1:4" x14ac:dyDescent="0.2">
      <c r="A51" s="4"/>
      <c r="B51" s="12"/>
      <c r="C51" s="557" t="s">
        <v>563</v>
      </c>
      <c r="D51" s="339"/>
    </row>
    <row r="52" spans="1:4" x14ac:dyDescent="0.2">
      <c r="A52" s="4"/>
      <c r="B52" s="12"/>
      <c r="C52" s="561" t="s">
        <v>564</v>
      </c>
      <c r="D52" s="339" t="s">
        <v>908</v>
      </c>
    </row>
    <row r="53" spans="1:4" x14ac:dyDescent="0.2">
      <c r="A53" s="4"/>
      <c r="B53" s="12"/>
      <c r="C53" s="560" t="s">
        <v>911</v>
      </c>
      <c r="D53" s="339" t="s">
        <v>904</v>
      </c>
    </row>
    <row r="54" spans="1:4" x14ac:dyDescent="0.2">
      <c r="A54" s="4"/>
      <c r="B54" s="12"/>
      <c r="C54" s="557" t="s">
        <v>477</v>
      </c>
      <c r="D54" s="339"/>
    </row>
    <row r="55" spans="1:4" x14ac:dyDescent="0.2">
      <c r="A55" s="4"/>
      <c r="B55" s="12"/>
      <c r="C55" s="557" t="s">
        <v>565</v>
      </c>
      <c r="D55" s="339"/>
    </row>
    <row r="56" spans="1:4" x14ac:dyDescent="0.2">
      <c r="A56" s="4"/>
      <c r="B56" s="12"/>
      <c r="C56" s="557" t="s">
        <v>901</v>
      </c>
      <c r="D56" s="339"/>
    </row>
    <row r="57" spans="1:4" x14ac:dyDescent="0.2">
      <c r="A57" s="4"/>
      <c r="B57" s="12"/>
      <c r="C57" s="557" t="s">
        <v>621</v>
      </c>
      <c r="D57" s="339"/>
    </row>
    <row r="58" spans="1:4" x14ac:dyDescent="0.2">
      <c r="A58" s="4"/>
      <c r="B58" s="12"/>
      <c r="C58" s="560" t="s">
        <v>535</v>
      </c>
      <c r="D58" s="339" t="s">
        <v>904</v>
      </c>
    </row>
    <row r="59" spans="1:4" x14ac:dyDescent="0.2">
      <c r="A59" s="4"/>
      <c r="B59" s="12"/>
      <c r="C59" s="560" t="s">
        <v>765</v>
      </c>
      <c r="D59" s="339" t="s">
        <v>904</v>
      </c>
    </row>
    <row r="60" spans="1:4" x14ac:dyDescent="0.2">
      <c r="A60" s="4"/>
      <c r="B60" s="12"/>
      <c r="C60" s="561" t="s">
        <v>478</v>
      </c>
      <c r="D60" s="339" t="s">
        <v>903</v>
      </c>
    </row>
    <row r="61" spans="1:4" x14ac:dyDescent="0.2">
      <c r="A61" s="4"/>
      <c r="B61" s="12"/>
      <c r="C61" s="557" t="s">
        <v>314</v>
      </c>
      <c r="D61" s="339"/>
    </row>
    <row r="62" spans="1:4" x14ac:dyDescent="0.2">
      <c r="A62" s="4"/>
      <c r="B62" s="12"/>
      <c r="C62" s="557" t="s">
        <v>313</v>
      </c>
      <c r="D62" s="339"/>
    </row>
    <row r="63" spans="1:4" x14ac:dyDescent="0.2">
      <c r="A63" s="4"/>
      <c r="B63" s="12"/>
    </row>
    <row r="64" spans="1:4" x14ac:dyDescent="0.2">
      <c r="A64" s="4"/>
      <c r="B64" s="332"/>
    </row>
    <row r="65" spans="1:27" x14ac:dyDescent="0.2">
      <c r="A65" s="4"/>
      <c r="B65" s="332"/>
      <c r="D65" s="113"/>
    </row>
    <row r="66" spans="1:27" ht="26.25" customHeight="1" x14ac:dyDescent="0.2">
      <c r="A66" s="4"/>
      <c r="B66" s="4"/>
      <c r="D66" s="113"/>
    </row>
    <row r="67" spans="1:27" x14ac:dyDescent="0.2">
      <c r="A67" s="188" t="s">
        <v>131</v>
      </c>
      <c r="B67" s="189" t="s">
        <v>132</v>
      </c>
      <c r="C67" s="189" t="s">
        <v>133</v>
      </c>
      <c r="D67" s="189" t="s">
        <v>134</v>
      </c>
      <c r="E67" s="189" t="s">
        <v>135</v>
      </c>
      <c r="F67" s="189" t="s">
        <v>136</v>
      </c>
      <c r="G67" s="189" t="s">
        <v>137</v>
      </c>
      <c r="H67" s="189" t="s">
        <v>138</v>
      </c>
      <c r="I67" s="189" t="s">
        <v>139</v>
      </c>
      <c r="J67" s="189" t="s">
        <v>140</v>
      </c>
      <c r="K67" s="189" t="s">
        <v>141</v>
      </c>
      <c r="L67" s="189" t="s">
        <v>142</v>
      </c>
      <c r="M67" s="189" t="s">
        <v>143</v>
      </c>
      <c r="N67" s="189" t="s">
        <v>144</v>
      </c>
      <c r="O67" s="189" t="s">
        <v>145</v>
      </c>
      <c r="P67" s="189" t="s">
        <v>82</v>
      </c>
      <c r="Q67" s="189" t="s">
        <v>146</v>
      </c>
      <c r="R67" s="189" t="s">
        <v>27</v>
      </c>
      <c r="S67" s="190" t="s">
        <v>196</v>
      </c>
      <c r="T67" s="1"/>
      <c r="U67" s="1"/>
      <c r="V67" s="1"/>
      <c r="W67" s="1"/>
      <c r="X67" s="1"/>
      <c r="Y67" s="1"/>
      <c r="Z67" s="1"/>
      <c r="AA67" s="1"/>
    </row>
    <row r="68" spans="1:27" x14ac:dyDescent="0.2">
      <c r="A68" s="191" t="s">
        <v>88</v>
      </c>
      <c r="B68" s="192" t="s">
        <v>167</v>
      </c>
      <c r="C68" s="192" t="s">
        <v>169</v>
      </c>
      <c r="D68" s="192" t="s">
        <v>174</v>
      </c>
      <c r="E68" s="192" t="s">
        <v>176</v>
      </c>
      <c r="F68" s="192" t="s">
        <v>177</v>
      </c>
      <c r="G68" s="192" t="s">
        <v>178</v>
      </c>
      <c r="H68" s="192" t="s">
        <v>180</v>
      </c>
      <c r="I68" s="192" t="s">
        <v>182</v>
      </c>
      <c r="J68" s="192" t="s">
        <v>184</v>
      </c>
      <c r="K68" s="192" t="s">
        <v>188</v>
      </c>
      <c r="L68" s="192" t="s">
        <v>189</v>
      </c>
      <c r="M68" s="192" t="s">
        <v>190</v>
      </c>
      <c r="N68" s="192" t="s">
        <v>108</v>
      </c>
      <c r="O68" s="192" t="s">
        <v>193</v>
      </c>
      <c r="P68" s="192" t="s">
        <v>195</v>
      </c>
      <c r="Q68" s="315" t="s">
        <v>605</v>
      </c>
      <c r="R68" s="192" t="s">
        <v>606</v>
      </c>
      <c r="S68" s="319" t="s">
        <v>615</v>
      </c>
      <c r="T68" s="2"/>
      <c r="U68" s="2"/>
      <c r="V68" s="2"/>
      <c r="W68" s="2"/>
      <c r="X68" s="2"/>
      <c r="Y68" s="2"/>
      <c r="Z68" s="2"/>
      <c r="AA68" s="2"/>
    </row>
    <row r="69" spans="1:27" x14ac:dyDescent="0.2">
      <c r="A69" s="191" t="s">
        <v>90</v>
      </c>
      <c r="B69" s="192" t="s">
        <v>109</v>
      </c>
      <c r="C69" s="192" t="s">
        <v>174</v>
      </c>
      <c r="D69" s="192" t="s">
        <v>175</v>
      </c>
      <c r="E69" s="192" t="s">
        <v>312</v>
      </c>
      <c r="F69" s="192" t="s">
        <v>312</v>
      </c>
      <c r="G69" s="192" t="s">
        <v>179</v>
      </c>
      <c r="H69" s="192" t="s">
        <v>126</v>
      </c>
      <c r="I69" s="192" t="s">
        <v>92</v>
      </c>
      <c r="J69" s="192" t="s">
        <v>89</v>
      </c>
      <c r="K69" s="192" t="s">
        <v>119</v>
      </c>
      <c r="L69" s="192" t="s">
        <v>115</v>
      </c>
      <c r="M69" s="192" t="s">
        <v>191</v>
      </c>
      <c r="N69" s="192" t="s">
        <v>113</v>
      </c>
      <c r="O69" s="192" t="s">
        <v>194</v>
      </c>
      <c r="P69" s="192" t="s">
        <v>84</v>
      </c>
      <c r="Q69" s="192" t="s">
        <v>314</v>
      </c>
      <c r="R69" s="177" t="s">
        <v>314</v>
      </c>
      <c r="S69" s="193" t="s">
        <v>314</v>
      </c>
      <c r="T69" s="2"/>
      <c r="U69" s="2"/>
      <c r="V69" s="2"/>
      <c r="W69" s="2"/>
      <c r="X69" s="2"/>
    </row>
    <row r="70" spans="1:27" x14ac:dyDescent="0.2">
      <c r="A70" s="191" t="s">
        <v>91</v>
      </c>
      <c r="B70" s="192" t="s">
        <v>110</v>
      </c>
      <c r="C70" s="192" t="s">
        <v>170</v>
      </c>
      <c r="D70" s="192" t="s">
        <v>164</v>
      </c>
      <c r="E70" s="192" t="s">
        <v>314</v>
      </c>
      <c r="F70" s="192" t="s">
        <v>314</v>
      </c>
      <c r="G70" s="192" t="s">
        <v>107</v>
      </c>
      <c r="H70" s="192" t="s">
        <v>127</v>
      </c>
      <c r="I70" s="192" t="s">
        <v>183</v>
      </c>
      <c r="J70" s="192" t="s">
        <v>185</v>
      </c>
      <c r="K70" s="192" t="s">
        <v>125</v>
      </c>
      <c r="L70" s="192" t="s">
        <v>312</v>
      </c>
      <c r="M70" s="192" t="s">
        <v>120</v>
      </c>
      <c r="N70" s="192" t="s">
        <v>121</v>
      </c>
      <c r="O70" s="192" t="s">
        <v>118</v>
      </c>
      <c r="P70" s="192" t="s">
        <v>111</v>
      </c>
      <c r="Q70" s="177"/>
      <c r="R70" s="177"/>
      <c r="S70" s="194"/>
      <c r="T70" s="2"/>
      <c r="U70" s="2"/>
      <c r="V70" s="2"/>
      <c r="W70" s="2"/>
      <c r="X70" s="2"/>
    </row>
    <row r="71" spans="1:27" x14ac:dyDescent="0.2">
      <c r="A71" s="191" t="s">
        <v>165</v>
      </c>
      <c r="B71" s="192" t="s">
        <v>123</v>
      </c>
      <c r="C71" s="192" t="s">
        <v>171</v>
      </c>
      <c r="D71" s="192" t="s">
        <v>312</v>
      </c>
      <c r="E71" s="192" t="s">
        <v>313</v>
      </c>
      <c r="F71" s="192" t="s">
        <v>313</v>
      </c>
      <c r="G71" s="192" t="s">
        <v>117</v>
      </c>
      <c r="H71" s="192" t="s">
        <v>181</v>
      </c>
      <c r="I71" s="192" t="s">
        <v>112</v>
      </c>
      <c r="J71" s="192" t="s">
        <v>186</v>
      </c>
      <c r="K71" s="192" t="s">
        <v>312</v>
      </c>
      <c r="L71" s="192" t="s">
        <v>314</v>
      </c>
      <c r="M71" s="192" t="s">
        <v>479</v>
      </c>
      <c r="N71" s="192" t="s">
        <v>164</v>
      </c>
      <c r="O71" s="192" t="s">
        <v>312</v>
      </c>
      <c r="P71" s="192" t="s">
        <v>116</v>
      </c>
      <c r="Q71" s="177"/>
      <c r="R71" s="177"/>
      <c r="S71" s="194"/>
      <c r="T71" s="2"/>
      <c r="U71" s="2"/>
      <c r="V71" s="2"/>
      <c r="W71" s="2"/>
      <c r="X71" s="2"/>
    </row>
    <row r="72" spans="1:27" x14ac:dyDescent="0.2">
      <c r="A72" s="191" t="s">
        <v>166</v>
      </c>
      <c r="B72" s="192" t="s">
        <v>168</v>
      </c>
      <c r="C72" s="192" t="s">
        <v>172</v>
      </c>
      <c r="D72" s="192" t="s">
        <v>314</v>
      </c>
      <c r="E72" s="192"/>
      <c r="F72" s="192"/>
      <c r="G72" s="192" t="s">
        <v>122</v>
      </c>
      <c r="H72" s="192" t="s">
        <v>164</v>
      </c>
      <c r="I72" s="192" t="s">
        <v>114</v>
      </c>
      <c r="J72" s="192" t="s">
        <v>187</v>
      </c>
      <c r="K72" s="192" t="s">
        <v>314</v>
      </c>
      <c r="L72" s="192" t="s">
        <v>313</v>
      </c>
      <c r="M72" s="192" t="s">
        <v>192</v>
      </c>
      <c r="N72" s="177" t="s">
        <v>312</v>
      </c>
      <c r="O72" s="192" t="s">
        <v>314</v>
      </c>
      <c r="P72" s="192" t="s">
        <v>129</v>
      </c>
      <c r="Q72" s="177"/>
      <c r="R72" s="177"/>
      <c r="S72" s="194"/>
      <c r="T72" s="2"/>
      <c r="U72" s="2"/>
      <c r="V72" s="2"/>
      <c r="W72" s="2"/>
      <c r="X72" s="2"/>
    </row>
    <row r="73" spans="1:27" x14ac:dyDescent="0.2">
      <c r="A73" s="191" t="s">
        <v>93</v>
      </c>
      <c r="B73" s="192" t="s">
        <v>124</v>
      </c>
      <c r="C73" s="192" t="s">
        <v>173</v>
      </c>
      <c r="D73" s="192" t="s">
        <v>313</v>
      </c>
      <c r="E73" s="177"/>
      <c r="F73" s="177"/>
      <c r="G73" s="192" t="s">
        <v>312</v>
      </c>
      <c r="H73" s="192" t="s">
        <v>312</v>
      </c>
      <c r="I73" s="192" t="s">
        <v>480</v>
      </c>
      <c r="J73" s="192" t="s">
        <v>98</v>
      </c>
      <c r="K73" s="192" t="s">
        <v>313</v>
      </c>
      <c r="L73" s="192"/>
      <c r="M73" s="192" t="s">
        <v>164</v>
      </c>
      <c r="N73" s="177" t="s">
        <v>314</v>
      </c>
      <c r="O73" s="192" t="s">
        <v>313</v>
      </c>
      <c r="P73" s="192" t="s">
        <v>128</v>
      </c>
      <c r="Q73" s="177"/>
      <c r="R73" s="177"/>
      <c r="S73" s="194"/>
      <c r="T73" s="2"/>
      <c r="U73" s="2"/>
      <c r="V73" s="2"/>
      <c r="W73" s="2"/>
      <c r="X73" s="2"/>
    </row>
    <row r="74" spans="1:27" x14ac:dyDescent="0.2">
      <c r="A74" s="191" t="s">
        <v>94</v>
      </c>
      <c r="B74" s="192" t="s">
        <v>130</v>
      </c>
      <c r="C74" s="192" t="s">
        <v>164</v>
      </c>
      <c r="D74" s="177"/>
      <c r="E74" s="177"/>
      <c r="F74" s="177"/>
      <c r="G74" s="192" t="s">
        <v>314</v>
      </c>
      <c r="H74" s="192" t="s">
        <v>314</v>
      </c>
      <c r="I74" s="192" t="s">
        <v>312</v>
      </c>
      <c r="J74" s="192" t="s">
        <v>312</v>
      </c>
      <c r="K74" s="192"/>
      <c r="L74" s="177"/>
      <c r="M74" s="192" t="s">
        <v>312</v>
      </c>
      <c r="N74" s="177" t="s">
        <v>313</v>
      </c>
      <c r="O74" s="192"/>
      <c r="P74" s="192" t="s">
        <v>164</v>
      </c>
      <c r="Q74" s="177"/>
      <c r="R74" s="177"/>
      <c r="S74" s="194"/>
      <c r="U74" s="2"/>
      <c r="V74" s="2"/>
      <c r="W74" s="2"/>
      <c r="X74" s="2"/>
    </row>
    <row r="75" spans="1:27" x14ac:dyDescent="0.2">
      <c r="A75" s="191" t="s">
        <v>95</v>
      </c>
      <c r="B75" s="192" t="s">
        <v>312</v>
      </c>
      <c r="C75" s="192" t="s">
        <v>312</v>
      </c>
      <c r="D75" s="177"/>
      <c r="E75" s="177"/>
      <c r="F75" s="177"/>
      <c r="G75" s="192" t="s">
        <v>313</v>
      </c>
      <c r="H75" s="192" t="s">
        <v>313</v>
      </c>
      <c r="I75" s="192" t="s">
        <v>314</v>
      </c>
      <c r="J75" s="192" t="s">
        <v>314</v>
      </c>
      <c r="K75" s="177"/>
      <c r="L75" s="177"/>
      <c r="M75" s="192" t="s">
        <v>314</v>
      </c>
      <c r="N75" s="177"/>
      <c r="O75" s="177"/>
      <c r="P75" s="192" t="s">
        <v>312</v>
      </c>
      <c r="Q75" s="177"/>
      <c r="R75" s="177"/>
      <c r="S75" s="194"/>
      <c r="U75" s="2"/>
      <c r="V75" s="2"/>
      <c r="X75" s="2"/>
    </row>
    <row r="76" spans="1:27" x14ac:dyDescent="0.2">
      <c r="A76" s="191" t="s">
        <v>96</v>
      </c>
      <c r="B76" s="192" t="s">
        <v>314</v>
      </c>
      <c r="C76" s="192" t="s">
        <v>314</v>
      </c>
      <c r="D76" s="177"/>
      <c r="E76" s="177"/>
      <c r="F76" s="177"/>
      <c r="G76" s="192"/>
      <c r="H76" s="177"/>
      <c r="I76" s="192" t="s">
        <v>313</v>
      </c>
      <c r="J76" s="192" t="s">
        <v>313</v>
      </c>
      <c r="K76" s="177"/>
      <c r="L76" s="177"/>
      <c r="M76" s="177" t="s">
        <v>313</v>
      </c>
      <c r="N76" s="192"/>
      <c r="O76" s="192"/>
      <c r="P76" s="192" t="s">
        <v>314</v>
      </c>
      <c r="Q76" s="177"/>
      <c r="R76" s="177"/>
      <c r="S76" s="194"/>
      <c r="V76" s="2"/>
      <c r="W76" s="2"/>
      <c r="X76" s="2"/>
    </row>
    <row r="77" spans="1:27" x14ac:dyDescent="0.2">
      <c r="A77" s="191" t="s">
        <v>97</v>
      </c>
      <c r="B77" s="192" t="s">
        <v>313</v>
      </c>
      <c r="C77" s="192" t="s">
        <v>313</v>
      </c>
      <c r="D77" s="177"/>
      <c r="E77" s="177"/>
      <c r="F77" s="177"/>
      <c r="G77" s="177"/>
      <c r="H77" s="177"/>
      <c r="I77" s="177"/>
      <c r="J77" s="192"/>
      <c r="K77" s="177"/>
      <c r="L77" s="177"/>
      <c r="M77" s="177"/>
      <c r="N77" s="177"/>
      <c r="O77" s="177"/>
      <c r="P77" s="192" t="s">
        <v>313</v>
      </c>
      <c r="Q77" s="177"/>
      <c r="R77" s="177"/>
      <c r="S77" s="194"/>
    </row>
    <row r="78" spans="1:27" x14ac:dyDescent="0.2">
      <c r="A78" s="191" t="s">
        <v>99</v>
      </c>
      <c r="B78" s="192"/>
      <c r="C78" s="177"/>
      <c r="D78" s="177"/>
      <c r="E78" s="177"/>
      <c r="F78" s="177"/>
      <c r="G78" s="177"/>
      <c r="H78" s="177"/>
      <c r="I78" s="177"/>
      <c r="J78" s="177"/>
      <c r="K78" s="177"/>
      <c r="L78" s="177"/>
      <c r="M78" s="177"/>
      <c r="N78" s="177"/>
      <c r="O78" s="177"/>
      <c r="P78" s="177"/>
      <c r="Q78" s="177"/>
      <c r="R78" s="177"/>
      <c r="S78" s="194"/>
    </row>
    <row r="79" spans="1:27" x14ac:dyDescent="0.2">
      <c r="A79" s="191" t="s">
        <v>100</v>
      </c>
      <c r="B79" s="177"/>
      <c r="C79" s="177"/>
      <c r="D79" s="177"/>
      <c r="E79" s="177"/>
      <c r="F79" s="177"/>
      <c r="G79" s="177"/>
      <c r="H79" s="177"/>
      <c r="I79" s="177"/>
      <c r="J79" s="177"/>
      <c r="K79" s="177"/>
      <c r="L79" s="177"/>
      <c r="M79" s="177"/>
      <c r="N79" s="177"/>
      <c r="O79" s="177"/>
      <c r="P79" s="177"/>
      <c r="Q79" s="177"/>
      <c r="R79" s="177"/>
      <c r="S79" s="194"/>
    </row>
    <row r="80" spans="1:27" x14ac:dyDescent="0.2">
      <c r="A80" s="191" t="s">
        <v>101</v>
      </c>
      <c r="B80" s="177"/>
      <c r="C80" s="177"/>
      <c r="D80" s="177"/>
      <c r="E80" s="177"/>
      <c r="F80" s="177"/>
      <c r="G80" s="177"/>
      <c r="H80" s="177"/>
      <c r="I80" s="177"/>
      <c r="J80" s="177"/>
      <c r="K80" s="177"/>
      <c r="L80" s="177"/>
      <c r="M80" s="177"/>
      <c r="N80" s="177"/>
      <c r="O80" s="177"/>
      <c r="P80" s="177"/>
      <c r="Q80" s="177"/>
      <c r="R80" s="177"/>
      <c r="S80" s="194"/>
    </row>
    <row r="81" spans="1:19" x14ac:dyDescent="0.2">
      <c r="A81" s="191" t="s">
        <v>102</v>
      </c>
      <c r="B81" s="177"/>
      <c r="C81" s="177"/>
      <c r="D81" s="177"/>
      <c r="E81" s="177"/>
      <c r="F81" s="177"/>
      <c r="G81" s="177"/>
      <c r="H81" s="177"/>
      <c r="I81" s="177"/>
      <c r="J81" s="177"/>
      <c r="K81" s="177"/>
      <c r="L81" s="177"/>
      <c r="M81" s="177"/>
      <c r="N81" s="177"/>
      <c r="O81" s="177"/>
      <c r="P81" s="177"/>
      <c r="Q81" s="177"/>
      <c r="R81" s="177"/>
      <c r="S81" s="194"/>
    </row>
    <row r="82" spans="1:19" x14ac:dyDescent="0.2">
      <c r="A82" s="191" t="s">
        <v>103</v>
      </c>
      <c r="B82" s="177"/>
      <c r="C82" s="177"/>
      <c r="D82" s="177"/>
      <c r="E82" s="177"/>
      <c r="F82" s="177"/>
      <c r="G82" s="177"/>
      <c r="H82" s="177"/>
      <c r="I82" s="177"/>
      <c r="J82" s="177"/>
      <c r="K82" s="177"/>
      <c r="L82" s="177"/>
      <c r="M82" s="177"/>
      <c r="N82" s="177"/>
      <c r="O82" s="177"/>
      <c r="P82" s="177"/>
      <c r="Q82" s="177"/>
      <c r="R82" s="177"/>
      <c r="S82" s="194"/>
    </row>
    <row r="83" spans="1:19" x14ac:dyDescent="0.2">
      <c r="A83" s="191" t="s">
        <v>104</v>
      </c>
      <c r="B83" s="177"/>
      <c r="C83" s="177"/>
      <c r="D83" s="177"/>
      <c r="E83" s="177"/>
      <c r="F83" s="177"/>
      <c r="G83" s="177"/>
      <c r="H83" s="177"/>
      <c r="I83" s="177"/>
      <c r="J83" s="177"/>
      <c r="K83" s="177"/>
      <c r="L83" s="177"/>
      <c r="M83" s="177"/>
      <c r="N83" s="177"/>
      <c r="O83" s="177"/>
      <c r="P83" s="177"/>
      <c r="Q83" s="177"/>
      <c r="R83" s="177"/>
      <c r="S83" s="194"/>
    </row>
    <row r="84" spans="1:19" x14ac:dyDescent="0.2">
      <c r="A84" s="191" t="s">
        <v>105</v>
      </c>
      <c r="B84" s="177"/>
      <c r="C84" s="177"/>
      <c r="D84" s="177"/>
      <c r="E84" s="177"/>
      <c r="F84" s="177"/>
      <c r="G84" s="177"/>
      <c r="H84" s="177"/>
      <c r="I84" s="177"/>
      <c r="J84" s="177"/>
      <c r="K84" s="177"/>
      <c r="L84" s="177"/>
      <c r="M84" s="177"/>
      <c r="N84" s="177"/>
      <c r="O84" s="177"/>
      <c r="P84" s="177"/>
      <c r="Q84" s="177"/>
      <c r="R84" s="177"/>
      <c r="S84" s="194"/>
    </row>
    <row r="85" spans="1:19" x14ac:dyDescent="0.2">
      <c r="A85" s="191" t="s">
        <v>106</v>
      </c>
      <c r="B85" s="177"/>
      <c r="C85" s="177"/>
      <c r="D85" s="177"/>
      <c r="E85" s="177"/>
      <c r="F85" s="177"/>
      <c r="G85" s="177"/>
      <c r="H85" s="177"/>
      <c r="I85" s="177"/>
      <c r="J85" s="177"/>
      <c r="K85" s="177"/>
      <c r="L85" s="177"/>
      <c r="M85" s="177"/>
      <c r="N85" s="177"/>
      <c r="O85" s="177"/>
      <c r="P85" s="177"/>
      <c r="Q85" s="177"/>
      <c r="R85" s="177"/>
      <c r="S85" s="194"/>
    </row>
    <row r="86" spans="1:19" x14ac:dyDescent="0.2">
      <c r="A86" s="191" t="s">
        <v>312</v>
      </c>
      <c r="B86" s="177"/>
      <c r="C86" s="177"/>
      <c r="D86" s="177"/>
      <c r="E86" s="177"/>
      <c r="F86" s="177"/>
      <c r="G86" s="177"/>
      <c r="H86" s="177"/>
      <c r="I86" s="177"/>
      <c r="J86" s="177"/>
      <c r="K86" s="177"/>
      <c r="L86" s="177"/>
      <c r="M86" s="177"/>
      <c r="N86" s="177"/>
      <c r="O86" s="177"/>
      <c r="P86" s="177"/>
      <c r="Q86" s="177"/>
      <c r="R86" s="177"/>
      <c r="S86" s="194"/>
    </row>
    <row r="87" spans="1:19" x14ac:dyDescent="0.2">
      <c r="A87" s="191" t="s">
        <v>314</v>
      </c>
      <c r="B87" s="177"/>
      <c r="C87" s="177"/>
      <c r="D87" s="177"/>
      <c r="E87" s="177"/>
      <c r="F87" s="177"/>
      <c r="G87" s="177"/>
      <c r="H87" s="177"/>
      <c r="I87" s="177"/>
      <c r="J87" s="177"/>
      <c r="K87" s="177"/>
      <c r="L87" s="177"/>
      <c r="M87" s="177"/>
      <c r="N87" s="177"/>
      <c r="O87" s="177"/>
      <c r="P87" s="177"/>
      <c r="Q87" s="177"/>
      <c r="R87" s="177"/>
      <c r="S87" s="194"/>
    </row>
    <row r="88" spans="1:19" x14ac:dyDescent="0.2">
      <c r="A88" s="195" t="s">
        <v>313</v>
      </c>
      <c r="B88" s="196"/>
      <c r="C88" s="196"/>
      <c r="D88" s="196"/>
      <c r="E88" s="196"/>
      <c r="F88" s="196"/>
      <c r="G88" s="196"/>
      <c r="H88" s="196"/>
      <c r="I88" s="196"/>
      <c r="J88" s="196"/>
      <c r="K88" s="196"/>
      <c r="L88" s="196"/>
      <c r="M88" s="196"/>
      <c r="N88" s="196"/>
      <c r="O88" s="196"/>
      <c r="P88" s="196"/>
      <c r="Q88" s="196"/>
      <c r="R88" s="196"/>
      <c r="S88" s="197"/>
    </row>
    <row r="89" spans="1:19" x14ac:dyDescent="0.2">
      <c r="A89" s="4"/>
      <c r="B89" s="2"/>
      <c r="C89" s="2"/>
      <c r="D89" s="113"/>
      <c r="E89" s="2"/>
      <c r="F89" s="2"/>
      <c r="I89" s="12"/>
      <c r="J89" s="12"/>
      <c r="K89" s="12"/>
      <c r="L89" s="12"/>
      <c r="M89" s="12"/>
      <c r="N89" s="12"/>
      <c r="O89" s="12"/>
      <c r="P89" s="12"/>
      <c r="Q89" s="12"/>
    </row>
    <row r="90" spans="1:19" x14ac:dyDescent="0.2">
      <c r="A90" s="4"/>
      <c r="B90" s="2"/>
      <c r="C90" s="2"/>
      <c r="D90" s="113"/>
      <c r="E90" s="2"/>
      <c r="F90" s="2"/>
      <c r="I90" s="2"/>
      <c r="J90" s="12"/>
      <c r="K90" s="12"/>
      <c r="L90" s="12"/>
      <c r="M90" s="12"/>
      <c r="N90" s="12"/>
      <c r="O90" s="12"/>
      <c r="P90" s="12"/>
      <c r="Q90" s="12"/>
    </row>
    <row r="91" spans="1:19" ht="11.4" x14ac:dyDescent="0.2">
      <c r="A91" s="372" t="s">
        <v>162</v>
      </c>
      <c r="B91" s="371" t="s">
        <v>316</v>
      </c>
      <c r="D91" s="113"/>
    </row>
    <row r="92" spans="1:19" ht="11.4" x14ac:dyDescent="0.2">
      <c r="B92" s="371" t="s">
        <v>317</v>
      </c>
      <c r="D92" s="113"/>
    </row>
    <row r="93" spans="1:19" ht="11.4" x14ac:dyDescent="0.2">
      <c r="B93" s="371" t="s">
        <v>318</v>
      </c>
      <c r="D93" s="113"/>
    </row>
    <row r="94" spans="1:19" ht="11.4" x14ac:dyDescent="0.2">
      <c r="B94" s="371" t="s">
        <v>23</v>
      </c>
      <c r="D94" s="113"/>
    </row>
    <row r="95" spans="1:19" ht="11.4" x14ac:dyDescent="0.2">
      <c r="B95" s="371" t="s">
        <v>1210</v>
      </c>
      <c r="D95" s="113"/>
    </row>
    <row r="96" spans="1:19" ht="12" customHeight="1" x14ac:dyDescent="0.2">
      <c r="D96" s="113"/>
    </row>
    <row r="97" spans="1:12" x14ac:dyDescent="0.2">
      <c r="D97" s="113"/>
    </row>
    <row r="98" spans="1:12" x14ac:dyDescent="0.2">
      <c r="D98" s="113"/>
      <c r="E98" s="95" t="s">
        <v>531</v>
      </c>
      <c r="F98" s="586">
        <v>44522</v>
      </c>
    </row>
    <row r="99" spans="1:12" x14ac:dyDescent="0.2">
      <c r="A99" s="115" t="s">
        <v>80</v>
      </c>
      <c r="B99" s="115" t="s">
        <v>282</v>
      </c>
      <c r="C99" s="115" t="s">
        <v>290</v>
      </c>
      <c r="D99" s="115" t="s">
        <v>291</v>
      </c>
      <c r="E99" s="115" t="s">
        <v>81</v>
      </c>
      <c r="F99" s="115" t="s">
        <v>211</v>
      </c>
      <c r="H99" s="115"/>
      <c r="I99" s="115"/>
      <c r="J99" s="115"/>
      <c r="K99" s="115"/>
    </row>
    <row r="100" spans="1:12" x14ac:dyDescent="0.2">
      <c r="A100" s="52" t="str">
        <f>IF(Basisdaten!C6="","",Basisdaten!C6)</f>
        <v/>
      </c>
      <c r="B100" s="56" t="str">
        <f>IF($A$100="","",VLOOKUP($A$100,$A$103:$J$283,2,FALSE))</f>
        <v/>
      </c>
      <c r="C100" s="56" t="str">
        <f>IF($A$100="","",VLOOKUP($A$100,$A$103:$J$283,3,FALSE))</f>
        <v/>
      </c>
      <c r="D100" s="56" t="str">
        <f>IF($A$100="","",VLOOKUP($A$100,$A$103:$J$283,4,FALSE))</f>
        <v/>
      </c>
      <c r="E100" s="56" t="str">
        <f>IF($A$100="","",VLOOKUP($A$100,$A$103:$J$283,5,FALSE))</f>
        <v/>
      </c>
      <c r="F100" s="57" t="str">
        <f>IF($A$100="","",VLOOKUP($A$100,$A$103:$J$283,6,FALSE))</f>
        <v/>
      </c>
      <c r="J100" s="116"/>
      <c r="K100" s="116"/>
    </row>
    <row r="102" spans="1:12" ht="12" customHeight="1" x14ac:dyDescent="0.2">
      <c r="A102" s="55" t="s">
        <v>80</v>
      </c>
      <c r="B102" s="55" t="s">
        <v>282</v>
      </c>
      <c r="C102" s="55" t="s">
        <v>290</v>
      </c>
      <c r="D102" s="55" t="s">
        <v>291</v>
      </c>
      <c r="E102" s="55" t="s">
        <v>81</v>
      </c>
      <c r="F102" s="55" t="s">
        <v>211</v>
      </c>
      <c r="H102" s="55"/>
      <c r="I102" s="55"/>
      <c r="J102" s="55"/>
      <c r="K102" s="55"/>
      <c r="L102" s="55"/>
    </row>
    <row r="103" spans="1:12" s="112" customFormat="1" x14ac:dyDescent="0.2">
      <c r="A103" s="339" t="s">
        <v>625</v>
      </c>
      <c r="B103" s="339" t="s">
        <v>346</v>
      </c>
      <c r="C103" s="339" t="s">
        <v>347</v>
      </c>
      <c r="D103" s="339" t="s">
        <v>292</v>
      </c>
      <c r="E103" s="339" t="s">
        <v>132</v>
      </c>
      <c r="F103" s="340">
        <v>39577</v>
      </c>
      <c r="H103" s="57"/>
      <c r="I103" s="56"/>
      <c r="J103" s="57"/>
      <c r="K103" s="57"/>
      <c r="L103" s="56"/>
    </row>
    <row r="104" spans="1:12" s="112" customFormat="1" x14ac:dyDescent="0.2">
      <c r="A104" s="339" t="s">
        <v>626</v>
      </c>
      <c r="B104" s="339" t="s">
        <v>863</v>
      </c>
      <c r="C104" s="339" t="s">
        <v>864</v>
      </c>
      <c r="D104" s="339" t="s">
        <v>292</v>
      </c>
      <c r="E104" s="339" t="s">
        <v>132</v>
      </c>
      <c r="F104" s="340">
        <v>39577</v>
      </c>
      <c r="H104" s="57"/>
      <c r="I104" s="56"/>
      <c r="J104" s="57"/>
      <c r="K104" s="57"/>
      <c r="L104" s="56"/>
    </row>
    <row r="105" spans="1:12" s="112" customFormat="1" x14ac:dyDescent="0.2">
      <c r="A105" s="339" t="s">
        <v>627</v>
      </c>
      <c r="B105" s="339" t="s">
        <v>348</v>
      </c>
      <c r="C105" s="339" t="s">
        <v>295</v>
      </c>
      <c r="D105" s="339" t="s">
        <v>292</v>
      </c>
      <c r="E105" s="339" t="s">
        <v>131</v>
      </c>
      <c r="F105" s="340">
        <v>39591</v>
      </c>
      <c r="H105" s="57"/>
      <c r="I105" s="56"/>
      <c r="J105" s="57"/>
      <c r="K105" s="57"/>
      <c r="L105" s="56"/>
    </row>
    <row r="106" spans="1:12" s="112" customFormat="1" x14ac:dyDescent="0.2">
      <c r="A106" s="339" t="s">
        <v>628</v>
      </c>
      <c r="B106" s="339" t="s">
        <v>865</v>
      </c>
      <c r="C106" s="339" t="s">
        <v>866</v>
      </c>
      <c r="D106" s="339" t="s">
        <v>292</v>
      </c>
      <c r="E106" s="339" t="s">
        <v>131</v>
      </c>
      <c r="F106" s="340">
        <v>39591</v>
      </c>
      <c r="H106" s="57"/>
      <c r="I106" s="56"/>
      <c r="J106" s="57"/>
      <c r="K106" s="57"/>
      <c r="L106" s="56"/>
    </row>
    <row r="107" spans="1:12" s="112" customFormat="1" x14ac:dyDescent="0.2">
      <c r="A107" s="339" t="s">
        <v>629</v>
      </c>
      <c r="B107" s="339" t="s">
        <v>768</v>
      </c>
      <c r="C107" s="339" t="s">
        <v>43</v>
      </c>
      <c r="D107" s="339" t="s">
        <v>292</v>
      </c>
      <c r="E107" s="339" t="s">
        <v>140</v>
      </c>
      <c r="F107" s="340">
        <v>39589</v>
      </c>
      <c r="H107" s="57"/>
      <c r="I107" s="56"/>
      <c r="J107" s="57"/>
      <c r="K107" s="57"/>
      <c r="L107" s="56"/>
    </row>
    <row r="108" spans="1:12" s="112" customFormat="1" x14ac:dyDescent="0.2">
      <c r="A108" s="339" t="s">
        <v>349</v>
      </c>
      <c r="B108" s="339" t="s">
        <v>350</v>
      </c>
      <c r="C108" s="339" t="s">
        <v>351</v>
      </c>
      <c r="D108" s="339" t="s">
        <v>292</v>
      </c>
      <c r="E108" s="339" t="s">
        <v>140</v>
      </c>
      <c r="F108" s="340">
        <v>39589</v>
      </c>
      <c r="H108" s="57"/>
      <c r="I108" s="56"/>
      <c r="J108" s="57"/>
      <c r="K108" s="57"/>
      <c r="L108" s="56"/>
    </row>
    <row r="109" spans="1:12" s="112" customFormat="1" x14ac:dyDescent="0.2">
      <c r="A109" s="339" t="s">
        <v>630</v>
      </c>
      <c r="B109" s="339" t="s">
        <v>352</v>
      </c>
      <c r="C109" s="339" t="s">
        <v>30</v>
      </c>
      <c r="D109" s="339" t="s">
        <v>292</v>
      </c>
      <c r="E109" s="339" t="s">
        <v>145</v>
      </c>
      <c r="F109" s="340">
        <v>39609</v>
      </c>
      <c r="H109" s="57"/>
      <c r="I109" s="56"/>
      <c r="J109" s="57"/>
      <c r="K109" s="57"/>
      <c r="L109" s="56"/>
    </row>
    <row r="110" spans="1:12" s="112" customFormat="1" x14ac:dyDescent="0.2">
      <c r="A110" s="339" t="s">
        <v>631</v>
      </c>
      <c r="B110" s="339" t="s">
        <v>353</v>
      </c>
      <c r="C110" s="339" t="s">
        <v>40</v>
      </c>
      <c r="D110" s="339" t="s">
        <v>292</v>
      </c>
      <c r="E110" s="339" t="s">
        <v>139</v>
      </c>
      <c r="F110" s="340">
        <v>39605</v>
      </c>
      <c r="H110" s="59"/>
      <c r="I110" s="58"/>
      <c r="J110" s="59"/>
      <c r="K110" s="59"/>
      <c r="L110" s="58"/>
    </row>
    <row r="111" spans="1:12" s="112" customFormat="1" x14ac:dyDescent="0.2">
      <c r="A111" s="339" t="s">
        <v>632</v>
      </c>
      <c r="B111" s="339" t="s">
        <v>970</v>
      </c>
      <c r="C111" s="339" t="s">
        <v>971</v>
      </c>
      <c r="D111" s="339" t="s">
        <v>292</v>
      </c>
      <c r="E111" s="339" t="s">
        <v>140</v>
      </c>
      <c r="F111" s="340">
        <v>39622</v>
      </c>
      <c r="H111" s="57"/>
      <c r="I111" s="56"/>
      <c r="J111" s="57"/>
      <c r="K111" s="57"/>
      <c r="L111" s="56"/>
    </row>
    <row r="112" spans="1:12" s="112" customFormat="1" x14ac:dyDescent="0.2">
      <c r="A112" s="339" t="s">
        <v>633</v>
      </c>
      <c r="B112" s="339" t="s">
        <v>354</v>
      </c>
      <c r="C112" s="339" t="s">
        <v>972</v>
      </c>
      <c r="D112" s="339" t="s">
        <v>292</v>
      </c>
      <c r="E112" s="339" t="s">
        <v>137</v>
      </c>
      <c r="F112" s="340">
        <v>39622</v>
      </c>
      <c r="H112" s="57"/>
      <c r="I112" s="56"/>
      <c r="J112" s="57"/>
      <c r="K112" s="57"/>
      <c r="L112" s="56"/>
    </row>
    <row r="113" spans="1:12" s="112" customFormat="1" x14ac:dyDescent="0.2">
      <c r="A113" s="339" t="s">
        <v>634</v>
      </c>
      <c r="B113" s="339" t="s">
        <v>355</v>
      </c>
      <c r="C113" s="339" t="s">
        <v>810</v>
      </c>
      <c r="D113" s="339" t="s">
        <v>292</v>
      </c>
      <c r="E113" s="339" t="s">
        <v>135</v>
      </c>
      <c r="F113" s="340">
        <v>39736</v>
      </c>
      <c r="H113" s="57"/>
      <c r="I113" s="56"/>
      <c r="J113" s="57"/>
      <c r="K113" s="57"/>
      <c r="L113" s="56"/>
    </row>
    <row r="114" spans="1:12" s="112" customFormat="1" x14ac:dyDescent="0.2">
      <c r="A114" s="339" t="s">
        <v>635</v>
      </c>
      <c r="B114" s="339" t="s">
        <v>356</v>
      </c>
      <c r="C114" s="339" t="s">
        <v>297</v>
      </c>
      <c r="D114" s="339" t="s">
        <v>292</v>
      </c>
      <c r="E114" s="339" t="s">
        <v>139</v>
      </c>
      <c r="F114" s="340">
        <v>39759</v>
      </c>
      <c r="H114" s="57"/>
      <c r="I114" s="56"/>
      <c r="J114" s="57"/>
      <c r="K114" s="57"/>
      <c r="L114" s="56"/>
    </row>
    <row r="115" spans="1:12" s="112" customFormat="1" x14ac:dyDescent="0.2">
      <c r="A115" s="339" t="s">
        <v>636</v>
      </c>
      <c r="B115" s="339" t="s">
        <v>357</v>
      </c>
      <c r="C115" s="339" t="s">
        <v>1140</v>
      </c>
      <c r="D115" s="339" t="s">
        <v>292</v>
      </c>
      <c r="E115" s="339" t="s">
        <v>137</v>
      </c>
      <c r="F115" s="340">
        <v>39903</v>
      </c>
      <c r="H115" s="57"/>
      <c r="I115" s="56"/>
      <c r="J115" s="57"/>
      <c r="K115" s="57"/>
      <c r="L115" s="56"/>
    </row>
    <row r="116" spans="1:12" s="112" customFormat="1" x14ac:dyDescent="0.2">
      <c r="A116" s="339" t="s">
        <v>637</v>
      </c>
      <c r="B116" s="339" t="s">
        <v>358</v>
      </c>
      <c r="C116" s="339" t="s">
        <v>638</v>
      </c>
      <c r="D116" s="339" t="s">
        <v>292</v>
      </c>
      <c r="E116" s="339" t="s">
        <v>137</v>
      </c>
      <c r="F116" s="340">
        <v>39947</v>
      </c>
      <c r="H116" s="57"/>
      <c r="I116" s="56"/>
      <c r="J116" s="57"/>
      <c r="K116" s="57"/>
      <c r="L116" s="56"/>
    </row>
    <row r="117" spans="1:12" s="112" customFormat="1" x14ac:dyDescent="0.2">
      <c r="A117" s="339" t="s">
        <v>359</v>
      </c>
      <c r="B117" s="339" t="s">
        <v>973</v>
      </c>
      <c r="C117" s="339" t="s">
        <v>360</v>
      </c>
      <c r="D117" s="339" t="s">
        <v>292</v>
      </c>
      <c r="E117" s="339" t="s">
        <v>140</v>
      </c>
      <c r="F117" s="340">
        <v>39937</v>
      </c>
      <c r="H117" s="57"/>
      <c r="I117" s="56"/>
      <c r="J117" s="57"/>
      <c r="K117" s="57"/>
      <c r="L117" s="56"/>
    </row>
    <row r="118" spans="1:12" s="112" customFormat="1" x14ac:dyDescent="0.2">
      <c r="A118" s="339" t="s">
        <v>639</v>
      </c>
      <c r="B118" s="339" t="s">
        <v>640</v>
      </c>
      <c r="C118" s="339" t="s">
        <v>641</v>
      </c>
      <c r="D118" s="339" t="s">
        <v>292</v>
      </c>
      <c r="E118" s="339" t="s">
        <v>131</v>
      </c>
      <c r="F118" s="340">
        <v>39919</v>
      </c>
      <c r="H118" s="57"/>
      <c r="I118" s="56"/>
      <c r="J118" s="57"/>
      <c r="K118" s="57"/>
      <c r="L118" s="56"/>
    </row>
    <row r="119" spans="1:12" s="112" customFormat="1" x14ac:dyDescent="0.2">
      <c r="A119" s="339" t="s">
        <v>642</v>
      </c>
      <c r="B119" s="339" t="s">
        <v>361</v>
      </c>
      <c r="C119" s="339" t="s">
        <v>362</v>
      </c>
      <c r="D119" s="339" t="s">
        <v>292</v>
      </c>
      <c r="E119" s="339" t="s">
        <v>133</v>
      </c>
      <c r="F119" s="340">
        <v>40004</v>
      </c>
      <c r="H119" s="57"/>
      <c r="I119" s="56"/>
      <c r="J119" s="57"/>
      <c r="K119" s="57"/>
      <c r="L119" s="56"/>
    </row>
    <row r="120" spans="1:12" s="112" customFormat="1" x14ac:dyDescent="0.2">
      <c r="A120" s="339" t="s">
        <v>643</v>
      </c>
      <c r="B120" s="339" t="s">
        <v>363</v>
      </c>
      <c r="C120" s="339" t="s">
        <v>364</v>
      </c>
      <c r="D120" s="339" t="s">
        <v>292</v>
      </c>
      <c r="E120" s="339" t="s">
        <v>131</v>
      </c>
      <c r="F120" s="340">
        <v>40019</v>
      </c>
      <c r="H120" s="57"/>
      <c r="I120" s="56"/>
      <c r="J120" s="57"/>
      <c r="K120" s="57"/>
      <c r="L120" s="56"/>
    </row>
    <row r="121" spans="1:12" s="112" customFormat="1" x14ac:dyDescent="0.2">
      <c r="A121" s="339" t="s">
        <v>644</v>
      </c>
      <c r="B121" s="339" t="s">
        <v>365</v>
      </c>
      <c r="C121" s="339" t="s">
        <v>645</v>
      </c>
      <c r="D121" s="339" t="s">
        <v>292</v>
      </c>
      <c r="E121" s="339" t="s">
        <v>131</v>
      </c>
      <c r="F121" s="340">
        <v>39995</v>
      </c>
      <c r="H121" s="57"/>
      <c r="I121" s="56"/>
      <c r="J121" s="57"/>
      <c r="K121" s="57"/>
      <c r="L121" s="56"/>
    </row>
    <row r="122" spans="1:12" s="112" customFormat="1" x14ac:dyDescent="0.2">
      <c r="A122" s="339" t="s">
        <v>646</v>
      </c>
      <c r="B122" s="339" t="s">
        <v>1141</v>
      </c>
      <c r="C122" s="339" t="s">
        <v>29</v>
      </c>
      <c r="D122" s="339" t="s">
        <v>292</v>
      </c>
      <c r="E122" s="339" t="s">
        <v>145</v>
      </c>
      <c r="F122" s="340">
        <v>39990</v>
      </c>
      <c r="H122" s="57"/>
      <c r="I122" s="56"/>
      <c r="J122" s="57"/>
      <c r="K122" s="57"/>
      <c r="L122" s="56"/>
    </row>
    <row r="123" spans="1:12" s="112" customFormat="1" x14ac:dyDescent="0.2">
      <c r="A123" s="339" t="s">
        <v>647</v>
      </c>
      <c r="B123" s="339" t="s">
        <v>366</v>
      </c>
      <c r="C123" s="339" t="s">
        <v>648</v>
      </c>
      <c r="D123" s="339" t="s">
        <v>292</v>
      </c>
      <c r="E123" s="339" t="s">
        <v>131</v>
      </c>
      <c r="F123" s="340">
        <v>40025</v>
      </c>
      <c r="H123" s="57"/>
      <c r="I123" s="56"/>
      <c r="J123" s="57"/>
      <c r="K123" s="57"/>
      <c r="L123" s="56"/>
    </row>
    <row r="124" spans="1:12" s="112" customFormat="1" x14ac:dyDescent="0.2">
      <c r="A124" s="339" t="s">
        <v>649</v>
      </c>
      <c r="B124" s="339" t="s">
        <v>367</v>
      </c>
      <c r="C124" s="339" t="s">
        <v>28</v>
      </c>
      <c r="D124" s="339" t="s">
        <v>292</v>
      </c>
      <c r="E124" s="339" t="s">
        <v>132</v>
      </c>
      <c r="F124" s="340">
        <v>39948</v>
      </c>
      <c r="H124" s="57"/>
      <c r="I124" s="56"/>
      <c r="J124" s="57"/>
      <c r="K124" s="57"/>
      <c r="L124" s="56"/>
    </row>
    <row r="125" spans="1:12" s="112" customFormat="1" x14ac:dyDescent="0.2">
      <c r="A125" s="339" t="s">
        <v>650</v>
      </c>
      <c r="B125" s="339" t="s">
        <v>974</v>
      </c>
      <c r="C125" s="339" t="s">
        <v>975</v>
      </c>
      <c r="D125" s="339" t="s">
        <v>292</v>
      </c>
      <c r="E125" s="339" t="s">
        <v>140</v>
      </c>
      <c r="F125" s="340">
        <v>40021</v>
      </c>
      <c r="H125" s="57"/>
      <c r="I125" s="56"/>
      <c r="J125" s="57"/>
      <c r="K125" s="57"/>
      <c r="L125" s="56"/>
    </row>
    <row r="126" spans="1:12" s="112" customFormat="1" x14ac:dyDescent="0.2">
      <c r="A126" s="339" t="s">
        <v>651</v>
      </c>
      <c r="B126" s="339" t="s">
        <v>368</v>
      </c>
      <c r="C126" s="339" t="s">
        <v>867</v>
      </c>
      <c r="D126" s="339" t="s">
        <v>292</v>
      </c>
      <c r="E126" s="339" t="s">
        <v>132</v>
      </c>
      <c r="F126" s="340">
        <v>40032</v>
      </c>
      <c r="H126" s="57"/>
      <c r="I126" s="56"/>
      <c r="J126" s="57"/>
      <c r="K126" s="57"/>
      <c r="L126" s="56"/>
    </row>
    <row r="127" spans="1:12" s="112" customFormat="1" x14ac:dyDescent="0.2">
      <c r="A127" s="339" t="s">
        <v>652</v>
      </c>
      <c r="B127" s="339" t="s">
        <v>369</v>
      </c>
      <c r="C127" s="339" t="s">
        <v>370</v>
      </c>
      <c r="D127" s="339" t="s">
        <v>292</v>
      </c>
      <c r="E127" s="339" t="s">
        <v>136</v>
      </c>
      <c r="F127" s="340">
        <v>40063</v>
      </c>
      <c r="H127" s="57"/>
      <c r="I127" s="56"/>
      <c r="J127" s="57"/>
      <c r="K127" s="57"/>
      <c r="L127" s="56"/>
    </row>
    <row r="128" spans="1:12" s="112" customFormat="1" x14ac:dyDescent="0.2">
      <c r="A128" s="339" t="s">
        <v>653</v>
      </c>
      <c r="B128" s="339" t="s">
        <v>371</v>
      </c>
      <c r="C128" s="339" t="s">
        <v>654</v>
      </c>
      <c r="D128" s="339" t="s">
        <v>292</v>
      </c>
      <c r="E128" s="339" t="s">
        <v>131</v>
      </c>
      <c r="F128" s="340">
        <v>40207</v>
      </c>
      <c r="H128" s="57"/>
      <c r="I128" s="56"/>
      <c r="J128" s="57"/>
      <c r="K128" s="57"/>
      <c r="L128" s="56"/>
    </row>
    <row r="129" spans="1:12" s="112" customFormat="1" x14ac:dyDescent="0.2">
      <c r="A129" s="339" t="s">
        <v>655</v>
      </c>
      <c r="B129" s="339" t="s">
        <v>1142</v>
      </c>
      <c r="C129" s="339" t="s">
        <v>372</v>
      </c>
      <c r="D129" s="339" t="s">
        <v>292</v>
      </c>
      <c r="E129" s="339" t="s">
        <v>131</v>
      </c>
      <c r="F129" s="340">
        <v>40134</v>
      </c>
      <c r="H129" s="57"/>
      <c r="I129" s="56"/>
      <c r="J129" s="57"/>
      <c r="K129" s="57"/>
      <c r="L129" s="56"/>
    </row>
    <row r="130" spans="1:12" s="112" customFormat="1" x14ac:dyDescent="0.2">
      <c r="A130" s="339" t="s">
        <v>868</v>
      </c>
      <c r="B130" s="339" t="s">
        <v>769</v>
      </c>
      <c r="C130" s="339" t="s">
        <v>770</v>
      </c>
      <c r="D130" s="339" t="s">
        <v>292</v>
      </c>
      <c r="E130" s="339" t="s">
        <v>131</v>
      </c>
      <c r="F130" s="340">
        <v>42451</v>
      </c>
      <c r="H130" s="57"/>
      <c r="I130" s="56"/>
      <c r="J130" s="57"/>
      <c r="K130" s="57"/>
      <c r="L130" s="56"/>
    </row>
    <row r="131" spans="1:12" s="112" customFormat="1" x14ac:dyDescent="0.2">
      <c r="A131" s="339" t="s">
        <v>976</v>
      </c>
      <c r="B131" s="339" t="s">
        <v>977</v>
      </c>
      <c r="C131" s="339" t="s">
        <v>978</v>
      </c>
      <c r="D131" s="339" t="s">
        <v>292</v>
      </c>
      <c r="E131" s="339" t="s">
        <v>139</v>
      </c>
      <c r="F131" s="340">
        <v>40207</v>
      </c>
      <c r="H131" s="57"/>
      <c r="I131" s="56"/>
      <c r="J131" s="57"/>
      <c r="K131" s="57"/>
      <c r="L131" s="56"/>
    </row>
    <row r="132" spans="1:12" s="112" customFormat="1" x14ac:dyDescent="0.2">
      <c r="A132" s="339" t="s">
        <v>656</v>
      </c>
      <c r="B132" s="339" t="s">
        <v>373</v>
      </c>
      <c r="C132" s="339" t="s">
        <v>296</v>
      </c>
      <c r="D132" s="339" t="s">
        <v>292</v>
      </c>
      <c r="E132" s="339" t="s">
        <v>139</v>
      </c>
      <c r="F132" s="340">
        <v>40120</v>
      </c>
      <c r="H132" s="57"/>
      <c r="I132" s="56"/>
      <c r="J132" s="57"/>
      <c r="K132" s="57"/>
      <c r="L132" s="56"/>
    </row>
    <row r="133" spans="1:12" s="112" customFormat="1" x14ac:dyDescent="0.2">
      <c r="A133" s="339" t="s">
        <v>657</v>
      </c>
      <c r="B133" s="339" t="s">
        <v>374</v>
      </c>
      <c r="C133" s="339" t="s">
        <v>375</v>
      </c>
      <c r="D133" s="339" t="s">
        <v>292</v>
      </c>
      <c r="E133" s="339" t="s">
        <v>136</v>
      </c>
      <c r="F133" s="340">
        <v>40147</v>
      </c>
      <c r="H133" s="57"/>
      <c r="I133" s="56"/>
      <c r="J133" s="57"/>
      <c r="K133" s="57"/>
      <c r="L133" s="56"/>
    </row>
    <row r="134" spans="1:12" s="112" customFormat="1" x14ac:dyDescent="0.2">
      <c r="A134" s="339" t="s">
        <v>658</v>
      </c>
      <c r="B134" s="339" t="s">
        <v>811</v>
      </c>
      <c r="C134" s="339" t="s">
        <v>376</v>
      </c>
      <c r="D134" s="339" t="s">
        <v>292</v>
      </c>
      <c r="E134" s="339" t="s">
        <v>144</v>
      </c>
      <c r="F134" s="340">
        <v>40127</v>
      </c>
      <c r="H134" s="57"/>
      <c r="I134" s="56"/>
      <c r="J134" s="57"/>
      <c r="K134" s="57"/>
      <c r="L134" s="56"/>
    </row>
    <row r="135" spans="1:12" s="112" customFormat="1" x14ac:dyDescent="0.2">
      <c r="A135" s="339" t="s">
        <v>659</v>
      </c>
      <c r="B135" s="339" t="s">
        <v>377</v>
      </c>
      <c r="C135" s="339" t="s">
        <v>549</v>
      </c>
      <c r="D135" s="339" t="s">
        <v>292</v>
      </c>
      <c r="E135" s="339" t="s">
        <v>139</v>
      </c>
      <c r="F135" s="340">
        <v>40288</v>
      </c>
      <c r="H135" s="57"/>
      <c r="I135" s="56"/>
      <c r="J135" s="57"/>
      <c r="K135" s="57"/>
      <c r="L135" s="56"/>
    </row>
    <row r="136" spans="1:12" s="112" customFormat="1" x14ac:dyDescent="0.2">
      <c r="A136" s="339" t="s">
        <v>660</v>
      </c>
      <c r="B136" s="339" t="s">
        <v>378</v>
      </c>
      <c r="C136" s="339" t="s">
        <v>661</v>
      </c>
      <c r="D136" s="339" t="s">
        <v>292</v>
      </c>
      <c r="E136" s="339" t="s">
        <v>132</v>
      </c>
      <c r="F136" s="340">
        <v>40135</v>
      </c>
      <c r="H136" s="57"/>
      <c r="I136" s="56"/>
      <c r="J136" s="57"/>
      <c r="K136" s="57"/>
      <c r="L136" s="56"/>
    </row>
    <row r="137" spans="1:12" s="112" customFormat="1" x14ac:dyDescent="0.2">
      <c r="A137" s="339" t="s">
        <v>379</v>
      </c>
      <c r="B137" s="339" t="s">
        <v>380</v>
      </c>
      <c r="C137" s="339" t="s">
        <v>979</v>
      </c>
      <c r="D137" s="339" t="s">
        <v>292</v>
      </c>
      <c r="E137" s="339" t="s">
        <v>140</v>
      </c>
      <c r="F137" s="340">
        <v>40218</v>
      </c>
      <c r="H137" s="57"/>
      <c r="I137" s="56"/>
      <c r="J137" s="57"/>
      <c r="K137" s="57"/>
      <c r="L137" s="56"/>
    </row>
    <row r="138" spans="1:12" s="112" customFormat="1" x14ac:dyDescent="0.2">
      <c r="A138" s="339" t="s">
        <v>662</v>
      </c>
      <c r="B138" s="339" t="s">
        <v>1143</v>
      </c>
      <c r="C138" s="339" t="s">
        <v>381</v>
      </c>
      <c r="D138" s="339" t="s">
        <v>292</v>
      </c>
      <c r="E138" s="339" t="s">
        <v>131</v>
      </c>
      <c r="F138" s="340">
        <v>40198</v>
      </c>
      <c r="H138" s="57"/>
      <c r="I138" s="56"/>
      <c r="J138" s="57"/>
      <c r="K138" s="57"/>
      <c r="L138" s="56"/>
    </row>
    <row r="139" spans="1:12" s="112" customFormat="1" x14ac:dyDescent="0.2">
      <c r="A139" s="339" t="s">
        <v>663</v>
      </c>
      <c r="B139" s="339" t="s">
        <v>382</v>
      </c>
      <c r="C139" s="339" t="s">
        <v>383</v>
      </c>
      <c r="D139" s="339" t="s">
        <v>292</v>
      </c>
      <c r="E139" s="339" t="s">
        <v>132</v>
      </c>
      <c r="F139" s="340">
        <v>40221</v>
      </c>
      <c r="H139" s="57"/>
      <c r="I139" s="56"/>
      <c r="J139" s="57"/>
      <c r="K139" s="57"/>
      <c r="L139" s="56"/>
    </row>
    <row r="140" spans="1:12" s="112" customFormat="1" x14ac:dyDescent="0.2">
      <c r="A140" s="339" t="s">
        <v>664</v>
      </c>
      <c r="B140" s="339" t="s">
        <v>384</v>
      </c>
      <c r="C140" s="339" t="s">
        <v>300</v>
      </c>
      <c r="D140" s="339" t="s">
        <v>292</v>
      </c>
      <c r="E140" s="339" t="s">
        <v>137</v>
      </c>
      <c r="F140" s="340">
        <v>40351</v>
      </c>
      <c r="H140" s="57"/>
      <c r="I140" s="56"/>
      <c r="J140" s="57"/>
      <c r="K140" s="57"/>
      <c r="L140" s="56"/>
    </row>
    <row r="141" spans="1:12" s="112" customFormat="1" x14ac:dyDescent="0.2">
      <c r="A141" s="339" t="s">
        <v>665</v>
      </c>
      <c r="B141" s="339" t="s">
        <v>385</v>
      </c>
      <c r="C141" s="339" t="s">
        <v>550</v>
      </c>
      <c r="D141" s="339" t="s">
        <v>292</v>
      </c>
      <c r="E141" s="339" t="s">
        <v>132</v>
      </c>
      <c r="F141" s="340">
        <v>40242</v>
      </c>
      <c r="H141" s="57"/>
      <c r="I141" s="56"/>
      <c r="J141" s="57"/>
      <c r="K141" s="57"/>
      <c r="L141" s="56"/>
    </row>
    <row r="142" spans="1:12" s="112" customFormat="1" x14ac:dyDescent="0.2">
      <c r="A142" s="339" t="s">
        <v>666</v>
      </c>
      <c r="B142" s="339" t="s">
        <v>386</v>
      </c>
      <c r="C142" s="339" t="s">
        <v>771</v>
      </c>
      <c r="D142" s="339" t="s">
        <v>292</v>
      </c>
      <c r="E142" s="339" t="s">
        <v>139</v>
      </c>
      <c r="F142" s="340">
        <v>40297</v>
      </c>
      <c r="H142" s="57"/>
      <c r="I142" s="56"/>
      <c r="J142" s="57"/>
      <c r="K142" s="57"/>
      <c r="L142" s="56"/>
    </row>
    <row r="143" spans="1:12" s="112" customFormat="1" x14ac:dyDescent="0.2">
      <c r="A143" s="339" t="s">
        <v>667</v>
      </c>
      <c r="B143" s="339" t="s">
        <v>387</v>
      </c>
      <c r="C143" s="339" t="s">
        <v>294</v>
      </c>
      <c r="D143" s="339" t="s">
        <v>292</v>
      </c>
      <c r="E143" s="339" t="s">
        <v>133</v>
      </c>
      <c r="F143" s="340">
        <v>40431</v>
      </c>
      <c r="H143" s="57"/>
      <c r="I143" s="56"/>
      <c r="J143" s="57"/>
      <c r="K143" s="57"/>
      <c r="L143" s="56"/>
    </row>
    <row r="144" spans="1:12" s="112" customFormat="1" x14ac:dyDescent="0.2">
      <c r="A144" s="339" t="s">
        <v>668</v>
      </c>
      <c r="B144" s="339" t="s">
        <v>772</v>
      </c>
      <c r="C144" s="339" t="s">
        <v>26</v>
      </c>
      <c r="D144" s="339" t="s">
        <v>292</v>
      </c>
      <c r="E144" s="339" t="s">
        <v>132</v>
      </c>
      <c r="F144" s="340">
        <v>40282</v>
      </c>
      <c r="H144" s="57"/>
      <c r="I144" s="56"/>
      <c r="J144" s="57"/>
      <c r="K144" s="57"/>
      <c r="L144" s="56"/>
    </row>
    <row r="145" spans="1:12" s="112" customFormat="1" x14ac:dyDescent="0.2">
      <c r="A145" s="339" t="s">
        <v>812</v>
      </c>
      <c r="B145" s="339" t="s">
        <v>813</v>
      </c>
      <c r="C145" s="339" t="s">
        <v>814</v>
      </c>
      <c r="D145" s="339" t="s">
        <v>292</v>
      </c>
      <c r="E145" s="339" t="s">
        <v>132</v>
      </c>
      <c r="F145" s="340">
        <v>40316</v>
      </c>
      <c r="H145" s="57"/>
      <c r="I145" s="56"/>
      <c r="J145" s="57"/>
      <c r="K145" s="57"/>
      <c r="L145" s="56"/>
    </row>
    <row r="146" spans="1:12" s="112" customFormat="1" x14ac:dyDescent="0.2">
      <c r="A146" s="339" t="s">
        <v>669</v>
      </c>
      <c r="B146" s="339" t="s">
        <v>670</v>
      </c>
      <c r="C146" s="339" t="s">
        <v>31</v>
      </c>
      <c r="D146" s="339" t="s">
        <v>292</v>
      </c>
      <c r="E146" s="339" t="s">
        <v>140</v>
      </c>
      <c r="F146" s="340">
        <v>40497</v>
      </c>
      <c r="H146" s="57"/>
      <c r="I146" s="56"/>
      <c r="J146" s="57"/>
      <c r="K146" s="57"/>
      <c r="L146" s="56"/>
    </row>
    <row r="147" spans="1:12" s="112" customFormat="1" x14ac:dyDescent="0.2">
      <c r="A147" s="339" t="s">
        <v>671</v>
      </c>
      <c r="B147" s="339" t="s">
        <v>773</v>
      </c>
      <c r="C147" s="339" t="s">
        <v>774</v>
      </c>
      <c r="D147" s="339" t="s">
        <v>292</v>
      </c>
      <c r="E147" s="339" t="s">
        <v>140</v>
      </c>
      <c r="F147" s="340">
        <v>40364</v>
      </c>
      <c r="H147" s="57"/>
      <c r="I147" s="56"/>
      <c r="J147" s="57"/>
      <c r="K147" s="57"/>
      <c r="L147" s="56"/>
    </row>
    <row r="148" spans="1:12" s="112" customFormat="1" x14ac:dyDescent="0.2">
      <c r="A148" s="339" t="s">
        <v>672</v>
      </c>
      <c r="B148" s="339" t="s">
        <v>1067</v>
      </c>
      <c r="C148" s="339" t="s">
        <v>1068</v>
      </c>
      <c r="D148" s="339" t="s">
        <v>292</v>
      </c>
      <c r="E148" s="339" t="s">
        <v>132</v>
      </c>
      <c r="F148" s="340">
        <v>40394</v>
      </c>
      <c r="H148" s="57"/>
      <c r="I148" s="56"/>
      <c r="J148" s="57"/>
      <c r="K148" s="57"/>
      <c r="L148" s="56"/>
    </row>
    <row r="149" spans="1:12" s="112" customFormat="1" x14ac:dyDescent="0.2">
      <c r="A149" s="339" t="s">
        <v>673</v>
      </c>
      <c r="B149" s="339" t="s">
        <v>1069</v>
      </c>
      <c r="C149" s="339" t="s">
        <v>980</v>
      </c>
      <c r="D149" s="339" t="s">
        <v>292</v>
      </c>
      <c r="E149" s="339" t="s">
        <v>132</v>
      </c>
      <c r="F149" s="340">
        <v>40366</v>
      </c>
      <c r="H149" s="57"/>
      <c r="I149" s="56"/>
      <c r="J149" s="57"/>
      <c r="K149" s="57"/>
      <c r="L149" s="56"/>
    </row>
    <row r="150" spans="1:12" s="112" customFormat="1" x14ac:dyDescent="0.2">
      <c r="A150" s="339" t="s">
        <v>674</v>
      </c>
      <c r="B150" s="339" t="s">
        <v>388</v>
      </c>
      <c r="C150" s="339" t="s">
        <v>775</v>
      </c>
      <c r="D150" s="339" t="s">
        <v>292</v>
      </c>
      <c r="E150" s="339" t="s">
        <v>82</v>
      </c>
      <c r="F150" s="340">
        <v>40331</v>
      </c>
      <c r="H150" s="57"/>
      <c r="I150" s="56"/>
      <c r="J150" s="57"/>
      <c r="K150" s="57"/>
      <c r="L150" s="56"/>
    </row>
    <row r="151" spans="1:12" s="112" customFormat="1" x14ac:dyDescent="0.2">
      <c r="A151" s="339" t="s">
        <v>675</v>
      </c>
      <c r="B151" s="339" t="s">
        <v>389</v>
      </c>
      <c r="C151" s="339" t="s">
        <v>390</v>
      </c>
      <c r="D151" s="339" t="s">
        <v>292</v>
      </c>
      <c r="E151" s="339" t="s">
        <v>137</v>
      </c>
      <c r="F151" s="340">
        <v>40428</v>
      </c>
      <c r="H151" s="57"/>
      <c r="I151" s="56"/>
      <c r="J151" s="57"/>
      <c r="K151" s="57"/>
      <c r="L151" s="56"/>
    </row>
    <row r="152" spans="1:12" s="112" customFormat="1" x14ac:dyDescent="0.2">
      <c r="A152" s="339" t="s">
        <v>676</v>
      </c>
      <c r="B152" s="339" t="s">
        <v>776</v>
      </c>
      <c r="C152" s="339" t="s">
        <v>777</v>
      </c>
      <c r="D152" s="339" t="s">
        <v>292</v>
      </c>
      <c r="E152" s="339" t="s">
        <v>136</v>
      </c>
      <c r="F152" s="340">
        <v>40424</v>
      </c>
      <c r="H152" s="57"/>
      <c r="I152" s="56"/>
      <c r="J152" s="57"/>
      <c r="K152" s="57"/>
      <c r="L152" s="56"/>
    </row>
    <row r="153" spans="1:12" s="112" customFormat="1" x14ac:dyDescent="0.2">
      <c r="A153" s="339" t="s">
        <v>391</v>
      </c>
      <c r="B153" s="339" t="s">
        <v>392</v>
      </c>
      <c r="C153" s="339" t="s">
        <v>393</v>
      </c>
      <c r="D153" s="339" t="s">
        <v>292</v>
      </c>
      <c r="E153" s="339" t="s">
        <v>140</v>
      </c>
      <c r="F153" s="340">
        <v>40424</v>
      </c>
      <c r="H153" s="57"/>
      <c r="I153" s="56"/>
      <c r="J153" s="57"/>
      <c r="K153" s="57"/>
      <c r="L153" s="56"/>
    </row>
    <row r="154" spans="1:12" s="112" customFormat="1" x14ac:dyDescent="0.2">
      <c r="A154" s="339" t="s">
        <v>677</v>
      </c>
      <c r="B154" s="339" t="s">
        <v>394</v>
      </c>
      <c r="C154" s="339" t="s">
        <v>778</v>
      </c>
      <c r="D154" s="339" t="s">
        <v>292</v>
      </c>
      <c r="E154" s="339" t="s">
        <v>132</v>
      </c>
      <c r="F154" s="340">
        <v>40680</v>
      </c>
      <c r="H154" s="57"/>
      <c r="I154" s="56"/>
      <c r="J154" s="57"/>
      <c r="K154" s="57"/>
      <c r="L154" s="56"/>
    </row>
    <row r="155" spans="1:12" s="112" customFormat="1" x14ac:dyDescent="0.2">
      <c r="A155" s="339" t="s">
        <v>678</v>
      </c>
      <c r="B155" s="339" t="s">
        <v>395</v>
      </c>
      <c r="C155" s="339" t="s">
        <v>396</v>
      </c>
      <c r="D155" s="339" t="s">
        <v>292</v>
      </c>
      <c r="E155" s="339" t="s">
        <v>133</v>
      </c>
      <c r="F155" s="340">
        <v>40522</v>
      </c>
      <c r="H155" s="57"/>
      <c r="I155" s="56"/>
      <c r="J155" s="57"/>
      <c r="K155" s="57"/>
      <c r="L155" s="56"/>
    </row>
    <row r="156" spans="1:12" s="112" customFormat="1" x14ac:dyDescent="0.2">
      <c r="A156" s="339" t="s">
        <v>679</v>
      </c>
      <c r="B156" s="339" t="s">
        <v>869</v>
      </c>
      <c r="C156" s="339" t="s">
        <v>779</v>
      </c>
      <c r="D156" s="339" t="s">
        <v>27</v>
      </c>
      <c r="E156" s="339" t="s">
        <v>27</v>
      </c>
      <c r="F156" s="340">
        <v>40498</v>
      </c>
      <c r="H156" s="57"/>
      <c r="I156" s="56"/>
      <c r="J156" s="57"/>
      <c r="K156" s="57"/>
      <c r="L156" s="56"/>
    </row>
    <row r="157" spans="1:12" s="112" customFormat="1" x14ac:dyDescent="0.2">
      <c r="A157" s="339" t="s">
        <v>397</v>
      </c>
      <c r="B157" s="339" t="s">
        <v>398</v>
      </c>
      <c r="C157" s="339" t="s">
        <v>1144</v>
      </c>
      <c r="D157" s="339" t="s">
        <v>292</v>
      </c>
      <c r="E157" s="339" t="s">
        <v>140</v>
      </c>
      <c r="F157" s="340">
        <v>40581</v>
      </c>
      <c r="H157" s="57"/>
      <c r="I157" s="56"/>
      <c r="J157" s="57"/>
      <c r="K157" s="57"/>
      <c r="L157" s="56"/>
    </row>
    <row r="158" spans="1:12" s="112" customFormat="1" x14ac:dyDescent="0.2">
      <c r="A158" s="339" t="s">
        <v>680</v>
      </c>
      <c r="B158" s="339" t="s">
        <v>399</v>
      </c>
      <c r="C158" s="339" t="s">
        <v>981</v>
      </c>
      <c r="D158" s="339" t="s">
        <v>292</v>
      </c>
      <c r="E158" s="339" t="s">
        <v>131</v>
      </c>
      <c r="F158" s="340">
        <v>40529</v>
      </c>
      <c r="H158" s="57"/>
      <c r="I158" s="56"/>
      <c r="J158" s="57"/>
      <c r="K158" s="57"/>
      <c r="L158" s="56"/>
    </row>
    <row r="159" spans="1:12" s="112" customFormat="1" x14ac:dyDescent="0.2">
      <c r="A159" s="339" t="s">
        <v>681</v>
      </c>
      <c r="B159" s="339" t="s">
        <v>1145</v>
      </c>
      <c r="C159" s="339" t="s">
        <v>400</v>
      </c>
      <c r="D159" s="339" t="s">
        <v>292</v>
      </c>
      <c r="E159" s="339" t="s">
        <v>143</v>
      </c>
      <c r="F159" s="340">
        <v>40605</v>
      </c>
      <c r="H159" s="57"/>
      <c r="I159" s="56"/>
      <c r="J159" s="57"/>
      <c r="K159" s="57"/>
      <c r="L159" s="56"/>
    </row>
    <row r="160" spans="1:12" s="112" customFormat="1" x14ac:dyDescent="0.2">
      <c r="A160" s="339" t="s">
        <v>401</v>
      </c>
      <c r="B160" s="339" t="s">
        <v>1070</v>
      </c>
      <c r="C160" s="339" t="s">
        <v>1071</v>
      </c>
      <c r="D160" s="339" t="s">
        <v>292</v>
      </c>
      <c r="E160" s="339" t="s">
        <v>140</v>
      </c>
      <c r="F160" s="340">
        <v>40679</v>
      </c>
      <c r="H160" s="57"/>
      <c r="I160" s="56"/>
      <c r="J160" s="57"/>
      <c r="K160" s="57"/>
      <c r="L160" s="56"/>
    </row>
    <row r="161" spans="1:12" s="112" customFormat="1" x14ac:dyDescent="0.2">
      <c r="A161" s="339" t="s">
        <v>402</v>
      </c>
      <c r="B161" s="339" t="s">
        <v>403</v>
      </c>
      <c r="C161" s="339" t="s">
        <v>682</v>
      </c>
      <c r="D161" s="339" t="s">
        <v>292</v>
      </c>
      <c r="E161" s="339" t="s">
        <v>82</v>
      </c>
      <c r="F161" s="340">
        <v>40844</v>
      </c>
      <c r="H161" s="57"/>
      <c r="I161" s="56"/>
      <c r="J161" s="57"/>
      <c r="K161" s="57"/>
      <c r="L161" s="56"/>
    </row>
    <row r="162" spans="1:12" s="112" customFormat="1" x14ac:dyDescent="0.2">
      <c r="A162" s="339" t="s">
        <v>683</v>
      </c>
      <c r="B162" s="339" t="s">
        <v>404</v>
      </c>
      <c r="C162" s="339" t="s">
        <v>982</v>
      </c>
      <c r="D162" s="339" t="s">
        <v>292</v>
      </c>
      <c r="E162" s="339" t="s">
        <v>140</v>
      </c>
      <c r="F162" s="340">
        <v>40709</v>
      </c>
      <c r="H162" s="57"/>
      <c r="I162" s="56"/>
      <c r="J162" s="57"/>
      <c r="K162" s="57"/>
      <c r="L162" s="56"/>
    </row>
    <row r="163" spans="1:12" s="112" customFormat="1" x14ac:dyDescent="0.2">
      <c r="A163" s="339" t="s">
        <v>684</v>
      </c>
      <c r="B163" s="339" t="s">
        <v>685</v>
      </c>
      <c r="C163" s="339" t="s">
        <v>686</v>
      </c>
      <c r="D163" s="339" t="s">
        <v>292</v>
      </c>
      <c r="E163" s="339" t="s">
        <v>132</v>
      </c>
      <c r="F163" s="340">
        <v>40690</v>
      </c>
      <c r="H163" s="57"/>
      <c r="I163" s="56"/>
      <c r="J163" s="57"/>
      <c r="K163" s="57"/>
      <c r="L163" s="56"/>
    </row>
    <row r="164" spans="1:12" s="112" customFormat="1" x14ac:dyDescent="0.2">
      <c r="A164" s="339" t="s">
        <v>687</v>
      </c>
      <c r="B164" s="339" t="s">
        <v>405</v>
      </c>
      <c r="C164" s="339" t="s">
        <v>1072</v>
      </c>
      <c r="D164" s="339" t="s">
        <v>146</v>
      </c>
      <c r="E164" s="339" t="s">
        <v>146</v>
      </c>
      <c r="F164" s="340">
        <v>40676</v>
      </c>
      <c r="H164" s="57"/>
      <c r="I164" s="56"/>
      <c r="J164" s="57"/>
      <c r="K164" s="57"/>
      <c r="L164" s="56"/>
    </row>
    <row r="165" spans="1:12" s="112" customFormat="1" x14ac:dyDescent="0.2">
      <c r="A165" s="339" t="s">
        <v>688</v>
      </c>
      <c r="B165" s="339" t="s">
        <v>406</v>
      </c>
      <c r="C165" s="339" t="s">
        <v>299</v>
      </c>
      <c r="D165" s="339" t="s">
        <v>292</v>
      </c>
      <c r="E165" s="339" t="s">
        <v>131</v>
      </c>
      <c r="F165" s="340">
        <v>40640</v>
      </c>
      <c r="H165" s="57"/>
      <c r="I165" s="56"/>
      <c r="J165" s="57"/>
      <c r="K165" s="57"/>
      <c r="L165" s="56"/>
    </row>
    <row r="166" spans="1:12" s="112" customFormat="1" x14ac:dyDescent="0.2">
      <c r="A166" s="339" t="s">
        <v>689</v>
      </c>
      <c r="B166" s="339" t="s">
        <v>407</v>
      </c>
      <c r="C166" s="339" t="s">
        <v>983</v>
      </c>
      <c r="D166" s="339" t="s">
        <v>292</v>
      </c>
      <c r="E166" s="339" t="s">
        <v>131</v>
      </c>
      <c r="F166" s="340">
        <v>40731</v>
      </c>
      <c r="H166" s="57"/>
      <c r="I166" s="56"/>
      <c r="J166" s="57"/>
      <c r="K166" s="57"/>
      <c r="L166" s="56"/>
    </row>
    <row r="167" spans="1:12" s="112" customFormat="1" x14ac:dyDescent="0.2">
      <c r="A167" s="339" t="s">
        <v>1146</v>
      </c>
      <c r="B167" s="339" t="s">
        <v>1147</v>
      </c>
      <c r="C167" s="339" t="s">
        <v>1148</v>
      </c>
      <c r="D167" s="339" t="s">
        <v>292</v>
      </c>
      <c r="E167" s="339" t="s">
        <v>139</v>
      </c>
      <c r="F167" s="340">
        <v>40872</v>
      </c>
      <c r="H167" s="57"/>
      <c r="I167" s="56"/>
      <c r="J167" s="57"/>
      <c r="K167" s="57"/>
      <c r="L167" s="56"/>
    </row>
    <row r="168" spans="1:12" s="112" customFormat="1" x14ac:dyDescent="0.2">
      <c r="A168" s="339" t="s">
        <v>690</v>
      </c>
      <c r="B168" s="339" t="s">
        <v>780</v>
      </c>
      <c r="C168" s="339" t="s">
        <v>41</v>
      </c>
      <c r="D168" s="339" t="s">
        <v>146</v>
      </c>
      <c r="E168" s="339" t="s">
        <v>146</v>
      </c>
      <c r="F168" s="340">
        <v>40849</v>
      </c>
      <c r="H168" s="57"/>
      <c r="I168" s="56"/>
      <c r="J168" s="57"/>
      <c r="K168" s="57"/>
      <c r="L168" s="56"/>
    </row>
    <row r="169" spans="1:12" s="112" customFormat="1" x14ac:dyDescent="0.2">
      <c r="A169" s="339" t="s">
        <v>691</v>
      </c>
      <c r="B169" s="339" t="s">
        <v>408</v>
      </c>
      <c r="C169" s="339" t="s">
        <v>551</v>
      </c>
      <c r="D169" s="339" t="s">
        <v>292</v>
      </c>
      <c r="E169" s="339" t="s">
        <v>132</v>
      </c>
      <c r="F169" s="340">
        <v>40891</v>
      </c>
      <c r="H169" s="57"/>
      <c r="I169" s="56"/>
      <c r="J169" s="57"/>
      <c r="K169" s="57"/>
      <c r="L169" s="56"/>
    </row>
    <row r="170" spans="1:12" s="112" customFormat="1" x14ac:dyDescent="0.2">
      <c r="A170" s="339" t="s">
        <v>692</v>
      </c>
      <c r="B170" s="339" t="s">
        <v>409</v>
      </c>
      <c r="C170" s="339" t="s">
        <v>410</v>
      </c>
      <c r="D170" s="339" t="s">
        <v>292</v>
      </c>
      <c r="E170" s="339" t="s">
        <v>137</v>
      </c>
      <c r="F170" s="340">
        <v>40877</v>
      </c>
      <c r="H170" s="57"/>
      <c r="I170" s="56"/>
      <c r="J170" s="57"/>
      <c r="K170" s="57"/>
      <c r="L170" s="56"/>
    </row>
    <row r="171" spans="1:12" s="112" customFormat="1" x14ac:dyDescent="0.2">
      <c r="A171" s="339" t="s">
        <v>693</v>
      </c>
      <c r="B171" s="339" t="s">
        <v>694</v>
      </c>
      <c r="C171" s="339" t="s">
        <v>695</v>
      </c>
      <c r="D171" s="339" t="s">
        <v>292</v>
      </c>
      <c r="E171" s="339" t="s">
        <v>132</v>
      </c>
      <c r="F171" s="340">
        <v>40998</v>
      </c>
      <c r="H171" s="57"/>
      <c r="I171" s="56"/>
      <c r="J171" s="57"/>
      <c r="K171" s="57"/>
      <c r="L171" s="56"/>
    </row>
    <row r="172" spans="1:12" s="112" customFormat="1" x14ac:dyDescent="0.2">
      <c r="A172" s="339" t="s">
        <v>815</v>
      </c>
      <c r="B172" s="339" t="s">
        <v>694</v>
      </c>
      <c r="C172" s="339" t="s">
        <v>984</v>
      </c>
      <c r="D172" s="339" t="s">
        <v>292</v>
      </c>
      <c r="E172" s="339" t="s">
        <v>132</v>
      </c>
      <c r="F172" s="340">
        <v>40998</v>
      </c>
      <c r="H172" s="57"/>
      <c r="I172" s="56"/>
      <c r="J172" s="57"/>
      <c r="K172" s="57"/>
      <c r="L172" s="56"/>
    </row>
    <row r="173" spans="1:12" s="112" customFormat="1" x14ac:dyDescent="0.2">
      <c r="A173" s="339" t="s">
        <v>870</v>
      </c>
      <c r="B173" s="339" t="s">
        <v>871</v>
      </c>
      <c r="C173" s="339" t="s">
        <v>872</v>
      </c>
      <c r="D173" s="339" t="s">
        <v>292</v>
      </c>
      <c r="E173" s="339" t="s">
        <v>139</v>
      </c>
      <c r="F173" s="340">
        <v>41019</v>
      </c>
      <c r="H173" s="57"/>
      <c r="I173" s="56"/>
      <c r="J173" s="57"/>
      <c r="K173" s="57"/>
      <c r="L173" s="56"/>
    </row>
    <row r="174" spans="1:12" s="112" customFormat="1" x14ac:dyDescent="0.2">
      <c r="A174" s="339" t="s">
        <v>696</v>
      </c>
      <c r="B174" s="339" t="s">
        <v>411</v>
      </c>
      <c r="C174" s="339" t="s">
        <v>412</v>
      </c>
      <c r="D174" s="339" t="s">
        <v>292</v>
      </c>
      <c r="E174" s="339" t="s">
        <v>137</v>
      </c>
      <c r="F174" s="340">
        <v>41173</v>
      </c>
      <c r="H174" s="57"/>
      <c r="I174" s="56"/>
      <c r="J174" s="57"/>
      <c r="K174" s="57"/>
      <c r="L174" s="56"/>
    </row>
    <row r="175" spans="1:12" s="112" customFormat="1" x14ac:dyDescent="0.2">
      <c r="A175" s="339" t="s">
        <v>985</v>
      </c>
      <c r="B175" s="339" t="s">
        <v>873</v>
      </c>
      <c r="C175" s="339" t="s">
        <v>298</v>
      </c>
      <c r="D175" s="339" t="s">
        <v>292</v>
      </c>
      <c r="E175" s="339" t="s">
        <v>133</v>
      </c>
      <c r="F175" s="340">
        <v>41023</v>
      </c>
      <c r="H175" s="57"/>
      <c r="I175" s="56"/>
      <c r="J175" s="57"/>
      <c r="K175" s="57"/>
      <c r="L175" s="56"/>
    </row>
    <row r="176" spans="1:12" s="112" customFormat="1" x14ac:dyDescent="0.2">
      <c r="A176" s="339" t="s">
        <v>413</v>
      </c>
      <c r="B176" s="339" t="s">
        <v>873</v>
      </c>
      <c r="C176" s="339" t="s">
        <v>24</v>
      </c>
      <c r="D176" s="339" t="s">
        <v>292</v>
      </c>
      <c r="E176" s="339" t="s">
        <v>133</v>
      </c>
      <c r="F176" s="340">
        <v>41024</v>
      </c>
      <c r="H176" s="57"/>
      <c r="I176" s="56"/>
      <c r="J176" s="57"/>
      <c r="K176" s="57"/>
      <c r="L176" s="56"/>
    </row>
    <row r="177" spans="1:12" s="112" customFormat="1" x14ac:dyDescent="0.2">
      <c r="A177" s="339" t="s">
        <v>414</v>
      </c>
      <c r="B177" s="339" t="s">
        <v>415</v>
      </c>
      <c r="C177" s="339" t="s">
        <v>697</v>
      </c>
      <c r="D177" s="339" t="s">
        <v>292</v>
      </c>
      <c r="E177" s="339" t="s">
        <v>140</v>
      </c>
      <c r="F177" s="340">
        <v>41089</v>
      </c>
      <c r="H177" s="57"/>
      <c r="I177" s="56"/>
      <c r="J177" s="57"/>
      <c r="K177" s="57"/>
      <c r="L177" s="56"/>
    </row>
    <row r="178" spans="1:12" s="112" customFormat="1" x14ac:dyDescent="0.2">
      <c r="A178" s="339" t="s">
        <v>416</v>
      </c>
      <c r="B178" s="339" t="s">
        <v>417</v>
      </c>
      <c r="C178" s="339" t="s">
        <v>698</v>
      </c>
      <c r="D178" s="339" t="s">
        <v>292</v>
      </c>
      <c r="E178" s="339" t="s">
        <v>140</v>
      </c>
      <c r="F178" s="340">
        <v>41247</v>
      </c>
      <c r="H178" s="57"/>
      <c r="I178" s="56"/>
      <c r="J178" s="57"/>
      <c r="K178" s="57"/>
      <c r="L178" s="56"/>
    </row>
    <row r="179" spans="1:12" s="112" customFormat="1" x14ac:dyDescent="0.2">
      <c r="A179" s="339" t="s">
        <v>699</v>
      </c>
      <c r="B179" s="339" t="s">
        <v>816</v>
      </c>
      <c r="C179" s="339" t="s">
        <v>42</v>
      </c>
      <c r="D179" s="339" t="s">
        <v>146</v>
      </c>
      <c r="E179" s="339" t="s">
        <v>146</v>
      </c>
      <c r="F179" s="340">
        <v>41240</v>
      </c>
      <c r="H179" s="57"/>
      <c r="I179" s="56"/>
      <c r="J179" s="57"/>
      <c r="K179" s="57"/>
      <c r="L179" s="56"/>
    </row>
    <row r="180" spans="1:12" s="112" customFormat="1" x14ac:dyDescent="0.2">
      <c r="A180" s="339" t="s">
        <v>700</v>
      </c>
      <c r="B180" s="339" t="s">
        <v>1073</v>
      </c>
      <c r="C180" s="339" t="s">
        <v>13</v>
      </c>
      <c r="D180" s="339" t="s">
        <v>292</v>
      </c>
      <c r="E180" s="339" t="s">
        <v>145</v>
      </c>
      <c r="F180" s="340">
        <v>41151</v>
      </c>
      <c r="H180" s="57"/>
      <c r="I180" s="56"/>
      <c r="J180" s="57"/>
      <c r="K180" s="57"/>
      <c r="L180" s="56"/>
    </row>
    <row r="181" spans="1:12" s="112" customFormat="1" x14ac:dyDescent="0.2">
      <c r="A181" s="339" t="s">
        <v>701</v>
      </c>
      <c r="B181" s="339" t="s">
        <v>545</v>
      </c>
      <c r="C181" s="339" t="s">
        <v>552</v>
      </c>
      <c r="D181" s="339" t="s">
        <v>292</v>
      </c>
      <c r="E181" s="339" t="s">
        <v>137</v>
      </c>
      <c r="F181" s="340">
        <v>41240</v>
      </c>
      <c r="H181" s="57"/>
      <c r="I181" s="56"/>
      <c r="J181" s="57"/>
      <c r="K181" s="57"/>
      <c r="L181" s="56"/>
    </row>
    <row r="182" spans="1:12" s="112" customFormat="1" x14ac:dyDescent="0.2">
      <c r="A182" s="339" t="s">
        <v>702</v>
      </c>
      <c r="B182" s="339" t="s">
        <v>418</v>
      </c>
      <c r="C182" s="339" t="s">
        <v>703</v>
      </c>
      <c r="D182" s="339" t="s">
        <v>292</v>
      </c>
      <c r="E182" s="339" t="s">
        <v>145</v>
      </c>
      <c r="F182" s="340">
        <v>41317</v>
      </c>
      <c r="H182" s="57"/>
      <c r="I182" s="56"/>
      <c r="J182" s="57"/>
      <c r="K182" s="57"/>
      <c r="L182" s="56"/>
    </row>
    <row r="183" spans="1:12" s="112" customFormat="1" x14ac:dyDescent="0.2">
      <c r="A183" s="339" t="s">
        <v>704</v>
      </c>
      <c r="B183" s="339" t="s">
        <v>419</v>
      </c>
      <c r="C183" s="339" t="s">
        <v>14</v>
      </c>
      <c r="D183" s="339" t="s">
        <v>292</v>
      </c>
      <c r="E183" s="339" t="s">
        <v>132</v>
      </c>
      <c r="F183" s="340">
        <v>41262</v>
      </c>
      <c r="H183" s="57"/>
      <c r="I183" s="56"/>
      <c r="J183" s="57"/>
      <c r="K183" s="57"/>
      <c r="L183" s="56"/>
    </row>
    <row r="184" spans="1:12" s="112" customFormat="1" x14ac:dyDescent="0.2">
      <c r="A184" s="339" t="s">
        <v>705</v>
      </c>
      <c r="B184" s="339" t="s">
        <v>1074</v>
      </c>
      <c r="C184" s="339" t="s">
        <v>874</v>
      </c>
      <c r="D184" s="339" t="s">
        <v>27</v>
      </c>
      <c r="E184" s="339" t="s">
        <v>27</v>
      </c>
      <c r="F184" s="340">
        <v>41597</v>
      </c>
      <c r="H184" s="57"/>
      <c r="I184" s="56"/>
      <c r="J184" s="57"/>
      <c r="K184" s="57"/>
      <c r="L184" s="56"/>
    </row>
    <row r="185" spans="1:12" s="112" customFormat="1" x14ac:dyDescent="0.2">
      <c r="A185" s="339" t="s">
        <v>706</v>
      </c>
      <c r="B185" s="339" t="s">
        <v>781</v>
      </c>
      <c r="C185" s="339" t="s">
        <v>553</v>
      </c>
      <c r="D185" s="339" t="s">
        <v>292</v>
      </c>
      <c r="E185" s="339" t="s">
        <v>132</v>
      </c>
      <c r="F185" s="340">
        <v>41380</v>
      </c>
      <c r="H185" s="57"/>
      <c r="I185" s="56"/>
      <c r="J185" s="57"/>
      <c r="K185" s="57"/>
      <c r="L185" s="56"/>
    </row>
    <row r="186" spans="1:12" s="112" customFormat="1" x14ac:dyDescent="0.2">
      <c r="A186" s="339" t="s">
        <v>707</v>
      </c>
      <c r="B186" s="339" t="s">
        <v>481</v>
      </c>
      <c r="C186" s="339" t="s">
        <v>482</v>
      </c>
      <c r="D186" s="339" t="s">
        <v>292</v>
      </c>
      <c r="E186" s="339" t="s">
        <v>137</v>
      </c>
      <c r="F186" s="340">
        <v>41387</v>
      </c>
      <c r="H186" s="57"/>
      <c r="I186" s="56"/>
      <c r="J186" s="57"/>
      <c r="K186" s="57"/>
      <c r="L186" s="56"/>
    </row>
    <row r="187" spans="1:12" s="112" customFormat="1" x14ac:dyDescent="0.2">
      <c r="A187" s="339" t="s">
        <v>708</v>
      </c>
      <c r="B187" s="339" t="s">
        <v>483</v>
      </c>
      <c r="C187" s="339" t="s">
        <v>484</v>
      </c>
      <c r="D187" s="339" t="s">
        <v>292</v>
      </c>
      <c r="E187" s="339" t="s">
        <v>138</v>
      </c>
      <c r="F187" s="340">
        <v>41373</v>
      </c>
      <c r="H187" s="57"/>
      <c r="I187" s="56"/>
      <c r="J187" s="57"/>
      <c r="K187" s="57"/>
      <c r="L187" s="56"/>
    </row>
    <row r="188" spans="1:12" s="112" customFormat="1" x14ac:dyDescent="0.2">
      <c r="A188" s="339" t="s">
        <v>485</v>
      </c>
      <c r="B188" s="339" t="s">
        <v>709</v>
      </c>
      <c r="C188" s="339" t="s">
        <v>486</v>
      </c>
      <c r="D188" s="339" t="s">
        <v>292</v>
      </c>
      <c r="E188" s="339" t="s">
        <v>140</v>
      </c>
      <c r="F188" s="340">
        <v>41436</v>
      </c>
      <c r="H188" s="57"/>
      <c r="I188" s="56"/>
      <c r="J188" s="57"/>
      <c r="K188" s="57"/>
      <c r="L188" s="56"/>
    </row>
    <row r="189" spans="1:12" s="112" customFormat="1" x14ac:dyDescent="0.2">
      <c r="A189" s="339" t="s">
        <v>710</v>
      </c>
      <c r="B189" s="339" t="s">
        <v>546</v>
      </c>
      <c r="C189" s="339" t="s">
        <v>1149</v>
      </c>
      <c r="D189" s="339" t="s">
        <v>292</v>
      </c>
      <c r="E189" s="339" t="s">
        <v>131</v>
      </c>
      <c r="F189" s="340">
        <v>41443</v>
      </c>
      <c r="H189" s="57"/>
      <c r="I189" s="56"/>
      <c r="J189" s="57"/>
      <c r="K189" s="57"/>
      <c r="L189" s="56"/>
    </row>
    <row r="190" spans="1:12" s="112" customFormat="1" x14ac:dyDescent="0.2">
      <c r="A190" s="339" t="s">
        <v>711</v>
      </c>
      <c r="B190" s="339" t="s">
        <v>487</v>
      </c>
      <c r="C190" s="339" t="s">
        <v>488</v>
      </c>
      <c r="D190" s="339" t="s">
        <v>292</v>
      </c>
      <c r="E190" s="339" t="s">
        <v>131</v>
      </c>
      <c r="F190" s="340">
        <v>41557</v>
      </c>
      <c r="H190" s="57"/>
      <c r="I190" s="56"/>
      <c r="J190" s="57"/>
      <c r="K190" s="57"/>
      <c r="L190" s="56"/>
    </row>
    <row r="191" spans="1:12" s="112" customFormat="1" x14ac:dyDescent="0.2">
      <c r="A191" s="339" t="s">
        <v>712</v>
      </c>
      <c r="B191" s="339" t="s">
        <v>489</v>
      </c>
      <c r="C191" s="339" t="s">
        <v>490</v>
      </c>
      <c r="D191" s="339" t="s">
        <v>292</v>
      </c>
      <c r="E191" s="339" t="s">
        <v>131</v>
      </c>
      <c r="F191" s="340">
        <v>41443</v>
      </c>
      <c r="H191" s="57"/>
      <c r="I191" s="56"/>
      <c r="J191" s="57"/>
      <c r="K191" s="57"/>
      <c r="L191" s="56"/>
    </row>
    <row r="192" spans="1:12" s="112" customFormat="1" x14ac:dyDescent="0.2">
      <c r="A192" s="339" t="s">
        <v>713</v>
      </c>
      <c r="B192" s="339" t="s">
        <v>516</v>
      </c>
      <c r="C192" s="339" t="s">
        <v>517</v>
      </c>
      <c r="D192" s="339" t="s">
        <v>292</v>
      </c>
      <c r="E192" s="339" t="s">
        <v>141</v>
      </c>
      <c r="F192" s="340">
        <v>41542</v>
      </c>
      <c r="H192" s="57"/>
      <c r="I192" s="56"/>
      <c r="J192" s="57"/>
      <c r="K192" s="57"/>
      <c r="L192" s="56"/>
    </row>
    <row r="193" spans="1:12" s="112" customFormat="1" x14ac:dyDescent="0.2">
      <c r="A193" s="339" t="s">
        <v>714</v>
      </c>
      <c r="B193" s="339" t="s">
        <v>817</v>
      </c>
      <c r="C193" s="339" t="s">
        <v>1075</v>
      </c>
      <c r="D193" s="339" t="s">
        <v>292</v>
      </c>
      <c r="E193" s="339" t="s">
        <v>131</v>
      </c>
      <c r="F193" s="340">
        <v>41570</v>
      </c>
      <c r="H193" s="57"/>
      <c r="I193" s="56"/>
      <c r="J193" s="57"/>
      <c r="K193" s="57"/>
      <c r="L193" s="56"/>
    </row>
    <row r="194" spans="1:12" s="112" customFormat="1" x14ac:dyDescent="0.2">
      <c r="A194" s="339" t="s">
        <v>715</v>
      </c>
      <c r="B194" s="339" t="s">
        <v>547</v>
      </c>
      <c r="C194" s="339" t="s">
        <v>518</v>
      </c>
      <c r="D194" s="339" t="s">
        <v>292</v>
      </c>
      <c r="E194" s="339" t="s">
        <v>137</v>
      </c>
      <c r="F194" s="340">
        <v>41543</v>
      </c>
      <c r="H194" s="57"/>
      <c r="I194" s="56"/>
      <c r="J194" s="57"/>
      <c r="K194" s="57"/>
      <c r="L194" s="56"/>
    </row>
    <row r="195" spans="1:12" s="112" customFormat="1" x14ac:dyDescent="0.2">
      <c r="A195" s="339" t="s">
        <v>716</v>
      </c>
      <c r="B195" s="339" t="s">
        <v>519</v>
      </c>
      <c r="C195" s="339" t="s">
        <v>520</v>
      </c>
      <c r="D195" s="339" t="s">
        <v>292</v>
      </c>
      <c r="E195" s="339" t="s">
        <v>141</v>
      </c>
      <c r="F195" s="340">
        <v>41444</v>
      </c>
      <c r="H195" s="57"/>
      <c r="I195" s="56"/>
      <c r="J195" s="57"/>
      <c r="K195" s="57"/>
      <c r="L195" s="56"/>
    </row>
    <row r="196" spans="1:12" s="112" customFormat="1" x14ac:dyDescent="0.2">
      <c r="A196" s="339" t="s">
        <v>521</v>
      </c>
      <c r="B196" s="339" t="s">
        <v>548</v>
      </c>
      <c r="C196" s="339" t="s">
        <v>818</v>
      </c>
      <c r="D196" s="339" t="s">
        <v>292</v>
      </c>
      <c r="E196" s="339" t="s">
        <v>140</v>
      </c>
      <c r="F196" s="340">
        <v>41575</v>
      </c>
      <c r="H196" s="57"/>
      <c r="I196" s="56"/>
      <c r="J196" s="57"/>
      <c r="K196" s="57"/>
      <c r="L196" s="56"/>
    </row>
    <row r="197" spans="1:12" s="112" customFormat="1" x14ac:dyDescent="0.2">
      <c r="A197" s="339" t="s">
        <v>717</v>
      </c>
      <c r="B197" s="339" t="s">
        <v>718</v>
      </c>
      <c r="C197" s="339" t="s">
        <v>719</v>
      </c>
      <c r="D197" s="339" t="s">
        <v>292</v>
      </c>
      <c r="E197" s="339" t="s">
        <v>137</v>
      </c>
      <c r="F197" s="340">
        <v>42110</v>
      </c>
      <c r="H197" s="57"/>
      <c r="I197" s="56"/>
      <c r="J197" s="57"/>
      <c r="K197" s="57"/>
      <c r="L197" s="56"/>
    </row>
    <row r="198" spans="1:12" s="112" customFormat="1" x14ac:dyDescent="0.2">
      <c r="A198" s="339" t="s">
        <v>720</v>
      </c>
      <c r="B198" s="339" t="s">
        <v>522</v>
      </c>
      <c r="C198" s="339" t="s">
        <v>523</v>
      </c>
      <c r="D198" s="339" t="s">
        <v>292</v>
      </c>
      <c r="E198" s="339" t="s">
        <v>132</v>
      </c>
      <c r="F198" s="340">
        <v>41590</v>
      </c>
      <c r="H198" s="57"/>
      <c r="I198" s="56"/>
      <c r="J198" s="57"/>
      <c r="K198" s="57"/>
      <c r="L198" s="56"/>
    </row>
    <row r="199" spans="1:12" s="112" customFormat="1" x14ac:dyDescent="0.2">
      <c r="A199" s="339" t="s">
        <v>721</v>
      </c>
      <c r="B199" s="339" t="s">
        <v>524</v>
      </c>
      <c r="C199" s="339" t="s">
        <v>613</v>
      </c>
      <c r="D199" s="339" t="s">
        <v>292</v>
      </c>
      <c r="E199" s="339" t="s">
        <v>132</v>
      </c>
      <c r="F199" s="340">
        <v>41598</v>
      </c>
      <c r="H199" s="57"/>
      <c r="I199" s="56"/>
      <c r="J199" s="57"/>
      <c r="K199" s="57"/>
      <c r="L199" s="56"/>
    </row>
    <row r="200" spans="1:12" s="112" customFormat="1" x14ac:dyDescent="0.2">
      <c r="A200" s="339" t="s">
        <v>722</v>
      </c>
      <c r="B200" s="339" t="s">
        <v>525</v>
      </c>
      <c r="C200" s="339" t="s">
        <v>526</v>
      </c>
      <c r="D200" s="339" t="s">
        <v>292</v>
      </c>
      <c r="E200" s="339" t="s">
        <v>132</v>
      </c>
      <c r="F200" s="340">
        <v>41562</v>
      </c>
      <c r="H200" s="57"/>
      <c r="I200" s="56"/>
      <c r="J200" s="57"/>
      <c r="K200" s="57"/>
      <c r="L200" s="56"/>
    </row>
    <row r="201" spans="1:12" s="112" customFormat="1" x14ac:dyDescent="0.2">
      <c r="A201" s="339" t="s">
        <v>527</v>
      </c>
      <c r="B201" s="339" t="s">
        <v>1076</v>
      </c>
      <c r="C201" s="339" t="s">
        <v>528</v>
      </c>
      <c r="D201" s="339" t="s">
        <v>292</v>
      </c>
      <c r="E201" s="339" t="s">
        <v>140</v>
      </c>
      <c r="F201" s="340">
        <v>41739</v>
      </c>
      <c r="H201" s="57"/>
      <c r="I201" s="56"/>
      <c r="J201" s="57"/>
      <c r="K201" s="57"/>
      <c r="L201" s="56"/>
    </row>
    <row r="202" spans="1:12" s="112" customFormat="1" x14ac:dyDescent="0.2">
      <c r="A202" s="339" t="s">
        <v>723</v>
      </c>
      <c r="B202" s="339" t="s">
        <v>529</v>
      </c>
      <c r="C202" s="339" t="s">
        <v>530</v>
      </c>
      <c r="D202" s="339" t="s">
        <v>292</v>
      </c>
      <c r="E202" s="339" t="s">
        <v>138</v>
      </c>
      <c r="F202" s="340">
        <v>41624</v>
      </c>
      <c r="H202" s="57"/>
      <c r="I202" s="56"/>
      <c r="J202" s="57"/>
      <c r="K202" s="57"/>
      <c r="L202" s="56"/>
    </row>
    <row r="203" spans="1:12" s="112" customFormat="1" x14ac:dyDescent="0.2">
      <c r="A203" s="339" t="s">
        <v>5</v>
      </c>
      <c r="B203" s="339" t="s">
        <v>782</v>
      </c>
      <c r="C203" s="339" t="s">
        <v>6</v>
      </c>
      <c r="D203" s="339" t="s">
        <v>292</v>
      </c>
      <c r="E203" s="339" t="s">
        <v>140</v>
      </c>
      <c r="F203" s="340">
        <v>41711</v>
      </c>
      <c r="H203" s="57"/>
      <c r="I203" s="56"/>
      <c r="J203" s="57"/>
      <c r="K203" s="57"/>
      <c r="L203" s="56"/>
    </row>
    <row r="204" spans="1:12" s="112" customFormat="1" x14ac:dyDescent="0.2">
      <c r="A204" s="339" t="s">
        <v>724</v>
      </c>
      <c r="B204" s="339" t="s">
        <v>875</v>
      </c>
      <c r="C204" s="339" t="s">
        <v>876</v>
      </c>
      <c r="D204" s="339" t="s">
        <v>292</v>
      </c>
      <c r="E204" s="339" t="s">
        <v>138</v>
      </c>
      <c r="F204" s="340">
        <v>41586</v>
      </c>
      <c r="H204" s="57"/>
      <c r="I204" s="56"/>
      <c r="J204" s="57"/>
      <c r="K204" s="57"/>
      <c r="L204" s="56"/>
    </row>
    <row r="205" spans="1:12" s="112" customFormat="1" x14ac:dyDescent="0.2">
      <c r="A205" s="339" t="s">
        <v>544</v>
      </c>
      <c r="B205" s="339" t="s">
        <v>1150</v>
      </c>
      <c r="C205" s="339" t="s">
        <v>1151</v>
      </c>
      <c r="D205" s="339" t="s">
        <v>292</v>
      </c>
      <c r="E205" s="339" t="s">
        <v>132</v>
      </c>
      <c r="F205" s="340">
        <v>41737</v>
      </c>
      <c r="H205" s="57"/>
      <c r="I205" s="56"/>
      <c r="J205" s="57"/>
      <c r="K205" s="57"/>
      <c r="L205" s="56"/>
    </row>
    <row r="206" spans="1:12" s="112" customFormat="1" x14ac:dyDescent="0.2">
      <c r="A206" s="339" t="s">
        <v>575</v>
      </c>
      <c r="B206" s="339" t="s">
        <v>576</v>
      </c>
      <c r="C206" s="339" t="s">
        <v>577</v>
      </c>
      <c r="D206" s="339" t="s">
        <v>292</v>
      </c>
      <c r="E206" s="339" t="s">
        <v>145</v>
      </c>
      <c r="F206" s="340">
        <v>41884</v>
      </c>
      <c r="H206" s="57"/>
      <c r="I206" s="56"/>
      <c r="J206" s="57"/>
      <c r="K206" s="57"/>
      <c r="L206" s="56"/>
    </row>
    <row r="207" spans="1:12" s="112" customFormat="1" x14ac:dyDescent="0.2">
      <c r="A207" s="339" t="s">
        <v>725</v>
      </c>
      <c r="B207" s="339" t="s">
        <v>726</v>
      </c>
      <c r="C207" s="339" t="s">
        <v>578</v>
      </c>
      <c r="D207" s="339" t="s">
        <v>292</v>
      </c>
      <c r="E207" s="339" t="s">
        <v>137</v>
      </c>
      <c r="F207" s="340">
        <v>41950</v>
      </c>
      <c r="H207" s="57"/>
      <c r="I207" s="56"/>
      <c r="J207" s="57"/>
      <c r="K207" s="57"/>
      <c r="L207" s="56"/>
    </row>
    <row r="208" spans="1:12" s="112" customFormat="1" x14ac:dyDescent="0.2">
      <c r="A208" s="339" t="s">
        <v>1152</v>
      </c>
      <c r="B208" s="339" t="s">
        <v>1153</v>
      </c>
      <c r="C208" s="339" t="s">
        <v>1154</v>
      </c>
      <c r="D208" s="339" t="s">
        <v>292</v>
      </c>
      <c r="E208" s="339" t="s">
        <v>132</v>
      </c>
      <c r="F208" s="340">
        <v>41922</v>
      </c>
      <c r="H208" s="57"/>
      <c r="I208" s="56"/>
      <c r="J208" s="57"/>
      <c r="K208" s="57"/>
      <c r="L208" s="56"/>
    </row>
    <row r="209" spans="1:12" s="112" customFormat="1" x14ac:dyDescent="0.2">
      <c r="A209" s="339" t="s">
        <v>727</v>
      </c>
      <c r="B209" s="339" t="s">
        <v>579</v>
      </c>
      <c r="C209" s="339" t="s">
        <v>580</v>
      </c>
      <c r="D209" s="339" t="s">
        <v>292</v>
      </c>
      <c r="E209" s="339" t="s">
        <v>132</v>
      </c>
      <c r="F209" s="340">
        <v>41947</v>
      </c>
      <c r="H209" s="57"/>
      <c r="I209" s="56"/>
      <c r="J209" s="57"/>
      <c r="K209" s="57"/>
      <c r="L209" s="56"/>
    </row>
    <row r="210" spans="1:12" s="300" customFormat="1" x14ac:dyDescent="0.2">
      <c r="A210" s="339" t="s">
        <v>728</v>
      </c>
      <c r="B210" s="339" t="s">
        <v>817</v>
      </c>
      <c r="C210" s="339" t="s">
        <v>1077</v>
      </c>
      <c r="D210" s="339" t="s">
        <v>292</v>
      </c>
      <c r="E210" s="339" t="s">
        <v>131</v>
      </c>
      <c r="F210" s="340">
        <v>41969</v>
      </c>
      <c r="H210" s="301"/>
      <c r="I210" s="299"/>
      <c r="J210" s="301"/>
      <c r="K210" s="301"/>
      <c r="L210" s="299"/>
    </row>
    <row r="211" spans="1:12" s="304" customFormat="1" x14ac:dyDescent="0.2">
      <c r="A211" s="339" t="s">
        <v>581</v>
      </c>
      <c r="B211" s="339" t="s">
        <v>582</v>
      </c>
      <c r="C211" s="339" t="s">
        <v>583</v>
      </c>
      <c r="D211" s="339" t="s">
        <v>292</v>
      </c>
      <c r="E211" s="339" t="s">
        <v>140</v>
      </c>
      <c r="F211" s="340">
        <v>41968</v>
      </c>
      <c r="H211" s="305"/>
      <c r="I211" s="303"/>
      <c r="J211" s="305"/>
      <c r="K211" s="305"/>
      <c r="L211" s="303"/>
    </row>
    <row r="212" spans="1:12" s="304" customFormat="1" x14ac:dyDescent="0.2">
      <c r="A212" s="339" t="s">
        <v>729</v>
      </c>
      <c r="B212" s="339" t="s">
        <v>584</v>
      </c>
      <c r="C212" s="339" t="s">
        <v>1155</v>
      </c>
      <c r="D212" s="339" t="s">
        <v>292</v>
      </c>
      <c r="E212" s="339" t="s">
        <v>140</v>
      </c>
      <c r="F212" s="340">
        <v>41956</v>
      </c>
      <c r="H212" s="305"/>
      <c r="I212" s="303"/>
      <c r="J212" s="305"/>
      <c r="K212" s="305"/>
      <c r="L212" s="303"/>
    </row>
    <row r="213" spans="1:12" s="304" customFormat="1" x14ac:dyDescent="0.2">
      <c r="A213" s="339" t="s">
        <v>611</v>
      </c>
      <c r="B213" s="339" t="s">
        <v>612</v>
      </c>
      <c r="C213" s="339" t="s">
        <v>730</v>
      </c>
      <c r="D213" s="339" t="s">
        <v>27</v>
      </c>
      <c r="E213" s="339" t="s">
        <v>27</v>
      </c>
      <c r="F213" s="340">
        <v>42325</v>
      </c>
      <c r="H213" s="305"/>
      <c r="I213" s="303"/>
      <c r="J213" s="305"/>
      <c r="K213" s="305"/>
      <c r="L213" s="303"/>
    </row>
    <row r="214" spans="1:12" s="304" customFormat="1" x14ac:dyDescent="0.2">
      <c r="A214" s="339" t="s">
        <v>731</v>
      </c>
      <c r="B214" s="339" t="s">
        <v>619</v>
      </c>
      <c r="C214" s="339" t="s">
        <v>620</v>
      </c>
      <c r="D214" s="339" t="s">
        <v>146</v>
      </c>
      <c r="E214" s="339" t="s">
        <v>146</v>
      </c>
      <c r="F214" s="340">
        <v>42129</v>
      </c>
      <c r="H214" s="305"/>
      <c r="I214" s="303"/>
      <c r="J214" s="305"/>
      <c r="K214" s="305"/>
      <c r="L214" s="303"/>
    </row>
    <row r="215" spans="1:12" s="304" customFormat="1" x14ac:dyDescent="0.2">
      <c r="A215" s="339" t="s">
        <v>732</v>
      </c>
      <c r="B215" s="339" t="s">
        <v>783</v>
      </c>
      <c r="C215" s="339" t="s">
        <v>819</v>
      </c>
      <c r="D215" s="339" t="s">
        <v>292</v>
      </c>
      <c r="E215" s="339" t="s">
        <v>141</v>
      </c>
      <c r="F215" s="340">
        <v>42087</v>
      </c>
      <c r="H215" s="305"/>
      <c r="I215" s="303"/>
      <c r="J215" s="305"/>
      <c r="K215" s="305"/>
      <c r="L215" s="303"/>
    </row>
    <row r="216" spans="1:12" s="304" customFormat="1" x14ac:dyDescent="0.2">
      <c r="A216" s="339" t="s">
        <v>784</v>
      </c>
      <c r="B216" s="339" t="s">
        <v>733</v>
      </c>
      <c r="C216" s="339" t="s">
        <v>734</v>
      </c>
      <c r="D216" s="339" t="s">
        <v>292</v>
      </c>
      <c r="E216" s="339" t="s">
        <v>143</v>
      </c>
      <c r="F216" s="340">
        <v>42143</v>
      </c>
      <c r="H216" s="305"/>
      <c r="I216" s="303"/>
      <c r="J216" s="305"/>
      <c r="K216" s="305"/>
      <c r="L216" s="303"/>
    </row>
    <row r="217" spans="1:12" s="304" customFormat="1" x14ac:dyDescent="0.2">
      <c r="A217" s="339" t="s">
        <v>735</v>
      </c>
      <c r="B217" s="339" t="s">
        <v>736</v>
      </c>
      <c r="C217" s="339" t="s">
        <v>737</v>
      </c>
      <c r="D217" s="339" t="s">
        <v>292</v>
      </c>
      <c r="E217" s="339" t="s">
        <v>137</v>
      </c>
      <c r="F217" s="340">
        <v>42074</v>
      </c>
      <c r="H217" s="305"/>
      <c r="I217" s="303"/>
      <c r="J217" s="305"/>
      <c r="K217" s="305"/>
      <c r="L217" s="303"/>
    </row>
    <row r="218" spans="1:12" s="304" customFormat="1" x14ac:dyDescent="0.2">
      <c r="A218" s="339" t="s">
        <v>738</v>
      </c>
      <c r="B218" s="339" t="s">
        <v>785</v>
      </c>
      <c r="C218" s="339" t="s">
        <v>739</v>
      </c>
      <c r="D218" s="339" t="s">
        <v>146</v>
      </c>
      <c r="E218" s="339" t="s">
        <v>146</v>
      </c>
      <c r="F218" s="340">
        <v>42174</v>
      </c>
      <c r="H218" s="305"/>
      <c r="I218" s="303"/>
      <c r="J218" s="305"/>
      <c r="K218" s="305"/>
      <c r="L218" s="303"/>
    </row>
    <row r="219" spans="1:12" s="304" customFormat="1" x14ac:dyDescent="0.2">
      <c r="A219" s="339" t="s">
        <v>1078</v>
      </c>
      <c r="B219" s="339" t="s">
        <v>740</v>
      </c>
      <c r="C219" s="339" t="s">
        <v>741</v>
      </c>
      <c r="D219" s="339" t="s">
        <v>292</v>
      </c>
      <c r="E219" s="339" t="s">
        <v>132</v>
      </c>
      <c r="F219" s="340">
        <v>42178</v>
      </c>
      <c r="H219" s="305"/>
      <c r="I219" s="303"/>
      <c r="J219" s="305"/>
      <c r="K219" s="305"/>
      <c r="L219" s="303"/>
    </row>
    <row r="220" spans="1:12" s="304" customFormat="1" x14ac:dyDescent="0.2">
      <c r="A220" s="339" t="s">
        <v>986</v>
      </c>
      <c r="B220" s="339" t="s">
        <v>987</v>
      </c>
      <c r="C220" s="339" t="s">
        <v>742</v>
      </c>
      <c r="D220" s="339" t="s">
        <v>292</v>
      </c>
      <c r="E220" s="339" t="s">
        <v>134</v>
      </c>
      <c r="F220" s="340">
        <v>42346</v>
      </c>
      <c r="H220" s="305"/>
      <c r="I220" s="303"/>
      <c r="J220" s="305"/>
      <c r="K220" s="305"/>
      <c r="L220" s="303"/>
    </row>
    <row r="221" spans="1:12" s="304" customFormat="1" x14ac:dyDescent="0.2">
      <c r="A221" s="339" t="s">
        <v>786</v>
      </c>
      <c r="B221" s="339" t="s">
        <v>743</v>
      </c>
      <c r="C221" s="339" t="s">
        <v>1156</v>
      </c>
      <c r="D221" s="339" t="s">
        <v>146</v>
      </c>
      <c r="E221" s="339" t="s">
        <v>146</v>
      </c>
      <c r="F221" s="340">
        <v>42328</v>
      </c>
      <c r="H221" s="305"/>
      <c r="I221" s="303"/>
      <c r="J221" s="305"/>
      <c r="K221" s="305"/>
      <c r="L221" s="303"/>
    </row>
    <row r="222" spans="1:12" s="304" customFormat="1" x14ac:dyDescent="0.2">
      <c r="A222" s="339" t="s">
        <v>988</v>
      </c>
      <c r="B222" s="339" t="s">
        <v>989</v>
      </c>
      <c r="C222" s="339" t="s">
        <v>990</v>
      </c>
      <c r="D222" s="339" t="s">
        <v>292</v>
      </c>
      <c r="E222" s="339" t="s">
        <v>134</v>
      </c>
      <c r="F222" s="340">
        <v>42354</v>
      </c>
      <c r="H222" s="305"/>
      <c r="I222" s="303"/>
      <c r="J222" s="305"/>
      <c r="K222" s="305"/>
      <c r="L222" s="303"/>
    </row>
    <row r="223" spans="1:12" s="304" customFormat="1" x14ac:dyDescent="0.2">
      <c r="A223" s="339" t="s">
        <v>1157</v>
      </c>
      <c r="B223" s="339" t="s">
        <v>1158</v>
      </c>
      <c r="C223" s="339" t="s">
        <v>1159</v>
      </c>
      <c r="D223" s="339" t="s">
        <v>146</v>
      </c>
      <c r="E223" s="339" t="s">
        <v>146</v>
      </c>
      <c r="F223" s="340">
        <v>44322</v>
      </c>
      <c r="H223" s="305"/>
      <c r="I223" s="303"/>
      <c r="J223" s="305"/>
      <c r="K223" s="305"/>
      <c r="L223" s="303"/>
    </row>
    <row r="224" spans="1:12" s="304" customFormat="1" x14ac:dyDescent="0.2">
      <c r="A224" s="339" t="s">
        <v>787</v>
      </c>
      <c r="B224" s="339" t="s">
        <v>788</v>
      </c>
      <c r="C224" s="339" t="s">
        <v>789</v>
      </c>
      <c r="D224" s="339" t="s">
        <v>292</v>
      </c>
      <c r="E224" s="339" t="s">
        <v>142</v>
      </c>
      <c r="F224" s="340">
        <v>42468</v>
      </c>
      <c r="H224" s="305"/>
      <c r="I224" s="303"/>
      <c r="J224" s="305"/>
      <c r="K224" s="305"/>
      <c r="L224" s="303"/>
    </row>
    <row r="225" spans="1:12" s="304" customFormat="1" x14ac:dyDescent="0.2">
      <c r="A225" s="339" t="s">
        <v>790</v>
      </c>
      <c r="B225" s="339" t="s">
        <v>791</v>
      </c>
      <c r="C225" s="339" t="s">
        <v>792</v>
      </c>
      <c r="D225" s="339" t="s">
        <v>292</v>
      </c>
      <c r="E225" s="339" t="s">
        <v>131</v>
      </c>
      <c r="F225" s="340">
        <v>42522</v>
      </c>
      <c r="H225" s="305"/>
      <c r="I225" s="303"/>
      <c r="J225" s="305"/>
      <c r="K225" s="305"/>
      <c r="L225" s="303"/>
    </row>
    <row r="226" spans="1:12" s="304" customFormat="1" x14ac:dyDescent="0.2">
      <c r="A226" s="339" t="s">
        <v>793</v>
      </c>
      <c r="B226" s="339" t="s">
        <v>991</v>
      </c>
      <c r="C226" s="339" t="s">
        <v>992</v>
      </c>
      <c r="D226" s="339" t="s">
        <v>292</v>
      </c>
      <c r="E226" s="339" t="s">
        <v>140</v>
      </c>
      <c r="F226" s="340">
        <v>42447</v>
      </c>
      <c r="H226" s="305"/>
      <c r="I226" s="303"/>
      <c r="J226" s="305"/>
      <c r="K226" s="305"/>
      <c r="L226" s="303"/>
    </row>
    <row r="227" spans="1:12" s="304" customFormat="1" x14ac:dyDescent="0.2">
      <c r="A227" s="339" t="s">
        <v>794</v>
      </c>
      <c r="B227" s="339" t="s">
        <v>1160</v>
      </c>
      <c r="C227" s="339" t="s">
        <v>1161</v>
      </c>
      <c r="D227" s="339" t="s">
        <v>292</v>
      </c>
      <c r="E227" s="339" t="s">
        <v>131</v>
      </c>
      <c r="F227" s="340">
        <v>42486</v>
      </c>
      <c r="H227" s="305"/>
      <c r="I227" s="303"/>
      <c r="J227" s="305"/>
      <c r="K227" s="305"/>
      <c r="L227" s="303"/>
    </row>
    <row r="228" spans="1:12" s="304" customFormat="1" x14ac:dyDescent="0.2">
      <c r="A228" s="339" t="s">
        <v>795</v>
      </c>
      <c r="B228" s="339" t="s">
        <v>1079</v>
      </c>
      <c r="C228" s="339" t="s">
        <v>1080</v>
      </c>
      <c r="D228" s="339" t="s">
        <v>292</v>
      </c>
      <c r="E228" s="339" t="s">
        <v>82</v>
      </c>
      <c r="F228" s="340">
        <v>42493</v>
      </c>
      <c r="H228" s="305"/>
      <c r="I228" s="303"/>
      <c r="J228" s="305"/>
      <c r="K228" s="305"/>
      <c r="L228" s="303"/>
    </row>
    <row r="229" spans="1:12" s="304" customFormat="1" x14ac:dyDescent="0.2">
      <c r="A229" s="339" t="s">
        <v>993</v>
      </c>
      <c r="B229" s="339" t="s">
        <v>994</v>
      </c>
      <c r="C229" s="339" t="s">
        <v>995</v>
      </c>
      <c r="D229" s="339" t="s">
        <v>292</v>
      </c>
      <c r="E229" s="339" t="s">
        <v>132</v>
      </c>
      <c r="F229" s="340">
        <v>42486</v>
      </c>
      <c r="H229" s="305"/>
      <c r="I229" s="303"/>
      <c r="J229" s="305"/>
      <c r="K229" s="305"/>
      <c r="L229" s="303"/>
    </row>
    <row r="230" spans="1:12" s="304" customFormat="1" x14ac:dyDescent="0.2">
      <c r="A230" s="339" t="s">
        <v>877</v>
      </c>
      <c r="B230" s="339" t="s">
        <v>878</v>
      </c>
      <c r="C230" s="339" t="s">
        <v>879</v>
      </c>
      <c r="D230" s="339" t="s">
        <v>292</v>
      </c>
      <c r="E230" s="339" t="s">
        <v>134</v>
      </c>
      <c r="F230" s="340">
        <v>42535</v>
      </c>
      <c r="H230" s="305"/>
      <c r="I230" s="303"/>
      <c r="J230" s="305"/>
      <c r="K230" s="305"/>
      <c r="L230" s="303"/>
    </row>
    <row r="231" spans="1:12" s="304" customFormat="1" x14ac:dyDescent="0.2">
      <c r="A231" s="339" t="s">
        <v>796</v>
      </c>
      <c r="B231" s="339" t="s">
        <v>797</v>
      </c>
      <c r="C231" s="339" t="s">
        <v>798</v>
      </c>
      <c r="D231" s="339" t="s">
        <v>292</v>
      </c>
      <c r="E231" s="339" t="s">
        <v>132</v>
      </c>
      <c r="F231" s="340">
        <v>42699</v>
      </c>
      <c r="H231" s="305"/>
      <c r="I231" s="303"/>
      <c r="J231" s="305"/>
      <c r="K231" s="305"/>
      <c r="L231" s="303"/>
    </row>
    <row r="232" spans="1:12" s="304" customFormat="1" x14ac:dyDescent="0.2">
      <c r="A232" s="339" t="s">
        <v>799</v>
      </c>
      <c r="B232" s="339" t="s">
        <v>996</v>
      </c>
      <c r="C232" s="339" t="s">
        <v>800</v>
      </c>
      <c r="D232" s="339" t="s">
        <v>292</v>
      </c>
      <c r="E232" s="339" t="s">
        <v>140</v>
      </c>
      <c r="F232" s="340">
        <v>42696</v>
      </c>
      <c r="H232" s="305"/>
      <c r="I232" s="303"/>
      <c r="J232" s="305"/>
      <c r="K232" s="305"/>
      <c r="L232" s="303"/>
    </row>
    <row r="233" spans="1:12" s="304" customFormat="1" x14ac:dyDescent="0.2">
      <c r="A233" s="339" t="s">
        <v>997</v>
      </c>
      <c r="B233" s="339" t="s">
        <v>998</v>
      </c>
      <c r="C233" s="339" t="s">
        <v>999</v>
      </c>
      <c r="D233" s="339" t="s">
        <v>146</v>
      </c>
      <c r="E233" s="339" t="s">
        <v>146</v>
      </c>
      <c r="F233" s="340">
        <v>42867</v>
      </c>
      <c r="H233" s="305"/>
      <c r="I233" s="303"/>
      <c r="J233" s="305"/>
      <c r="K233" s="305"/>
      <c r="L233" s="303"/>
    </row>
    <row r="234" spans="1:12" s="304" customFormat="1" x14ac:dyDescent="0.2">
      <c r="A234" s="339" t="s">
        <v>820</v>
      </c>
      <c r="B234" s="339" t="s">
        <v>821</v>
      </c>
      <c r="C234" s="339" t="s">
        <v>822</v>
      </c>
      <c r="D234" s="339" t="s">
        <v>292</v>
      </c>
      <c r="E234" s="339" t="s">
        <v>133</v>
      </c>
      <c r="F234" s="340">
        <v>42944</v>
      </c>
      <c r="H234" s="305"/>
      <c r="I234" s="303"/>
      <c r="J234" s="305"/>
      <c r="K234" s="305"/>
      <c r="L234" s="303"/>
    </row>
    <row r="235" spans="1:12" s="304" customFormat="1" x14ac:dyDescent="0.2">
      <c r="A235" s="339" t="s">
        <v>880</v>
      </c>
      <c r="B235" s="339" t="s">
        <v>823</v>
      </c>
      <c r="C235" s="339" t="s">
        <v>824</v>
      </c>
      <c r="D235" s="339" t="s">
        <v>292</v>
      </c>
      <c r="E235" s="339" t="s">
        <v>139</v>
      </c>
      <c r="F235" s="340">
        <v>42990</v>
      </c>
      <c r="H235" s="305"/>
      <c r="I235" s="303"/>
      <c r="J235" s="305"/>
      <c r="K235" s="305"/>
      <c r="L235" s="303"/>
    </row>
    <row r="236" spans="1:12" s="304" customFormat="1" x14ac:dyDescent="0.2">
      <c r="A236" s="339" t="s">
        <v>881</v>
      </c>
      <c r="B236" s="339" t="s">
        <v>1000</v>
      </c>
      <c r="C236" s="339" t="s">
        <v>825</v>
      </c>
      <c r="D236" s="339" t="s">
        <v>292</v>
      </c>
      <c r="E236" s="339" t="s">
        <v>132</v>
      </c>
      <c r="F236" s="340">
        <v>42860</v>
      </c>
      <c r="H236" s="305"/>
      <c r="I236" s="303"/>
      <c r="J236" s="305"/>
      <c r="K236" s="305"/>
      <c r="L236" s="303"/>
    </row>
    <row r="237" spans="1:12" s="304" customFormat="1" x14ac:dyDescent="0.2">
      <c r="A237" s="339" t="s">
        <v>826</v>
      </c>
      <c r="B237" s="339" t="s">
        <v>827</v>
      </c>
      <c r="C237" s="339" t="s">
        <v>882</v>
      </c>
      <c r="D237" s="339" t="s">
        <v>292</v>
      </c>
      <c r="E237" s="339" t="s">
        <v>133</v>
      </c>
      <c r="F237" s="340">
        <v>42909</v>
      </c>
      <c r="H237" s="305"/>
      <c r="I237" s="303"/>
      <c r="J237" s="305"/>
      <c r="K237" s="305"/>
      <c r="L237" s="303"/>
    </row>
    <row r="238" spans="1:12" s="304" customFormat="1" x14ac:dyDescent="0.2">
      <c r="A238" s="339" t="s">
        <v>828</v>
      </c>
      <c r="B238" s="339" t="s">
        <v>829</v>
      </c>
      <c r="C238" s="339" t="s">
        <v>830</v>
      </c>
      <c r="D238" s="339" t="s">
        <v>292</v>
      </c>
      <c r="E238" s="339" t="s">
        <v>140</v>
      </c>
      <c r="F238" s="340">
        <v>43049</v>
      </c>
      <c r="H238" s="305"/>
      <c r="I238" s="303"/>
      <c r="J238" s="305"/>
      <c r="K238" s="305"/>
      <c r="L238" s="303"/>
    </row>
    <row r="239" spans="1:12" s="304" customFormat="1" x14ac:dyDescent="0.2">
      <c r="A239" s="339" t="s">
        <v>831</v>
      </c>
      <c r="B239" s="339" t="s">
        <v>832</v>
      </c>
      <c r="C239" s="339" t="s">
        <v>833</v>
      </c>
      <c r="D239" s="339" t="s">
        <v>292</v>
      </c>
      <c r="E239" s="339" t="s">
        <v>145</v>
      </c>
      <c r="F239" s="340">
        <v>43049</v>
      </c>
      <c r="H239" s="305"/>
      <c r="I239" s="303"/>
      <c r="J239" s="305"/>
      <c r="K239" s="305"/>
      <c r="L239" s="303"/>
    </row>
    <row r="240" spans="1:12" s="304" customFormat="1" x14ac:dyDescent="0.2">
      <c r="A240" s="339" t="s">
        <v>1001</v>
      </c>
      <c r="B240" s="339" t="s">
        <v>834</v>
      </c>
      <c r="C240" s="339" t="s">
        <v>835</v>
      </c>
      <c r="D240" s="339" t="s">
        <v>292</v>
      </c>
      <c r="E240" s="339" t="s">
        <v>137</v>
      </c>
      <c r="F240" s="340">
        <v>43347</v>
      </c>
      <c r="H240" s="305"/>
      <c r="I240" s="303"/>
      <c r="J240" s="305"/>
      <c r="K240" s="305"/>
      <c r="L240" s="303"/>
    </row>
    <row r="241" spans="1:12" s="304" customFormat="1" x14ac:dyDescent="0.2">
      <c r="A241" s="339" t="s">
        <v>836</v>
      </c>
      <c r="B241" s="339" t="s">
        <v>837</v>
      </c>
      <c r="C241" s="339" t="s">
        <v>838</v>
      </c>
      <c r="D241" s="339" t="s">
        <v>292</v>
      </c>
      <c r="E241" s="339" t="s">
        <v>140</v>
      </c>
      <c r="F241" s="340">
        <v>43048</v>
      </c>
      <c r="H241" s="305"/>
      <c r="I241" s="303"/>
      <c r="J241" s="305"/>
      <c r="K241" s="305"/>
      <c r="L241" s="303"/>
    </row>
    <row r="242" spans="1:12" s="304" customFormat="1" x14ac:dyDescent="0.2">
      <c r="A242" s="339" t="s">
        <v>883</v>
      </c>
      <c r="B242" s="339" t="s">
        <v>839</v>
      </c>
      <c r="C242" s="339" t="s">
        <v>884</v>
      </c>
      <c r="D242" s="339" t="s">
        <v>292</v>
      </c>
      <c r="E242" s="339" t="s">
        <v>132</v>
      </c>
      <c r="F242" s="340">
        <v>43056</v>
      </c>
      <c r="H242" s="305"/>
      <c r="I242" s="303"/>
      <c r="J242" s="305"/>
      <c r="K242" s="305"/>
      <c r="L242" s="303"/>
    </row>
    <row r="243" spans="1:12" s="304" customFormat="1" x14ac:dyDescent="0.2">
      <c r="A243" s="339" t="s">
        <v>885</v>
      </c>
      <c r="B243" s="339" t="s">
        <v>840</v>
      </c>
      <c r="C243" s="339" t="s">
        <v>841</v>
      </c>
      <c r="D243" s="339" t="s">
        <v>292</v>
      </c>
      <c r="E243" s="339" t="s">
        <v>141</v>
      </c>
      <c r="F243" s="340">
        <v>43027</v>
      </c>
      <c r="H243" s="305"/>
      <c r="I243" s="303"/>
      <c r="J243" s="305"/>
      <c r="K243" s="305"/>
      <c r="L243" s="303"/>
    </row>
    <row r="244" spans="1:12" s="304" customFormat="1" x14ac:dyDescent="0.2">
      <c r="A244" s="339" t="s">
        <v>842</v>
      </c>
      <c r="B244" s="339" t="s">
        <v>843</v>
      </c>
      <c r="C244" s="339" t="s">
        <v>844</v>
      </c>
      <c r="D244" s="339" t="s">
        <v>292</v>
      </c>
      <c r="E244" s="339" t="s">
        <v>140</v>
      </c>
      <c r="F244" s="340">
        <v>43056</v>
      </c>
      <c r="H244" s="305"/>
      <c r="I244" s="303"/>
      <c r="J244" s="305"/>
      <c r="K244" s="305"/>
      <c r="L244" s="303"/>
    </row>
    <row r="245" spans="1:12" s="304" customFormat="1" x14ac:dyDescent="0.2">
      <c r="A245" s="339" t="s">
        <v>1002</v>
      </c>
      <c r="B245" s="339" t="s">
        <v>886</v>
      </c>
      <c r="C245" s="339" t="s">
        <v>887</v>
      </c>
      <c r="D245" s="339" t="s">
        <v>292</v>
      </c>
      <c r="E245" s="339" t="s">
        <v>131</v>
      </c>
      <c r="F245" s="340">
        <v>43175</v>
      </c>
      <c r="H245" s="305"/>
      <c r="I245" s="303"/>
      <c r="J245" s="305"/>
      <c r="K245" s="305"/>
      <c r="L245" s="303"/>
    </row>
    <row r="246" spans="1:12" s="304" customFormat="1" x14ac:dyDescent="0.2">
      <c r="A246" s="339" t="s">
        <v>1003</v>
      </c>
      <c r="B246" s="339" t="s">
        <v>1162</v>
      </c>
      <c r="C246" s="339" t="s">
        <v>1163</v>
      </c>
      <c r="D246" s="339" t="s">
        <v>292</v>
      </c>
      <c r="E246" s="339" t="s">
        <v>141</v>
      </c>
      <c r="F246" s="340">
        <v>43182</v>
      </c>
      <c r="H246" s="305"/>
      <c r="I246" s="303"/>
      <c r="J246" s="305"/>
      <c r="K246" s="305"/>
      <c r="L246" s="303"/>
    </row>
    <row r="247" spans="1:12" s="304" customFormat="1" x14ac:dyDescent="0.2">
      <c r="A247" s="339" t="s">
        <v>888</v>
      </c>
      <c r="B247" s="339" t="s">
        <v>1164</v>
      </c>
      <c r="C247" s="339" t="s">
        <v>1165</v>
      </c>
      <c r="D247" s="339" t="s">
        <v>292</v>
      </c>
      <c r="E247" s="339" t="s">
        <v>140</v>
      </c>
      <c r="F247" s="340">
        <v>43291</v>
      </c>
      <c r="H247" s="305"/>
      <c r="I247" s="303"/>
      <c r="J247" s="305"/>
      <c r="K247" s="305"/>
      <c r="L247" s="303"/>
    </row>
    <row r="248" spans="1:12" s="304" customFormat="1" x14ac:dyDescent="0.2">
      <c r="A248" s="339" t="s">
        <v>889</v>
      </c>
      <c r="B248" s="339" t="s">
        <v>890</v>
      </c>
      <c r="C248" s="339" t="s">
        <v>1081</v>
      </c>
      <c r="D248" s="339" t="s">
        <v>292</v>
      </c>
      <c r="E248" s="339" t="s">
        <v>140</v>
      </c>
      <c r="F248" s="340">
        <v>43704</v>
      </c>
      <c r="H248" s="305"/>
      <c r="I248" s="303"/>
      <c r="J248" s="305"/>
      <c r="K248" s="305"/>
      <c r="L248" s="303"/>
    </row>
    <row r="249" spans="1:12" s="304" customFormat="1" x14ac:dyDescent="0.2">
      <c r="A249" s="339" t="s">
        <v>1004</v>
      </c>
      <c r="B249" s="339" t="s">
        <v>891</v>
      </c>
      <c r="C249" s="339" t="s">
        <v>892</v>
      </c>
      <c r="D249" s="339" t="s">
        <v>292</v>
      </c>
      <c r="E249" s="339" t="s">
        <v>131</v>
      </c>
      <c r="F249" s="340">
        <v>43305</v>
      </c>
      <c r="H249" s="305"/>
      <c r="I249" s="303"/>
      <c r="J249" s="305"/>
      <c r="K249" s="305"/>
      <c r="L249" s="303"/>
    </row>
    <row r="250" spans="1:12" s="304" customFormat="1" x14ac:dyDescent="0.2">
      <c r="A250" s="339" t="s">
        <v>1166</v>
      </c>
      <c r="B250" s="339" t="s">
        <v>1005</v>
      </c>
      <c r="C250" s="339" t="s">
        <v>1006</v>
      </c>
      <c r="D250" s="339" t="s">
        <v>292</v>
      </c>
      <c r="E250" s="339" t="s">
        <v>140</v>
      </c>
      <c r="F250" s="340">
        <v>43361</v>
      </c>
      <c r="H250" s="305"/>
      <c r="I250" s="303"/>
      <c r="J250" s="305"/>
      <c r="K250" s="305"/>
      <c r="L250" s="303"/>
    </row>
    <row r="251" spans="1:12" s="304" customFormat="1" x14ac:dyDescent="0.2">
      <c r="A251" s="339" t="s">
        <v>893</v>
      </c>
      <c r="B251" s="339" t="s">
        <v>894</v>
      </c>
      <c r="C251" s="339" t="s">
        <v>895</v>
      </c>
      <c r="D251" s="339" t="s">
        <v>292</v>
      </c>
      <c r="E251" s="339" t="s">
        <v>141</v>
      </c>
      <c r="F251" s="340">
        <v>43441</v>
      </c>
      <c r="H251" s="305"/>
      <c r="I251" s="303"/>
      <c r="J251" s="305"/>
      <c r="K251" s="305"/>
      <c r="L251" s="303"/>
    </row>
    <row r="252" spans="1:12" s="304" customFormat="1" x14ac:dyDescent="0.2">
      <c r="A252" s="339" t="s">
        <v>1007</v>
      </c>
      <c r="B252" s="339" t="s">
        <v>1008</v>
      </c>
      <c r="C252" s="339" t="s">
        <v>1009</v>
      </c>
      <c r="D252" s="339" t="s">
        <v>292</v>
      </c>
      <c r="E252" s="339" t="s">
        <v>137</v>
      </c>
      <c r="F252" s="340">
        <v>43760</v>
      </c>
      <c r="H252" s="305"/>
      <c r="I252" s="303"/>
      <c r="J252" s="305"/>
      <c r="K252" s="305"/>
      <c r="L252" s="303"/>
    </row>
    <row r="253" spans="1:12" s="304" customFormat="1" x14ac:dyDescent="0.2">
      <c r="A253" s="339" t="s">
        <v>1010</v>
      </c>
      <c r="B253" s="339" t="s">
        <v>1011</v>
      </c>
      <c r="C253" s="339" t="s">
        <v>1012</v>
      </c>
      <c r="D253" s="339" t="s">
        <v>292</v>
      </c>
      <c r="E253" s="339" t="s">
        <v>131</v>
      </c>
      <c r="F253" s="340">
        <v>43605</v>
      </c>
      <c r="H253" s="305"/>
      <c r="I253" s="303"/>
      <c r="J253" s="305"/>
      <c r="K253" s="305"/>
      <c r="L253" s="303"/>
    </row>
    <row r="254" spans="1:12" s="304" customFormat="1" x14ac:dyDescent="0.2">
      <c r="A254" s="339" t="s">
        <v>1082</v>
      </c>
      <c r="B254" s="339" t="s">
        <v>1013</v>
      </c>
      <c r="C254" s="339" t="s">
        <v>1014</v>
      </c>
      <c r="D254" s="339" t="s">
        <v>292</v>
      </c>
      <c r="E254" s="339" t="s">
        <v>131</v>
      </c>
      <c r="F254" s="340">
        <v>43664</v>
      </c>
      <c r="H254" s="305"/>
      <c r="I254" s="303"/>
      <c r="J254" s="305"/>
      <c r="K254" s="305"/>
      <c r="L254" s="303"/>
    </row>
    <row r="255" spans="1:12" s="304" customFormat="1" x14ac:dyDescent="0.2">
      <c r="A255" s="339" t="s">
        <v>1015</v>
      </c>
      <c r="B255" s="339" t="s">
        <v>1016</v>
      </c>
      <c r="C255" s="339" t="s">
        <v>1017</v>
      </c>
      <c r="D255" s="339" t="s">
        <v>292</v>
      </c>
      <c r="E255" s="339" t="s">
        <v>140</v>
      </c>
      <c r="F255" s="340">
        <v>43707</v>
      </c>
      <c r="H255" s="305"/>
      <c r="I255" s="303"/>
      <c r="J255" s="305"/>
      <c r="K255" s="305"/>
      <c r="L255" s="303"/>
    </row>
    <row r="256" spans="1:12" s="304" customFormat="1" x14ac:dyDescent="0.2">
      <c r="A256" s="339" t="s">
        <v>1083</v>
      </c>
      <c r="B256" s="339" t="s">
        <v>1018</v>
      </c>
      <c r="C256" s="339" t="s">
        <v>1019</v>
      </c>
      <c r="D256" s="339" t="s">
        <v>292</v>
      </c>
      <c r="E256" s="339" t="s">
        <v>131</v>
      </c>
      <c r="F256" s="340">
        <v>43997</v>
      </c>
      <c r="H256" s="305"/>
      <c r="I256" s="303"/>
      <c r="J256" s="305"/>
      <c r="K256" s="305"/>
      <c r="L256" s="303"/>
    </row>
    <row r="257" spans="1:12" s="304" customFormat="1" x14ac:dyDescent="0.2">
      <c r="A257" s="339" t="s">
        <v>1020</v>
      </c>
      <c r="B257" s="339" t="s">
        <v>1021</v>
      </c>
      <c r="C257" s="339" t="s">
        <v>1022</v>
      </c>
      <c r="D257" s="339" t="s">
        <v>27</v>
      </c>
      <c r="E257" s="339" t="s">
        <v>27</v>
      </c>
      <c r="F257" s="340">
        <v>43655</v>
      </c>
      <c r="H257" s="305"/>
      <c r="I257" s="303"/>
      <c r="J257" s="305"/>
      <c r="K257" s="305"/>
      <c r="L257" s="303"/>
    </row>
    <row r="258" spans="1:12" s="304" customFormat="1" x14ac:dyDescent="0.2">
      <c r="A258" s="339" t="s">
        <v>1023</v>
      </c>
      <c r="B258" s="339" t="s">
        <v>1024</v>
      </c>
      <c r="C258" s="339" t="s">
        <v>1025</v>
      </c>
      <c r="D258" s="339" t="s">
        <v>292</v>
      </c>
      <c r="E258" s="339" t="s">
        <v>139</v>
      </c>
      <c r="F258" s="340">
        <v>43649</v>
      </c>
      <c r="H258" s="305"/>
      <c r="I258" s="303"/>
      <c r="J258" s="305"/>
      <c r="K258" s="305"/>
      <c r="L258" s="303"/>
    </row>
    <row r="259" spans="1:12" s="304" customFormat="1" x14ac:dyDescent="0.2">
      <c r="A259" s="339" t="s">
        <v>1026</v>
      </c>
      <c r="B259" s="339" t="s">
        <v>1027</v>
      </c>
      <c r="C259" s="339" t="s">
        <v>1028</v>
      </c>
      <c r="D259" s="339" t="s">
        <v>292</v>
      </c>
      <c r="E259" s="339" t="s">
        <v>144</v>
      </c>
      <c r="F259" s="340">
        <v>43599</v>
      </c>
      <c r="H259" s="305"/>
      <c r="I259" s="303"/>
      <c r="J259" s="305"/>
      <c r="K259" s="305"/>
      <c r="L259" s="303"/>
    </row>
    <row r="260" spans="1:12" s="304" customFormat="1" x14ac:dyDescent="0.2">
      <c r="A260" s="339" t="s">
        <v>1084</v>
      </c>
      <c r="B260" s="339" t="s">
        <v>1029</v>
      </c>
      <c r="C260" s="339" t="s">
        <v>1030</v>
      </c>
      <c r="D260" s="339" t="s">
        <v>292</v>
      </c>
      <c r="E260" s="339" t="s">
        <v>142</v>
      </c>
      <c r="F260" s="340">
        <v>43735</v>
      </c>
      <c r="H260" s="305"/>
      <c r="I260" s="303"/>
      <c r="J260" s="305"/>
      <c r="K260" s="305"/>
      <c r="L260" s="303"/>
    </row>
    <row r="261" spans="1:12" s="304" customFormat="1" x14ac:dyDescent="0.2">
      <c r="A261" s="339" t="s">
        <v>1167</v>
      </c>
      <c r="B261" s="339" t="s">
        <v>1168</v>
      </c>
      <c r="C261" s="339" t="s">
        <v>1169</v>
      </c>
      <c r="D261" s="339" t="s">
        <v>146</v>
      </c>
      <c r="E261" s="339" t="s">
        <v>146</v>
      </c>
      <c r="F261" s="340">
        <v>44349</v>
      </c>
      <c r="H261" s="305"/>
      <c r="I261" s="303"/>
      <c r="J261" s="305"/>
      <c r="K261" s="305"/>
      <c r="L261" s="303"/>
    </row>
    <row r="262" spans="1:12" s="304" customFormat="1" x14ac:dyDescent="0.2">
      <c r="A262" s="339" t="s">
        <v>1170</v>
      </c>
      <c r="B262" s="339" t="s">
        <v>1031</v>
      </c>
      <c r="C262" s="339" t="s">
        <v>1032</v>
      </c>
      <c r="D262" s="339" t="s">
        <v>292</v>
      </c>
      <c r="E262" s="339" t="s">
        <v>144</v>
      </c>
      <c r="F262" s="340">
        <v>43859</v>
      </c>
      <c r="H262" s="305"/>
      <c r="I262" s="303"/>
      <c r="J262" s="305"/>
      <c r="K262" s="305"/>
      <c r="L262" s="303"/>
    </row>
    <row r="263" spans="1:12" s="304" customFormat="1" x14ac:dyDescent="0.2">
      <c r="A263" s="339" t="s">
        <v>1171</v>
      </c>
      <c r="B263" s="339" t="s">
        <v>1172</v>
      </c>
      <c r="C263" s="339" t="s">
        <v>1173</v>
      </c>
      <c r="D263" s="339" t="s">
        <v>292</v>
      </c>
      <c r="E263" s="339" t="s">
        <v>137</v>
      </c>
      <c r="F263" s="340">
        <v>44068</v>
      </c>
      <c r="H263" s="305"/>
      <c r="I263" s="303"/>
      <c r="J263" s="305"/>
      <c r="K263" s="305"/>
      <c r="L263" s="303"/>
    </row>
    <row r="264" spans="1:12" s="304" customFormat="1" x14ac:dyDescent="0.2">
      <c r="A264" s="339" t="s">
        <v>1033</v>
      </c>
      <c r="B264" s="339" t="s">
        <v>1034</v>
      </c>
      <c r="C264" s="339" t="s">
        <v>1035</v>
      </c>
      <c r="D264" s="339" t="s">
        <v>292</v>
      </c>
      <c r="E264" s="339" t="s">
        <v>133</v>
      </c>
      <c r="F264" s="340">
        <v>43854</v>
      </c>
      <c r="H264" s="305"/>
      <c r="I264" s="303"/>
      <c r="J264" s="305"/>
      <c r="K264" s="305"/>
      <c r="L264" s="303"/>
    </row>
    <row r="265" spans="1:12" s="304" customFormat="1" x14ac:dyDescent="0.2">
      <c r="A265" s="339" t="s">
        <v>1085</v>
      </c>
      <c r="B265" s="339" t="s">
        <v>1036</v>
      </c>
      <c r="C265" s="339" t="s">
        <v>1037</v>
      </c>
      <c r="D265" s="339" t="s">
        <v>292</v>
      </c>
      <c r="E265" s="339" t="s">
        <v>136</v>
      </c>
      <c r="F265" s="340">
        <v>43760</v>
      </c>
      <c r="H265" s="305"/>
      <c r="I265" s="303"/>
      <c r="J265" s="305"/>
      <c r="K265" s="305"/>
      <c r="L265" s="303"/>
    </row>
    <row r="266" spans="1:12" s="304" customFormat="1" x14ac:dyDescent="0.2">
      <c r="A266" s="339" t="s">
        <v>1038</v>
      </c>
      <c r="B266" s="339" t="s">
        <v>1039</v>
      </c>
      <c r="C266" s="339" t="s">
        <v>1040</v>
      </c>
      <c r="D266" s="339" t="s">
        <v>292</v>
      </c>
      <c r="E266" s="339" t="s">
        <v>132</v>
      </c>
      <c r="F266" s="340">
        <v>43808</v>
      </c>
      <c r="H266" s="305"/>
      <c r="I266" s="303"/>
      <c r="J266" s="305"/>
      <c r="K266" s="305"/>
      <c r="L266" s="303"/>
    </row>
    <row r="267" spans="1:12" s="304" customFormat="1" x14ac:dyDescent="0.2">
      <c r="A267" s="339" t="s">
        <v>1041</v>
      </c>
      <c r="B267" s="339" t="s">
        <v>1042</v>
      </c>
      <c r="C267" s="339" t="s">
        <v>1043</v>
      </c>
      <c r="D267" s="339" t="s">
        <v>292</v>
      </c>
      <c r="E267" s="339" t="s">
        <v>133</v>
      </c>
      <c r="F267" s="340">
        <v>43854</v>
      </c>
      <c r="H267" s="305"/>
      <c r="I267" s="303"/>
      <c r="J267" s="305"/>
      <c r="K267" s="305"/>
      <c r="L267" s="303"/>
    </row>
    <row r="268" spans="1:12" s="304" customFormat="1" x14ac:dyDescent="0.2">
      <c r="A268" s="339" t="s">
        <v>1044</v>
      </c>
      <c r="B268" s="339" t="s">
        <v>1045</v>
      </c>
      <c r="C268" s="339" t="s">
        <v>1046</v>
      </c>
      <c r="D268" s="339" t="s">
        <v>292</v>
      </c>
      <c r="E268" s="339" t="s">
        <v>143</v>
      </c>
      <c r="F268" s="340">
        <v>43777</v>
      </c>
      <c r="H268" s="305"/>
      <c r="I268" s="303"/>
      <c r="J268" s="305"/>
      <c r="K268" s="305"/>
      <c r="L268" s="303"/>
    </row>
    <row r="269" spans="1:12" s="304" customFormat="1" x14ac:dyDescent="0.2">
      <c r="A269" s="339" t="s">
        <v>1047</v>
      </c>
      <c r="B269" s="339" t="s">
        <v>1048</v>
      </c>
      <c r="C269" s="339" t="s">
        <v>1049</v>
      </c>
      <c r="D269" s="339" t="s">
        <v>292</v>
      </c>
      <c r="E269" s="339" t="s">
        <v>133</v>
      </c>
      <c r="F269" s="340">
        <v>43847</v>
      </c>
      <c r="H269" s="305"/>
      <c r="I269" s="303"/>
      <c r="J269" s="305"/>
      <c r="K269" s="305"/>
      <c r="L269" s="303"/>
    </row>
    <row r="270" spans="1:12" s="304" customFormat="1" x14ac:dyDescent="0.2">
      <c r="A270" s="339" t="s">
        <v>1174</v>
      </c>
      <c r="B270" s="339" t="s">
        <v>1175</v>
      </c>
      <c r="C270" s="339" t="s">
        <v>1176</v>
      </c>
      <c r="D270" s="339" t="s">
        <v>292</v>
      </c>
      <c r="E270" s="339" t="s">
        <v>136</v>
      </c>
      <c r="F270" s="340">
        <v>44162</v>
      </c>
      <c r="H270" s="305"/>
      <c r="I270" s="303"/>
      <c r="J270" s="305"/>
      <c r="K270" s="305"/>
      <c r="L270" s="303"/>
    </row>
    <row r="271" spans="1:12" s="304" customFormat="1" x14ac:dyDescent="0.2">
      <c r="A271" s="339" t="s">
        <v>1177</v>
      </c>
      <c r="B271" s="339" t="s">
        <v>1178</v>
      </c>
      <c r="C271" s="339" t="s">
        <v>1179</v>
      </c>
      <c r="D271" s="339" t="s">
        <v>292</v>
      </c>
      <c r="E271" s="339" t="s">
        <v>143</v>
      </c>
      <c r="F271" s="340">
        <v>44363</v>
      </c>
      <c r="H271" s="305"/>
      <c r="I271" s="303"/>
      <c r="J271" s="305"/>
      <c r="K271" s="305"/>
      <c r="L271" s="303"/>
    </row>
    <row r="272" spans="1:12" s="304" customFormat="1" x14ac:dyDescent="0.2">
      <c r="A272" s="339" t="s">
        <v>1180</v>
      </c>
      <c r="B272" s="339" t="s">
        <v>1181</v>
      </c>
      <c r="C272" s="339" t="s">
        <v>1182</v>
      </c>
      <c r="D272" s="339" t="s">
        <v>292</v>
      </c>
      <c r="E272" s="339" t="s">
        <v>134</v>
      </c>
      <c r="F272" s="340">
        <v>44085</v>
      </c>
      <c r="H272" s="305"/>
      <c r="I272" s="303"/>
      <c r="J272" s="305"/>
      <c r="K272" s="305"/>
      <c r="L272" s="303"/>
    </row>
    <row r="273" spans="1:12" s="304" customFormat="1" x14ac:dyDescent="0.2">
      <c r="A273" s="339" t="s">
        <v>1183</v>
      </c>
      <c r="B273" s="339" t="s">
        <v>1184</v>
      </c>
      <c r="C273" s="339" t="s">
        <v>1185</v>
      </c>
      <c r="D273" s="339" t="s">
        <v>292</v>
      </c>
      <c r="E273" s="339" t="s">
        <v>140</v>
      </c>
      <c r="F273" s="340">
        <v>44368</v>
      </c>
      <c r="H273" s="305"/>
      <c r="I273" s="303"/>
      <c r="J273" s="305"/>
      <c r="K273" s="305"/>
      <c r="L273" s="303"/>
    </row>
    <row r="274" spans="1:12" s="304" customFormat="1" x14ac:dyDescent="0.2">
      <c r="A274" s="339" t="s">
        <v>1186</v>
      </c>
      <c r="B274" s="339" t="s">
        <v>1187</v>
      </c>
      <c r="C274" s="339" t="s">
        <v>1188</v>
      </c>
      <c r="D274" s="339" t="s">
        <v>292</v>
      </c>
      <c r="E274" s="339" t="s">
        <v>140</v>
      </c>
      <c r="F274" s="340">
        <v>44176</v>
      </c>
      <c r="H274" s="305"/>
      <c r="I274" s="303"/>
      <c r="J274" s="305"/>
      <c r="K274" s="305"/>
      <c r="L274" s="303"/>
    </row>
    <row r="275" spans="1:12" s="304" customFormat="1" x14ac:dyDescent="0.2">
      <c r="A275" s="339" t="s">
        <v>1189</v>
      </c>
      <c r="B275" s="339" t="s">
        <v>1190</v>
      </c>
      <c r="C275" s="339" t="s">
        <v>1191</v>
      </c>
      <c r="D275" s="339" t="s">
        <v>292</v>
      </c>
      <c r="E275" s="339" t="s">
        <v>137</v>
      </c>
      <c r="F275" s="340">
        <v>44344</v>
      </c>
      <c r="H275" s="305"/>
      <c r="I275" s="303"/>
      <c r="J275" s="305"/>
      <c r="K275" s="305"/>
      <c r="L275" s="303"/>
    </row>
    <row r="276" spans="1:12" s="304" customFormat="1" x14ac:dyDescent="0.2">
      <c r="A276" s="339" t="s">
        <v>1192</v>
      </c>
      <c r="B276" s="339" t="s">
        <v>1193</v>
      </c>
      <c r="C276" s="339" t="s">
        <v>1194</v>
      </c>
      <c r="D276" s="339" t="s">
        <v>292</v>
      </c>
      <c r="E276" s="339" t="s">
        <v>133</v>
      </c>
      <c r="F276" s="340">
        <v>44166</v>
      </c>
      <c r="H276" s="305"/>
      <c r="I276" s="303"/>
      <c r="J276" s="305"/>
      <c r="K276" s="305"/>
      <c r="L276" s="303"/>
    </row>
    <row r="277" spans="1:12" s="304" customFormat="1" x14ac:dyDescent="0.2">
      <c r="A277" s="339" t="s">
        <v>1195</v>
      </c>
      <c r="B277" s="339" t="s">
        <v>1196</v>
      </c>
      <c r="C277" s="339" t="s">
        <v>1197</v>
      </c>
      <c r="D277" s="339" t="s">
        <v>146</v>
      </c>
      <c r="E277" s="339" t="s">
        <v>146</v>
      </c>
      <c r="F277" s="340">
        <v>44369</v>
      </c>
      <c r="H277" s="305"/>
      <c r="I277" s="303"/>
      <c r="J277" s="305"/>
      <c r="K277" s="305"/>
      <c r="L277" s="303"/>
    </row>
    <row r="278" spans="1:12" s="304" customFormat="1" x14ac:dyDescent="0.2">
      <c r="A278" s="339" t="s">
        <v>1198</v>
      </c>
      <c r="B278" s="339" t="s">
        <v>1199</v>
      </c>
      <c r="C278" s="339" t="s">
        <v>1200</v>
      </c>
      <c r="D278" s="339" t="s">
        <v>292</v>
      </c>
      <c r="E278" s="339" t="s">
        <v>132</v>
      </c>
      <c r="F278" s="340">
        <v>44335</v>
      </c>
      <c r="H278" s="305"/>
      <c r="I278" s="303"/>
      <c r="J278" s="305"/>
      <c r="K278" s="305"/>
      <c r="L278" s="303"/>
    </row>
    <row r="279" spans="1:12" s="304" customFormat="1" x14ac:dyDescent="0.2">
      <c r="A279" s="339" t="s">
        <v>1201</v>
      </c>
      <c r="B279" s="339" t="s">
        <v>1202</v>
      </c>
      <c r="C279" s="339" t="s">
        <v>1203</v>
      </c>
      <c r="D279" s="339" t="s">
        <v>292</v>
      </c>
      <c r="E279" s="339" t="s">
        <v>140</v>
      </c>
      <c r="F279" s="340">
        <v>44400</v>
      </c>
      <c r="H279" s="305"/>
      <c r="I279" s="303"/>
      <c r="J279" s="305"/>
      <c r="K279" s="305"/>
      <c r="L279" s="303"/>
    </row>
    <row r="280" spans="1:12" s="304" customFormat="1" x14ac:dyDescent="0.2">
      <c r="A280" s="339" t="s">
        <v>1204</v>
      </c>
      <c r="B280" s="339" t="s">
        <v>1205</v>
      </c>
      <c r="C280" s="339" t="s">
        <v>1206</v>
      </c>
      <c r="D280" s="339" t="s">
        <v>292</v>
      </c>
      <c r="E280" s="339" t="s">
        <v>140</v>
      </c>
      <c r="F280" s="340">
        <v>44398</v>
      </c>
      <c r="H280" s="305"/>
      <c r="I280" s="303"/>
      <c r="J280" s="305"/>
      <c r="K280" s="305"/>
      <c r="L280" s="303"/>
    </row>
    <row r="281" spans="1:12" s="304" customFormat="1" x14ac:dyDescent="0.2">
      <c r="A281" s="339" t="s">
        <v>1207</v>
      </c>
      <c r="B281" s="339" t="s">
        <v>1208</v>
      </c>
      <c r="C281" s="339" t="s">
        <v>1209</v>
      </c>
      <c r="D281" s="339" t="s">
        <v>292</v>
      </c>
      <c r="E281" s="339" t="s">
        <v>142</v>
      </c>
      <c r="F281" s="340">
        <v>44370</v>
      </c>
      <c r="H281" s="305"/>
      <c r="I281" s="303"/>
      <c r="J281" s="305"/>
      <c r="K281" s="305"/>
      <c r="L281" s="303"/>
    </row>
    <row r="282" spans="1:12" s="304" customFormat="1" x14ac:dyDescent="0.2">
      <c r="A282" s="339" t="s">
        <v>1227</v>
      </c>
      <c r="B282" s="339" t="s">
        <v>1228</v>
      </c>
      <c r="C282" s="339" t="s">
        <v>1229</v>
      </c>
      <c r="D282" s="339" t="s">
        <v>292</v>
      </c>
      <c r="E282" s="339" t="s">
        <v>145</v>
      </c>
      <c r="F282" s="340">
        <v>44456</v>
      </c>
      <c r="H282" s="305"/>
      <c r="I282" s="303"/>
      <c r="J282" s="305"/>
      <c r="K282" s="305"/>
      <c r="L282" s="303"/>
    </row>
    <row r="283" spans="1:12" s="112" customFormat="1" x14ac:dyDescent="0.2">
      <c r="A283" s="56" t="s">
        <v>314</v>
      </c>
      <c r="B283" s="89" t="s">
        <v>315</v>
      </c>
      <c r="C283" s="89" t="s">
        <v>315</v>
      </c>
      <c r="D283" s="89" t="s">
        <v>315</v>
      </c>
      <c r="E283" s="89" t="s">
        <v>315</v>
      </c>
      <c r="F283" s="340" t="s">
        <v>315</v>
      </c>
    </row>
    <row r="284" spans="1:12" s="112" customFormat="1" x14ac:dyDescent="0.2"/>
    <row r="285" spans="1:12" s="112" customFormat="1" x14ac:dyDescent="0.2"/>
    <row r="286" spans="1:12" s="112" customFormat="1" x14ac:dyDescent="0.2"/>
    <row r="287" spans="1:12" s="112" customFormat="1" x14ac:dyDescent="0.2"/>
    <row r="288" spans="1:12" s="112" customFormat="1" x14ac:dyDescent="0.2"/>
    <row r="289" s="112" customFormat="1" x14ac:dyDescent="0.2"/>
    <row r="290" s="112" customFormat="1" x14ac:dyDescent="0.2"/>
    <row r="291" s="112" customFormat="1" x14ac:dyDescent="0.2"/>
    <row r="292" s="112" customFormat="1" x14ac:dyDescent="0.2"/>
    <row r="293" s="112" customFormat="1" x14ac:dyDescent="0.2"/>
    <row r="294" s="112" customFormat="1" x14ac:dyDescent="0.2"/>
    <row r="295" s="112" customFormat="1" x14ac:dyDescent="0.2"/>
    <row r="296" s="112" customFormat="1" x14ac:dyDescent="0.2"/>
    <row r="297" s="112" customFormat="1" x14ac:dyDescent="0.2"/>
    <row r="298" s="112" customFormat="1" x14ac:dyDescent="0.2"/>
    <row r="299" s="112" customFormat="1" x14ac:dyDescent="0.2"/>
    <row r="300" s="112" customFormat="1" x14ac:dyDescent="0.2"/>
    <row r="301" s="112" customFormat="1" x14ac:dyDescent="0.2"/>
    <row r="302" s="112" customFormat="1" x14ac:dyDescent="0.2"/>
    <row r="303" s="112" customFormat="1" x14ac:dyDescent="0.2"/>
    <row r="304" s="112" customFormat="1" x14ac:dyDescent="0.2"/>
    <row r="305" s="112" customFormat="1" x14ac:dyDescent="0.2"/>
    <row r="306" s="112" customFormat="1" x14ac:dyDescent="0.2"/>
    <row r="307" s="112" customFormat="1" x14ac:dyDescent="0.2"/>
    <row r="308" s="112" customFormat="1" x14ac:dyDescent="0.2"/>
    <row r="309" s="112" customFormat="1" x14ac:dyDescent="0.2"/>
    <row r="310" s="112" customFormat="1" x14ac:dyDescent="0.2"/>
    <row r="311" s="112" customFormat="1" x14ac:dyDescent="0.2"/>
    <row r="312" s="112" customFormat="1" x14ac:dyDescent="0.2"/>
    <row r="313" s="112" customFormat="1" x14ac:dyDescent="0.2"/>
    <row r="314" s="112" customFormat="1" x14ac:dyDescent="0.2"/>
    <row r="315" s="112" customFormat="1" x14ac:dyDescent="0.2"/>
    <row r="316" s="112" customFormat="1" x14ac:dyDescent="0.2"/>
    <row r="317" s="112" customFormat="1" x14ac:dyDescent="0.2"/>
    <row r="318" s="112" customFormat="1" x14ac:dyDescent="0.2"/>
    <row r="319" s="112" customFormat="1" x14ac:dyDescent="0.2"/>
    <row r="320" s="112" customFormat="1" x14ac:dyDescent="0.2"/>
    <row r="321" s="112" customFormat="1" x14ac:dyDescent="0.2"/>
    <row r="322" s="112" customFormat="1" x14ac:dyDescent="0.2"/>
    <row r="323" s="112" customFormat="1" x14ac:dyDescent="0.2"/>
    <row r="324" s="112" customFormat="1" x14ac:dyDescent="0.2"/>
    <row r="325" s="112" customFormat="1" x14ac:dyDescent="0.2"/>
    <row r="326" s="112" customFormat="1" x14ac:dyDescent="0.2"/>
    <row r="327" s="112" customFormat="1" x14ac:dyDescent="0.2"/>
    <row r="328" s="112" customFormat="1" x14ac:dyDescent="0.2"/>
    <row r="329" s="112" customFormat="1" x14ac:dyDescent="0.2"/>
    <row r="330" s="112" customFormat="1" x14ac:dyDescent="0.2"/>
    <row r="331" s="112" customFormat="1" x14ac:dyDescent="0.2"/>
    <row r="332" s="112" customFormat="1" x14ac:dyDescent="0.2"/>
    <row r="333" s="112" customFormat="1" x14ac:dyDescent="0.2"/>
    <row r="334" s="112" customFormat="1" x14ac:dyDescent="0.2"/>
    <row r="335" s="112" customFormat="1" x14ac:dyDescent="0.2"/>
    <row r="336" s="112" customFormat="1" x14ac:dyDescent="0.2"/>
    <row r="337" s="112" customFormat="1" x14ac:dyDescent="0.2"/>
    <row r="338" s="112" customFormat="1" x14ac:dyDescent="0.2"/>
    <row r="339" s="112" customFormat="1" x14ac:dyDescent="0.2"/>
    <row r="340" s="112" customFormat="1" x14ac:dyDescent="0.2"/>
    <row r="341" s="112" customFormat="1" x14ac:dyDescent="0.2"/>
    <row r="342" s="112" customFormat="1" x14ac:dyDescent="0.2"/>
    <row r="343" s="112" customFormat="1" x14ac:dyDescent="0.2"/>
    <row r="344" s="112" customFormat="1" x14ac:dyDescent="0.2"/>
    <row r="345" s="112" customFormat="1" x14ac:dyDescent="0.2"/>
    <row r="346" s="112" customFormat="1" x14ac:dyDescent="0.2"/>
    <row r="347" s="112" customFormat="1" x14ac:dyDescent="0.2"/>
    <row r="348" s="112" customFormat="1" x14ac:dyDescent="0.2"/>
    <row r="349" s="112" customFormat="1" x14ac:dyDescent="0.2"/>
    <row r="350" s="112" customFormat="1" x14ac:dyDescent="0.2"/>
    <row r="351" s="112" customFormat="1" x14ac:dyDescent="0.2"/>
    <row r="352" s="112" customFormat="1" x14ac:dyDescent="0.2"/>
    <row r="353" s="112" customFormat="1" x14ac:dyDescent="0.2"/>
    <row r="354" s="112" customFormat="1" x14ac:dyDescent="0.2"/>
    <row r="355" s="112" customFormat="1" x14ac:dyDescent="0.2"/>
    <row r="356" s="112" customFormat="1" x14ac:dyDescent="0.2"/>
    <row r="357" s="112" customFormat="1" x14ac:dyDescent="0.2"/>
    <row r="358" s="112" customFormat="1" x14ac:dyDescent="0.2"/>
    <row r="359" s="112" customFormat="1" x14ac:dyDescent="0.2"/>
    <row r="360" s="112" customFormat="1" x14ac:dyDescent="0.2"/>
    <row r="361" s="112" customFormat="1" x14ac:dyDescent="0.2"/>
    <row r="362" s="112" customFormat="1" x14ac:dyDescent="0.2"/>
    <row r="363" s="112" customFormat="1" x14ac:dyDescent="0.2"/>
    <row r="364" s="112" customFormat="1" x14ac:dyDescent="0.2"/>
    <row r="365" s="112" customFormat="1" x14ac:dyDescent="0.2"/>
    <row r="366" s="112" customFormat="1" x14ac:dyDescent="0.2"/>
    <row r="367" s="112" customFormat="1" x14ac:dyDescent="0.2"/>
    <row r="368" s="112" customFormat="1" x14ac:dyDescent="0.2"/>
    <row r="369" s="112" customFormat="1" x14ac:dyDescent="0.2"/>
    <row r="370" s="112" customFormat="1" x14ac:dyDescent="0.2"/>
    <row r="371" s="112" customFormat="1" x14ac:dyDescent="0.2"/>
    <row r="372" s="112" customFormat="1" x14ac:dyDescent="0.2"/>
    <row r="373" s="112" customFormat="1" x14ac:dyDescent="0.2"/>
    <row r="374" s="112" customFormat="1" x14ac:dyDescent="0.2"/>
    <row r="375" s="112" customFormat="1" x14ac:dyDescent="0.2"/>
    <row r="376" s="112" customFormat="1" x14ac:dyDescent="0.2"/>
    <row r="377" s="112" customFormat="1" x14ac:dyDescent="0.2"/>
    <row r="378" s="112" customFormat="1" x14ac:dyDescent="0.2"/>
    <row r="379" s="112" customFormat="1" x14ac:dyDescent="0.2"/>
    <row r="380" s="112" customFormat="1" x14ac:dyDescent="0.2"/>
    <row r="381" s="112" customFormat="1" x14ac:dyDescent="0.2"/>
    <row r="382" s="112" customFormat="1" x14ac:dyDescent="0.2"/>
    <row r="383" s="112" customFormat="1" x14ac:dyDescent="0.2"/>
    <row r="384" s="112" customFormat="1" x14ac:dyDescent="0.2"/>
    <row r="385" s="112" customFormat="1" x14ac:dyDescent="0.2"/>
    <row r="386" s="112" customFormat="1" x14ac:dyDescent="0.2"/>
    <row r="387" s="112" customFormat="1" x14ac:dyDescent="0.2"/>
    <row r="388" s="112" customFormat="1" x14ac:dyDescent="0.2"/>
    <row r="389" s="112" customFormat="1" x14ac:dyDescent="0.2"/>
    <row r="390" s="112" customFormat="1" x14ac:dyDescent="0.2"/>
    <row r="391" s="112" customFormat="1" x14ac:dyDescent="0.2"/>
    <row r="392" s="112" customFormat="1" x14ac:dyDescent="0.2"/>
    <row r="393" s="112" customFormat="1" x14ac:dyDescent="0.2"/>
    <row r="394" s="112" customFormat="1" x14ac:dyDescent="0.2"/>
    <row r="395" s="112" customFormat="1" x14ac:dyDescent="0.2"/>
  </sheetData>
  <autoFilter ref="A102:F283" xr:uid="{00000000-0009-0000-0000-000000000000}"/>
  <phoneticPr fontId="36" type="noConversion"/>
  <pageMargins left="0.7" right="0.7" top="0.78740157499999996" bottom="0.78740157499999996"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P59"/>
  <sheetViews>
    <sheetView showGridLines="0" tabSelected="1" showRuler="0" zoomScaleNormal="100" zoomScaleSheetLayoutView="91" workbookViewId="0">
      <selection activeCell="C6" sqref="C6:E6"/>
    </sheetView>
  </sheetViews>
  <sheetFormatPr defaultColWidth="11.44140625" defaultRowHeight="13.2" x14ac:dyDescent="0.25"/>
  <cols>
    <col min="1" max="1" width="5.6640625" style="500" customWidth="1"/>
    <col min="2" max="2" width="10" style="500" customWidth="1"/>
    <col min="3" max="3" width="6.44140625" style="500" customWidth="1"/>
    <col min="4" max="5" width="8.109375" style="500" customWidth="1"/>
    <col min="6" max="6" width="9" style="500" customWidth="1"/>
    <col min="7" max="7" width="9.5546875" style="500" customWidth="1"/>
    <col min="8" max="8" width="9" style="500" customWidth="1"/>
    <col min="9" max="13" width="8.6640625" style="500" customWidth="1"/>
    <col min="14" max="14" width="1.6640625" style="500" customWidth="1"/>
    <col min="15" max="16384" width="11.44140625" style="500"/>
  </cols>
  <sheetData>
    <row r="1" spans="1:13" ht="6.9" customHeight="1" x14ac:dyDescent="0.25"/>
    <row r="2" spans="1:13" ht="15.9" customHeight="1" x14ac:dyDescent="0.25">
      <c r="A2" s="298" t="s">
        <v>1231</v>
      </c>
      <c r="B2" s="501"/>
      <c r="C2" s="502"/>
    </row>
    <row r="3" spans="1:13" ht="15.9" customHeight="1" x14ac:dyDescent="0.25">
      <c r="A3" s="503" t="s">
        <v>343</v>
      </c>
      <c r="B3" s="504"/>
    </row>
    <row r="4" spans="1:13" ht="10.5" customHeight="1" x14ac:dyDescent="0.25"/>
    <row r="5" spans="1:13" ht="21.75" customHeight="1" x14ac:dyDescent="0.25">
      <c r="D5" s="505"/>
      <c r="E5" s="505"/>
      <c r="F5" s="505"/>
      <c r="G5" s="505"/>
      <c r="H5" s="505"/>
      <c r="I5" s="505"/>
      <c r="J5" s="505"/>
      <c r="K5" s="505"/>
      <c r="L5" s="505"/>
      <c r="M5" s="505"/>
    </row>
    <row r="6" spans="1:13" ht="15" customHeight="1" x14ac:dyDescent="0.25">
      <c r="A6" s="506" t="s">
        <v>80</v>
      </c>
      <c r="B6" s="506"/>
      <c r="C6" s="679"/>
      <c r="D6" s="679"/>
      <c r="E6" s="679"/>
      <c r="F6" s="507"/>
      <c r="G6" s="508"/>
      <c r="H6" s="508"/>
      <c r="L6" s="671" t="s">
        <v>573</v>
      </c>
      <c r="M6" s="671"/>
    </row>
    <row r="7" spans="1:13" ht="6.9" customHeight="1" x14ac:dyDescent="0.25">
      <c r="D7" s="509"/>
      <c r="E7" s="509"/>
      <c r="F7" s="509"/>
      <c r="G7" s="509"/>
      <c r="H7" s="509"/>
      <c r="I7" s="509"/>
      <c r="J7" s="509"/>
      <c r="K7" s="509"/>
      <c r="L7" s="510"/>
      <c r="M7" s="511"/>
    </row>
    <row r="8" spans="1:13" ht="15" customHeight="1" x14ac:dyDescent="0.25">
      <c r="A8" s="506" t="s">
        <v>282</v>
      </c>
      <c r="B8" s="506"/>
      <c r="C8" s="674" t="str">
        <f>IF($C$6="","",Datenquelle!B100)</f>
        <v/>
      </c>
      <c r="D8" s="675"/>
      <c r="E8" s="675"/>
      <c r="F8" s="675"/>
      <c r="G8" s="675"/>
      <c r="H8" s="675"/>
      <c r="I8" s="675"/>
      <c r="J8" s="675"/>
      <c r="K8" s="675"/>
      <c r="L8" s="675"/>
      <c r="M8" s="676"/>
    </row>
    <row r="9" spans="1:13" ht="6.9" customHeight="1" x14ac:dyDescent="0.25">
      <c r="A9" s="510"/>
      <c r="B9" s="510"/>
      <c r="C9" s="510"/>
      <c r="D9" s="510"/>
      <c r="E9" s="510"/>
      <c r="F9" s="510"/>
      <c r="G9" s="510"/>
      <c r="H9" s="510"/>
      <c r="I9" s="510"/>
      <c r="J9" s="510"/>
    </row>
    <row r="10" spans="1:13" ht="15" customHeight="1" x14ac:dyDescent="0.25">
      <c r="A10" s="506" t="s">
        <v>283</v>
      </c>
      <c r="B10" s="506"/>
      <c r="C10" s="674" t="str">
        <f>IF($C$6="","",Datenquelle!C100)</f>
        <v/>
      </c>
      <c r="D10" s="675"/>
      <c r="E10" s="675"/>
      <c r="F10" s="675"/>
      <c r="G10" s="675"/>
      <c r="H10" s="675"/>
      <c r="I10" s="675"/>
      <c r="J10" s="675"/>
      <c r="K10" s="675"/>
      <c r="L10" s="675"/>
      <c r="M10" s="676"/>
    </row>
    <row r="11" spans="1:13" ht="6.9" customHeight="1" x14ac:dyDescent="0.25">
      <c r="A11" s="510"/>
      <c r="B11" s="510"/>
      <c r="C11" s="510"/>
      <c r="D11" s="510"/>
      <c r="E11" s="510"/>
      <c r="F11" s="510"/>
      <c r="G11" s="510"/>
      <c r="H11" s="510"/>
      <c r="I11" s="510"/>
      <c r="J11" s="510"/>
    </row>
    <row r="12" spans="1:13" ht="15" customHeight="1" x14ac:dyDescent="0.25">
      <c r="A12" s="512" t="s">
        <v>465</v>
      </c>
      <c r="B12" s="512"/>
      <c r="C12" s="680"/>
      <c r="D12" s="681"/>
      <c r="E12" s="681"/>
      <c r="F12" s="681"/>
      <c r="G12" s="681"/>
      <c r="H12" s="682"/>
      <c r="I12" s="500" t="s">
        <v>803</v>
      </c>
      <c r="L12" s="683"/>
      <c r="M12" s="684"/>
    </row>
    <row r="13" spans="1:13" ht="6.9" customHeight="1" x14ac:dyDescent="0.25">
      <c r="D13" s="509"/>
      <c r="E13" s="509"/>
      <c r="F13" s="509"/>
      <c r="G13" s="509"/>
      <c r="H13" s="509"/>
    </row>
    <row r="14" spans="1:13" ht="15" customHeight="1" x14ac:dyDescent="0.25">
      <c r="A14" s="506"/>
      <c r="B14" s="506"/>
      <c r="I14" s="500" t="s">
        <v>804</v>
      </c>
      <c r="L14" s="672" t="str">
        <f>IF($C$6="","",Datenquelle!F100)</f>
        <v/>
      </c>
      <c r="M14" s="673"/>
    </row>
    <row r="15" spans="1:13" ht="6.9" customHeight="1" x14ac:dyDescent="0.25">
      <c r="D15" s="509"/>
      <c r="E15" s="509"/>
      <c r="F15" s="509"/>
      <c r="G15" s="509"/>
      <c r="H15" s="509"/>
      <c r="K15" s="509"/>
      <c r="L15" s="510"/>
      <c r="M15" s="511"/>
    </row>
    <row r="16" spans="1:13" ht="15.75" customHeight="1" x14ac:dyDescent="0.25">
      <c r="A16" s="506"/>
      <c r="B16" s="506"/>
      <c r="I16" s="500" t="s">
        <v>802</v>
      </c>
      <c r="L16" s="677">
        <v>2021</v>
      </c>
      <c r="M16" s="678"/>
    </row>
    <row r="17" spans="1:16" ht="10.5" customHeight="1" x14ac:dyDescent="0.25">
      <c r="A17" s="506"/>
      <c r="B17" s="506"/>
      <c r="J17" s="513"/>
      <c r="L17" s="514"/>
      <c r="M17" s="515"/>
    </row>
    <row r="18" spans="1:16" ht="15.75" customHeight="1" x14ac:dyDescent="0.25">
      <c r="A18" s="715" t="s">
        <v>460</v>
      </c>
      <c r="B18" s="716"/>
      <c r="C18" s="716"/>
      <c r="D18" s="716"/>
      <c r="E18" s="716"/>
      <c r="F18" s="716"/>
      <c r="G18" s="717"/>
      <c r="H18" s="721" t="s">
        <v>767</v>
      </c>
      <c r="I18" s="721"/>
      <c r="J18" s="721"/>
      <c r="K18" s="721"/>
      <c r="L18" s="721"/>
      <c r="M18" s="721"/>
    </row>
    <row r="19" spans="1:16" ht="15.75" customHeight="1" x14ac:dyDescent="0.25">
      <c r="A19" s="712" t="str">
        <f>IF(C6="","",Datenquelle!E100)</f>
        <v/>
      </c>
      <c r="B19" s="713"/>
      <c r="C19" s="713"/>
      <c r="D19" s="713"/>
      <c r="E19" s="713"/>
      <c r="F19" s="713"/>
      <c r="G19" s="714"/>
      <c r="H19" s="722"/>
      <c r="I19" s="722"/>
      <c r="J19" s="722"/>
      <c r="K19" s="722"/>
      <c r="L19" s="722"/>
      <c r="M19" s="722"/>
    </row>
    <row r="20" spans="1:16" ht="6.9" customHeight="1" x14ac:dyDescent="0.25">
      <c r="A20" s="516"/>
      <c r="B20" s="516"/>
      <c r="C20" s="516"/>
      <c r="D20" s="516"/>
      <c r="E20" s="516"/>
      <c r="F20" s="516"/>
      <c r="G20" s="517"/>
      <c r="H20" s="517"/>
      <c r="J20" s="510"/>
      <c r="K20" s="510"/>
    </row>
    <row r="21" spans="1:16" ht="15.75" customHeight="1" x14ac:dyDescent="0.25">
      <c r="A21" s="715" t="s">
        <v>85</v>
      </c>
      <c r="B21" s="716"/>
      <c r="C21" s="716"/>
      <c r="D21" s="716"/>
      <c r="E21" s="716"/>
      <c r="F21" s="716"/>
      <c r="G21" s="717"/>
      <c r="H21" s="723" t="s">
        <v>614</v>
      </c>
      <c r="I21" s="723"/>
      <c r="J21" s="723"/>
      <c r="K21" s="723"/>
      <c r="L21" s="723"/>
      <c r="M21" s="723"/>
    </row>
    <row r="22" spans="1:16" ht="15.75" customHeight="1" x14ac:dyDescent="0.25">
      <c r="A22" s="718"/>
      <c r="B22" s="719"/>
      <c r="C22" s="719"/>
      <c r="D22" s="719"/>
      <c r="E22" s="719"/>
      <c r="F22" s="719"/>
      <c r="G22" s="720"/>
      <c r="H22" s="724" t="s">
        <v>491</v>
      </c>
      <c r="I22" s="724"/>
      <c r="J22" s="724"/>
      <c r="K22" s="724"/>
      <c r="L22" s="724"/>
      <c r="M22" s="724"/>
    </row>
    <row r="23" spans="1:16" ht="10.5" customHeight="1" x14ac:dyDescent="0.25">
      <c r="K23" s="513"/>
      <c r="P23" s="518"/>
    </row>
    <row r="24" spans="1:16" ht="16.5" customHeight="1" x14ac:dyDescent="0.25">
      <c r="A24" s="732"/>
      <c r="B24" s="733"/>
      <c r="C24" s="733"/>
      <c r="D24" s="733"/>
      <c r="E24" s="733"/>
      <c r="F24" s="733"/>
      <c r="G24" s="733"/>
      <c r="H24" s="733"/>
      <c r="I24" s="733"/>
      <c r="J24" s="733"/>
      <c r="K24" s="733"/>
      <c r="L24" s="733"/>
      <c r="M24" s="733"/>
      <c r="P24" s="518"/>
    </row>
    <row r="25" spans="1:16" ht="21" customHeight="1" x14ac:dyDescent="0.25">
      <c r="A25" s="737" t="s">
        <v>852</v>
      </c>
      <c r="B25" s="738"/>
      <c r="C25" s="738"/>
      <c r="D25" s="689" t="s">
        <v>853</v>
      </c>
      <c r="E25" s="690"/>
      <c r="F25" s="690"/>
      <c r="G25" s="690"/>
      <c r="H25" s="690"/>
      <c r="I25" s="691"/>
      <c r="J25" s="730" t="s">
        <v>322</v>
      </c>
      <c r="K25" s="731"/>
      <c r="L25" s="690" t="s">
        <v>846</v>
      </c>
      <c r="M25" s="725"/>
      <c r="P25" s="518"/>
    </row>
    <row r="26" spans="1:16" ht="18.75" customHeight="1" x14ac:dyDescent="0.25">
      <c r="A26" s="739"/>
      <c r="B26" s="740"/>
      <c r="C26" s="740"/>
      <c r="D26" s="734" t="s">
        <v>847</v>
      </c>
      <c r="E26" s="735"/>
      <c r="F26" s="735"/>
      <c r="G26" s="735"/>
      <c r="H26" s="736"/>
      <c r="I26" s="726" t="s">
        <v>428</v>
      </c>
      <c r="J26" s="702" t="s">
        <v>323</v>
      </c>
      <c r="K26" s="695" t="s">
        <v>428</v>
      </c>
      <c r="L26" s="697" t="s">
        <v>848</v>
      </c>
      <c r="M26" s="728" t="s">
        <v>428</v>
      </c>
      <c r="P26" s="518"/>
    </row>
    <row r="27" spans="1:16" ht="117.75" customHeight="1" x14ac:dyDescent="0.25">
      <c r="A27" s="741"/>
      <c r="B27" s="742"/>
      <c r="C27" s="742"/>
      <c r="D27" s="583" t="s">
        <v>1088</v>
      </c>
      <c r="E27" s="584" t="s">
        <v>1089</v>
      </c>
      <c r="F27" s="519" t="s">
        <v>1050</v>
      </c>
      <c r="G27" s="584" t="s">
        <v>1051</v>
      </c>
      <c r="H27" s="584" t="s">
        <v>1052</v>
      </c>
      <c r="I27" s="727"/>
      <c r="J27" s="703"/>
      <c r="K27" s="696"/>
      <c r="L27" s="698"/>
      <c r="M27" s="729"/>
      <c r="P27" s="518"/>
    </row>
    <row r="28" spans="1:16" ht="13.5" customHeight="1" x14ac:dyDescent="0.25">
      <c r="A28" s="707" t="s">
        <v>849</v>
      </c>
      <c r="B28" s="641" t="s">
        <v>744</v>
      </c>
      <c r="C28" s="642"/>
      <c r="D28" s="520"/>
      <c r="E28" s="521"/>
      <c r="F28" s="522"/>
      <c r="G28" s="635" t="s">
        <v>746</v>
      </c>
      <c r="H28" s="636"/>
      <c r="I28" s="521"/>
      <c r="J28" s="669"/>
      <c r="K28" s="665"/>
      <c r="L28" s="692" t="str">
        <f>IF(AND(D37="",E37="",J28=""),"",SUM(D37,E37,J28))</f>
        <v/>
      </c>
      <c r="M28" s="699" t="str">
        <f>IF(AND(I37="",K28=""),"",SUM(I37,K28))</f>
        <v/>
      </c>
    </row>
    <row r="29" spans="1:16" ht="13.5" customHeight="1" x14ac:dyDescent="0.25">
      <c r="A29" s="708"/>
      <c r="B29" s="641" t="s">
        <v>747</v>
      </c>
      <c r="C29" s="642"/>
      <c r="D29" s="520"/>
      <c r="E29" s="521"/>
      <c r="F29" s="522"/>
      <c r="G29" s="637"/>
      <c r="H29" s="638"/>
      <c r="I29" s="521"/>
      <c r="J29" s="670"/>
      <c r="K29" s="666"/>
      <c r="L29" s="693"/>
      <c r="M29" s="700"/>
    </row>
    <row r="30" spans="1:16" ht="13.5" customHeight="1" x14ac:dyDescent="0.25">
      <c r="A30" s="708"/>
      <c r="B30" s="641" t="s">
        <v>748</v>
      </c>
      <c r="C30" s="642"/>
      <c r="D30" s="520"/>
      <c r="E30" s="521"/>
      <c r="F30" s="522"/>
      <c r="G30" s="637"/>
      <c r="H30" s="638"/>
      <c r="I30" s="521"/>
      <c r="J30" s="670"/>
      <c r="K30" s="666"/>
      <c r="L30" s="693"/>
      <c r="M30" s="700"/>
    </row>
    <row r="31" spans="1:16" ht="13.5" customHeight="1" x14ac:dyDescent="0.25">
      <c r="A31" s="708"/>
      <c r="B31" s="641" t="s">
        <v>749</v>
      </c>
      <c r="C31" s="642"/>
      <c r="D31" s="520"/>
      <c r="E31" s="521"/>
      <c r="F31" s="522"/>
      <c r="G31" s="637"/>
      <c r="H31" s="638"/>
      <c r="I31" s="521"/>
      <c r="J31" s="670"/>
      <c r="K31" s="666"/>
      <c r="L31" s="693"/>
      <c r="M31" s="700"/>
    </row>
    <row r="32" spans="1:16" ht="13.5" customHeight="1" x14ac:dyDescent="0.25">
      <c r="A32" s="708"/>
      <c r="B32" s="641" t="s">
        <v>750</v>
      </c>
      <c r="C32" s="642"/>
      <c r="D32" s="520"/>
      <c r="E32" s="521"/>
      <c r="F32" s="522"/>
      <c r="G32" s="637"/>
      <c r="H32" s="638"/>
      <c r="I32" s="521"/>
      <c r="J32" s="670"/>
      <c r="K32" s="666"/>
      <c r="L32" s="693"/>
      <c r="M32" s="700"/>
    </row>
    <row r="33" spans="1:15" ht="13.5" customHeight="1" x14ac:dyDescent="0.25">
      <c r="A33" s="708"/>
      <c r="B33" s="641" t="s">
        <v>751</v>
      </c>
      <c r="C33" s="642"/>
      <c r="D33" s="520"/>
      <c r="E33" s="521"/>
      <c r="F33" s="522"/>
      <c r="G33" s="637"/>
      <c r="H33" s="638"/>
      <c r="I33" s="521"/>
      <c r="J33" s="670"/>
      <c r="K33" s="666"/>
      <c r="L33" s="693"/>
      <c r="M33" s="700"/>
    </row>
    <row r="34" spans="1:15" ht="13.5" customHeight="1" x14ac:dyDescent="0.25">
      <c r="A34" s="708"/>
      <c r="B34" s="641" t="s">
        <v>752</v>
      </c>
      <c r="C34" s="642"/>
      <c r="D34" s="520"/>
      <c r="E34" s="521"/>
      <c r="F34" s="522"/>
      <c r="G34" s="637"/>
      <c r="H34" s="638"/>
      <c r="I34" s="521"/>
      <c r="J34" s="670"/>
      <c r="K34" s="666"/>
      <c r="L34" s="693"/>
      <c r="M34" s="700"/>
    </row>
    <row r="35" spans="1:15" ht="13.5" customHeight="1" x14ac:dyDescent="0.25">
      <c r="A35" s="708"/>
      <c r="B35" s="641" t="s">
        <v>753</v>
      </c>
      <c r="C35" s="642"/>
      <c r="D35" s="520"/>
      <c r="E35" s="521"/>
      <c r="F35" s="522"/>
      <c r="G35" s="637"/>
      <c r="H35" s="638"/>
      <c r="I35" s="521"/>
      <c r="J35" s="670"/>
      <c r="K35" s="666"/>
      <c r="L35" s="693"/>
      <c r="M35" s="700"/>
    </row>
    <row r="36" spans="1:15" ht="13.5" customHeight="1" x14ac:dyDescent="0.25">
      <c r="A36" s="708"/>
      <c r="B36" s="641" t="s">
        <v>754</v>
      </c>
      <c r="C36" s="642"/>
      <c r="D36" s="520"/>
      <c r="E36" s="521"/>
      <c r="F36" s="522"/>
      <c r="G36" s="637"/>
      <c r="H36" s="638"/>
      <c r="I36" s="521"/>
      <c r="J36" s="670"/>
      <c r="K36" s="666"/>
      <c r="L36" s="693"/>
      <c r="M36" s="700"/>
    </row>
    <row r="37" spans="1:15" ht="13.5" customHeight="1" x14ac:dyDescent="0.25">
      <c r="A37" s="709"/>
      <c r="B37" s="641" t="s">
        <v>755</v>
      </c>
      <c r="C37" s="642"/>
      <c r="D37" s="523" t="str">
        <f>IF(AND(D28="",D29="",D30="",D31="",D32="",D33="",D33="",D34="",D35="",D36=""),"",SUM(D28:D36))</f>
        <v/>
      </c>
      <c r="E37" s="524" t="str">
        <f>IF(AND(E28="",E29="",E30="",E31="",E32="",E33="",E33="",E34="",E35="",E36=""),"",SUM(E28:E36))</f>
        <v/>
      </c>
      <c r="F37" s="525" t="str">
        <f>IF(AND(F28="",F29="",F30="",F31="",F32="",F33="",F33="",F34="",F35="",F36=""),"",SUM(F28:F36))</f>
        <v/>
      </c>
      <c r="G37" s="637"/>
      <c r="H37" s="638"/>
      <c r="I37" s="526" t="str">
        <f>IF(AND(I28="",I29="",I30="",I31="",I32="",I33="",I33="",I34="",I35="",I36=""),"",SUM(I28:I36))</f>
        <v/>
      </c>
      <c r="J37" s="687"/>
      <c r="K37" s="688"/>
      <c r="L37" s="694"/>
      <c r="M37" s="701"/>
    </row>
    <row r="38" spans="1:15" ht="39.75" customHeight="1" x14ac:dyDescent="0.25">
      <c r="A38" s="706" t="s">
        <v>1090</v>
      </c>
      <c r="B38" s="644"/>
      <c r="C38" s="644"/>
      <c r="D38" s="520"/>
      <c r="E38" s="521"/>
      <c r="F38" s="527"/>
      <c r="G38" s="639"/>
      <c r="H38" s="640"/>
      <c r="I38" s="521"/>
      <c r="J38" s="528"/>
      <c r="K38" s="529"/>
      <c r="L38" s="530" t="str">
        <f>IF(AND(D38="",J38="",E38=""),"",SUM(D38,E38,J38))</f>
        <v/>
      </c>
      <c r="M38" s="531" t="str">
        <f>IF(AND(I38="",K38=""),"",SUM(I38,K38))</f>
        <v/>
      </c>
      <c r="O38" s="532"/>
    </row>
    <row r="39" spans="1:15" ht="13.5" customHeight="1" x14ac:dyDescent="0.25">
      <c r="A39" s="645" t="s">
        <v>912</v>
      </c>
      <c r="B39" s="633" t="s">
        <v>913</v>
      </c>
      <c r="C39" s="634"/>
      <c r="D39" s="657" t="s">
        <v>746</v>
      </c>
      <c r="E39" s="658"/>
      <c r="F39" s="659"/>
      <c r="G39" s="521"/>
      <c r="H39" s="521"/>
      <c r="I39" s="521"/>
      <c r="J39" s="669"/>
      <c r="K39" s="665"/>
      <c r="L39" s="667" t="str">
        <f>IF(AND(G49="",H49="",J39=""),"",SUM(G49:H49,J39))</f>
        <v/>
      </c>
      <c r="M39" s="668" t="str">
        <f>IF(AND(I49="",K39=""),"",SUM(I49,K39))</f>
        <v/>
      </c>
    </row>
    <row r="40" spans="1:15" ht="13.5" customHeight="1" x14ac:dyDescent="0.25">
      <c r="A40" s="646"/>
      <c r="B40" s="633" t="s">
        <v>914</v>
      </c>
      <c r="C40" s="634"/>
      <c r="D40" s="660"/>
      <c r="E40" s="661"/>
      <c r="F40" s="659"/>
      <c r="G40" s="521"/>
      <c r="H40" s="521"/>
      <c r="I40" s="521"/>
      <c r="J40" s="670"/>
      <c r="K40" s="666"/>
      <c r="L40" s="667"/>
      <c r="M40" s="668"/>
    </row>
    <row r="41" spans="1:15" ht="13.5" customHeight="1" x14ac:dyDescent="0.25">
      <c r="A41" s="646"/>
      <c r="B41" s="633" t="s">
        <v>915</v>
      </c>
      <c r="C41" s="634"/>
      <c r="D41" s="660"/>
      <c r="E41" s="661"/>
      <c r="F41" s="659"/>
      <c r="G41" s="521"/>
      <c r="H41" s="521"/>
      <c r="I41" s="521"/>
      <c r="J41" s="670"/>
      <c r="K41" s="666"/>
      <c r="L41" s="667"/>
      <c r="M41" s="668"/>
    </row>
    <row r="42" spans="1:15" ht="13.5" customHeight="1" x14ac:dyDescent="0.25">
      <c r="A42" s="646"/>
      <c r="B42" s="633" t="s">
        <v>916</v>
      </c>
      <c r="C42" s="634"/>
      <c r="D42" s="660"/>
      <c r="E42" s="661"/>
      <c r="F42" s="659"/>
      <c r="G42" s="521"/>
      <c r="H42" s="521"/>
      <c r="I42" s="521"/>
      <c r="J42" s="670"/>
      <c r="K42" s="666"/>
      <c r="L42" s="667"/>
      <c r="M42" s="668"/>
    </row>
    <row r="43" spans="1:15" ht="13.5" customHeight="1" x14ac:dyDescent="0.25">
      <c r="A43" s="646"/>
      <c r="B43" s="633" t="s">
        <v>917</v>
      </c>
      <c r="C43" s="634"/>
      <c r="D43" s="660"/>
      <c r="E43" s="661"/>
      <c r="F43" s="659"/>
      <c r="G43" s="521"/>
      <c r="H43" s="521"/>
      <c r="I43" s="521"/>
      <c r="J43" s="670"/>
      <c r="K43" s="666"/>
      <c r="L43" s="667"/>
      <c r="M43" s="668"/>
    </row>
    <row r="44" spans="1:15" ht="13.5" customHeight="1" x14ac:dyDescent="0.25">
      <c r="A44" s="646"/>
      <c r="B44" s="633" t="s">
        <v>918</v>
      </c>
      <c r="C44" s="634"/>
      <c r="D44" s="660"/>
      <c r="E44" s="661"/>
      <c r="F44" s="659"/>
      <c r="G44" s="521"/>
      <c r="H44" s="521"/>
      <c r="I44" s="521"/>
      <c r="J44" s="670"/>
      <c r="K44" s="666"/>
      <c r="L44" s="667"/>
      <c r="M44" s="668"/>
    </row>
    <row r="45" spans="1:15" ht="13.5" customHeight="1" x14ac:dyDescent="0.25">
      <c r="A45" s="646"/>
      <c r="B45" s="633" t="s">
        <v>919</v>
      </c>
      <c r="C45" s="634"/>
      <c r="D45" s="660"/>
      <c r="E45" s="661"/>
      <c r="F45" s="659"/>
      <c r="G45" s="521"/>
      <c r="H45" s="521"/>
      <c r="I45" s="521"/>
      <c r="J45" s="670"/>
      <c r="K45" s="666"/>
      <c r="L45" s="667"/>
      <c r="M45" s="668"/>
    </row>
    <row r="46" spans="1:15" ht="13.5" customHeight="1" x14ac:dyDescent="0.25">
      <c r="A46" s="646"/>
      <c r="B46" s="633" t="s">
        <v>920</v>
      </c>
      <c r="C46" s="634"/>
      <c r="D46" s="660"/>
      <c r="E46" s="661"/>
      <c r="F46" s="659"/>
      <c r="G46" s="521"/>
      <c r="H46" s="521"/>
      <c r="I46" s="521"/>
      <c r="J46" s="670"/>
      <c r="K46" s="666"/>
      <c r="L46" s="667"/>
      <c r="M46" s="668"/>
    </row>
    <row r="47" spans="1:15" ht="13.5" customHeight="1" x14ac:dyDescent="0.25">
      <c r="A47" s="646"/>
      <c r="B47" s="633" t="s">
        <v>921</v>
      </c>
      <c r="C47" s="634"/>
      <c r="D47" s="660"/>
      <c r="E47" s="661"/>
      <c r="F47" s="659"/>
      <c r="G47" s="521"/>
      <c r="H47" s="521"/>
      <c r="I47" s="521"/>
      <c r="J47" s="670"/>
      <c r="K47" s="666"/>
      <c r="L47" s="667"/>
      <c r="M47" s="668"/>
    </row>
    <row r="48" spans="1:15" ht="13.5" customHeight="1" x14ac:dyDescent="0.25">
      <c r="A48" s="646"/>
      <c r="B48" s="633" t="s">
        <v>922</v>
      </c>
      <c r="C48" s="634"/>
      <c r="D48" s="660"/>
      <c r="E48" s="661"/>
      <c r="F48" s="659"/>
      <c r="G48" s="521"/>
      <c r="H48" s="521"/>
      <c r="I48" s="521"/>
      <c r="J48" s="670"/>
      <c r="K48" s="666"/>
      <c r="L48" s="667"/>
      <c r="M48" s="668"/>
    </row>
    <row r="49" spans="1:13" ht="13.5" customHeight="1" x14ac:dyDescent="0.25">
      <c r="A49" s="647"/>
      <c r="B49" s="641" t="s">
        <v>755</v>
      </c>
      <c r="C49" s="642"/>
      <c r="D49" s="660"/>
      <c r="E49" s="661"/>
      <c r="F49" s="659"/>
      <c r="G49" s="524" t="str">
        <f>IF(AND(G39="",G40="",G41="",G42="",G43="",G44="",G45="",G45="",G46="",G47="",G48=""),"",SUM(G39:G48))</f>
        <v/>
      </c>
      <c r="H49" s="524" t="str">
        <f>IF(AND(H39="",H40="",H41="",H42="",H43="",H44="",H45="",H45="",H46="",H47="",H48=""),"",SUM(H39:H48))</f>
        <v/>
      </c>
      <c r="I49" s="526" t="str">
        <f>IF(AND(I39="",I40="",I41="",I42="",I43="",I44="",I45="",I45="",I46="",I47="",I48=""),"",SUM(I39:I48))</f>
        <v/>
      </c>
      <c r="J49" s="670"/>
      <c r="K49" s="666"/>
      <c r="L49" s="667"/>
      <c r="M49" s="668"/>
    </row>
    <row r="50" spans="1:13" ht="13.5" customHeight="1" x14ac:dyDescent="0.25">
      <c r="A50" s="643" t="s">
        <v>320</v>
      </c>
      <c r="B50" s="644"/>
      <c r="C50" s="644"/>
      <c r="D50" s="660"/>
      <c r="E50" s="661"/>
      <c r="F50" s="659"/>
      <c r="G50" s="521"/>
      <c r="H50" s="521"/>
      <c r="I50" s="521"/>
      <c r="J50" s="520"/>
      <c r="K50" s="521"/>
      <c r="L50" s="533" t="str">
        <f>IF(AND(G50="",H50="",J50=""),"",SUM(G50:H50,J50))</f>
        <v/>
      </c>
      <c r="M50" s="534" t="str">
        <f>IF(AND(I50="",K50=""),"",SUM(I50,K50))</f>
        <v/>
      </c>
    </row>
    <row r="51" spans="1:13" ht="13.5" customHeight="1" x14ac:dyDescent="0.25">
      <c r="A51" s="643" t="s">
        <v>321</v>
      </c>
      <c r="B51" s="644"/>
      <c r="C51" s="644"/>
      <c r="D51" s="660"/>
      <c r="E51" s="661"/>
      <c r="F51" s="659"/>
      <c r="G51" s="521"/>
      <c r="H51" s="521"/>
      <c r="I51" s="521"/>
      <c r="J51" s="520"/>
      <c r="K51" s="521"/>
      <c r="L51" s="533" t="str">
        <f>IF(AND(G51="",H51="",J51=""),"",SUM(G51:H51,J51))</f>
        <v/>
      </c>
      <c r="M51" s="534" t="str">
        <f>IF(AND(I51="",K51=""),"",SUM(I51,K51))</f>
        <v/>
      </c>
    </row>
    <row r="52" spans="1:13" ht="13.5" customHeight="1" x14ac:dyDescent="0.25">
      <c r="A52" s="643" t="s">
        <v>515</v>
      </c>
      <c r="B52" s="644"/>
      <c r="C52" s="644"/>
      <c r="D52" s="660"/>
      <c r="E52" s="661"/>
      <c r="F52" s="659"/>
      <c r="G52" s="521"/>
      <c r="H52" s="521"/>
      <c r="I52" s="521"/>
      <c r="J52" s="520"/>
      <c r="K52" s="521"/>
      <c r="L52" s="533" t="str">
        <f>IF(AND(G52="",H52="",J52=""),"",SUM(G52:H52,J52))</f>
        <v/>
      </c>
      <c r="M52" s="534" t="str">
        <f>IF(AND(I52="",K52=""),"",SUM(I52,K52))</f>
        <v/>
      </c>
    </row>
    <row r="53" spans="1:13" ht="41.25" customHeight="1" x14ac:dyDescent="0.25">
      <c r="A53" s="643" t="s">
        <v>745</v>
      </c>
      <c r="B53" s="644"/>
      <c r="C53" s="644"/>
      <c r="D53" s="662"/>
      <c r="E53" s="663"/>
      <c r="F53" s="664"/>
      <c r="G53" s="521"/>
      <c r="H53" s="521"/>
      <c r="I53" s="521"/>
      <c r="J53" s="520"/>
      <c r="K53" s="521"/>
      <c r="L53" s="533" t="str">
        <f>IF(AND(G53="",H53="",J53=""),"",SUM(G53:H53,J53))</f>
        <v/>
      </c>
      <c r="M53" s="534" t="str">
        <f>IF(AND(I53="",K53=""),"",SUM(I53,K53))</f>
        <v/>
      </c>
    </row>
    <row r="54" spans="1:13" ht="15.75" customHeight="1" x14ac:dyDescent="0.25">
      <c r="A54" s="650"/>
      <c r="B54" s="651"/>
      <c r="C54" s="651"/>
      <c r="D54" s="535" t="str">
        <f>IF(AND(D37="",D38=""),"",SUM(D37,D38))</f>
        <v/>
      </c>
      <c r="E54" s="536" t="str">
        <f>IF(AND(E37="",E38=""),"",SUM(E37,E38))</f>
        <v/>
      </c>
      <c r="F54" s="537" t="str">
        <f>IF(F37="","",F37)</f>
        <v/>
      </c>
      <c r="G54" s="536" t="str">
        <f>IF(AND(G49="",G50="",G51="",G52="",G53=""),"",SUM(G49:G53))</f>
        <v/>
      </c>
      <c r="H54" s="536" t="str">
        <f>IF(AND(H49="",H50="",H51="",H52="",H53=""),"",SUM(H49:H53))</f>
        <v/>
      </c>
      <c r="I54" s="538" t="str">
        <f>IF(AND(I37="",I38="",I49="",I50="",I51="",I52="",I53=""),"",SUM(I37,I38,I49:I53))</f>
        <v/>
      </c>
      <c r="J54" s="535" t="str">
        <f>IF(AND(J28="",J38="",J39="",J50="",J51="",J52="",J53=""),"",SUM(J28:J53))</f>
        <v/>
      </c>
      <c r="K54" s="539" t="str">
        <f>IF(AND(K28="",K38="",K39="",K50="",K51="",K52="",K53=""),"",SUM(K28:K53))</f>
        <v/>
      </c>
      <c r="L54" s="540" t="str">
        <f>IF(AND(D54="",E54="",G54="",H54="",J54=""),"",SUM(D54:E54)+SUM(G54:H54)+SUM(J54))</f>
        <v/>
      </c>
      <c r="M54" s="536" t="str">
        <f>IF(AND(I54="",K54=""),"",SUM(I54,K54))</f>
        <v/>
      </c>
    </row>
    <row r="55" spans="1:13" ht="15.75" customHeight="1" x14ac:dyDescent="0.25">
      <c r="A55" s="652"/>
      <c r="B55" s="653"/>
      <c r="C55" s="653"/>
      <c r="D55" s="654" t="str">
        <f>IF(AND(D54="",E54="",G54="",H54="",I54=""),"",SUM(D54:E54)+SUM(G54:I54))</f>
        <v/>
      </c>
      <c r="E55" s="655"/>
      <c r="F55" s="655"/>
      <c r="G55" s="655"/>
      <c r="H55" s="655"/>
      <c r="I55" s="655"/>
      <c r="J55" s="654" t="str">
        <f>IF(AND(J54="",K54=""),"",SUM(J54:K54))</f>
        <v/>
      </c>
      <c r="K55" s="656"/>
      <c r="L55" s="648" t="str">
        <f>IF(AND(L54="",M54=""),"",SUM(L54:M54))</f>
        <v/>
      </c>
      <c r="M55" s="649"/>
    </row>
    <row r="56" spans="1:13" ht="7.5" customHeight="1" x14ac:dyDescent="0.25">
      <c r="A56" s="541"/>
      <c r="B56" s="541"/>
      <c r="C56" s="541"/>
      <c r="D56" s="542"/>
      <c r="E56" s="542"/>
      <c r="F56" s="542"/>
      <c r="G56" s="542"/>
      <c r="H56" s="542"/>
      <c r="I56" s="542"/>
      <c r="J56" s="542"/>
      <c r="K56" s="542"/>
      <c r="L56" s="543"/>
      <c r="M56" s="543"/>
    </row>
    <row r="57" spans="1:13" ht="25.5" customHeight="1" x14ac:dyDescent="0.25">
      <c r="A57" s="710" t="s">
        <v>1091</v>
      </c>
      <c r="B57" s="711"/>
      <c r="C57" s="711"/>
      <c r="D57" s="711"/>
      <c r="E57" s="711"/>
      <c r="F57" s="711"/>
      <c r="G57" s="711"/>
      <c r="H57" s="711"/>
      <c r="I57" s="711"/>
      <c r="J57" s="711"/>
      <c r="K57" s="711"/>
      <c r="L57" s="711"/>
      <c r="M57" s="711"/>
    </row>
    <row r="58" spans="1:13" ht="55.5" customHeight="1" x14ac:dyDescent="0.25">
      <c r="A58" s="704" t="s">
        <v>1226</v>
      </c>
      <c r="B58" s="705"/>
      <c r="C58" s="705"/>
      <c r="D58" s="705"/>
      <c r="E58" s="705"/>
      <c r="F58" s="705"/>
      <c r="G58" s="705"/>
      <c r="H58" s="705"/>
      <c r="I58" s="705"/>
      <c r="J58" s="705"/>
      <c r="K58" s="705"/>
      <c r="L58" s="705"/>
      <c r="M58" s="705"/>
    </row>
    <row r="59" spans="1:13" ht="156" customHeight="1" x14ac:dyDescent="0.25">
      <c r="A59" s="685" t="s">
        <v>1225</v>
      </c>
      <c r="B59" s="686"/>
      <c r="C59" s="686"/>
      <c r="D59" s="686"/>
      <c r="E59" s="686"/>
      <c r="F59" s="686"/>
      <c r="G59" s="686"/>
      <c r="H59" s="686"/>
      <c r="I59" s="686"/>
      <c r="J59" s="686"/>
      <c r="K59" s="686"/>
      <c r="L59" s="686"/>
      <c r="M59" s="686"/>
    </row>
  </sheetData>
  <sheetProtection algorithmName="SHA-512" hashValue="8ETGELMQ2RDXM6+BxGE+Obl2B9tATKLwUXmWA/QINCYfwterTz/uw200HSPAQ3+IuIo970dMTXhD69sWc1sF5w==" saltValue="NS43uaFBytquetxKhAPaqw==" spinCount="100000" sheet="1" objects="1" scenarios="1" selectLockedCells="1"/>
  <dataConsolidate/>
  <mergeCells count="73">
    <mergeCell ref="A57:M57"/>
    <mergeCell ref="A19:G19"/>
    <mergeCell ref="A21:G21"/>
    <mergeCell ref="A22:G22"/>
    <mergeCell ref="H18:M18"/>
    <mergeCell ref="H19:M19"/>
    <mergeCell ref="H21:M21"/>
    <mergeCell ref="H22:M22"/>
    <mergeCell ref="A18:G18"/>
    <mergeCell ref="L25:M25"/>
    <mergeCell ref="I26:I27"/>
    <mergeCell ref="M26:M27"/>
    <mergeCell ref="J25:K25"/>
    <mergeCell ref="A24:M24"/>
    <mergeCell ref="D26:H26"/>
    <mergeCell ref="A25:C27"/>
    <mergeCell ref="A59:M59"/>
    <mergeCell ref="J28:J37"/>
    <mergeCell ref="K28:K37"/>
    <mergeCell ref="D25:I25"/>
    <mergeCell ref="L28:L37"/>
    <mergeCell ref="K26:K27"/>
    <mergeCell ref="L26:L27"/>
    <mergeCell ref="M28:M37"/>
    <mergeCell ref="A52:C52"/>
    <mergeCell ref="J26:J27"/>
    <mergeCell ref="A58:M58"/>
    <mergeCell ref="B49:C49"/>
    <mergeCell ref="B34:C34"/>
    <mergeCell ref="A38:C38"/>
    <mergeCell ref="A28:A37"/>
    <mergeCell ref="B28:C28"/>
    <mergeCell ref="B39:C39"/>
    <mergeCell ref="L6:M6"/>
    <mergeCell ref="L14:M14"/>
    <mergeCell ref="C10:M10"/>
    <mergeCell ref="L16:M16"/>
    <mergeCell ref="C6:E6"/>
    <mergeCell ref="C8:M8"/>
    <mergeCell ref="C12:H12"/>
    <mergeCell ref="L12:M12"/>
    <mergeCell ref="B47:C47"/>
    <mergeCell ref="L55:M55"/>
    <mergeCell ref="A54:C54"/>
    <mergeCell ref="A53:C53"/>
    <mergeCell ref="A55:C55"/>
    <mergeCell ref="D55:I55"/>
    <mergeCell ref="J55:K55"/>
    <mergeCell ref="D39:F53"/>
    <mergeCell ref="K39:K49"/>
    <mergeCell ref="L39:L49"/>
    <mergeCell ref="M39:M49"/>
    <mergeCell ref="B40:C40"/>
    <mergeCell ref="B41:C41"/>
    <mergeCell ref="B42:C42"/>
    <mergeCell ref="J39:J49"/>
    <mergeCell ref="B48:C48"/>
    <mergeCell ref="B43:C43"/>
    <mergeCell ref="G28:H38"/>
    <mergeCell ref="B30:C30"/>
    <mergeCell ref="B31:C31"/>
    <mergeCell ref="A51:C51"/>
    <mergeCell ref="B29:C29"/>
    <mergeCell ref="B32:C32"/>
    <mergeCell ref="B33:C33"/>
    <mergeCell ref="B36:C36"/>
    <mergeCell ref="B37:C37"/>
    <mergeCell ref="B35:C35"/>
    <mergeCell ref="A39:A49"/>
    <mergeCell ref="A50:C50"/>
    <mergeCell ref="B45:C45"/>
    <mergeCell ref="B46:C46"/>
    <mergeCell ref="B44:C44"/>
  </mergeCells>
  <phoneticPr fontId="36" type="noConversion"/>
  <conditionalFormatting sqref="H19">
    <cfRule type="expression" dxfId="179" priority="12" stopIfTrue="1">
      <formula>LEN(TRIM(H19))=0</formula>
    </cfRule>
  </conditionalFormatting>
  <conditionalFormatting sqref="A22 J28:K40 D38:E38 D28:F36 I28:I36 I38 G39:I48 G50:K53">
    <cfRule type="expression" dxfId="178" priority="9" stopIfTrue="1">
      <formula>LEN(TRIM(A22))=0</formula>
    </cfRule>
  </conditionalFormatting>
  <conditionalFormatting sqref="L12:M12">
    <cfRule type="expression" dxfId="177" priority="8" stopIfTrue="1">
      <formula>LEN(TRIM(L12))=0</formula>
    </cfRule>
  </conditionalFormatting>
  <conditionalFormatting sqref="C12">
    <cfRule type="expression" dxfId="176" priority="7" stopIfTrue="1">
      <formula>LEN(TRIM(C12))=0</formula>
    </cfRule>
  </conditionalFormatting>
  <conditionalFormatting sqref="C6">
    <cfRule type="expression" dxfId="175" priority="6" stopIfTrue="1">
      <formula>LEN(TRIM(C6))=0</formula>
    </cfRule>
  </conditionalFormatting>
  <dataValidations xWindow="315" yWindow="383" count="11">
    <dataValidation allowBlank="1" showInputMessage="1" showErrorMessage="1" errorTitle="Eingabefehler" sqref="L14 L28:M56" xr:uid="{00000000-0002-0000-0100-000000000000}"/>
    <dataValidation type="list" showInputMessage="1" showErrorMessage="1" errorTitle="Hinweis" error="Auswahl treffen über Dropdown-Liste." sqref="A22" xr:uid="{00000000-0002-0000-0100-000001000000}">
      <formula1>Tumordokumentation</formula1>
    </dataValidation>
    <dataValidation type="list" showInputMessage="1" showErrorMessage="1" errorTitle="Hinweis" error="Auswahl treffen über Dropdown-Liste." sqref="C6" xr:uid="{00000000-0002-0000-0100-000002000000}">
      <formula1>Zentrum1</formula1>
    </dataValidation>
    <dataValidation type="date" allowBlank="1" showErrorMessage="1" errorTitle="Eingabefehler" error="Format: tt.mm.jjjj_x000a__x000a_Zeitraum zwischen 01.10.2021 - 31.01.2023 angeben." sqref="L12:M12" xr:uid="{00000000-0002-0000-0100-000003000000}">
      <formula1>44470</formula1>
      <formula2>44957</formula2>
    </dataValidation>
    <dataValidation type="whole" allowBlank="1" showInputMessage="1" showErrorMessage="1" errorTitle="Eingabefehler" error="Ganze Zahl zwischen 0 und 5000 eingeben." sqref="D38:F38 G50:I53 G39:H48 J28:K53 I28:I36 I38:I48 D28:E36" xr:uid="{00000000-0002-0000-0100-000004000000}">
      <formula1>0</formula1>
      <formula2>5000</formula2>
    </dataValidation>
    <dataValidation errorStyle="information" allowBlank="1" showInputMessage="1" showErrorMessage="1" errorTitle="Kennzahlenjahr" error="Es können nur Kennzahlenjahre von 2012 bis 2014 eingetragen werden." sqref="L16:M16" xr:uid="{00000000-0002-0000-0100-000005000000}"/>
    <dataValidation type="date" errorStyle="information" allowBlank="1" showInputMessage="1" showErrorMessage="1" errorTitle="Kennzahlenjahr" error="Es können nur Kennzahlenjahre von 2012 bis 2014 eingetragen werden." sqref="L17" xr:uid="{00000000-0002-0000-0100-000006000000}">
      <formula1>2010</formula1>
      <formula2>2012</formula2>
    </dataValidation>
    <dataValidation showInputMessage="1" showErrorMessage="1" errorTitle="Hinweis" error="Auswahl treffen über Dropdown-Liste." sqref="G6:H6" xr:uid="{00000000-0002-0000-0100-000007000000}"/>
    <dataValidation type="textLength" allowBlank="1" showErrorMessage="1" errorTitle="Eingabefehler" error="Nur Texteingabe bis 100 Zeichen möglich." prompt="Name, Vorname" sqref="C12" xr:uid="{00000000-0002-0000-0100-000008000000}">
      <formula1>0</formula1>
      <formula2>100</formula2>
    </dataValidation>
    <dataValidation type="whole" allowBlank="1" showInputMessage="1" showErrorMessage="1" errorTitle="Eingabefehler" error="Kann nicht größer als Summe Spalte D + E sein." sqref="F28:F36" xr:uid="{00000000-0002-0000-0100-000009000000}">
      <formula1>0</formula1>
      <formula2>D28+E28</formula2>
    </dataValidation>
    <dataValidation type="list" showInputMessage="1" showErrorMessage="1" errorTitle="Hinweis" error="Auswahl treffen über Dropdown-Liste." sqref="H19" xr:uid="{00000000-0002-0000-0100-00000A000000}">
      <formula1>zentrumsintern___ohne_Krebsregister</formula1>
    </dataValidation>
  </dataValidations>
  <pageMargins left="0.59055118110236227" right="0.19685039370078741" top="0.39370078740157483" bottom="0.39370078740157483" header="0.11811023622047245" footer="0.11811023622047245"/>
  <pageSetup paperSize="9" scale="85" orientation="portrait" r:id="rId1"/>
  <headerFooter>
    <oddFooter>&amp;L&amp;"Arial,Standard"&amp;7&amp;F&amp;C&amp;"Arial,Standard"&amp;7 © DKG  Alle Rechte vorbehalten&amp;R&amp;"Arial,Standard"&amp;7&amp;P                &amp;K00+000 .</oddFooter>
  </headerFooter>
  <rowBreaks count="1" manualBreakCount="1">
    <brk id="56" max="13" man="1"/>
  </rowBreaks>
  <ignoredErrors>
    <ignoredError sqref="I8:M10 C8:D9 D10" emptyCellReference="1"/>
    <ignoredError sqref="I49" formulaRange="1"/>
  </ignoredErrors>
  <drawing r:id="rId2"/>
  <legacy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1:D6"/>
  <sheetViews>
    <sheetView workbookViewId="0"/>
  </sheetViews>
  <sheetFormatPr defaultColWidth="11.44140625" defaultRowHeight="13.8" x14ac:dyDescent="0.3"/>
  <cols>
    <col min="1" max="1" width="23" style="157" customWidth="1"/>
    <col min="2" max="2" width="33.5546875" style="157" customWidth="1"/>
    <col min="3" max="3" width="42" style="157" customWidth="1"/>
    <col min="4" max="4" width="39.44140625" style="157" customWidth="1"/>
    <col min="5" max="5" width="41.109375" style="157" customWidth="1"/>
    <col min="6" max="6" width="46.6640625" style="157" customWidth="1"/>
    <col min="7" max="7" width="38.33203125" style="157" customWidth="1"/>
    <col min="8" max="8" width="42.88671875" style="157" customWidth="1"/>
    <col min="9" max="9" width="43.6640625" style="157" customWidth="1"/>
    <col min="10" max="10" width="36" style="157" customWidth="1"/>
    <col min="11" max="11" width="16.5546875" style="157" customWidth="1"/>
    <col min="12" max="12" width="24.109375" style="157" customWidth="1"/>
    <col min="13" max="13" width="35" style="157" customWidth="1"/>
    <col min="14" max="14" width="28.109375" style="157" customWidth="1"/>
    <col min="15" max="15" width="27.6640625" style="157" customWidth="1"/>
    <col min="16" max="16" width="30.109375" style="157" customWidth="1"/>
    <col min="17" max="17" width="28.109375" style="157" customWidth="1"/>
    <col min="18" max="18" width="29.6640625" style="157" customWidth="1"/>
    <col min="19" max="19" width="15.33203125" style="157" customWidth="1"/>
    <col min="20" max="20" width="17.33203125" style="157" customWidth="1"/>
    <col min="21" max="16384" width="11.44140625" style="157"/>
  </cols>
  <sheetData>
    <row r="1" spans="1:4" x14ac:dyDescent="0.3">
      <c r="A1" s="167" t="s">
        <v>465</v>
      </c>
      <c r="B1" s="170" t="str">
        <f>IF(Basisdaten!C12=0,"",Basisdaten!C12)</f>
        <v/>
      </c>
    </row>
    <row r="2" spans="1:4" x14ac:dyDescent="0.3">
      <c r="A2" s="167" t="s">
        <v>207</v>
      </c>
      <c r="B2" s="171" t="str">
        <f>IF(Basisdaten!L12=0,"",Basisdaten!L12)</f>
        <v/>
      </c>
    </row>
    <row r="3" spans="1:4" x14ac:dyDescent="0.3">
      <c r="A3" s="167" t="s">
        <v>272</v>
      </c>
      <c r="B3" s="171" t="str">
        <f>IF(Basisdaten!L14=0,"",Basisdaten!L14)</f>
        <v/>
      </c>
    </row>
    <row r="5" spans="1:4" x14ac:dyDescent="0.3">
      <c r="A5" s="382" t="s">
        <v>81</v>
      </c>
      <c r="B5" s="382" t="s">
        <v>85</v>
      </c>
      <c r="C5" s="383" t="s">
        <v>767</v>
      </c>
      <c r="D5" s="383" t="s">
        <v>764</v>
      </c>
    </row>
    <row r="6" spans="1:4" s="146" customFormat="1" ht="13.2" x14ac:dyDescent="0.3">
      <c r="A6" s="147" t="str">
        <f>IF(Basisdaten!A19=0,"",Basisdaten!A19)</f>
        <v/>
      </c>
      <c r="B6" s="147" t="str">
        <f>IF(Basisdaten!A22=0,"",Basisdaten!A22)</f>
        <v/>
      </c>
      <c r="C6" s="384" t="str">
        <f>IF(Basisdaten!H19=0,"",Basisdaten!H19)</f>
        <v/>
      </c>
      <c r="D6" s="147" t="str">
        <f>Basisdaten!H22</f>
        <v>Noch nicht vorhanden</v>
      </c>
    </row>
  </sheetData>
  <phoneticPr fontId="36"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3"/>
  <dimension ref="A1:M30"/>
  <sheetViews>
    <sheetView workbookViewId="0">
      <selection activeCell="C2" sqref="C2"/>
    </sheetView>
  </sheetViews>
  <sheetFormatPr defaultColWidth="11.44140625" defaultRowHeight="13.2" x14ac:dyDescent="0.3"/>
  <cols>
    <col min="1" max="1" width="31" style="343" customWidth="1"/>
    <col min="2" max="3" width="16" style="343" customWidth="1"/>
    <col min="4" max="4" width="22" style="343" customWidth="1"/>
    <col min="5" max="6" width="22.33203125" style="343" customWidth="1"/>
    <col min="7" max="8" width="16" style="343" customWidth="1"/>
    <col min="9" max="9" width="17.33203125" style="343" customWidth="1"/>
    <col min="10" max="11" width="16" style="343" customWidth="1"/>
    <col min="12" max="16384" width="11.44140625" style="146"/>
  </cols>
  <sheetData>
    <row r="1" spans="1:13" ht="13.8" thickBot="1" x14ac:dyDescent="0.35">
      <c r="A1" s="342"/>
      <c r="B1" s="344"/>
      <c r="C1" s="344"/>
      <c r="D1" s="344"/>
      <c r="E1" s="344"/>
    </row>
    <row r="2" spans="1:13" ht="66" x14ac:dyDescent="0.3">
      <c r="A2" s="351" t="str">
        <f>LEFT(Basisdaten!A25,14)</f>
        <v>Gesamtfallzahl</v>
      </c>
      <c r="B2" s="354" t="str">
        <f>CONCATENATE(LEFT(Basisdaten!D25,11)," ",LEFT(Basisdaten!D26,8)," ",LEFT(Basisdaten!D27,21))</f>
        <v>Primärfälle operiert Nicht vollständige OP</v>
      </c>
      <c r="C2" s="355" t="str">
        <f>CONCATENATE(LEFT(Basisdaten!D25,11)," ",LEFT(Basisdaten!D26,8)," ",LEFT(Basisdaten!E27,27))</f>
        <v>Primärfälle operiert Definitive OP = 
Staging OP</v>
      </c>
      <c r="D2" s="355" t="str">
        <f>CONCATENATE(LEFT(Basisdaten!D25,11)," ",LEFT(Basisdaten!D26,8)," ",LEFT(Basisdaten!F27,88))</f>
        <v>Primärfälle operiert davon mit neoadjuvanter oder präoperativer systemischer Therapie (Ovar/Tuben/Peritoneal)</v>
      </c>
      <c r="E2" s="355" t="str">
        <f>CONCATENATE(LEFT(Basisdaten!D25,11)," ",LEFT(Basisdaten!D26,8)," ",LEFT(Basisdaten!G27,49))</f>
        <v>Primärfälle operiert Ausschließlich Staging OP / Nicht vollständige OP</v>
      </c>
      <c r="F2" s="355" t="str">
        <f>CONCATENATE(LEFT(Basisdaten!D25,11)," ",LEFT(Basisdaten!D26,8)," ",LEFT(Basisdaten!H27,37))</f>
        <v>Primärfälle operiert Definitive OP (ggf. inkl. Staging-OP)</v>
      </c>
      <c r="G2" s="358" t="str">
        <f>CONCATENATE(LEFT(Basisdaten!D25,11)," ",Basisdaten!I26)</f>
        <v>Primärfälle nicht 
operiert</v>
      </c>
      <c r="H2" s="347" t="str">
        <f>CONCATENATE(LEFT(Basisdaten!J25,20)," ",Basisdaten!J26)</f>
        <v>Nicht Primärfälle operiert</v>
      </c>
      <c r="I2" s="359" t="str">
        <f>CONCATENATE(LEFT(Basisdaten!J25,20)," ",Basisdaten!K26)</f>
        <v>Nicht Primärfälle nicht 
operiert</v>
      </c>
      <c r="J2" s="350" t="str">
        <f>CONCATENATE(LEFT(Basisdaten!L25,14)," ",LEFT(Basisdaten!L26,8))</f>
        <v>Gesamtfallzahl operiert</v>
      </c>
      <c r="K2" s="360" t="str">
        <f>CONCATENATE(LEFT(Basisdaten!L25,14)," ",Basisdaten!M26)</f>
        <v>Gesamtfallzahl nicht 
operiert</v>
      </c>
    </row>
    <row r="3" spans="1:13" ht="15" customHeight="1" x14ac:dyDescent="0.3">
      <c r="A3" s="352" t="str">
        <f>CONCATENATE(LEFT(Basisdaten!$A$28,15),RIGHT(Basisdaten!B28,8))</f>
        <v>Ovarialkarzinom FIGO IA</v>
      </c>
      <c r="B3" s="348" t="str">
        <f>IF(Basisdaten!D28="","",Basisdaten!D28)</f>
        <v/>
      </c>
      <c r="C3" s="345" t="str">
        <f>IF(Basisdaten!E28="","",Basisdaten!E28)</f>
        <v/>
      </c>
      <c r="D3" s="345" t="str">
        <f>IF(Basisdaten!F28="","",Basisdaten!F28)</f>
        <v/>
      </c>
      <c r="E3" s="346"/>
      <c r="F3" s="346"/>
      <c r="G3" s="349" t="str">
        <f>IF(Basisdaten!I28="","",Basisdaten!I28)</f>
        <v/>
      </c>
      <c r="H3" s="356"/>
      <c r="I3" s="357"/>
      <c r="J3" s="356"/>
      <c r="K3" s="357"/>
    </row>
    <row r="4" spans="1:13" ht="15" customHeight="1" x14ac:dyDescent="0.3">
      <c r="A4" s="352" t="str">
        <f>CONCATENATE(LEFT(Basisdaten!$A$28,15),RIGHT(Basisdaten!B29,8))</f>
        <v>Ovarialkarzinom FIGO IB</v>
      </c>
      <c r="B4" s="348" t="str">
        <f>IF(Basisdaten!D29="","",Basisdaten!D29)</f>
        <v/>
      </c>
      <c r="C4" s="345" t="str">
        <f>IF(Basisdaten!E29="","",Basisdaten!E29)</f>
        <v/>
      </c>
      <c r="D4" s="345" t="str">
        <f>IF(Basisdaten!F29="","",Basisdaten!F29)</f>
        <v/>
      </c>
      <c r="E4" s="346"/>
      <c r="F4" s="346"/>
      <c r="G4" s="349" t="str">
        <f>IF(Basisdaten!I29="","",Basisdaten!I29)</f>
        <v/>
      </c>
      <c r="H4" s="356"/>
      <c r="I4" s="357"/>
      <c r="J4" s="356"/>
      <c r="K4" s="357"/>
    </row>
    <row r="5" spans="1:13" ht="15" customHeight="1" x14ac:dyDescent="0.3">
      <c r="A5" s="352" t="str">
        <f>CONCATENATE(LEFT(Basisdaten!$A$28,15),RIGHT(Basisdaten!B30,8))</f>
        <v>Ovarialkarzinom FIGO IC</v>
      </c>
      <c r="B5" s="348" t="str">
        <f>IF(Basisdaten!D30="","",Basisdaten!D30)</f>
        <v/>
      </c>
      <c r="C5" s="345" t="str">
        <f>IF(Basisdaten!E30="","",Basisdaten!E30)</f>
        <v/>
      </c>
      <c r="D5" s="345" t="str">
        <f>IF(Basisdaten!F30="","",Basisdaten!F30)</f>
        <v/>
      </c>
      <c r="E5" s="346"/>
      <c r="F5" s="346"/>
      <c r="G5" s="349" t="str">
        <f>IF(Basisdaten!I30="","",Basisdaten!I30)</f>
        <v/>
      </c>
      <c r="H5" s="356"/>
      <c r="I5" s="357"/>
      <c r="J5" s="356"/>
      <c r="K5" s="357"/>
    </row>
    <row r="6" spans="1:13" ht="15" customHeight="1" x14ac:dyDescent="0.3">
      <c r="A6" s="352" t="str">
        <f>CONCATENATE(LEFT(Basisdaten!$A$28,15),RIGHT(Basisdaten!B31,9))</f>
        <v>Ovarialkarzinom FIGO IIA</v>
      </c>
      <c r="B6" s="348" t="str">
        <f>IF(Basisdaten!D31="","",Basisdaten!D31)</f>
        <v/>
      </c>
      <c r="C6" s="345" t="str">
        <f>IF(Basisdaten!E31="","",Basisdaten!E31)</f>
        <v/>
      </c>
      <c r="D6" s="345" t="str">
        <f>IF(Basisdaten!F31="","",Basisdaten!F31)</f>
        <v/>
      </c>
      <c r="E6" s="346"/>
      <c r="F6" s="346"/>
      <c r="G6" s="349" t="str">
        <f>IF(Basisdaten!I31="","",Basisdaten!I31)</f>
        <v/>
      </c>
      <c r="H6" s="356"/>
      <c r="I6" s="357"/>
      <c r="J6" s="356"/>
      <c r="K6" s="357"/>
    </row>
    <row r="7" spans="1:13" ht="15" customHeight="1" x14ac:dyDescent="0.3">
      <c r="A7" s="352" t="str">
        <f>CONCATENATE(LEFT(Basisdaten!$A$28,15),RIGHT(Basisdaten!B32,9))</f>
        <v>Ovarialkarzinom FIGO IIB</v>
      </c>
      <c r="B7" s="348" t="str">
        <f>IF(Basisdaten!D32="","",Basisdaten!D32)</f>
        <v/>
      </c>
      <c r="C7" s="345" t="str">
        <f>IF(Basisdaten!E32="","",Basisdaten!E32)</f>
        <v/>
      </c>
      <c r="D7" s="345" t="str">
        <f>IF(Basisdaten!F32="","",Basisdaten!F32)</f>
        <v/>
      </c>
      <c r="E7" s="346"/>
      <c r="F7" s="346"/>
      <c r="G7" s="349" t="str">
        <f>IF(Basisdaten!I32="","",Basisdaten!I32)</f>
        <v/>
      </c>
      <c r="H7" s="356"/>
      <c r="I7" s="357"/>
      <c r="J7" s="356"/>
      <c r="K7" s="357"/>
    </row>
    <row r="8" spans="1:13" ht="15" customHeight="1" x14ac:dyDescent="0.3">
      <c r="A8" s="352" t="str">
        <f>CONCATENATE(LEFT(Basisdaten!$A$28,15),RIGHT(Basisdaten!B33,10))</f>
        <v>Ovarialkarzinom FIGO IIIA</v>
      </c>
      <c r="B8" s="348" t="str">
        <f>IF(Basisdaten!D33="","",Basisdaten!D33)</f>
        <v/>
      </c>
      <c r="C8" s="345" t="str">
        <f>IF(Basisdaten!E33="","",Basisdaten!E33)</f>
        <v/>
      </c>
      <c r="D8" s="345" t="str">
        <f>IF(Basisdaten!F33="","",Basisdaten!F33)</f>
        <v/>
      </c>
      <c r="E8" s="346"/>
      <c r="F8" s="346"/>
      <c r="G8" s="349" t="str">
        <f>IF(Basisdaten!I33="","",Basisdaten!I33)</f>
        <v/>
      </c>
      <c r="H8" s="356"/>
      <c r="I8" s="357"/>
      <c r="J8" s="356"/>
      <c r="K8" s="357"/>
    </row>
    <row r="9" spans="1:13" ht="15" customHeight="1" x14ac:dyDescent="0.3">
      <c r="A9" s="352" t="str">
        <f>CONCATENATE(LEFT(Basisdaten!$A$28,15),RIGHT(Basisdaten!B34,10))</f>
        <v>Ovarialkarzinom FIGO IIIB</v>
      </c>
      <c r="B9" s="348" t="str">
        <f>IF(Basisdaten!D34="","",Basisdaten!D34)</f>
        <v/>
      </c>
      <c r="C9" s="345" t="str">
        <f>IF(Basisdaten!E34="","",Basisdaten!E34)</f>
        <v/>
      </c>
      <c r="D9" s="345" t="str">
        <f>IF(Basisdaten!F34="","",Basisdaten!F34)</f>
        <v/>
      </c>
      <c r="E9" s="346"/>
      <c r="F9" s="346"/>
      <c r="G9" s="349" t="str">
        <f>IF(Basisdaten!I34="","",Basisdaten!I34)</f>
        <v/>
      </c>
      <c r="H9" s="356"/>
      <c r="I9" s="357"/>
      <c r="J9" s="356"/>
      <c r="K9" s="357"/>
    </row>
    <row r="10" spans="1:13" ht="15" customHeight="1" x14ac:dyDescent="0.3">
      <c r="A10" s="352" t="str">
        <f>CONCATENATE(LEFT(Basisdaten!$A$28,15),RIGHT(Basisdaten!B35,10))</f>
        <v>Ovarialkarzinom FIGO IIIC</v>
      </c>
      <c r="B10" s="348" t="str">
        <f>IF(Basisdaten!D35="","",Basisdaten!D35)</f>
        <v/>
      </c>
      <c r="C10" s="345" t="str">
        <f>IF(Basisdaten!E35="","",Basisdaten!E35)</f>
        <v/>
      </c>
      <c r="D10" s="345" t="str">
        <f>IF(Basisdaten!F35="","",Basisdaten!F35)</f>
        <v/>
      </c>
      <c r="E10" s="346"/>
      <c r="F10" s="346"/>
      <c r="G10" s="349" t="str">
        <f>IF(Basisdaten!I35="","",Basisdaten!I35)</f>
        <v/>
      </c>
      <c r="H10" s="356"/>
      <c r="I10" s="357"/>
      <c r="J10" s="356"/>
      <c r="K10" s="357"/>
    </row>
    <row r="11" spans="1:13" ht="15" customHeight="1" x14ac:dyDescent="0.3">
      <c r="A11" s="352" t="str">
        <f>CONCATENATE(LEFT(Basisdaten!$A$28,15),RIGHT(Basisdaten!B36,8))</f>
        <v>Ovarialkarzinom FIGO IV</v>
      </c>
      <c r="B11" s="348" t="str">
        <f>IF(Basisdaten!D36="","",Basisdaten!D36)</f>
        <v/>
      </c>
      <c r="C11" s="345" t="str">
        <f>IF(Basisdaten!E36="","",Basisdaten!E36)</f>
        <v/>
      </c>
      <c r="D11" s="345" t="str">
        <f>IF(Basisdaten!F36="","",Basisdaten!F36)</f>
        <v/>
      </c>
      <c r="E11" s="346"/>
      <c r="F11" s="346"/>
      <c r="G11" s="349" t="str">
        <f>IF(Basisdaten!I36="","",Basisdaten!I36)</f>
        <v/>
      </c>
      <c r="H11" s="356"/>
      <c r="I11" s="357"/>
      <c r="J11" s="356"/>
      <c r="K11" s="357"/>
      <c r="M11" s="375"/>
    </row>
    <row r="12" spans="1:13" ht="15" customHeight="1" x14ac:dyDescent="0.3">
      <c r="A12" s="352" t="str">
        <f>CONCATENATE(LEFT(Basisdaten!$A$28,15),RIGHT(Basisdaten!B37,10))</f>
        <v>Ovarialkarzinom Gesamt</v>
      </c>
      <c r="B12" s="348" t="str">
        <f>IF(Basisdaten!D37="","",Basisdaten!D37)</f>
        <v/>
      </c>
      <c r="C12" s="345" t="str">
        <f>IF(Basisdaten!E37="","",Basisdaten!E37)</f>
        <v/>
      </c>
      <c r="D12" s="345" t="str">
        <f>IF(Basisdaten!F37="","",Basisdaten!F37)</f>
        <v/>
      </c>
      <c r="E12" s="346"/>
      <c r="F12" s="346"/>
      <c r="G12" s="349" t="str">
        <f>IF(Basisdaten!I37="","",Basisdaten!I37)</f>
        <v/>
      </c>
      <c r="H12" s="348" t="str">
        <f>IF(Basisdaten!J28="","",Basisdaten!J28)</f>
        <v/>
      </c>
      <c r="I12" s="349" t="str">
        <f>IF(Basisdaten!K28="","",Basisdaten!K28)</f>
        <v/>
      </c>
      <c r="J12" s="348" t="str">
        <f>IF(Basisdaten!L28="","",Basisdaten!L28)</f>
        <v/>
      </c>
      <c r="K12" s="349" t="str">
        <f>IF(Basisdaten!M28="","",Basisdaten!M28)</f>
        <v/>
      </c>
    </row>
    <row r="13" spans="1:13" ht="26.4" x14ac:dyDescent="0.3">
      <c r="A13" s="352" t="str">
        <f>Basisdaten!A38</f>
        <v>Borderline Ovar / Seröses Tubares Intraepitheliales Carcinom (STIC)</v>
      </c>
      <c r="B13" s="348" t="str">
        <f>IF(Basisdaten!D38="","",Basisdaten!D38)</f>
        <v/>
      </c>
      <c r="C13" s="345" t="str">
        <f>IF(Basisdaten!E38="","",Basisdaten!E38)</f>
        <v/>
      </c>
      <c r="D13" s="346"/>
      <c r="E13" s="346"/>
      <c r="F13" s="346"/>
      <c r="G13" s="349" t="str">
        <f>IF(Basisdaten!I38="","",Basisdaten!I38)</f>
        <v/>
      </c>
      <c r="H13" s="348" t="str">
        <f>IF(Basisdaten!J38="","",Basisdaten!J38)</f>
        <v/>
      </c>
      <c r="I13" s="349" t="str">
        <f>IF(Basisdaten!K38="","",Basisdaten!K38)</f>
        <v/>
      </c>
      <c r="J13" s="348" t="str">
        <f>IF(Basisdaten!L38="","",Basisdaten!L38)</f>
        <v/>
      </c>
      <c r="K13" s="349" t="str">
        <f>IF(Basisdaten!M38="","",Basisdaten!M38)</f>
        <v/>
      </c>
    </row>
    <row r="14" spans="1:13" x14ac:dyDescent="0.3">
      <c r="A14" s="352" t="str">
        <f>CONCATENATE(LEFT(Basisdaten!$A$39,15),RIGHT(Basisdaten!B39,17))</f>
        <v>Zervixkarzinom FIGO IA1 (= T1a1)</v>
      </c>
      <c r="B14" s="356"/>
      <c r="C14" s="346"/>
      <c r="D14" s="346"/>
      <c r="E14" s="345" t="str">
        <f>IF(Basisdaten!G39="","",Basisdaten!G39)</f>
        <v/>
      </c>
      <c r="F14" s="345" t="str">
        <f>IF(Basisdaten!H39="","",Basisdaten!H39)</f>
        <v/>
      </c>
      <c r="G14" s="349" t="str">
        <f>IF(Basisdaten!I39="","",Basisdaten!I39)</f>
        <v/>
      </c>
      <c r="H14" s="356"/>
      <c r="I14" s="357"/>
      <c r="J14" s="356"/>
      <c r="K14" s="357"/>
    </row>
    <row r="15" spans="1:13" x14ac:dyDescent="0.3">
      <c r="A15" s="352" t="str">
        <f>CONCATENATE(LEFT(Basisdaten!$A$39,15),RIGHT(Basisdaten!B40,17))</f>
        <v>Zervixkarzinom FIGO IA2 (= T1a2)</v>
      </c>
      <c r="B15" s="356"/>
      <c r="C15" s="346"/>
      <c r="D15" s="346"/>
      <c r="E15" s="345" t="str">
        <f>IF(Basisdaten!G40="","",Basisdaten!G40)</f>
        <v/>
      </c>
      <c r="F15" s="345" t="str">
        <f>IF(Basisdaten!H40="","",Basisdaten!H40)</f>
        <v/>
      </c>
      <c r="G15" s="349" t="str">
        <f>IF(Basisdaten!I40="","",Basisdaten!I40)</f>
        <v/>
      </c>
      <c r="H15" s="356"/>
      <c r="I15" s="357"/>
      <c r="J15" s="356"/>
      <c r="K15" s="357"/>
    </row>
    <row r="16" spans="1:13" x14ac:dyDescent="0.3">
      <c r="A16" s="352" t="str">
        <f>CONCATENATE(LEFT(Basisdaten!$A$39,15),RIGHT(Basisdaten!B41,17))</f>
        <v>Zervixkarzinom FIGO IB1 (= T1b1)</v>
      </c>
      <c r="B16" s="356"/>
      <c r="C16" s="346"/>
      <c r="D16" s="346"/>
      <c r="E16" s="345" t="str">
        <f>IF(Basisdaten!G41="","",Basisdaten!G41)</f>
        <v/>
      </c>
      <c r="F16" s="345" t="str">
        <f>IF(Basisdaten!H41="","",Basisdaten!H41)</f>
        <v/>
      </c>
      <c r="G16" s="349" t="str">
        <f>IF(Basisdaten!I41="","",Basisdaten!I41)</f>
        <v/>
      </c>
      <c r="H16" s="356"/>
      <c r="I16" s="357"/>
      <c r="J16" s="356"/>
      <c r="K16" s="357"/>
    </row>
    <row r="17" spans="1:11" x14ac:dyDescent="0.3">
      <c r="A17" s="352" t="str">
        <f>CONCATENATE(LEFT(Basisdaten!$A$39,15),RIGHT(Basisdaten!B42,17))</f>
        <v>Zervixkarzinom FIGO IB2 (= T1b2)</v>
      </c>
      <c r="B17" s="356"/>
      <c r="C17" s="346"/>
      <c r="D17" s="346"/>
      <c r="E17" s="345" t="str">
        <f>IF(Basisdaten!G42="","",Basisdaten!G42)</f>
        <v/>
      </c>
      <c r="F17" s="345" t="str">
        <f>IF(Basisdaten!H42="","",Basisdaten!H42)</f>
        <v/>
      </c>
      <c r="G17" s="349" t="str">
        <f>IF(Basisdaten!I42="","",Basisdaten!I42)</f>
        <v/>
      </c>
      <c r="H17" s="356"/>
      <c r="I17" s="357"/>
      <c r="J17" s="356"/>
      <c r="K17" s="357"/>
    </row>
    <row r="18" spans="1:11" x14ac:dyDescent="0.3">
      <c r="A18" s="352" t="str">
        <f>CONCATENATE(LEFT(Basisdaten!$A$39,15),RIGHT(Basisdaten!B43,16))</f>
        <v>Zervixkarzinom FIGO IIA (= T2a)</v>
      </c>
      <c r="B18" s="356"/>
      <c r="C18" s="346"/>
      <c r="D18" s="346"/>
      <c r="E18" s="345" t="str">
        <f>IF(Basisdaten!G43="","",Basisdaten!G43)</f>
        <v/>
      </c>
      <c r="F18" s="345" t="str">
        <f>IF(Basisdaten!H43="","",Basisdaten!H43)</f>
        <v/>
      </c>
      <c r="G18" s="349" t="str">
        <f>IF(Basisdaten!I43="","",Basisdaten!I43)</f>
        <v/>
      </c>
      <c r="H18" s="356"/>
      <c r="I18" s="357"/>
      <c r="J18" s="356"/>
      <c r="K18" s="357"/>
    </row>
    <row r="19" spans="1:11" x14ac:dyDescent="0.3">
      <c r="A19" s="352" t="str">
        <f>CONCATENATE(LEFT(Basisdaten!$A$39,15),RIGHT(Basisdaten!B44,16))</f>
        <v>Zervixkarzinom FIGO IIB (= T2b)</v>
      </c>
      <c r="B19" s="356"/>
      <c r="C19" s="346"/>
      <c r="D19" s="346"/>
      <c r="E19" s="345" t="str">
        <f>IF(Basisdaten!G44="","",Basisdaten!G44)</f>
        <v/>
      </c>
      <c r="F19" s="345" t="str">
        <f>IF(Basisdaten!H44="","",Basisdaten!H44)</f>
        <v/>
      </c>
      <c r="G19" s="349" t="str">
        <f>IF(Basisdaten!I44="","",Basisdaten!I44)</f>
        <v/>
      </c>
      <c r="H19" s="356"/>
      <c r="I19" s="357"/>
      <c r="J19" s="356"/>
      <c r="K19" s="357"/>
    </row>
    <row r="20" spans="1:11" x14ac:dyDescent="0.3">
      <c r="A20" s="352" t="str">
        <f>CONCATENATE(LEFT(Basisdaten!$A$39,15),RIGHT(Basisdaten!B45,17))</f>
        <v>Zervixkarzinom FIGO IIIA (= T3a)</v>
      </c>
      <c r="B20" s="356"/>
      <c r="C20" s="346"/>
      <c r="D20" s="346"/>
      <c r="E20" s="345" t="str">
        <f>IF(Basisdaten!G45="","",Basisdaten!G45)</f>
        <v/>
      </c>
      <c r="F20" s="345" t="str">
        <f>IF(Basisdaten!H45="","",Basisdaten!H45)</f>
        <v/>
      </c>
      <c r="G20" s="349" t="str">
        <f>IF(Basisdaten!I45="","",Basisdaten!I45)</f>
        <v/>
      </c>
      <c r="H20" s="356"/>
      <c r="I20" s="357"/>
      <c r="J20" s="356"/>
      <c r="K20" s="357"/>
    </row>
    <row r="21" spans="1:11" x14ac:dyDescent="0.3">
      <c r="A21" s="352" t="str">
        <f>CONCATENATE(LEFT(Basisdaten!$A$39,15),RIGHT(Basisdaten!B46,17))</f>
        <v>Zervixkarzinom FIGO IIIB (= T3b)</v>
      </c>
      <c r="B21" s="356"/>
      <c r="C21" s="346"/>
      <c r="D21" s="346"/>
      <c r="E21" s="345" t="str">
        <f>IF(Basisdaten!G46="","",Basisdaten!G46)</f>
        <v/>
      </c>
      <c r="F21" s="345" t="str">
        <f>IF(Basisdaten!H46="","",Basisdaten!H46)</f>
        <v/>
      </c>
      <c r="G21" s="349" t="str">
        <f>IF(Basisdaten!I46="","",Basisdaten!I46)</f>
        <v/>
      </c>
      <c r="H21" s="356"/>
      <c r="I21" s="357"/>
      <c r="J21" s="356"/>
      <c r="K21" s="357"/>
    </row>
    <row r="22" spans="1:11" x14ac:dyDescent="0.3">
      <c r="A22" s="352" t="str">
        <f>CONCATENATE(LEFT(Basisdaten!$A$39,15),RIGHT(Basisdaten!B47,16))</f>
        <v>Zervixkarzinom  FIGO IVA (= T4)</v>
      </c>
      <c r="B22" s="356"/>
      <c r="C22" s="346"/>
      <c r="D22" s="346"/>
      <c r="E22" s="345" t="str">
        <f>IF(Basisdaten!G47="","",Basisdaten!G47)</f>
        <v/>
      </c>
      <c r="F22" s="345" t="str">
        <f>IF(Basisdaten!H47="","",Basisdaten!H47)</f>
        <v/>
      </c>
      <c r="G22" s="349" t="str">
        <f>IF(Basisdaten!I47="","",Basisdaten!I47)</f>
        <v/>
      </c>
      <c r="H22" s="356"/>
      <c r="I22" s="357"/>
      <c r="J22" s="356"/>
      <c r="K22" s="357"/>
    </row>
    <row r="23" spans="1:11" x14ac:dyDescent="0.3">
      <c r="A23" s="352" t="str">
        <f>CONCATENATE(LEFT(Basisdaten!$A$39,15),RIGHT(Basisdaten!B48,16))</f>
        <v>Zervixkarzinom  FIGO IVB (= M1)</v>
      </c>
      <c r="B23" s="356"/>
      <c r="C23" s="346"/>
      <c r="D23" s="346"/>
      <c r="E23" s="345" t="str">
        <f>IF(Basisdaten!G48="","",Basisdaten!G48)</f>
        <v/>
      </c>
      <c r="F23" s="345" t="str">
        <f>IF(Basisdaten!H48="","",Basisdaten!H48)</f>
        <v/>
      </c>
      <c r="G23" s="349" t="str">
        <f>IF(Basisdaten!I48="","",Basisdaten!I48)</f>
        <v/>
      </c>
      <c r="H23" s="356"/>
      <c r="I23" s="357"/>
      <c r="J23" s="356"/>
      <c r="K23" s="357"/>
    </row>
    <row r="24" spans="1:11" x14ac:dyDescent="0.3">
      <c r="A24" s="352" t="str">
        <f>CONCATENATE(LEFT(Basisdaten!$A$39,15),RIGHT(Basisdaten!B49,9))</f>
        <v>Zervixkarzinom  Gesamt</v>
      </c>
      <c r="B24" s="356"/>
      <c r="C24" s="346"/>
      <c r="D24" s="346"/>
      <c r="E24" s="345" t="str">
        <f>IF(Basisdaten!G49="","",Basisdaten!G49)</f>
        <v/>
      </c>
      <c r="F24" s="345" t="str">
        <f>IF(Basisdaten!H49="","",Basisdaten!H49)</f>
        <v/>
      </c>
      <c r="G24" s="349" t="str">
        <f>IF(Basisdaten!I49="","",Basisdaten!I49)</f>
        <v/>
      </c>
      <c r="H24" s="348" t="str">
        <f>IF(Basisdaten!J39="","",Basisdaten!J39)</f>
        <v/>
      </c>
      <c r="I24" s="349" t="str">
        <f>IF(Basisdaten!K39="","",Basisdaten!K39)</f>
        <v/>
      </c>
      <c r="J24" s="348" t="str">
        <f>IF(Basisdaten!L39="","",Basisdaten!L39)</f>
        <v/>
      </c>
      <c r="K24" s="349" t="str">
        <f>IF(Basisdaten!M39="","",Basisdaten!M39)</f>
        <v/>
      </c>
    </row>
    <row r="25" spans="1:11" ht="15" customHeight="1" x14ac:dyDescent="0.3">
      <c r="A25" s="352" t="str">
        <f>Basisdaten!A50</f>
        <v>Endometriumkarzinom</v>
      </c>
      <c r="B25" s="356"/>
      <c r="C25" s="346"/>
      <c r="D25" s="346"/>
      <c r="E25" s="345" t="str">
        <f>IF(Basisdaten!G50="","",Basisdaten!G50)</f>
        <v/>
      </c>
      <c r="F25" s="345" t="str">
        <f>IF(Basisdaten!H50="","",Basisdaten!H50)</f>
        <v/>
      </c>
      <c r="G25" s="349" t="str">
        <f>IF(Basisdaten!I50="","",Basisdaten!I50)</f>
        <v/>
      </c>
      <c r="H25" s="348" t="str">
        <f>IF(Basisdaten!J50="","",Basisdaten!J50)</f>
        <v/>
      </c>
      <c r="I25" s="349" t="str">
        <f>IF(Basisdaten!K50="","",Basisdaten!K50)</f>
        <v/>
      </c>
      <c r="J25" s="348" t="str">
        <f>IF(Basisdaten!L50="","",Basisdaten!L50)</f>
        <v/>
      </c>
      <c r="K25" s="349" t="str">
        <f>IF(Basisdaten!M50="","",Basisdaten!M50)</f>
        <v/>
      </c>
    </row>
    <row r="26" spans="1:11" x14ac:dyDescent="0.3">
      <c r="A26" s="352" t="str">
        <f>Basisdaten!A51</f>
        <v>Vulvakarzinom</v>
      </c>
      <c r="B26" s="356"/>
      <c r="C26" s="346"/>
      <c r="D26" s="346"/>
      <c r="E26" s="345" t="str">
        <f>IF(Basisdaten!G51="","",Basisdaten!G51)</f>
        <v/>
      </c>
      <c r="F26" s="345" t="str">
        <f>IF(Basisdaten!H51="","",Basisdaten!H51)</f>
        <v/>
      </c>
      <c r="G26" s="349" t="str">
        <f>IF(Basisdaten!I51="","",Basisdaten!I51)</f>
        <v/>
      </c>
      <c r="H26" s="348" t="str">
        <f>IF(Basisdaten!J51="","",Basisdaten!J51)</f>
        <v/>
      </c>
      <c r="I26" s="349" t="str">
        <f>IF(Basisdaten!K51="","",Basisdaten!K51)</f>
        <v/>
      </c>
      <c r="J26" s="348" t="str">
        <f>IF(Basisdaten!L51="","",Basisdaten!L51)</f>
        <v/>
      </c>
      <c r="K26" s="349" t="str">
        <f>IF(Basisdaten!M51="","",Basisdaten!M51)</f>
        <v/>
      </c>
    </row>
    <row r="27" spans="1:11" x14ac:dyDescent="0.3">
      <c r="A27" s="352" t="str">
        <f>Basisdaten!A52</f>
        <v>Vaginalkarzinom</v>
      </c>
      <c r="B27" s="356"/>
      <c r="C27" s="346"/>
      <c r="D27" s="346"/>
      <c r="E27" s="345" t="str">
        <f>IF(Basisdaten!G52="","",Basisdaten!G52)</f>
        <v/>
      </c>
      <c r="F27" s="345" t="str">
        <f>IF(Basisdaten!H52="","",Basisdaten!H52)</f>
        <v/>
      </c>
      <c r="G27" s="349" t="str">
        <f>IF(Basisdaten!I52="","",Basisdaten!I52)</f>
        <v/>
      </c>
      <c r="H27" s="348" t="str">
        <f>IF(Basisdaten!J52="","",Basisdaten!J52)</f>
        <v/>
      </c>
      <c r="I27" s="349" t="str">
        <f>IF(Basisdaten!K52="","",Basisdaten!K52)</f>
        <v/>
      </c>
      <c r="J27" s="348" t="str">
        <f>IF(Basisdaten!L52="","",Basisdaten!L52)</f>
        <v/>
      </c>
      <c r="K27" s="349" t="str">
        <f>IF(Basisdaten!M52="","",Basisdaten!M52)</f>
        <v/>
      </c>
    </row>
    <row r="28" spans="1:11" ht="15" customHeight="1" x14ac:dyDescent="0.3">
      <c r="A28" s="352" t="str">
        <f>LEFT(Basisdaten!A53,9)</f>
        <v xml:space="preserve">Sonstige </v>
      </c>
      <c r="B28" s="356"/>
      <c r="C28" s="346"/>
      <c r="D28" s="346"/>
      <c r="E28" s="345" t="str">
        <f>IF(Basisdaten!G53="","",Basisdaten!G53)</f>
        <v/>
      </c>
      <c r="F28" s="345" t="str">
        <f>IF(Basisdaten!H53="","",Basisdaten!H53)</f>
        <v/>
      </c>
      <c r="G28" s="349" t="str">
        <f>IF(Basisdaten!I53="","",Basisdaten!I53)</f>
        <v/>
      </c>
      <c r="H28" s="348" t="str">
        <f>IF(Basisdaten!J53="","",Basisdaten!J53)</f>
        <v/>
      </c>
      <c r="I28" s="349" t="str">
        <f>IF(Basisdaten!K53="","",Basisdaten!K53)</f>
        <v/>
      </c>
      <c r="J28" s="348" t="str">
        <f>IF(Basisdaten!L53="","",Basisdaten!L53)</f>
        <v/>
      </c>
      <c r="K28" s="349" t="str">
        <f>IF(Basisdaten!M53="","",Basisdaten!M53)</f>
        <v/>
      </c>
    </row>
    <row r="29" spans="1:11" x14ac:dyDescent="0.3">
      <c r="A29" s="352" t="s">
        <v>514</v>
      </c>
      <c r="B29" s="348" t="str">
        <f>IF(Basisdaten!D54="","",Basisdaten!D54)</f>
        <v/>
      </c>
      <c r="C29" s="345" t="str">
        <f>IF(Basisdaten!E54="","",Basisdaten!E54)</f>
        <v/>
      </c>
      <c r="D29" s="345" t="str">
        <f>IF(Basisdaten!F54="","",Basisdaten!F54)</f>
        <v/>
      </c>
      <c r="E29" s="345" t="str">
        <f>IF(Basisdaten!G54="","",Basisdaten!G54)</f>
        <v/>
      </c>
      <c r="F29" s="345" t="str">
        <f>IF(Basisdaten!H54="","",Basisdaten!H54)</f>
        <v/>
      </c>
      <c r="G29" s="349" t="str">
        <f>IF(Basisdaten!I54="","",Basisdaten!I54)</f>
        <v/>
      </c>
      <c r="H29" s="348" t="str">
        <f>IF(Basisdaten!J54="","",Basisdaten!J54)</f>
        <v/>
      </c>
      <c r="I29" s="349" t="str">
        <f>IF(Basisdaten!K54="","",Basisdaten!K54)</f>
        <v/>
      </c>
      <c r="J29" s="348" t="str">
        <f>IF(Basisdaten!L54="","",Basisdaten!L54)</f>
        <v/>
      </c>
      <c r="K29" s="349" t="str">
        <f>IF(Basisdaten!M54="","",Basisdaten!M54)</f>
        <v/>
      </c>
    </row>
    <row r="30" spans="1:11" ht="13.8" thickBot="1" x14ac:dyDescent="0.35">
      <c r="A30" s="353"/>
      <c r="B30" s="743" t="str">
        <f>IF(Basisdaten!D55="","",Basisdaten!D55)</f>
        <v/>
      </c>
      <c r="C30" s="745"/>
      <c r="D30" s="745"/>
      <c r="E30" s="745"/>
      <c r="F30" s="745"/>
      <c r="G30" s="744"/>
      <c r="H30" s="743" t="str">
        <f>IF(Basisdaten!J55="","",Basisdaten!J55)</f>
        <v/>
      </c>
      <c r="I30" s="744"/>
      <c r="J30" s="743" t="str">
        <f>IF(Basisdaten!L55="","",Basisdaten!L55)</f>
        <v/>
      </c>
      <c r="K30" s="744"/>
    </row>
  </sheetData>
  <mergeCells count="3">
    <mergeCell ref="J30:K30"/>
    <mergeCell ref="B30:G30"/>
    <mergeCell ref="H30:I30"/>
  </mergeCells>
  <phoneticPr fontId="36" type="noConversion"/>
  <dataValidations count="1">
    <dataValidation allowBlank="1" showInputMessage="1" showErrorMessage="1" errorTitle="Eingabefehler" error="1) Ganze Zahl eingeben." sqref="B3:B30 I25:I29 I3:J24 K3:K29 H3:H30 J25:J30 C3:G29" xr:uid="{00000000-0002-0000-0300-000000000000}"/>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dimension ref="A1:R136"/>
  <sheetViews>
    <sheetView showGridLines="0" showRuler="0" zoomScaleNormal="100" zoomScaleSheetLayoutView="70" workbookViewId="0">
      <pane ySplit="13" topLeftCell="A14" activePane="bottomLeft" state="frozen"/>
      <selection pane="bottomLeft" activeCell="Q92" sqref="Q92:Q94"/>
    </sheetView>
  </sheetViews>
  <sheetFormatPr defaultColWidth="11.44140625" defaultRowHeight="13.8" x14ac:dyDescent="0.25"/>
  <cols>
    <col min="1" max="1" width="6.44140625" style="5" customWidth="1"/>
    <col min="2" max="2" width="7.33203125" style="5" customWidth="1"/>
    <col min="3" max="3" width="17.33203125" style="5" customWidth="1"/>
    <col min="4" max="4" width="12.6640625" style="5" customWidth="1"/>
    <col min="5" max="5" width="11.109375" style="5" customWidth="1"/>
    <col min="6" max="6" width="14.5546875" style="5" customWidth="1"/>
    <col min="7" max="7" width="13.5546875" style="5" customWidth="1"/>
    <col min="8" max="9" width="10.33203125" style="5" customWidth="1"/>
    <col min="10" max="10" width="5.88671875" style="5" customWidth="1"/>
    <col min="11" max="11" width="4.109375" style="5" customWidth="1"/>
    <col min="12" max="12" width="4.5546875" style="5" customWidth="1"/>
    <col min="13" max="13" width="6" style="5" customWidth="1"/>
    <col min="14" max="14" width="7.44140625" style="5" customWidth="1"/>
    <col min="15" max="15" width="8" style="7" customWidth="1"/>
    <col min="16" max="16" width="9.5546875" style="5" customWidth="1"/>
    <col min="17" max="18" width="70.6640625" style="5" customWidth="1"/>
    <col min="19" max="19" width="9.109375" style="5" customWidth="1"/>
    <col min="20" max="16384" width="11.44140625" style="5"/>
  </cols>
  <sheetData>
    <row r="1" spans="1:18" ht="6.9" customHeight="1" x14ac:dyDescent="0.25">
      <c r="O1" s="5"/>
    </row>
    <row r="2" spans="1:18" s="9" customFormat="1" ht="15.9" customHeight="1" x14ac:dyDescent="0.25">
      <c r="A2" s="298" t="str">
        <f>Basisdaten!A2</f>
        <v>Anlage EB Version H1.3 (Auditjahr 2022 / Kennzahlenjahr 2021)</v>
      </c>
      <c r="C2" s="5"/>
      <c r="D2" s="5"/>
      <c r="E2" s="5"/>
      <c r="N2" s="5"/>
    </row>
    <row r="3" spans="1:18" ht="16.8" x14ac:dyDescent="0.3">
      <c r="A3" s="29" t="s">
        <v>344</v>
      </c>
      <c r="N3" s="30"/>
      <c r="O3" s="5"/>
    </row>
    <row r="4" spans="1:18" x14ac:dyDescent="0.25">
      <c r="N4" s="30"/>
      <c r="O4" s="5"/>
    </row>
    <row r="5" spans="1:18" ht="12" customHeight="1" x14ac:dyDescent="0.25">
      <c r="D5" s="18"/>
      <c r="E5" s="18"/>
      <c r="F5" s="18"/>
      <c r="G5" s="18"/>
      <c r="H5" s="18"/>
      <c r="I5" s="18"/>
      <c r="J5" s="18"/>
      <c r="K5" s="18"/>
      <c r="L5" s="18"/>
      <c r="M5" s="18"/>
      <c r="N5" s="30"/>
      <c r="O5" s="5"/>
    </row>
    <row r="6" spans="1:18" s="33" customFormat="1" ht="15" customHeight="1" x14ac:dyDescent="0.3">
      <c r="A6" s="36" t="s">
        <v>282</v>
      </c>
      <c r="B6" s="36"/>
      <c r="D6" s="869" t="str">
        <f>IF(Basisdaten!C8=0,"",Basisdaten!C8)</f>
        <v/>
      </c>
      <c r="E6" s="870"/>
      <c r="F6" s="871"/>
      <c r="G6" s="871"/>
      <c r="H6" s="871"/>
      <c r="I6" s="871"/>
      <c r="J6" s="871"/>
      <c r="K6" s="871"/>
      <c r="L6" s="872"/>
      <c r="M6" s="82"/>
      <c r="N6" s="30"/>
      <c r="O6" s="30"/>
      <c r="P6" s="28"/>
      <c r="Q6" s="30"/>
      <c r="R6" s="30"/>
    </row>
    <row r="7" spans="1:18" s="33" customFormat="1" ht="6.9" customHeight="1" x14ac:dyDescent="0.25">
      <c r="A7" s="8"/>
      <c r="B7" s="8"/>
      <c r="C7" s="32"/>
      <c r="D7" s="18"/>
      <c r="E7" s="18"/>
      <c r="F7" s="18"/>
      <c r="G7" s="18"/>
      <c r="H7" s="18"/>
      <c r="I7" s="18"/>
      <c r="J7" s="18"/>
      <c r="K7" s="18"/>
      <c r="L7" s="18"/>
      <c r="M7" s="18"/>
      <c r="N7" s="30"/>
      <c r="O7" s="30"/>
      <c r="P7" s="28"/>
      <c r="Q7" s="30"/>
      <c r="R7" s="30"/>
    </row>
    <row r="8" spans="1:18" s="33" customFormat="1" ht="15" customHeight="1" x14ac:dyDescent="0.3">
      <c r="A8" s="36" t="s">
        <v>210</v>
      </c>
      <c r="B8" s="36"/>
      <c r="C8" s="35"/>
      <c r="D8" s="869" t="str">
        <f>IF(Basisdaten!C6=0,"",Basisdaten!C6)</f>
        <v/>
      </c>
      <c r="E8" s="873"/>
      <c r="F8" s="30"/>
      <c r="G8" s="76" t="s">
        <v>207</v>
      </c>
      <c r="I8" s="878" t="str">
        <f>IF(Basisdaten!L12=0,"",Basisdaten!L12)</f>
        <v/>
      </c>
      <c r="J8" s="879"/>
      <c r="K8" s="880"/>
      <c r="L8" s="881"/>
      <c r="M8" s="198"/>
      <c r="N8" s="82"/>
      <c r="O8" s="30"/>
      <c r="P8" s="28"/>
      <c r="Q8" s="30"/>
      <c r="R8" s="30"/>
    </row>
    <row r="9" spans="1:18" ht="10.5" customHeight="1" x14ac:dyDescent="0.25">
      <c r="D9" s="18"/>
      <c r="E9" s="18"/>
      <c r="F9" s="18"/>
      <c r="G9" s="18"/>
      <c r="H9" s="18"/>
      <c r="I9" s="18"/>
      <c r="J9" s="18"/>
      <c r="K9" s="18"/>
      <c r="L9" s="18"/>
      <c r="M9" s="18"/>
      <c r="N9" s="30"/>
      <c r="O9" s="5"/>
    </row>
    <row r="10" spans="1:18" s="33" customFormat="1" ht="13.5" customHeight="1" x14ac:dyDescent="0.25">
      <c r="A10" s="8"/>
      <c r="B10" s="8"/>
      <c r="O10" s="30"/>
      <c r="P10" s="28"/>
    </row>
    <row r="11" spans="1:18" s="613" customFormat="1" ht="15.75" customHeight="1" thickBot="1" x14ac:dyDescent="0.35">
      <c r="A11" s="877" t="s">
        <v>1098</v>
      </c>
      <c r="B11" s="877"/>
      <c r="C11" s="877"/>
      <c r="D11" s="877"/>
      <c r="E11" s="877"/>
      <c r="F11" s="877"/>
      <c r="G11" s="877"/>
      <c r="H11" s="877"/>
      <c r="I11" s="877"/>
      <c r="J11" s="877"/>
      <c r="K11" s="877"/>
      <c r="L11" s="877"/>
      <c r="M11" s="877"/>
      <c r="N11" s="877"/>
      <c r="O11" s="877"/>
      <c r="P11" s="877"/>
    </row>
    <row r="12" spans="1:18" s="14" customFormat="1" ht="21" customHeight="1" thickBot="1" x14ac:dyDescent="0.35">
      <c r="A12" s="861" t="s">
        <v>12</v>
      </c>
      <c r="B12" s="861" t="s">
        <v>1053</v>
      </c>
      <c r="C12" s="861" t="s">
        <v>304</v>
      </c>
      <c r="D12" s="846" t="s">
        <v>47</v>
      </c>
      <c r="E12" s="847"/>
      <c r="F12" s="846" t="s">
        <v>48</v>
      </c>
      <c r="G12" s="847"/>
      <c r="H12" s="874" t="s">
        <v>213</v>
      </c>
      <c r="I12" s="875"/>
      <c r="J12" s="851" t="s">
        <v>467</v>
      </c>
      <c r="K12" s="882" t="s">
        <v>49</v>
      </c>
      <c r="L12" s="883"/>
      <c r="M12" s="851" t="s">
        <v>467</v>
      </c>
      <c r="N12" s="846" t="s">
        <v>45</v>
      </c>
      <c r="O12" s="855"/>
      <c r="P12" s="853" t="s">
        <v>466</v>
      </c>
      <c r="Q12" s="844" t="s">
        <v>209</v>
      </c>
      <c r="R12" s="845"/>
    </row>
    <row r="13" spans="1:18" s="14" customFormat="1" ht="27.75" customHeight="1" thickBot="1" x14ac:dyDescent="0.35">
      <c r="A13" s="862"/>
      <c r="B13" s="862"/>
      <c r="C13" s="862"/>
      <c r="D13" s="848"/>
      <c r="E13" s="849"/>
      <c r="F13" s="848"/>
      <c r="G13" s="849"/>
      <c r="H13" s="876"/>
      <c r="I13" s="875"/>
      <c r="J13" s="852"/>
      <c r="K13" s="882"/>
      <c r="L13" s="883"/>
      <c r="M13" s="852"/>
      <c r="N13" s="856"/>
      <c r="O13" s="857"/>
      <c r="P13" s="854"/>
      <c r="Q13" s="241" t="s">
        <v>574</v>
      </c>
      <c r="R13" s="241" t="s">
        <v>3</v>
      </c>
    </row>
    <row r="14" spans="1:18" s="11" customFormat="1" ht="28.5" customHeight="1" thickBot="1" x14ac:dyDescent="0.25">
      <c r="A14" s="829">
        <v>1</v>
      </c>
      <c r="B14" s="858" t="s">
        <v>309</v>
      </c>
      <c r="C14" s="866" t="s">
        <v>324</v>
      </c>
      <c r="D14" s="773" t="s">
        <v>1217</v>
      </c>
      <c r="E14" s="774"/>
      <c r="F14" s="773" t="s">
        <v>1212</v>
      </c>
      <c r="G14" s="774"/>
      <c r="H14" s="773" t="s">
        <v>10</v>
      </c>
      <c r="I14" s="774"/>
      <c r="J14" s="821"/>
      <c r="K14" s="789" t="s">
        <v>301</v>
      </c>
      <c r="L14" s="790"/>
      <c r="M14" s="821"/>
      <c r="N14" s="53" t="s">
        <v>48</v>
      </c>
      <c r="O14" s="96"/>
      <c r="P14" s="746" t="str">
        <f>IF(O16=Berechnung1!D27,Berechnung1!$F$5,IF(OR(O16&lt; Berechnung1!E27,O16&gt; Berechnung1!F27),Berechnung1!$G$5,IF(OR(ROUND(O16,4)&lt;Berechnung1!J27,ROUND(O16,4)&gt;Berechnung1!K27),Berechnung1!$D$5,IF(OR(ROUND(O16,4)&lt;Berechnung1!G27,ROUND(O16,4)&gt;Berechnung1!H27),Berechnung1!$E$5,Berechnung1!$C$5))))</f>
        <v>Unvollständig</v>
      </c>
      <c r="Q14" s="785"/>
      <c r="R14" s="785"/>
    </row>
    <row r="15" spans="1:18" s="11" customFormat="1" ht="28.5" customHeight="1" thickBot="1" x14ac:dyDescent="0.25">
      <c r="A15" s="863"/>
      <c r="B15" s="859"/>
      <c r="C15" s="867"/>
      <c r="D15" s="825"/>
      <c r="E15" s="826"/>
      <c r="F15" s="825"/>
      <c r="G15" s="826"/>
      <c r="H15" s="825"/>
      <c r="I15" s="826"/>
      <c r="J15" s="822"/>
      <c r="K15" s="791"/>
      <c r="L15" s="792"/>
      <c r="M15" s="822"/>
      <c r="N15" s="53" t="s">
        <v>50</v>
      </c>
      <c r="O15" s="54">
        <f>IF(Basisdaten!L55="",0,Basisdaten!L55)</f>
        <v>0</v>
      </c>
      <c r="P15" s="746"/>
      <c r="Q15" s="786"/>
      <c r="R15" s="786"/>
    </row>
    <row r="16" spans="1:18" s="11" customFormat="1" ht="28.5" customHeight="1" thickBot="1" x14ac:dyDescent="0.25">
      <c r="A16" s="864"/>
      <c r="B16" s="860"/>
      <c r="C16" s="868"/>
      <c r="D16" s="827"/>
      <c r="E16" s="828"/>
      <c r="F16" s="827"/>
      <c r="G16" s="828"/>
      <c r="H16" s="827"/>
      <c r="I16" s="828"/>
      <c r="J16" s="823"/>
      <c r="K16" s="793"/>
      <c r="L16" s="794"/>
      <c r="M16" s="823"/>
      <c r="N16" s="53" t="s">
        <v>51</v>
      </c>
      <c r="O16" s="199" t="str">
        <f>IF(O14="","n.d.",IF(O15="","n.d.",IF(O15=0,"",O14/O15)))</f>
        <v>n.d.</v>
      </c>
      <c r="P16" s="746"/>
      <c r="Q16" s="786"/>
      <c r="R16" s="786"/>
    </row>
    <row r="17" spans="1:18" s="11" customFormat="1" ht="28.5" customHeight="1" thickBot="1" x14ac:dyDescent="0.25">
      <c r="A17" s="829">
        <v>2</v>
      </c>
      <c r="B17" s="858"/>
      <c r="C17" s="866" t="s">
        <v>801</v>
      </c>
      <c r="D17" s="773" t="s">
        <v>55</v>
      </c>
      <c r="E17" s="774"/>
      <c r="F17" s="773" t="s">
        <v>1213</v>
      </c>
      <c r="G17" s="774"/>
      <c r="H17" s="773" t="s">
        <v>10</v>
      </c>
      <c r="I17" s="774"/>
      <c r="J17" s="821" t="s">
        <v>443</v>
      </c>
      <c r="K17" s="789" t="s">
        <v>325</v>
      </c>
      <c r="L17" s="790"/>
      <c r="M17" s="821"/>
      <c r="N17" s="53" t="s">
        <v>48</v>
      </c>
      <c r="O17" s="96"/>
      <c r="P17" s="746" t="str">
        <f>IF(O19=Berechnung1!D30,Berechnung1!$F$5,IF(OR(O19&lt; Berechnung1!E30,O19&gt; Berechnung1!F30),Berechnung1!$G$5,IF(OR(ROUND(O19,4)&lt;Berechnung1!J30,ROUND(O19,4)&gt;Berechnung1!K30),Berechnung1!$D$5,IF(OR(ROUND(O19,4)&lt;Berechnung1!G30,ROUND(O19,4)&gt;Berechnung1!H30),Berechnung1!$E$5,Berechnung1!$C$5))))</f>
        <v>Unvollständig</v>
      </c>
      <c r="Q17" s="785"/>
      <c r="R17" s="785"/>
    </row>
    <row r="18" spans="1:18" s="11" customFormat="1" ht="28.5" customHeight="1" thickBot="1" x14ac:dyDescent="0.25">
      <c r="A18" s="863"/>
      <c r="B18" s="859"/>
      <c r="C18" s="867"/>
      <c r="D18" s="825"/>
      <c r="E18" s="826"/>
      <c r="F18" s="825"/>
      <c r="G18" s="826"/>
      <c r="H18" s="825"/>
      <c r="I18" s="826"/>
      <c r="J18" s="822"/>
      <c r="K18" s="791"/>
      <c r="L18" s="792"/>
      <c r="M18" s="822"/>
      <c r="N18" s="53" t="s">
        <v>50</v>
      </c>
      <c r="O18" s="54">
        <f>IF(Basisdaten!L55="",0,Basisdaten!L55)</f>
        <v>0</v>
      </c>
      <c r="P18" s="746"/>
      <c r="Q18" s="786"/>
      <c r="R18" s="786"/>
    </row>
    <row r="19" spans="1:18" s="11" customFormat="1" ht="28.5" customHeight="1" thickBot="1" x14ac:dyDescent="0.25">
      <c r="A19" s="864"/>
      <c r="B19" s="860"/>
      <c r="C19" s="868"/>
      <c r="D19" s="827"/>
      <c r="E19" s="828"/>
      <c r="F19" s="827"/>
      <c r="G19" s="828"/>
      <c r="H19" s="827"/>
      <c r="I19" s="828"/>
      <c r="J19" s="823"/>
      <c r="K19" s="793"/>
      <c r="L19" s="794"/>
      <c r="M19" s="823"/>
      <c r="N19" s="53" t="s">
        <v>51</v>
      </c>
      <c r="O19" s="199" t="str">
        <f>IF(O17="","n.d.",IF(O18="","n.d.",IF(O18=0,"",O17/O18)))</f>
        <v>n.d.</v>
      </c>
      <c r="P19" s="746"/>
      <c r="Q19" s="786"/>
      <c r="R19" s="786"/>
    </row>
    <row r="20" spans="1:18" s="11" customFormat="1" ht="28.5" customHeight="1" thickBot="1" x14ac:dyDescent="0.25">
      <c r="A20" s="829">
        <v>3</v>
      </c>
      <c r="B20" s="858"/>
      <c r="C20" s="866" t="s">
        <v>54</v>
      </c>
      <c r="D20" s="773" t="s">
        <v>56</v>
      </c>
      <c r="E20" s="774"/>
      <c r="F20" s="773" t="s">
        <v>1214</v>
      </c>
      <c r="G20" s="774"/>
      <c r="H20" s="773" t="s">
        <v>10</v>
      </c>
      <c r="I20" s="774"/>
      <c r="J20" s="821" t="s">
        <v>624</v>
      </c>
      <c r="K20" s="789" t="s">
        <v>325</v>
      </c>
      <c r="L20" s="790"/>
      <c r="M20" s="850"/>
      <c r="N20" s="53" t="s">
        <v>48</v>
      </c>
      <c r="O20" s="96"/>
      <c r="P20" s="746" t="str">
        <f>IF(O22=Berechnung1!D33,Berechnung1!$F$5,IF(OR(O22&lt; Berechnung1!E33,O22&gt; Berechnung1!F33),Berechnung1!$G$5,IF(OR(ROUND(O22,4)&lt;Berechnung1!J33,ROUND(O22,4)&gt;Berechnung1!K33),Berechnung1!$D$5,IF(OR(ROUND(O22,4)&lt;Berechnung1!G33,ROUND(O22,4)&gt;Berechnung1!H33),Berechnung1!$E$5,Berechnung1!$C$5))))</f>
        <v>Unvollständig</v>
      </c>
      <c r="Q20" s="785"/>
      <c r="R20" s="785"/>
    </row>
    <row r="21" spans="1:18" s="11" customFormat="1" ht="28.5" customHeight="1" thickBot="1" x14ac:dyDescent="0.25">
      <c r="A21" s="863"/>
      <c r="B21" s="859"/>
      <c r="C21" s="867"/>
      <c r="D21" s="825"/>
      <c r="E21" s="826"/>
      <c r="F21" s="825"/>
      <c r="G21" s="826"/>
      <c r="H21" s="825"/>
      <c r="I21" s="826"/>
      <c r="J21" s="822"/>
      <c r="K21" s="791"/>
      <c r="L21" s="792"/>
      <c r="M21" s="822"/>
      <c r="N21" s="53" t="s">
        <v>50</v>
      </c>
      <c r="O21" s="54">
        <f>IF(Basisdaten!L55="",0,Basisdaten!L55)</f>
        <v>0</v>
      </c>
      <c r="P21" s="746"/>
      <c r="Q21" s="786"/>
      <c r="R21" s="815"/>
    </row>
    <row r="22" spans="1:18" s="11" customFormat="1" ht="28.5" customHeight="1" thickBot="1" x14ac:dyDescent="0.25">
      <c r="A22" s="864"/>
      <c r="B22" s="860"/>
      <c r="C22" s="868"/>
      <c r="D22" s="827"/>
      <c r="E22" s="828"/>
      <c r="F22" s="827"/>
      <c r="G22" s="828"/>
      <c r="H22" s="827"/>
      <c r="I22" s="828"/>
      <c r="J22" s="823"/>
      <c r="K22" s="793"/>
      <c r="L22" s="794"/>
      <c r="M22" s="823"/>
      <c r="N22" s="53" t="s">
        <v>51</v>
      </c>
      <c r="O22" s="199" t="str">
        <f>IF(O20="","n.d.",IF(O21="","n.d.",IF(O21=0,"",O20/O21)))</f>
        <v>n.d.</v>
      </c>
      <c r="P22" s="746"/>
      <c r="Q22" s="786"/>
      <c r="R22" s="816"/>
    </row>
    <row r="23" spans="1:18" s="11" customFormat="1" ht="28.5" customHeight="1" thickBot="1" x14ac:dyDescent="0.25">
      <c r="A23" s="829">
        <v>4</v>
      </c>
      <c r="B23" s="858" t="s">
        <v>310</v>
      </c>
      <c r="C23" s="866" t="s">
        <v>1211</v>
      </c>
      <c r="D23" s="773" t="s">
        <v>1216</v>
      </c>
      <c r="E23" s="774"/>
      <c r="F23" s="773" t="s">
        <v>1215</v>
      </c>
      <c r="G23" s="774"/>
      <c r="H23" s="773" t="s">
        <v>1066</v>
      </c>
      <c r="I23" s="774"/>
      <c r="J23" s="821"/>
      <c r="K23" s="789" t="s">
        <v>431</v>
      </c>
      <c r="L23" s="790"/>
      <c r="M23" s="821" t="s">
        <v>442</v>
      </c>
      <c r="N23" s="24" t="s">
        <v>48</v>
      </c>
      <c r="O23" s="96"/>
      <c r="P23" s="746" t="str">
        <f>IF(O25=Berechnung1!D36,Berechnung1!$F$5,IF(OR(O25&lt; Berechnung1!E36,O25&gt; Berechnung1!F36),Berechnung1!$G$5,IF(OR(ROUND(O25,4)&lt;Berechnung1!J36,ROUND(O25,4)&gt;Berechnung1!K36),Berechnung1!$D$5,IF(OR(ROUND(O25,4)&lt;Berechnung1!G36,ROUND(O25,4)&gt;Berechnung1!H36),Berechnung1!$E$5,Berechnung1!$C$5))))</f>
        <v>Unvollständig</v>
      </c>
      <c r="Q23" s="785"/>
      <c r="R23" s="785"/>
    </row>
    <row r="24" spans="1:18" s="11" customFormat="1" ht="28.5" customHeight="1" thickBot="1" x14ac:dyDescent="0.25">
      <c r="A24" s="863"/>
      <c r="B24" s="859"/>
      <c r="C24" s="867"/>
      <c r="D24" s="825"/>
      <c r="E24" s="826"/>
      <c r="F24" s="825"/>
      <c r="G24" s="826"/>
      <c r="H24" s="825"/>
      <c r="I24" s="826"/>
      <c r="J24" s="822"/>
      <c r="K24" s="791"/>
      <c r="L24" s="792"/>
      <c r="M24" s="822"/>
      <c r="N24" s="53" t="s">
        <v>50</v>
      </c>
      <c r="O24" s="54">
        <f>IF(Basisdaten!D55="",0,Basisdaten!D55)</f>
        <v>0</v>
      </c>
      <c r="P24" s="746"/>
      <c r="Q24" s="786"/>
      <c r="R24" s="815"/>
    </row>
    <row r="25" spans="1:18" s="11" customFormat="1" ht="28.5" customHeight="1" thickBot="1" x14ac:dyDescent="0.25">
      <c r="A25" s="864"/>
      <c r="B25" s="860"/>
      <c r="C25" s="868"/>
      <c r="D25" s="827"/>
      <c r="E25" s="828"/>
      <c r="F25" s="827"/>
      <c r="G25" s="828"/>
      <c r="H25" s="827"/>
      <c r="I25" s="828"/>
      <c r="J25" s="823"/>
      <c r="K25" s="793"/>
      <c r="L25" s="794"/>
      <c r="M25" s="823"/>
      <c r="N25" s="53" t="s">
        <v>51</v>
      </c>
      <c r="O25" s="199" t="str">
        <f>IF(O23="","n.d.",IF(O24="","n.d.",IF(O24=0,"",O23/O24)))</f>
        <v>n.d.</v>
      </c>
      <c r="P25" s="746"/>
      <c r="Q25" s="786"/>
      <c r="R25" s="816"/>
    </row>
    <row r="26" spans="1:18" s="90" customFormat="1" ht="28.5" customHeight="1" thickBot="1" x14ac:dyDescent="0.25">
      <c r="A26" s="829">
        <v>5</v>
      </c>
      <c r="B26" s="858" t="s">
        <v>326</v>
      </c>
      <c r="C26" s="838" t="s">
        <v>923</v>
      </c>
      <c r="D26" s="773" t="s">
        <v>434</v>
      </c>
      <c r="E26" s="774"/>
      <c r="F26" s="832" t="s">
        <v>923</v>
      </c>
      <c r="G26" s="833"/>
      <c r="H26" s="824" t="s">
        <v>315</v>
      </c>
      <c r="I26" s="774"/>
      <c r="J26" s="821"/>
      <c r="K26" s="789" t="s">
        <v>429</v>
      </c>
      <c r="L26" s="790"/>
      <c r="M26" s="821"/>
      <c r="N26" s="820" t="s">
        <v>53</v>
      </c>
      <c r="O26" s="817">
        <f>IF(Basisdaten!L55="",0,Basisdaten!L55)</f>
        <v>0</v>
      </c>
      <c r="P26" s="746" t="str">
        <f>IF(O26=0,Berechnung1!$F$5,IF(OR(O26&lt; Berechnung1!E39,O26&gt; Berechnung1!F39),Berechnung1!$G$5,IF(OR(ROUND(O26,4)&lt;Berechnung1!J39,ROUND(O26,4)&gt;Berechnung1!K39),Berechnung1!$D$5,IF(OR(ROUND(O26,4)&lt;Berechnung1!G39,ROUND(O26,4)&gt;Berechnung1!H39),Berechnung1!$E$5,Berechnung1!$C$5))))</f>
        <v>Unvollständig</v>
      </c>
      <c r="Q26" s="785"/>
      <c r="R26" s="785"/>
    </row>
    <row r="27" spans="1:18" s="90" customFormat="1" ht="28.5" customHeight="1" thickBot="1" x14ac:dyDescent="0.25">
      <c r="A27" s="863"/>
      <c r="B27" s="859"/>
      <c r="C27" s="839"/>
      <c r="D27" s="825"/>
      <c r="E27" s="826"/>
      <c r="F27" s="834"/>
      <c r="G27" s="835"/>
      <c r="H27" s="825"/>
      <c r="I27" s="826"/>
      <c r="J27" s="822"/>
      <c r="K27" s="791"/>
      <c r="L27" s="792"/>
      <c r="M27" s="822"/>
      <c r="N27" s="820"/>
      <c r="O27" s="818"/>
      <c r="P27" s="746"/>
      <c r="Q27" s="786"/>
      <c r="R27" s="815"/>
    </row>
    <row r="28" spans="1:18" s="90" customFormat="1" ht="28.5" customHeight="1" thickBot="1" x14ac:dyDescent="0.25">
      <c r="A28" s="864"/>
      <c r="B28" s="860"/>
      <c r="C28" s="840"/>
      <c r="D28" s="827"/>
      <c r="E28" s="828"/>
      <c r="F28" s="836"/>
      <c r="G28" s="837"/>
      <c r="H28" s="827"/>
      <c r="I28" s="828"/>
      <c r="J28" s="823"/>
      <c r="K28" s="793"/>
      <c r="L28" s="794"/>
      <c r="M28" s="823"/>
      <c r="N28" s="820"/>
      <c r="O28" s="819"/>
      <c r="P28" s="746"/>
      <c r="Q28" s="786"/>
      <c r="R28" s="816"/>
    </row>
    <row r="29" spans="1:18" s="11" customFormat="1" ht="28.5" customHeight="1" thickBot="1" x14ac:dyDescent="0.25">
      <c r="A29" s="829" t="s">
        <v>1054</v>
      </c>
      <c r="B29" s="858" t="s">
        <v>326</v>
      </c>
      <c r="C29" s="838" t="s">
        <v>52</v>
      </c>
      <c r="D29" s="773" t="s">
        <v>434</v>
      </c>
      <c r="E29" s="774"/>
      <c r="F29" s="832" t="s">
        <v>52</v>
      </c>
      <c r="G29" s="833"/>
      <c r="H29" s="824" t="s">
        <v>315</v>
      </c>
      <c r="I29" s="774"/>
      <c r="J29" s="821"/>
      <c r="K29" s="789" t="s">
        <v>327</v>
      </c>
      <c r="L29" s="790"/>
      <c r="M29" s="821"/>
      <c r="N29" s="820" t="s">
        <v>53</v>
      </c>
      <c r="O29" s="817">
        <f>IF(Basisdaten!D55="",0,Basisdaten!D55)</f>
        <v>0</v>
      </c>
      <c r="P29" s="746" t="str">
        <f>IF(O29=0,Berechnung1!$F$5,IF(OR(O29&lt; Berechnung1!E42,O29&gt; Berechnung1!F42),Berechnung1!$G$5,IF(OR(ROUND(O29,4)&lt;Berechnung1!J42,ROUND(O29,4)&gt;Berechnung1!K42),Berechnung1!$D$5,IF(OR(ROUND(O29,4)&lt;Berechnung1!G42,ROUND(O29,4)&gt;Berechnung1!H42),Berechnung1!$E$5,Berechnung1!$C$5))))</f>
        <v>Unvollständig</v>
      </c>
      <c r="Q29" s="796"/>
      <c r="R29" s="785"/>
    </row>
    <row r="30" spans="1:18" s="11" customFormat="1" ht="28.5" customHeight="1" thickBot="1" x14ac:dyDescent="0.25">
      <c r="A30" s="863"/>
      <c r="B30" s="859"/>
      <c r="C30" s="839"/>
      <c r="D30" s="825"/>
      <c r="E30" s="826"/>
      <c r="F30" s="834"/>
      <c r="G30" s="835"/>
      <c r="H30" s="825"/>
      <c r="I30" s="826"/>
      <c r="J30" s="822"/>
      <c r="K30" s="791"/>
      <c r="L30" s="792"/>
      <c r="M30" s="822"/>
      <c r="N30" s="820"/>
      <c r="O30" s="818"/>
      <c r="P30" s="746"/>
      <c r="Q30" s="786"/>
      <c r="R30" s="815"/>
    </row>
    <row r="31" spans="1:18" s="11" customFormat="1" ht="28.5" customHeight="1" thickBot="1" x14ac:dyDescent="0.25">
      <c r="A31" s="864"/>
      <c r="B31" s="860"/>
      <c r="C31" s="840"/>
      <c r="D31" s="827"/>
      <c r="E31" s="828"/>
      <c r="F31" s="836"/>
      <c r="G31" s="837"/>
      <c r="H31" s="827"/>
      <c r="I31" s="828"/>
      <c r="J31" s="823"/>
      <c r="K31" s="793"/>
      <c r="L31" s="794"/>
      <c r="M31" s="823"/>
      <c r="N31" s="820"/>
      <c r="O31" s="819"/>
      <c r="P31" s="746"/>
      <c r="Q31" s="786"/>
      <c r="R31" s="816"/>
    </row>
    <row r="32" spans="1:18" s="11" customFormat="1" ht="28.5" customHeight="1" thickBot="1" x14ac:dyDescent="0.25">
      <c r="A32" s="829" t="s">
        <v>1055</v>
      </c>
      <c r="B32" s="841" t="s">
        <v>326</v>
      </c>
      <c r="C32" s="838" t="s">
        <v>322</v>
      </c>
      <c r="D32" s="824" t="s">
        <v>315</v>
      </c>
      <c r="E32" s="774"/>
      <c r="F32" s="832" t="s">
        <v>322</v>
      </c>
      <c r="G32" s="833"/>
      <c r="H32" s="824" t="s">
        <v>315</v>
      </c>
      <c r="I32" s="774"/>
      <c r="J32" s="821"/>
      <c r="K32" s="789" t="s">
        <v>325</v>
      </c>
      <c r="L32" s="790"/>
      <c r="M32" s="821"/>
      <c r="N32" s="820" t="s">
        <v>53</v>
      </c>
      <c r="O32" s="817">
        <f>IF(Basisdaten!J55="",0,Basisdaten!J55)</f>
        <v>0</v>
      </c>
      <c r="P32" s="746" t="str">
        <f>IF(O32=0,Berechnung1!$F$5,IF(OR(O32&lt; Berechnung1!E45,O32&gt; Berechnung1!F45),Berechnung1!$G$5,IF(OR(ROUND(O32,4)&lt;Berechnung1!J45,ROUND(O32,4)&gt;Berechnung1!K45),Berechnung1!$D$5,IF(OR(ROUND(O32,4)&lt;Berechnung1!G45,ROUND(O32,4)&gt;Berechnung1!H45),Berechnung1!$E$5,Berechnung1!$C$5))))</f>
        <v>Unvollständig</v>
      </c>
      <c r="Q32" s="796"/>
      <c r="R32" s="785"/>
    </row>
    <row r="33" spans="1:18" s="11" customFormat="1" ht="28.5" customHeight="1" thickBot="1" x14ac:dyDescent="0.25">
      <c r="A33" s="863"/>
      <c r="B33" s="842"/>
      <c r="C33" s="839"/>
      <c r="D33" s="825"/>
      <c r="E33" s="826"/>
      <c r="F33" s="834"/>
      <c r="G33" s="835"/>
      <c r="H33" s="825"/>
      <c r="I33" s="826"/>
      <c r="J33" s="822"/>
      <c r="K33" s="791"/>
      <c r="L33" s="792"/>
      <c r="M33" s="822"/>
      <c r="N33" s="820"/>
      <c r="O33" s="818"/>
      <c r="P33" s="746"/>
      <c r="Q33" s="786"/>
      <c r="R33" s="815"/>
    </row>
    <row r="34" spans="1:18" s="11" customFormat="1" ht="28.5" customHeight="1" thickBot="1" x14ac:dyDescent="0.25">
      <c r="A34" s="864"/>
      <c r="B34" s="843"/>
      <c r="C34" s="840"/>
      <c r="D34" s="827"/>
      <c r="E34" s="828"/>
      <c r="F34" s="836"/>
      <c r="G34" s="837"/>
      <c r="H34" s="827"/>
      <c r="I34" s="828"/>
      <c r="J34" s="823"/>
      <c r="K34" s="793"/>
      <c r="L34" s="794"/>
      <c r="M34" s="823"/>
      <c r="N34" s="820"/>
      <c r="O34" s="819"/>
      <c r="P34" s="746"/>
      <c r="Q34" s="786"/>
      <c r="R34" s="816"/>
    </row>
    <row r="35" spans="1:18" s="90" customFormat="1" ht="28.5" customHeight="1" thickBot="1" x14ac:dyDescent="0.25">
      <c r="A35" s="829">
        <v>7</v>
      </c>
      <c r="B35" s="841" t="s">
        <v>328</v>
      </c>
      <c r="C35" s="865" t="s">
        <v>924</v>
      </c>
      <c r="D35" s="773" t="s">
        <v>434</v>
      </c>
      <c r="E35" s="774"/>
      <c r="F35" s="884" t="s">
        <v>925</v>
      </c>
      <c r="G35" s="833"/>
      <c r="H35" s="824" t="s">
        <v>315</v>
      </c>
      <c r="I35" s="774"/>
      <c r="J35" s="821"/>
      <c r="K35" s="789" t="s">
        <v>329</v>
      </c>
      <c r="L35" s="790"/>
      <c r="M35" s="821"/>
      <c r="N35" s="820" t="s">
        <v>53</v>
      </c>
      <c r="O35" s="817">
        <f>IF(Basisdaten!L54="",0,Basisdaten!L54)</f>
        <v>0</v>
      </c>
      <c r="P35" s="746" t="str">
        <f>IF(O35=0,Berechnung1!$F$5,IF(OR(O35&lt; Berechnung1!E48,O35&gt; Berechnung1!F48),Berechnung1!$G$5,IF(OR(ROUND(O35,4)&lt;Berechnung1!J48,ROUND(O35,4)&gt;Berechnung1!K48),Berechnung1!$D$5,IF(OR(ROUND(O35,4)&lt;Berechnung1!G48,ROUND(O35,4)&gt;Berechnung1!H48),Berechnung1!$E$5,Berechnung1!$C$5))))</f>
        <v>Unvollständig</v>
      </c>
      <c r="Q35" s="796"/>
      <c r="R35" s="785"/>
    </row>
    <row r="36" spans="1:18" s="90" customFormat="1" ht="28.5" customHeight="1" thickBot="1" x14ac:dyDescent="0.25">
      <c r="A36" s="863"/>
      <c r="B36" s="842"/>
      <c r="C36" s="839"/>
      <c r="D36" s="825"/>
      <c r="E36" s="826"/>
      <c r="F36" s="834"/>
      <c r="G36" s="835"/>
      <c r="H36" s="825"/>
      <c r="I36" s="826"/>
      <c r="J36" s="822"/>
      <c r="K36" s="791"/>
      <c r="L36" s="792"/>
      <c r="M36" s="822"/>
      <c r="N36" s="820"/>
      <c r="O36" s="818"/>
      <c r="P36" s="746"/>
      <c r="Q36" s="786"/>
      <c r="R36" s="815"/>
    </row>
    <row r="37" spans="1:18" s="90" customFormat="1" ht="28.5" customHeight="1" thickBot="1" x14ac:dyDescent="0.25">
      <c r="A37" s="864"/>
      <c r="B37" s="843"/>
      <c r="C37" s="840"/>
      <c r="D37" s="827"/>
      <c r="E37" s="828"/>
      <c r="F37" s="836"/>
      <c r="G37" s="837"/>
      <c r="H37" s="827"/>
      <c r="I37" s="828"/>
      <c r="J37" s="823"/>
      <c r="K37" s="793"/>
      <c r="L37" s="794"/>
      <c r="M37" s="823"/>
      <c r="N37" s="820"/>
      <c r="O37" s="819"/>
      <c r="P37" s="746"/>
      <c r="Q37" s="786"/>
      <c r="R37" s="816"/>
    </row>
    <row r="38" spans="1:18" s="216" customFormat="1" ht="28.5" customHeight="1" thickBot="1" x14ac:dyDescent="0.35">
      <c r="A38" s="829">
        <v>8</v>
      </c>
      <c r="B38" s="811" t="s">
        <v>1056</v>
      </c>
      <c r="C38" s="812" t="s">
        <v>926</v>
      </c>
      <c r="D38" s="812" t="s">
        <v>927</v>
      </c>
      <c r="E38" s="812"/>
      <c r="F38" s="756" t="s">
        <v>928</v>
      </c>
      <c r="G38" s="756"/>
      <c r="H38" s="773" t="s">
        <v>929</v>
      </c>
      <c r="I38" s="774"/>
      <c r="J38" s="795"/>
      <c r="K38" s="789" t="s">
        <v>325</v>
      </c>
      <c r="L38" s="790"/>
      <c r="M38" s="795"/>
      <c r="N38" s="565" t="s">
        <v>48</v>
      </c>
      <c r="O38" s="567"/>
      <c r="P38" s="746" t="str">
        <f>IF(O40=Berechnung1!D51,Berechnung1!$F$5,IF(OR(O40&lt; Berechnung1!E51,O40&gt; Berechnung1!F51),Berechnung1!$G$5,IF(OR(ROUND(O40,4)&lt;Berechnung1!J51,ROUND(O40,4)&gt;Berechnung1!K51),Berechnung1!$D$5,IF(OR(ROUND(O40,4)&lt;Berechnung1!G51,ROUND(O40,4)&gt;Berechnung1!H51),Berechnung1!$E$5,Berechnung1!$C$5))))</f>
        <v>Unvollständig</v>
      </c>
      <c r="Q38" s="796"/>
      <c r="R38" s="788"/>
    </row>
    <row r="39" spans="1:18" s="216" customFormat="1" ht="28.5" customHeight="1" thickBot="1" x14ac:dyDescent="0.35">
      <c r="A39" s="830"/>
      <c r="B39" s="811"/>
      <c r="C39" s="812"/>
      <c r="D39" s="812"/>
      <c r="E39" s="812"/>
      <c r="F39" s="756"/>
      <c r="G39" s="756"/>
      <c r="H39" s="775"/>
      <c r="I39" s="776"/>
      <c r="J39" s="748"/>
      <c r="K39" s="791"/>
      <c r="L39" s="792"/>
      <c r="M39" s="748"/>
      <c r="N39" s="565" t="s">
        <v>50</v>
      </c>
      <c r="O39" s="302">
        <f>D118+E118+I118</f>
        <v>0</v>
      </c>
      <c r="P39" s="746"/>
      <c r="Q39" s="786"/>
      <c r="R39" s="788"/>
    </row>
    <row r="40" spans="1:18" s="216" customFormat="1" ht="28.5" customHeight="1" thickBot="1" x14ac:dyDescent="0.35">
      <c r="A40" s="831"/>
      <c r="B40" s="811"/>
      <c r="C40" s="812"/>
      <c r="D40" s="812"/>
      <c r="E40" s="812"/>
      <c r="F40" s="756"/>
      <c r="G40" s="756"/>
      <c r="H40" s="777"/>
      <c r="I40" s="778"/>
      <c r="J40" s="748"/>
      <c r="K40" s="793"/>
      <c r="L40" s="794"/>
      <c r="M40" s="748"/>
      <c r="N40" s="565" t="s">
        <v>51</v>
      </c>
      <c r="O40" s="566" t="str">
        <f>IF(O38="","n.d.",IF(O39="","n.d.",IF(O39=0,"",O38/O39)))</f>
        <v>n.d.</v>
      </c>
      <c r="P40" s="746"/>
      <c r="Q40" s="786"/>
      <c r="R40" s="788"/>
    </row>
    <row r="41" spans="1:18" s="216" customFormat="1" ht="46.5" customHeight="1" thickBot="1" x14ac:dyDescent="0.35">
      <c r="A41" s="829">
        <v>9</v>
      </c>
      <c r="B41" s="811" t="s">
        <v>1056</v>
      </c>
      <c r="C41" s="812" t="s">
        <v>536</v>
      </c>
      <c r="D41" s="812" t="s">
        <v>1086</v>
      </c>
      <c r="E41" s="812"/>
      <c r="F41" s="756" t="s">
        <v>930</v>
      </c>
      <c r="G41" s="756"/>
      <c r="H41" s="773" t="s">
        <v>931</v>
      </c>
      <c r="I41" s="774"/>
      <c r="J41" s="795" t="s">
        <v>622</v>
      </c>
      <c r="K41" s="789" t="s">
        <v>325</v>
      </c>
      <c r="L41" s="790"/>
      <c r="M41" s="795"/>
      <c r="N41" s="297" t="s">
        <v>48</v>
      </c>
      <c r="O41" s="308"/>
      <c r="P41" s="746" t="str">
        <f>IF(AND(O41&lt;&gt;"",O42&lt;&gt;"",O41=0,O42=0),Berechnung1!$H$5,IF(O43="",Berechnung1!$D$5,IF(O43=Berechnung1!D54,Berechnung1!$F$5,IF(OR(O43&lt; Berechnung1!E54,O43&gt; Berechnung1!F54),Berechnung1!$G$5,IF(OR(ROUND(O43,4)&lt;Berechnung1!J54,ROUND(O43,4)&gt;Berechnung1!K54),Berechnung1!$D$5,IF(OR(ROUND(O43,4)&lt;Berechnung1!G54,ROUND(O43,4)&gt;Berechnung1!H54),Berechnung1!$E$5,Berechnung1!$C$5))))))</f>
        <v>Unvollständig</v>
      </c>
      <c r="Q41" s="796"/>
      <c r="R41" s="788"/>
    </row>
    <row r="42" spans="1:18" s="216" customFormat="1" ht="46.5" customHeight="1" thickBot="1" x14ac:dyDescent="0.35">
      <c r="A42" s="830"/>
      <c r="B42" s="811"/>
      <c r="C42" s="812"/>
      <c r="D42" s="812"/>
      <c r="E42" s="812"/>
      <c r="F42" s="756"/>
      <c r="G42" s="756"/>
      <c r="H42" s="775"/>
      <c r="I42" s="776"/>
      <c r="J42" s="748"/>
      <c r="K42" s="791"/>
      <c r="L42" s="792"/>
      <c r="M42" s="748"/>
      <c r="N42" s="297" t="s">
        <v>50</v>
      </c>
      <c r="O42" s="302">
        <f>IF(SUM(D109:E114)="",0,SUM(D109:E114))</f>
        <v>0</v>
      </c>
      <c r="P42" s="746"/>
      <c r="Q42" s="786"/>
      <c r="R42" s="788"/>
    </row>
    <row r="43" spans="1:18" s="216" customFormat="1" ht="46.5" customHeight="1" thickBot="1" x14ac:dyDescent="0.35">
      <c r="A43" s="831"/>
      <c r="B43" s="811"/>
      <c r="C43" s="812"/>
      <c r="D43" s="812"/>
      <c r="E43" s="812"/>
      <c r="F43" s="756"/>
      <c r="G43" s="756"/>
      <c r="H43" s="777"/>
      <c r="I43" s="778"/>
      <c r="J43" s="748"/>
      <c r="K43" s="793"/>
      <c r="L43" s="794"/>
      <c r="M43" s="748"/>
      <c r="N43" s="297" t="s">
        <v>51</v>
      </c>
      <c r="O43" s="307" t="str">
        <f>IF(O41="","n.d.",IF(AND(O41=0,O42=0),"",O41/O42))</f>
        <v>n.d.</v>
      </c>
      <c r="P43" s="746"/>
      <c r="Q43" s="786"/>
      <c r="R43" s="788"/>
    </row>
    <row r="44" spans="1:18" s="216" customFormat="1" ht="36" customHeight="1" thickBot="1" x14ac:dyDescent="0.35">
      <c r="A44" s="809">
        <v>10</v>
      </c>
      <c r="B44" s="811" t="s">
        <v>1056</v>
      </c>
      <c r="C44" s="812" t="s">
        <v>537</v>
      </c>
      <c r="D44" s="812" t="s">
        <v>538</v>
      </c>
      <c r="E44" s="812"/>
      <c r="F44" s="756" t="s">
        <v>932</v>
      </c>
      <c r="G44" s="756"/>
      <c r="H44" s="773" t="s">
        <v>7</v>
      </c>
      <c r="I44" s="774"/>
      <c r="J44" s="748"/>
      <c r="K44" s="789" t="s">
        <v>933</v>
      </c>
      <c r="L44" s="790"/>
      <c r="M44" s="795" t="s">
        <v>761</v>
      </c>
      <c r="N44" s="297" t="s">
        <v>48</v>
      </c>
      <c r="O44" s="308"/>
      <c r="P44" s="746" t="str">
        <f>IF(O46=Berechnung1!D57,Berechnung1!$F$5,IF(OR(O46&lt; Berechnung1!E57,O46&gt; Berechnung1!F57),Berechnung1!$G$5,IF(OR(ROUND(O46,4)&lt;Berechnung1!J57,ROUND(O46,4)&gt;Berechnung1!K57),Berechnung1!$D$5,IF(OR(ROUND(O46,4)&lt;Berechnung1!G57,ROUND(O46,4)&gt;Berechnung1!H57),Berechnung1!$E$5,Berechnung1!$C$5))))</f>
        <v>Unvollständig</v>
      </c>
      <c r="Q44" s="796"/>
      <c r="R44" s="788"/>
    </row>
    <row r="45" spans="1:18" s="216" customFormat="1" ht="36" customHeight="1" thickBot="1" x14ac:dyDescent="0.35">
      <c r="A45" s="810"/>
      <c r="B45" s="811"/>
      <c r="C45" s="812"/>
      <c r="D45" s="812"/>
      <c r="E45" s="812"/>
      <c r="F45" s="756"/>
      <c r="G45" s="756"/>
      <c r="H45" s="775"/>
      <c r="I45" s="776"/>
      <c r="J45" s="748"/>
      <c r="K45" s="791"/>
      <c r="L45" s="792"/>
      <c r="M45" s="748"/>
      <c r="N45" s="334" t="s">
        <v>50</v>
      </c>
      <c r="O45" s="302">
        <f>IF(SUM(E113:E117)=0,0,SUM(E113:E117))</f>
        <v>0</v>
      </c>
      <c r="P45" s="746"/>
      <c r="Q45" s="786"/>
      <c r="R45" s="788"/>
    </row>
    <row r="46" spans="1:18" s="216" customFormat="1" ht="36" customHeight="1" thickBot="1" x14ac:dyDescent="0.35">
      <c r="A46" s="810"/>
      <c r="B46" s="811"/>
      <c r="C46" s="812"/>
      <c r="D46" s="812"/>
      <c r="E46" s="812"/>
      <c r="F46" s="756"/>
      <c r="G46" s="756"/>
      <c r="H46" s="777"/>
      <c r="I46" s="778"/>
      <c r="J46" s="748"/>
      <c r="K46" s="793"/>
      <c r="L46" s="794"/>
      <c r="M46" s="748"/>
      <c r="N46" s="297" t="s">
        <v>51</v>
      </c>
      <c r="O46" s="307" t="str">
        <f>IF(O44="","n.d.",IF(O45="","n.d.",IF(O45=0,"",O44/O45)))</f>
        <v>n.d.</v>
      </c>
      <c r="P46" s="746"/>
      <c r="Q46" s="786"/>
      <c r="R46" s="788"/>
    </row>
    <row r="47" spans="1:18" s="216" customFormat="1" ht="36.75" customHeight="1" thickBot="1" x14ac:dyDescent="0.35">
      <c r="A47" s="809">
        <v>11</v>
      </c>
      <c r="B47" s="811" t="s">
        <v>1056</v>
      </c>
      <c r="C47" s="812" t="s">
        <v>934</v>
      </c>
      <c r="D47" s="812" t="s">
        <v>539</v>
      </c>
      <c r="E47" s="812"/>
      <c r="F47" s="756" t="s">
        <v>935</v>
      </c>
      <c r="G47" s="756"/>
      <c r="H47" s="884" t="s">
        <v>540</v>
      </c>
      <c r="I47" s="833"/>
      <c r="J47" s="748"/>
      <c r="K47" s="789" t="s">
        <v>301</v>
      </c>
      <c r="L47" s="790"/>
      <c r="M47" s="795"/>
      <c r="N47" s="297" t="s">
        <v>48</v>
      </c>
      <c r="O47" s="308"/>
      <c r="P47" s="746" t="str">
        <f>IF(O49=Berechnung1!D60,Berechnung1!$F$5,IF(OR(O49&lt; Berechnung1!E60,O49&gt; Berechnung1!F60),Berechnung1!$G$5,IF(OR(ROUND(O49,4)&lt;Berechnung1!J60,ROUND(O49,4)&gt;Berechnung1!K60),Berechnung1!$D$5,IF(OR(ROUND(O49,4)&lt;Berechnung1!G60,ROUND(O49,4)&gt;Berechnung1!H60),Berechnung1!$E$5,Berechnung1!$C$5))))</f>
        <v>Unvollständig</v>
      </c>
      <c r="Q47" s="796"/>
      <c r="R47" s="788"/>
    </row>
    <row r="48" spans="1:18" s="216" customFormat="1" ht="36.75" customHeight="1" thickBot="1" x14ac:dyDescent="0.35">
      <c r="A48" s="810"/>
      <c r="B48" s="811"/>
      <c r="C48" s="812"/>
      <c r="D48" s="812"/>
      <c r="E48" s="812"/>
      <c r="F48" s="756"/>
      <c r="G48" s="756"/>
      <c r="H48" s="885"/>
      <c r="I48" s="886"/>
      <c r="J48" s="748"/>
      <c r="K48" s="791"/>
      <c r="L48" s="792"/>
      <c r="M48" s="748"/>
      <c r="N48" s="334" t="s">
        <v>50</v>
      </c>
      <c r="O48" s="302">
        <f>IF(SUM(E113:E117)=0,0,SUM(E113:E117))</f>
        <v>0</v>
      </c>
      <c r="P48" s="746"/>
      <c r="Q48" s="786"/>
      <c r="R48" s="788"/>
    </row>
    <row r="49" spans="1:18" s="216" customFormat="1" ht="36.75" customHeight="1" thickBot="1" x14ac:dyDescent="0.35">
      <c r="A49" s="810"/>
      <c r="B49" s="811"/>
      <c r="C49" s="812"/>
      <c r="D49" s="812"/>
      <c r="E49" s="812"/>
      <c r="F49" s="756"/>
      <c r="G49" s="756"/>
      <c r="H49" s="887"/>
      <c r="I49" s="888"/>
      <c r="J49" s="748"/>
      <c r="K49" s="793"/>
      <c r="L49" s="794"/>
      <c r="M49" s="748"/>
      <c r="N49" s="297" t="s">
        <v>51</v>
      </c>
      <c r="O49" s="307" t="str">
        <f>IF(O47="","n.d.",IF(O48="","n.d.",IF(O48=0,"",O47/O48)))</f>
        <v>n.d.</v>
      </c>
      <c r="P49" s="746"/>
      <c r="Q49" s="786"/>
      <c r="R49" s="788"/>
    </row>
    <row r="50" spans="1:18" s="630" customFormat="1" ht="28.5" customHeight="1" thickBot="1" x14ac:dyDescent="0.35">
      <c r="A50" s="813" t="s">
        <v>1232</v>
      </c>
      <c r="B50" s="814" t="s">
        <v>1056</v>
      </c>
      <c r="C50" s="889" t="s">
        <v>541</v>
      </c>
      <c r="D50" s="889" t="s">
        <v>542</v>
      </c>
      <c r="E50" s="889"/>
      <c r="F50" s="889" t="s">
        <v>936</v>
      </c>
      <c r="G50" s="889"/>
      <c r="H50" s="890" t="s">
        <v>1099</v>
      </c>
      <c r="I50" s="891"/>
      <c r="J50" s="807"/>
      <c r="K50" s="896" t="s">
        <v>301</v>
      </c>
      <c r="L50" s="897"/>
      <c r="M50" s="807"/>
      <c r="N50" s="631" t="s">
        <v>48</v>
      </c>
      <c r="O50" s="632"/>
      <c r="P50" s="808"/>
      <c r="Q50" s="805" t="s">
        <v>1233</v>
      </c>
      <c r="R50" s="806"/>
    </row>
    <row r="51" spans="1:18" s="630" customFormat="1" ht="28.5" customHeight="1" thickBot="1" x14ac:dyDescent="0.35">
      <c r="A51" s="807"/>
      <c r="B51" s="814"/>
      <c r="C51" s="889"/>
      <c r="D51" s="889"/>
      <c r="E51" s="889"/>
      <c r="F51" s="889"/>
      <c r="G51" s="889"/>
      <c r="H51" s="892"/>
      <c r="I51" s="893"/>
      <c r="J51" s="807"/>
      <c r="K51" s="898"/>
      <c r="L51" s="899"/>
      <c r="M51" s="807"/>
      <c r="N51" s="631" t="s">
        <v>50</v>
      </c>
      <c r="O51" s="632"/>
      <c r="P51" s="808"/>
      <c r="Q51" s="806"/>
      <c r="R51" s="806"/>
    </row>
    <row r="52" spans="1:18" s="630" customFormat="1" ht="28.5" customHeight="1" thickBot="1" x14ac:dyDescent="0.35">
      <c r="A52" s="807"/>
      <c r="B52" s="814"/>
      <c r="C52" s="889"/>
      <c r="D52" s="889"/>
      <c r="E52" s="889"/>
      <c r="F52" s="889"/>
      <c r="G52" s="889"/>
      <c r="H52" s="894"/>
      <c r="I52" s="895"/>
      <c r="J52" s="807"/>
      <c r="K52" s="900"/>
      <c r="L52" s="901"/>
      <c r="M52" s="807"/>
      <c r="N52" s="631" t="s">
        <v>51</v>
      </c>
      <c r="O52" s="632" t="str">
        <f>IF(O50="","n.d.",IF(O51="","n.d.",IF(O51=0,"",O50/O51)))</f>
        <v>n.d.</v>
      </c>
      <c r="P52" s="808"/>
      <c r="Q52" s="806"/>
      <c r="R52" s="806"/>
    </row>
    <row r="53" spans="1:18" s="216" customFormat="1" ht="28.5" customHeight="1" thickBot="1" x14ac:dyDescent="0.35">
      <c r="A53" s="809">
        <v>13</v>
      </c>
      <c r="B53" s="811" t="s">
        <v>1056</v>
      </c>
      <c r="C53" s="812" t="s">
        <v>543</v>
      </c>
      <c r="D53" s="812" t="s">
        <v>1218</v>
      </c>
      <c r="E53" s="812"/>
      <c r="F53" s="812" t="s">
        <v>1100</v>
      </c>
      <c r="G53" s="812"/>
      <c r="H53" s="773" t="s">
        <v>1101</v>
      </c>
      <c r="I53" s="774"/>
      <c r="J53" s="748" t="s">
        <v>622</v>
      </c>
      <c r="K53" s="789" t="s">
        <v>325</v>
      </c>
      <c r="L53" s="790"/>
      <c r="M53" s="795"/>
      <c r="N53" s="242" t="s">
        <v>48</v>
      </c>
      <c r="O53" s="308"/>
      <c r="P53" s="746" t="str">
        <f>IF(O55=Berechnung1!D63,Berechnung1!$F$5,IF(OR(O55&lt; Berechnung1!E63,O55&gt; Berechnung1!F63),Berechnung1!$G$5,IF(OR(ROUND(O55,4)&lt;Berechnung1!J63,ROUND(O55,4)&gt;Berechnung1!K63),Berechnung1!$D$5,IF(OR(ROUND(O55,4)&lt;Berechnung1!G63,ROUND(O55,4)&gt;Berechnung1!H63),Berechnung1!$E$5,Berechnung1!$C$5))))</f>
        <v>Unvollständig</v>
      </c>
      <c r="Q53" s="796"/>
      <c r="R53" s="788"/>
    </row>
    <row r="54" spans="1:18" s="216" customFormat="1" ht="28.5" customHeight="1" thickBot="1" x14ac:dyDescent="0.35">
      <c r="A54" s="810"/>
      <c r="B54" s="811"/>
      <c r="C54" s="812"/>
      <c r="D54" s="812"/>
      <c r="E54" s="812"/>
      <c r="F54" s="812"/>
      <c r="G54" s="812"/>
      <c r="H54" s="775"/>
      <c r="I54" s="776"/>
      <c r="J54" s="748"/>
      <c r="K54" s="791"/>
      <c r="L54" s="792"/>
      <c r="M54" s="748"/>
      <c r="N54" s="335" t="s">
        <v>50</v>
      </c>
      <c r="O54" s="302">
        <f>SUM(D112:E117,I112:I117)</f>
        <v>0</v>
      </c>
      <c r="P54" s="746"/>
      <c r="Q54" s="786"/>
      <c r="R54" s="788"/>
    </row>
    <row r="55" spans="1:18" s="216" customFormat="1" ht="28.5" customHeight="1" thickBot="1" x14ac:dyDescent="0.35">
      <c r="A55" s="810"/>
      <c r="B55" s="811"/>
      <c r="C55" s="812"/>
      <c r="D55" s="812"/>
      <c r="E55" s="812"/>
      <c r="F55" s="812"/>
      <c r="G55" s="812"/>
      <c r="H55" s="777"/>
      <c r="I55" s="778"/>
      <c r="J55" s="748"/>
      <c r="K55" s="793"/>
      <c r="L55" s="794"/>
      <c r="M55" s="748"/>
      <c r="N55" s="242" t="s">
        <v>51</v>
      </c>
      <c r="O55" s="307" t="str">
        <f>IF(O53="","n.d.",IF(O54="","n.d.",IF(O54=0,"",O53/O54)))</f>
        <v>n.d.</v>
      </c>
      <c r="P55" s="746"/>
      <c r="Q55" s="786"/>
      <c r="R55" s="788"/>
    </row>
    <row r="56" spans="1:18" s="338" customFormat="1" ht="73.5" customHeight="1" thickBot="1" x14ac:dyDescent="0.25">
      <c r="A56" s="800">
        <v>14</v>
      </c>
      <c r="B56" s="784" t="s">
        <v>1057</v>
      </c>
      <c r="C56" s="747" t="s">
        <v>567</v>
      </c>
      <c r="D56" s="747" t="s">
        <v>568</v>
      </c>
      <c r="E56" s="747"/>
      <c r="F56" s="756" t="s">
        <v>1230</v>
      </c>
      <c r="G56" s="756"/>
      <c r="H56" s="757" t="s">
        <v>937</v>
      </c>
      <c r="I56" s="758"/>
      <c r="J56" s="748"/>
      <c r="K56" s="789" t="s">
        <v>301</v>
      </c>
      <c r="L56" s="790"/>
      <c r="M56" s="795"/>
      <c r="N56" s="297" t="s">
        <v>48</v>
      </c>
      <c r="O56" s="308"/>
      <c r="P56" s="746" t="str">
        <f>IF(O58="",Berechnung1!$G$5,IF(O58=Berechnung1!D66,Berechnung1!$F$5,IF(OR(O58&lt; Berechnung1!E66,O58&gt; Berechnung1!F66),Berechnung1!$G$5,IF(OR(ROUND(O58,4)&lt;Berechnung1!J66,ROUND(O58,4)&gt;Berechnung1!K66),Berechnung1!$D$5,IF(OR(ROUND(O58,4)&lt;Berechnung1!G66,ROUND(O58,4)&gt;Berechnung1!H66),Berechnung1!$E$5,Berechnung1!$C$5)))))</f>
        <v>Unvollständig</v>
      </c>
      <c r="Q56" s="796"/>
      <c r="R56" s="788"/>
    </row>
    <row r="57" spans="1:18" s="338" customFormat="1" ht="73.5" customHeight="1" thickBot="1" x14ac:dyDescent="0.25">
      <c r="A57" s="801"/>
      <c r="B57" s="784"/>
      <c r="C57" s="747"/>
      <c r="D57" s="747"/>
      <c r="E57" s="747"/>
      <c r="F57" s="756"/>
      <c r="G57" s="756"/>
      <c r="H57" s="759"/>
      <c r="I57" s="760"/>
      <c r="J57" s="748"/>
      <c r="K57" s="791"/>
      <c r="L57" s="792"/>
      <c r="M57" s="748"/>
      <c r="N57" s="334" t="s">
        <v>50</v>
      </c>
      <c r="O57" s="302">
        <f>IF(H130="",0,H130)</f>
        <v>0</v>
      </c>
      <c r="P57" s="746"/>
      <c r="Q57" s="786"/>
      <c r="R57" s="788"/>
    </row>
    <row r="58" spans="1:18" s="338" customFormat="1" ht="73.5" customHeight="1" thickBot="1" x14ac:dyDescent="0.25">
      <c r="A58" s="801"/>
      <c r="B58" s="784"/>
      <c r="C58" s="747"/>
      <c r="D58" s="747"/>
      <c r="E58" s="747"/>
      <c r="F58" s="756"/>
      <c r="G58" s="756"/>
      <c r="H58" s="761"/>
      <c r="I58" s="762"/>
      <c r="J58" s="748"/>
      <c r="K58" s="793"/>
      <c r="L58" s="794"/>
      <c r="M58" s="748"/>
      <c r="N58" s="297" t="s">
        <v>51</v>
      </c>
      <c r="O58" s="307" t="str">
        <f>IF(O56="","n.d.",IF(O57="","n.d.",IF(O57=0,"",O56/O57)))</f>
        <v>n.d.</v>
      </c>
      <c r="P58" s="746"/>
      <c r="Q58" s="786"/>
      <c r="R58" s="788"/>
    </row>
    <row r="59" spans="1:18" s="338" customFormat="1" ht="43.5" customHeight="1" thickBot="1" x14ac:dyDescent="0.25">
      <c r="A59" s="800">
        <v>15</v>
      </c>
      <c r="B59" s="784" t="s">
        <v>1057</v>
      </c>
      <c r="C59" s="747" t="s">
        <v>569</v>
      </c>
      <c r="D59" s="747" t="s">
        <v>570</v>
      </c>
      <c r="E59" s="747"/>
      <c r="F59" s="756" t="s">
        <v>938</v>
      </c>
      <c r="G59" s="756"/>
      <c r="H59" s="757" t="s">
        <v>939</v>
      </c>
      <c r="I59" s="758"/>
      <c r="J59" s="748"/>
      <c r="K59" s="789" t="s">
        <v>301</v>
      </c>
      <c r="L59" s="790"/>
      <c r="M59" s="795"/>
      <c r="N59" s="297" t="s">
        <v>48</v>
      </c>
      <c r="O59" s="308"/>
      <c r="P59" s="746" t="str">
        <f>IF(AND(O59&lt;&gt;"",O60&lt;&gt;"",O59=0,O60=0),Berechnung1!$H$5,IF(O61="",Berechnung1!$D$5,IF(O61="",Berechnung1!$G$5,IF(O61=Berechnung1!D69,Berechnung1!$F$5,IF(OR(O61&lt;Berechnung1!E69,O61&gt;Berechnung1!F69),Berechnung1!$G$5,IF(OR(ROUND(O61,4)&lt;Berechnung1!J69,ROUND(O61,4)&gt;Berechnung1!K69),Berechnung1!$D$5,IF(OR(ROUND(O61,4)&lt;Berechnung1!G69,ROUND(O61,4)&gt;Berechnung1!H69),Berechnung1!$E$5,Berechnung1!$C$5)))))))</f>
        <v>Unvollständig</v>
      </c>
      <c r="Q59" s="796"/>
      <c r="R59" s="787"/>
    </row>
    <row r="60" spans="1:18" s="338" customFormat="1" ht="43.5" customHeight="1" thickBot="1" x14ac:dyDescent="0.25">
      <c r="A60" s="801"/>
      <c r="B60" s="784"/>
      <c r="C60" s="747"/>
      <c r="D60" s="747"/>
      <c r="E60" s="747"/>
      <c r="F60" s="756"/>
      <c r="G60" s="756"/>
      <c r="H60" s="759"/>
      <c r="I60" s="760"/>
      <c r="J60" s="748"/>
      <c r="K60" s="791"/>
      <c r="L60" s="792"/>
      <c r="M60" s="748"/>
      <c r="N60" s="334" t="s">
        <v>50</v>
      </c>
      <c r="O60" s="308"/>
      <c r="P60" s="746"/>
      <c r="Q60" s="786"/>
      <c r="R60" s="788"/>
    </row>
    <row r="61" spans="1:18" s="338" customFormat="1" ht="43.5" customHeight="1" thickBot="1" x14ac:dyDescent="0.25">
      <c r="A61" s="801"/>
      <c r="B61" s="784"/>
      <c r="C61" s="747"/>
      <c r="D61" s="747"/>
      <c r="E61" s="747"/>
      <c r="F61" s="756"/>
      <c r="G61" s="756"/>
      <c r="H61" s="761"/>
      <c r="I61" s="762"/>
      <c r="J61" s="748"/>
      <c r="K61" s="793"/>
      <c r="L61" s="794"/>
      <c r="M61" s="748"/>
      <c r="N61" s="297" t="s">
        <v>51</v>
      </c>
      <c r="O61" s="307" t="str">
        <f>IF(O59="","n.d.",IF(O60="","n.d.",IF(O60=0,"",O59/O60)))</f>
        <v>n.d.</v>
      </c>
      <c r="P61" s="746"/>
      <c r="Q61" s="786"/>
      <c r="R61" s="788"/>
    </row>
    <row r="62" spans="1:18" s="338" customFormat="1" ht="28.5" customHeight="1" thickBot="1" x14ac:dyDescent="0.25">
      <c r="A62" s="800">
        <v>16</v>
      </c>
      <c r="B62" s="784" t="s">
        <v>1057</v>
      </c>
      <c r="C62" s="747" t="s">
        <v>757</v>
      </c>
      <c r="D62" s="747" t="s">
        <v>571</v>
      </c>
      <c r="E62" s="747"/>
      <c r="F62" s="747" t="s">
        <v>940</v>
      </c>
      <c r="G62" s="747"/>
      <c r="H62" s="757" t="s">
        <v>941</v>
      </c>
      <c r="I62" s="758"/>
      <c r="J62" s="748"/>
      <c r="K62" s="789" t="s">
        <v>1102</v>
      </c>
      <c r="L62" s="790"/>
      <c r="M62" s="795"/>
      <c r="N62" s="297" t="s">
        <v>48</v>
      </c>
      <c r="O62" s="308"/>
      <c r="P62" s="746" t="str">
        <f>IF(AND(O62&lt;&gt;"",O63&lt;&gt;"",O62=0,O63=0),Berechnung1!$H$5,IF(O64="",Berechnung1!$D$5,IF(O64="",Berechnung1!$G$5,IF(O64=Berechnung1!D75,Berechnung1!$F$5,IF(OR(O64&lt;Berechnung1!E75,O64&gt;Berechnung1!F75),Berechnung1!$G$5,IF(OR(ROUND(O64,4)&lt;Berechnung1!J72,ROUND(O64,4)&gt;Berechnung1!K72),Berechnung1!$D$5,IF(OR(ROUND(O64,4)&lt;Berechnung1!G72,ROUND(O64,4)&gt;Berechnung1!H72),Berechnung1!$E$5,Berechnung1!$C$5)))))))</f>
        <v>Unvollständig</v>
      </c>
      <c r="Q62" s="796"/>
      <c r="R62" s="787"/>
    </row>
    <row r="63" spans="1:18" s="338" customFormat="1" ht="28.5" customHeight="1" thickBot="1" x14ac:dyDescent="0.25">
      <c r="A63" s="801"/>
      <c r="B63" s="784"/>
      <c r="C63" s="747"/>
      <c r="D63" s="747"/>
      <c r="E63" s="747"/>
      <c r="F63" s="747"/>
      <c r="G63" s="747"/>
      <c r="H63" s="759"/>
      <c r="I63" s="760"/>
      <c r="J63" s="748"/>
      <c r="K63" s="791"/>
      <c r="L63" s="792"/>
      <c r="M63" s="748"/>
      <c r="N63" s="334" t="s">
        <v>50</v>
      </c>
      <c r="O63" s="302">
        <f>SUM(G121:I128)</f>
        <v>0</v>
      </c>
      <c r="P63" s="746"/>
      <c r="Q63" s="786"/>
      <c r="R63" s="788"/>
    </row>
    <row r="64" spans="1:18" s="338" customFormat="1" ht="28.5" customHeight="1" thickBot="1" x14ac:dyDescent="0.25">
      <c r="A64" s="801"/>
      <c r="B64" s="784"/>
      <c r="C64" s="747"/>
      <c r="D64" s="747"/>
      <c r="E64" s="747"/>
      <c r="F64" s="747"/>
      <c r="G64" s="747"/>
      <c r="H64" s="761"/>
      <c r="I64" s="762"/>
      <c r="J64" s="748"/>
      <c r="K64" s="793"/>
      <c r="L64" s="794"/>
      <c r="M64" s="748"/>
      <c r="N64" s="297" t="s">
        <v>51</v>
      </c>
      <c r="O64" s="307" t="str">
        <f>IF(O62="","n.d.",IF(O63="","n.d.",IF(O63=0,"",O62/O63)))</f>
        <v>n.d.</v>
      </c>
      <c r="P64" s="746"/>
      <c r="Q64" s="786"/>
      <c r="R64" s="788"/>
    </row>
    <row r="65" spans="1:18" s="338" customFormat="1" ht="28.5" customHeight="1" thickBot="1" x14ac:dyDescent="0.25">
      <c r="A65" s="800">
        <v>17</v>
      </c>
      <c r="B65" s="784"/>
      <c r="C65" s="747" t="s">
        <v>942</v>
      </c>
      <c r="D65" s="747" t="s">
        <v>943</v>
      </c>
      <c r="E65" s="747"/>
      <c r="F65" s="747" t="s">
        <v>944</v>
      </c>
      <c r="G65" s="747"/>
      <c r="H65" s="757" t="s">
        <v>1219</v>
      </c>
      <c r="I65" s="758"/>
      <c r="J65" s="748"/>
      <c r="K65" s="789" t="s">
        <v>301</v>
      </c>
      <c r="L65" s="790"/>
      <c r="M65" s="795"/>
      <c r="N65" s="565" t="s">
        <v>48</v>
      </c>
      <c r="O65" s="567"/>
      <c r="P65" s="746" t="str">
        <f>IF(AND(O65&lt;&gt;"",O66&lt;&gt;"",O65=0,O66=0),Berechnung1!$H$5,IF(O67="",Berechnung1!$D$5,IF(O67="",Berechnung1!$G$5,IF(O67=Berechnung1!D81,Berechnung1!$F$5,IF(OR(O67&lt;Berechnung1!E81,O67&gt;Berechnung1!F81),Berechnung1!$G$5,IF(OR(ROUND(O67,4)&lt;Berechnung1!J75,ROUND(O67,4)&gt;Berechnung1!K75),Berechnung1!$D$5,IF(OR(ROUND(O67,4)&lt;Berechnung1!G75,ROUND(O67,4)&gt;Berechnung1!H75),Berechnung1!$E$5,Berechnung1!$C$5)))))))</f>
        <v>Unvollständig</v>
      </c>
      <c r="Q65" s="796"/>
      <c r="R65" s="788"/>
    </row>
    <row r="66" spans="1:18" s="338" customFormat="1" ht="28.5" customHeight="1" thickBot="1" x14ac:dyDescent="0.25">
      <c r="A66" s="801"/>
      <c r="B66" s="784"/>
      <c r="C66" s="747"/>
      <c r="D66" s="747"/>
      <c r="E66" s="747"/>
      <c r="F66" s="747"/>
      <c r="G66" s="747"/>
      <c r="H66" s="759"/>
      <c r="I66" s="760"/>
      <c r="J66" s="748"/>
      <c r="K66" s="791"/>
      <c r="L66" s="792"/>
      <c r="M66" s="748"/>
      <c r="N66" s="334" t="s">
        <v>50</v>
      </c>
      <c r="O66" s="567"/>
      <c r="P66" s="746"/>
      <c r="Q66" s="786"/>
      <c r="R66" s="788"/>
    </row>
    <row r="67" spans="1:18" s="338" customFormat="1" ht="28.5" customHeight="1" thickBot="1" x14ac:dyDescent="0.25">
      <c r="A67" s="801"/>
      <c r="B67" s="784"/>
      <c r="C67" s="747"/>
      <c r="D67" s="747"/>
      <c r="E67" s="747"/>
      <c r="F67" s="747"/>
      <c r="G67" s="747"/>
      <c r="H67" s="761"/>
      <c r="I67" s="762"/>
      <c r="J67" s="748"/>
      <c r="K67" s="793"/>
      <c r="L67" s="794"/>
      <c r="M67" s="748"/>
      <c r="N67" s="589" t="s">
        <v>51</v>
      </c>
      <c r="O67" s="566" t="str">
        <f>IF(O65="","n.d.",IF(O66="","n.d.",IF(O66=0,"",O65/O66)))</f>
        <v>n.d.</v>
      </c>
      <c r="P67" s="746"/>
      <c r="Q67" s="786"/>
      <c r="R67" s="788"/>
    </row>
    <row r="68" spans="1:18" s="614" customFormat="1" ht="28.5" customHeight="1" thickBot="1" x14ac:dyDescent="0.25">
      <c r="A68" s="959" t="s">
        <v>1103</v>
      </c>
      <c r="B68" s="961" t="s">
        <v>1057</v>
      </c>
      <c r="C68" s="962" t="s">
        <v>1104</v>
      </c>
      <c r="D68" s="962" t="s">
        <v>1105</v>
      </c>
      <c r="E68" s="962"/>
      <c r="F68" s="962" t="s">
        <v>1106</v>
      </c>
      <c r="G68" s="962"/>
      <c r="H68" s="749" t="s">
        <v>1107</v>
      </c>
      <c r="I68" s="750"/>
      <c r="J68" s="755" t="s">
        <v>624</v>
      </c>
      <c r="K68" s="924" t="s">
        <v>325</v>
      </c>
      <c r="L68" s="925"/>
      <c r="M68" s="779"/>
      <c r="N68" s="608" t="s">
        <v>48</v>
      </c>
      <c r="O68" s="607"/>
      <c r="P68" s="780" t="str">
        <f>IF(AND(O68&lt;&gt;"",O69&lt;&gt;"",O68=0,O69=0),Berechnung1!$H$17,IF(O70="",Berechnung1!$D$5,IF(O70="",Berechnung1!$G$17,IF(O70=Berechnung1!D84,Berechnung1!$F$17,IF(OR(O70&lt;Berechnung1!E84,O70&gt;Berechnung1!F84),Berechnung1!$G$17,IF(OR(ROUND(O70,4)&lt;Berechnung1!J78,ROUND(O70,4)&gt;Berechnung1!K78),Berechnung1!$D$17,IF(OR(ROUND(O70,4)&lt;Berechnung1!G78,ROUND(O70,4)&gt;Berechnung1!H78),Berechnung1!$E$17,Berechnung1!$C$17)))))))</f>
        <v>optional - unvollständig</v>
      </c>
      <c r="Q68" s="781"/>
      <c r="R68" s="783"/>
    </row>
    <row r="69" spans="1:18" s="614" customFormat="1" ht="28.5" customHeight="1" thickBot="1" x14ac:dyDescent="0.25">
      <c r="A69" s="960"/>
      <c r="B69" s="961"/>
      <c r="C69" s="962"/>
      <c r="D69" s="962"/>
      <c r="E69" s="962"/>
      <c r="F69" s="962"/>
      <c r="G69" s="962"/>
      <c r="H69" s="751"/>
      <c r="I69" s="752"/>
      <c r="J69" s="755"/>
      <c r="K69" s="926"/>
      <c r="L69" s="927"/>
      <c r="M69" s="755"/>
      <c r="N69" s="606" t="s">
        <v>50</v>
      </c>
      <c r="O69" s="607"/>
      <c r="P69" s="780"/>
      <c r="Q69" s="782"/>
      <c r="R69" s="783"/>
    </row>
    <row r="70" spans="1:18" s="614" customFormat="1" ht="28.5" customHeight="1" thickBot="1" x14ac:dyDescent="0.25">
      <c r="A70" s="960"/>
      <c r="B70" s="961"/>
      <c r="C70" s="962"/>
      <c r="D70" s="962"/>
      <c r="E70" s="962"/>
      <c r="F70" s="962"/>
      <c r="G70" s="962"/>
      <c r="H70" s="753"/>
      <c r="I70" s="754"/>
      <c r="J70" s="755"/>
      <c r="K70" s="928"/>
      <c r="L70" s="929"/>
      <c r="M70" s="755"/>
      <c r="N70" s="605" t="s">
        <v>51</v>
      </c>
      <c r="O70" s="604" t="str">
        <f>IF(O68="","n.d.",IF(O69="","n.d.",IF(O69=0,"",O68/O69)))</f>
        <v>n.d.</v>
      </c>
      <c r="P70" s="780"/>
      <c r="Q70" s="782"/>
      <c r="R70" s="783"/>
    </row>
    <row r="71" spans="1:18" s="338" customFormat="1" ht="111.75" customHeight="1" thickBot="1" x14ac:dyDescent="0.25">
      <c r="A71" s="797">
        <v>19</v>
      </c>
      <c r="B71" s="802" t="s">
        <v>1058</v>
      </c>
      <c r="C71" s="763" t="s">
        <v>567</v>
      </c>
      <c r="D71" s="773" t="s">
        <v>759</v>
      </c>
      <c r="E71" s="774"/>
      <c r="F71" s="757" t="s">
        <v>945</v>
      </c>
      <c r="G71" s="758"/>
      <c r="H71" s="757" t="s">
        <v>946</v>
      </c>
      <c r="I71" s="758"/>
      <c r="J71" s="766"/>
      <c r="K71" s="789" t="s">
        <v>301</v>
      </c>
      <c r="L71" s="790"/>
      <c r="M71" s="772"/>
      <c r="N71" s="297" t="s">
        <v>48</v>
      </c>
      <c r="O71" s="398"/>
      <c r="P71" s="746" t="str">
        <f>IF(AND(O71&lt;&gt;"",O72&lt;&gt;"",O71=0,O72=0),Berechnung1!$H$5,IF(O73="",Berechnung1!$D$5,IF(O73="",Berechnung1!$G$5,IF(O73=Berechnung1!D81,Berechnung1!$F$5,IF(OR(O73&lt;Berechnung1!E81,O73&gt;Berechnung1!F81),Berechnung1!$G$5,IF(OR(ROUND(O73,4)&lt;Berechnung1!J81,ROUND(O73,4)&gt;Berechnung1!K81),Berechnung1!$D$5,IF(OR(ROUND(O73,4)&lt;Berechnung1!G81,ROUND(O73,4)&gt;Berechnung1!H81),Berechnung1!$E$5,Berechnung1!$C$5)))))))</f>
        <v>Unvollständig</v>
      </c>
      <c r="Q71" s="785"/>
      <c r="R71" s="769"/>
    </row>
    <row r="72" spans="1:18" s="338" customFormat="1" ht="111.75" customHeight="1" thickBot="1" x14ac:dyDescent="0.25">
      <c r="A72" s="798"/>
      <c r="B72" s="803"/>
      <c r="C72" s="764"/>
      <c r="D72" s="775"/>
      <c r="E72" s="776"/>
      <c r="F72" s="759"/>
      <c r="G72" s="760"/>
      <c r="H72" s="759"/>
      <c r="I72" s="760"/>
      <c r="J72" s="767"/>
      <c r="K72" s="791"/>
      <c r="L72" s="792"/>
      <c r="M72" s="767"/>
      <c r="N72" s="297" t="s">
        <v>50</v>
      </c>
      <c r="O72" s="308"/>
      <c r="P72" s="746"/>
      <c r="Q72" s="786"/>
      <c r="R72" s="770"/>
    </row>
    <row r="73" spans="1:18" s="338" customFormat="1" ht="111.75" customHeight="1" thickBot="1" x14ac:dyDescent="0.25">
      <c r="A73" s="799"/>
      <c r="B73" s="804"/>
      <c r="C73" s="765"/>
      <c r="D73" s="777"/>
      <c r="E73" s="778"/>
      <c r="F73" s="761"/>
      <c r="G73" s="762"/>
      <c r="H73" s="761"/>
      <c r="I73" s="762"/>
      <c r="J73" s="768"/>
      <c r="K73" s="793"/>
      <c r="L73" s="794"/>
      <c r="M73" s="768"/>
      <c r="N73" s="297" t="s">
        <v>51</v>
      </c>
      <c r="O73" s="307" t="str">
        <f>IF(O71="","n.d.",IF(O72="","n.d.",IF(O72=0,"",O71/O72)))</f>
        <v>n.d.</v>
      </c>
      <c r="P73" s="746"/>
      <c r="Q73" s="786"/>
      <c r="R73" s="771"/>
    </row>
    <row r="74" spans="1:18" s="338" customFormat="1" ht="63" customHeight="1" thickBot="1" x14ac:dyDescent="0.25">
      <c r="A74" s="797">
        <v>20</v>
      </c>
      <c r="B74" s="802" t="s">
        <v>1058</v>
      </c>
      <c r="C74" s="763" t="s">
        <v>569</v>
      </c>
      <c r="D74" s="757" t="s">
        <v>570</v>
      </c>
      <c r="E74" s="758"/>
      <c r="F74" s="757" t="s">
        <v>1065</v>
      </c>
      <c r="G74" s="758"/>
      <c r="H74" s="757" t="s">
        <v>947</v>
      </c>
      <c r="I74" s="758"/>
      <c r="J74" s="766"/>
      <c r="K74" s="789" t="s">
        <v>301</v>
      </c>
      <c r="L74" s="790"/>
      <c r="M74" s="772"/>
      <c r="N74" s="297" t="s">
        <v>48</v>
      </c>
      <c r="O74" s="308"/>
      <c r="P74" s="746" t="str">
        <f>IF(AND(O74&lt;&gt;"",O75&lt;&gt;"",O74=0,O75=0),Berechnung1!$H$5,IF(O76="",Berechnung1!$D$5,IF(O76="",Berechnung1!$G$5,IF(O76=Berechnung1!D84,Berechnung1!$F$5,IF(OR(O76&lt;Berechnung1!E84,O76&gt;Berechnung1!F84),Berechnung1!$G$5,IF(OR(ROUND(O76,4)&lt;Berechnung1!J84,ROUND(O76,4)&gt;Berechnung1!K84),Berechnung1!$D$5,IF(OR(ROUND(O76,4)&lt;Berechnung1!G84,ROUND(O76,4)&gt;Berechnung1!H84),Berechnung1!$E$5,Berechnung1!$C$5)))))))</f>
        <v>Unvollständig</v>
      </c>
      <c r="Q74" s="785"/>
      <c r="R74" s="769"/>
    </row>
    <row r="75" spans="1:18" s="338" customFormat="1" ht="57" customHeight="1" thickBot="1" x14ac:dyDescent="0.25">
      <c r="A75" s="798"/>
      <c r="B75" s="803"/>
      <c r="C75" s="764"/>
      <c r="D75" s="759"/>
      <c r="E75" s="760"/>
      <c r="F75" s="759"/>
      <c r="G75" s="760"/>
      <c r="H75" s="759"/>
      <c r="I75" s="760"/>
      <c r="J75" s="767"/>
      <c r="K75" s="791"/>
      <c r="L75" s="792"/>
      <c r="M75" s="767"/>
      <c r="N75" s="297" t="s">
        <v>50</v>
      </c>
      <c r="O75" s="308"/>
      <c r="P75" s="746"/>
      <c r="Q75" s="786"/>
      <c r="R75" s="770"/>
    </row>
    <row r="76" spans="1:18" s="338" customFormat="1" ht="57" customHeight="1" thickBot="1" x14ac:dyDescent="0.25">
      <c r="A76" s="799"/>
      <c r="B76" s="804"/>
      <c r="C76" s="765"/>
      <c r="D76" s="761"/>
      <c r="E76" s="762"/>
      <c r="F76" s="761"/>
      <c r="G76" s="762"/>
      <c r="H76" s="761"/>
      <c r="I76" s="762"/>
      <c r="J76" s="768"/>
      <c r="K76" s="793"/>
      <c r="L76" s="794"/>
      <c r="M76" s="768"/>
      <c r="N76" s="297" t="s">
        <v>51</v>
      </c>
      <c r="O76" s="307" t="str">
        <f>IF(O74="","n.d.",IF(O75="","n.d.",IF(O75=0,"",O74/O75)))</f>
        <v>n.d.</v>
      </c>
      <c r="P76" s="746"/>
      <c r="Q76" s="786"/>
      <c r="R76" s="771"/>
    </row>
    <row r="77" spans="1:18" s="338" customFormat="1" ht="28.5" customHeight="1" thickBot="1" x14ac:dyDescent="0.25">
      <c r="A77" s="797">
        <v>21</v>
      </c>
      <c r="B77" s="802" t="s">
        <v>1058</v>
      </c>
      <c r="C77" s="763" t="s">
        <v>762</v>
      </c>
      <c r="D77" s="757" t="s">
        <v>1059</v>
      </c>
      <c r="E77" s="758"/>
      <c r="F77" s="757" t="s">
        <v>1108</v>
      </c>
      <c r="G77" s="758"/>
      <c r="H77" s="757" t="s">
        <v>1060</v>
      </c>
      <c r="I77" s="758"/>
      <c r="J77" s="766"/>
      <c r="K77" s="789" t="s">
        <v>948</v>
      </c>
      <c r="L77" s="790"/>
      <c r="M77" s="772"/>
      <c r="N77" s="297" t="s">
        <v>48</v>
      </c>
      <c r="O77" s="308"/>
      <c r="P77" s="746" t="str">
        <f>IF(AND(O77&lt;&gt;"",O78&lt;&gt;"",O77=0,O78=0),Berechnung1!$H$5,IF(O79="",Berechnung1!$D$5,IF(O79="",Berechnung1!$G$5,IF(O79=Berechnung1!D87,Berechnung1!$F$5,IF(OR(O79&lt;Berechnung1!E87,O79&gt;Berechnung1!F87),Berechnung1!$G$5,IF(OR(ROUND(O79,4)&lt;Berechnung1!J87,ROUND(O79,4)&gt;Berechnung1!K87),Berechnung1!$D$5,IF(OR(ROUND(O79,4)&lt;Berechnung1!G87,ROUND(O79,4)&gt;Berechnung1!H87),Berechnung1!$E$5,Berechnung1!$C$5)))))))</f>
        <v>Unvollständig</v>
      </c>
      <c r="Q77" s="785"/>
      <c r="R77" s="769"/>
    </row>
    <row r="78" spans="1:18" s="338" customFormat="1" ht="28.5" customHeight="1" thickBot="1" x14ac:dyDescent="0.25">
      <c r="A78" s="798"/>
      <c r="B78" s="803"/>
      <c r="C78" s="764"/>
      <c r="D78" s="759"/>
      <c r="E78" s="760"/>
      <c r="F78" s="759"/>
      <c r="G78" s="760"/>
      <c r="H78" s="759"/>
      <c r="I78" s="760"/>
      <c r="J78" s="767"/>
      <c r="K78" s="791"/>
      <c r="L78" s="792"/>
      <c r="M78" s="767"/>
      <c r="N78" s="297" t="s">
        <v>50</v>
      </c>
      <c r="O78" s="308"/>
      <c r="P78" s="746"/>
      <c r="Q78" s="786"/>
      <c r="R78" s="770"/>
    </row>
    <row r="79" spans="1:18" s="338" customFormat="1" ht="28.5" customHeight="1" thickBot="1" x14ac:dyDescent="0.25">
      <c r="A79" s="799"/>
      <c r="B79" s="804"/>
      <c r="C79" s="765"/>
      <c r="D79" s="761"/>
      <c r="E79" s="762"/>
      <c r="F79" s="761"/>
      <c r="G79" s="762"/>
      <c r="H79" s="761"/>
      <c r="I79" s="762"/>
      <c r="J79" s="768"/>
      <c r="K79" s="793"/>
      <c r="L79" s="794"/>
      <c r="M79" s="768"/>
      <c r="N79" s="297" t="s">
        <v>51</v>
      </c>
      <c r="O79" s="307" t="str">
        <f>IF(O77="","n.d.",IF(O78="","n.d.",IF(O78=0,"",O77/O78)))</f>
        <v>n.d.</v>
      </c>
      <c r="P79" s="746"/>
      <c r="Q79" s="786"/>
      <c r="R79" s="771"/>
    </row>
    <row r="80" spans="1:18" s="338" customFormat="1" ht="47.25" customHeight="1" thickBot="1" x14ac:dyDescent="0.25">
      <c r="A80" s="797">
        <v>22</v>
      </c>
      <c r="B80" s="802" t="s">
        <v>1058</v>
      </c>
      <c r="C80" s="763" t="s">
        <v>760</v>
      </c>
      <c r="D80" s="757" t="s">
        <v>763</v>
      </c>
      <c r="E80" s="758"/>
      <c r="F80" s="757" t="s">
        <v>969</v>
      </c>
      <c r="G80" s="758"/>
      <c r="H80" s="759" t="s">
        <v>949</v>
      </c>
      <c r="I80" s="760"/>
      <c r="J80" s="766"/>
      <c r="K80" s="789" t="s">
        <v>301</v>
      </c>
      <c r="L80" s="790"/>
      <c r="M80" s="772"/>
      <c r="N80" s="297" t="s">
        <v>48</v>
      </c>
      <c r="O80" s="308"/>
      <c r="P80" s="746" t="str">
        <f>IF(AND(O80&lt;&gt;"",O81&lt;&gt;"",O80=0,O81=0),Berechnung1!$H$5,IF(O82="",Berechnung1!$D$5,IF(O82="",Berechnung1!$G$5,IF(O82=Berechnung1!D90,Berechnung1!$F$5,IF(OR(O82&lt;Berechnung1!E90,O82&gt;Berechnung1!F90),Berechnung1!$G$5,IF(OR(ROUND(O82,4)&lt;Berechnung1!J90,ROUND(O82,4)&gt;Berechnung1!K90),Berechnung1!$D$5,IF(OR(ROUND(O82,4)&lt;Berechnung1!G90,ROUND(O82,4)&gt;Berechnung1!H90),Berechnung1!$E$5,Berechnung1!$C$5)))))))</f>
        <v>Unvollständig</v>
      </c>
      <c r="Q80" s="785"/>
      <c r="R80" s="769"/>
    </row>
    <row r="81" spans="1:18" s="338" customFormat="1" ht="47.25" customHeight="1" thickBot="1" x14ac:dyDescent="0.25">
      <c r="A81" s="798"/>
      <c r="B81" s="803"/>
      <c r="C81" s="764"/>
      <c r="D81" s="759"/>
      <c r="E81" s="760"/>
      <c r="F81" s="759"/>
      <c r="G81" s="760"/>
      <c r="H81" s="759"/>
      <c r="I81" s="760"/>
      <c r="J81" s="767"/>
      <c r="K81" s="791"/>
      <c r="L81" s="792"/>
      <c r="M81" s="767"/>
      <c r="N81" s="297" t="s">
        <v>50</v>
      </c>
      <c r="O81" s="308"/>
      <c r="P81" s="746"/>
      <c r="Q81" s="786"/>
      <c r="R81" s="770"/>
    </row>
    <row r="82" spans="1:18" s="338" customFormat="1" ht="47.25" customHeight="1" thickBot="1" x14ac:dyDescent="0.25">
      <c r="A82" s="799"/>
      <c r="B82" s="804"/>
      <c r="C82" s="765"/>
      <c r="D82" s="761"/>
      <c r="E82" s="762"/>
      <c r="F82" s="761"/>
      <c r="G82" s="762"/>
      <c r="H82" s="761"/>
      <c r="I82" s="762"/>
      <c r="J82" s="768"/>
      <c r="K82" s="793"/>
      <c r="L82" s="794"/>
      <c r="M82" s="768"/>
      <c r="N82" s="297" t="s">
        <v>51</v>
      </c>
      <c r="O82" s="307" t="str">
        <f>IF(O80="","n.d.",IF(O81="","n.d.",IF(O81=0,"",O80/O81)))</f>
        <v>n.d.</v>
      </c>
      <c r="P82" s="746"/>
      <c r="Q82" s="786"/>
      <c r="R82" s="771"/>
    </row>
    <row r="83" spans="1:18" s="338" customFormat="1" ht="39" customHeight="1" thickBot="1" x14ac:dyDescent="0.25">
      <c r="A83" s="797">
        <v>23</v>
      </c>
      <c r="B83" s="802" t="s">
        <v>1061</v>
      </c>
      <c r="C83" s="763" t="s">
        <v>854</v>
      </c>
      <c r="D83" s="757" t="s">
        <v>856</v>
      </c>
      <c r="E83" s="758"/>
      <c r="F83" s="757" t="s">
        <v>950</v>
      </c>
      <c r="G83" s="758"/>
      <c r="H83" s="757" t="s">
        <v>951</v>
      </c>
      <c r="I83" s="758"/>
      <c r="J83" s="766"/>
      <c r="K83" s="789" t="s">
        <v>858</v>
      </c>
      <c r="L83" s="790"/>
      <c r="M83" s="766"/>
      <c r="N83" s="565" t="s">
        <v>48</v>
      </c>
      <c r="O83" s="567"/>
      <c r="P83" s="746" t="str">
        <f>IF(AND(O83&lt;&gt;"",O84&lt;&gt;"",O83=0,O84=0),Berechnung1!$H$5,IF(O85="",Berechnung1!$D$5,IF(O85="",Berechnung1!$G$5,IF(O85=Berechnung1!D93,Berechnung1!$F$5,IF(OR(O85&lt;Berechnung1!E93,O85&gt;Berechnung1!F93),Berechnung1!$G$5,IF(OR(ROUND(O85,4)&lt;Berechnung1!J93,ROUND(O85,4)&gt;Berechnung1!K93),Berechnung1!$D$5,IF(OR(ROUND(O85,4)&lt;Berechnung1!G93,ROUND(O85,4)&gt;Berechnung1!H93),Berechnung1!$E$5,Berechnung1!$C$5)))))))</f>
        <v>Unvollständig</v>
      </c>
      <c r="Q83" s="796"/>
      <c r="R83" s="769"/>
    </row>
    <row r="84" spans="1:18" s="338" customFormat="1" ht="39" customHeight="1" thickBot="1" x14ac:dyDescent="0.25">
      <c r="A84" s="798"/>
      <c r="B84" s="803"/>
      <c r="C84" s="764"/>
      <c r="D84" s="759"/>
      <c r="E84" s="760"/>
      <c r="F84" s="759"/>
      <c r="G84" s="760"/>
      <c r="H84" s="759"/>
      <c r="I84" s="760"/>
      <c r="J84" s="767"/>
      <c r="K84" s="791"/>
      <c r="L84" s="792"/>
      <c r="M84" s="767"/>
      <c r="N84" s="565" t="s">
        <v>50</v>
      </c>
      <c r="O84" s="567"/>
      <c r="P84" s="746"/>
      <c r="Q84" s="786"/>
      <c r="R84" s="770"/>
    </row>
    <row r="85" spans="1:18" s="338" customFormat="1" ht="39" customHeight="1" thickBot="1" x14ac:dyDescent="0.25">
      <c r="A85" s="799"/>
      <c r="B85" s="804"/>
      <c r="C85" s="765"/>
      <c r="D85" s="761"/>
      <c r="E85" s="762"/>
      <c r="F85" s="761"/>
      <c r="G85" s="762"/>
      <c r="H85" s="761"/>
      <c r="I85" s="762"/>
      <c r="J85" s="768"/>
      <c r="K85" s="793"/>
      <c r="L85" s="794"/>
      <c r="M85" s="768"/>
      <c r="N85" s="565" t="s">
        <v>51</v>
      </c>
      <c r="O85" s="566" t="str">
        <f>IF(O83="","n.d.",IF(O84="","n.d.",IF(O84=0,"",O83/O84)))</f>
        <v>n.d.</v>
      </c>
      <c r="P85" s="746"/>
      <c r="Q85" s="786"/>
      <c r="R85" s="771"/>
    </row>
    <row r="86" spans="1:18" s="338" customFormat="1" ht="39" customHeight="1" thickBot="1" x14ac:dyDescent="0.25">
      <c r="A86" s="797">
        <v>24</v>
      </c>
      <c r="B86" s="802" t="s">
        <v>1061</v>
      </c>
      <c r="C86" s="763" t="s">
        <v>855</v>
      </c>
      <c r="D86" s="757" t="s">
        <v>857</v>
      </c>
      <c r="E86" s="758"/>
      <c r="F86" s="757" t="s">
        <v>952</v>
      </c>
      <c r="G86" s="758"/>
      <c r="H86" s="757" t="s">
        <v>953</v>
      </c>
      <c r="I86" s="758"/>
      <c r="J86" s="766"/>
      <c r="K86" s="789" t="s">
        <v>858</v>
      </c>
      <c r="L86" s="790"/>
      <c r="M86" s="766"/>
      <c r="N86" s="565" t="s">
        <v>48</v>
      </c>
      <c r="O86" s="567"/>
      <c r="P86" s="746" t="str">
        <f>IF(AND(O86&lt;&gt;"",O87&lt;&gt;"",O86=0,O87=0),Berechnung1!$H$5,IF(O88="",Berechnung1!$D$5,IF(O88="",Berechnung1!$G$5,IF(O88=Berechnung1!D96,Berechnung1!$F$5,IF(OR(O88&lt;Berechnung1!E96,O88&gt;Berechnung1!F96),Berechnung1!$G$5,IF(OR(ROUND(O88,4)&lt;Berechnung1!J96,ROUND(O88,4)&gt;Berechnung1!K96),Berechnung1!$D$5,IF(OR(ROUND(O88,4)&lt;Berechnung1!G96,ROUND(O88,4)&gt;Berechnung1!H96),Berechnung1!$E$5,Berechnung1!$C$5)))))))</f>
        <v>Unvollständig</v>
      </c>
      <c r="Q86" s="785"/>
      <c r="R86" s="769"/>
    </row>
    <row r="87" spans="1:18" s="338" customFormat="1" ht="39" customHeight="1" thickBot="1" x14ac:dyDescent="0.25">
      <c r="A87" s="798"/>
      <c r="B87" s="803"/>
      <c r="C87" s="764"/>
      <c r="D87" s="759"/>
      <c r="E87" s="760"/>
      <c r="F87" s="759"/>
      <c r="G87" s="760"/>
      <c r="H87" s="759"/>
      <c r="I87" s="760"/>
      <c r="J87" s="767"/>
      <c r="K87" s="791"/>
      <c r="L87" s="792"/>
      <c r="M87" s="767"/>
      <c r="N87" s="565" t="s">
        <v>50</v>
      </c>
      <c r="O87" s="567"/>
      <c r="P87" s="746"/>
      <c r="Q87" s="786"/>
      <c r="R87" s="770"/>
    </row>
    <row r="88" spans="1:18" s="338" customFormat="1" ht="39" customHeight="1" thickBot="1" x14ac:dyDescent="0.25">
      <c r="A88" s="799"/>
      <c r="B88" s="804"/>
      <c r="C88" s="765"/>
      <c r="D88" s="761"/>
      <c r="E88" s="762"/>
      <c r="F88" s="761"/>
      <c r="G88" s="762"/>
      <c r="H88" s="761"/>
      <c r="I88" s="762"/>
      <c r="J88" s="768"/>
      <c r="K88" s="793"/>
      <c r="L88" s="794"/>
      <c r="M88" s="768"/>
      <c r="N88" s="565" t="s">
        <v>51</v>
      </c>
      <c r="O88" s="566" t="str">
        <f>IF(O86="","n.d.",IF(O87="","n.d.",IF(O87=0,"",O86/O87)))</f>
        <v>n.d.</v>
      </c>
      <c r="P88" s="746"/>
      <c r="Q88" s="786"/>
      <c r="R88" s="771"/>
    </row>
    <row r="89" spans="1:18" s="614" customFormat="1" ht="39" customHeight="1" thickBot="1" x14ac:dyDescent="0.25">
      <c r="A89" s="953" t="s">
        <v>1109</v>
      </c>
      <c r="B89" s="956" t="s">
        <v>1111</v>
      </c>
      <c r="C89" s="918" t="s">
        <v>1118</v>
      </c>
      <c r="D89" s="749" t="s">
        <v>1120</v>
      </c>
      <c r="E89" s="750"/>
      <c r="F89" s="749" t="s">
        <v>1112</v>
      </c>
      <c r="G89" s="750"/>
      <c r="H89" s="749" t="s">
        <v>1113</v>
      </c>
      <c r="I89" s="750"/>
      <c r="J89" s="921" t="s">
        <v>1234</v>
      </c>
      <c r="K89" s="924" t="s">
        <v>325</v>
      </c>
      <c r="L89" s="925"/>
      <c r="M89" s="921"/>
      <c r="N89" s="608" t="s">
        <v>48</v>
      </c>
      <c r="O89" s="607"/>
      <c r="P89" s="780" t="str">
        <f>IF(AND(O89&lt;&gt;"",O90&lt;&gt;"",O89=0,O90=0),Berechnung1!$H$17,IF(O91="",Berechnung1!$D$17,IF(O91="",Berechnung1!$G$17,IF(O91=Berechnung1!D99,Berechnung1!$F$17,IF(OR(O91&lt;Berechnung1!E99,O91&gt;Berechnung1!F99),Berechnung1!$G$17,IF(OR(ROUND(O91,4)&lt;Berechnung1!J99,ROUND(O91,4)&gt;Berechnung1!K99),Berechnung1!$D$17,IF(OR(ROUND(O91,4)&lt;Berechnung1!G99,ROUND(O91,4)&gt;Berechnung1!H99),Berechnung1!$E$17,Berechnung1!$C$17)))))))</f>
        <v>optional - unvollständig</v>
      </c>
      <c r="Q89" s="917"/>
      <c r="R89" s="949"/>
    </row>
    <row r="90" spans="1:18" s="614" customFormat="1" ht="39" customHeight="1" thickBot="1" x14ac:dyDescent="0.25">
      <c r="A90" s="954"/>
      <c r="B90" s="957"/>
      <c r="C90" s="919"/>
      <c r="D90" s="751"/>
      <c r="E90" s="752"/>
      <c r="F90" s="751"/>
      <c r="G90" s="752"/>
      <c r="H90" s="751"/>
      <c r="I90" s="752"/>
      <c r="J90" s="922"/>
      <c r="K90" s="926"/>
      <c r="L90" s="927"/>
      <c r="M90" s="922"/>
      <c r="N90" s="608" t="s">
        <v>50</v>
      </c>
      <c r="O90" s="607"/>
      <c r="P90" s="780"/>
      <c r="Q90" s="782"/>
      <c r="R90" s="950"/>
    </row>
    <row r="91" spans="1:18" s="614" customFormat="1" ht="39" customHeight="1" thickBot="1" x14ac:dyDescent="0.25">
      <c r="A91" s="955"/>
      <c r="B91" s="958"/>
      <c r="C91" s="920"/>
      <c r="D91" s="753"/>
      <c r="E91" s="754"/>
      <c r="F91" s="753"/>
      <c r="G91" s="754"/>
      <c r="H91" s="753"/>
      <c r="I91" s="754"/>
      <c r="J91" s="923"/>
      <c r="K91" s="928"/>
      <c r="L91" s="929"/>
      <c r="M91" s="923"/>
      <c r="N91" s="608" t="s">
        <v>51</v>
      </c>
      <c r="O91" s="604" t="str">
        <f>IF(O89="","n.d.",IF(O90="","n.d.",IF(O90=0,"",O89/O90)))</f>
        <v>n.d.</v>
      </c>
      <c r="P91" s="780"/>
      <c r="Q91" s="782"/>
      <c r="R91" s="951"/>
    </row>
    <row r="92" spans="1:18" s="614" customFormat="1" ht="39" customHeight="1" thickBot="1" x14ac:dyDescent="0.25">
      <c r="A92" s="953" t="s">
        <v>1110</v>
      </c>
      <c r="B92" s="956" t="s">
        <v>1111</v>
      </c>
      <c r="C92" s="918" t="s">
        <v>1119</v>
      </c>
      <c r="D92" s="749" t="s">
        <v>1121</v>
      </c>
      <c r="E92" s="750"/>
      <c r="F92" s="749" t="s">
        <v>1112</v>
      </c>
      <c r="G92" s="750"/>
      <c r="H92" s="749" t="s">
        <v>1114</v>
      </c>
      <c r="I92" s="750"/>
      <c r="J92" s="921" t="s">
        <v>1234</v>
      </c>
      <c r="K92" s="924" t="s">
        <v>325</v>
      </c>
      <c r="L92" s="925"/>
      <c r="M92" s="921"/>
      <c r="N92" s="608" t="s">
        <v>48</v>
      </c>
      <c r="O92" s="607"/>
      <c r="P92" s="780" t="str">
        <f>IF(AND(O92&lt;&gt;"",O93&lt;&gt;"",O92=0,O93=0),Berechnung1!$H$17,IF(O94="",Berechnung1!$D$17,IF(O94="",Berechnung1!$G$17,IF(O94=Berechnung1!D102,Berechnung1!$F$17,IF(OR(O94&lt;Berechnung1!E102,O94&gt;Berechnung1!F102),Berechnung1!$G$17,IF(OR(ROUND(O94,4)&lt;Berechnung1!J102,ROUND(O94,4)&gt;Berechnung1!K102),Berechnung1!$D$17,IF(OR(ROUND(O94,4)&lt;Berechnung1!G102,ROUND(O94,4)&gt;Berechnung1!H102),Berechnung1!$E$17,Berechnung1!$C$17)))))))</f>
        <v>optional - unvollständig</v>
      </c>
      <c r="Q92" s="917"/>
      <c r="R92" s="949"/>
    </row>
    <row r="93" spans="1:18" s="614" customFormat="1" ht="39" customHeight="1" thickBot="1" x14ac:dyDescent="0.25">
      <c r="A93" s="954"/>
      <c r="B93" s="957"/>
      <c r="C93" s="919"/>
      <c r="D93" s="751"/>
      <c r="E93" s="752"/>
      <c r="F93" s="751"/>
      <c r="G93" s="752"/>
      <c r="H93" s="751"/>
      <c r="I93" s="752"/>
      <c r="J93" s="922"/>
      <c r="K93" s="926"/>
      <c r="L93" s="927"/>
      <c r="M93" s="922"/>
      <c r="N93" s="608" t="s">
        <v>50</v>
      </c>
      <c r="O93" s="607"/>
      <c r="P93" s="780"/>
      <c r="Q93" s="782"/>
      <c r="R93" s="950"/>
    </row>
    <row r="94" spans="1:18" s="614" customFormat="1" ht="39" customHeight="1" thickBot="1" x14ac:dyDescent="0.25">
      <c r="A94" s="955"/>
      <c r="B94" s="958"/>
      <c r="C94" s="920"/>
      <c r="D94" s="753"/>
      <c r="E94" s="754"/>
      <c r="F94" s="753"/>
      <c r="G94" s="754"/>
      <c r="H94" s="753"/>
      <c r="I94" s="754"/>
      <c r="J94" s="923"/>
      <c r="K94" s="928"/>
      <c r="L94" s="929"/>
      <c r="M94" s="923"/>
      <c r="N94" s="608" t="s">
        <v>51</v>
      </c>
      <c r="O94" s="604" t="str">
        <f>IF(O92="","n.d.",IF(O93="","n.d.",IF(O93=0,"",O92/O93)))</f>
        <v>n.d.</v>
      </c>
      <c r="P94" s="780"/>
      <c r="Q94" s="782"/>
      <c r="R94" s="951"/>
    </row>
    <row r="95" spans="1:18" s="602" customFormat="1" ht="7.5" customHeight="1" x14ac:dyDescent="0.2">
      <c r="A95" s="592"/>
      <c r="B95" s="593"/>
      <c r="C95" s="594"/>
      <c r="D95" s="594"/>
      <c r="E95" s="594"/>
      <c r="F95" s="594"/>
      <c r="G95" s="594"/>
      <c r="H95" s="594"/>
      <c r="I95" s="594"/>
      <c r="J95" s="595"/>
      <c r="K95" s="596"/>
      <c r="L95" s="596"/>
      <c r="M95" s="595"/>
      <c r="N95" s="597"/>
      <c r="O95" s="598"/>
      <c r="P95" s="599"/>
      <c r="Q95" s="600"/>
      <c r="R95" s="601"/>
    </row>
    <row r="96" spans="1:18" s="602" customFormat="1" ht="18" customHeight="1" thickBot="1" x14ac:dyDescent="0.25">
      <c r="A96" s="603" t="s">
        <v>212</v>
      </c>
      <c r="B96" s="593"/>
      <c r="C96" s="594"/>
      <c r="D96" s="594"/>
      <c r="E96" s="594"/>
      <c r="F96" s="594"/>
      <c r="G96" s="594"/>
      <c r="H96" s="594"/>
      <c r="I96" s="594"/>
      <c r="J96" s="595"/>
      <c r="K96" s="596"/>
      <c r="L96" s="596"/>
      <c r="M96" s="595"/>
      <c r="N96" s="597"/>
      <c r="O96" s="598"/>
      <c r="P96" s="599"/>
      <c r="Q96" s="600"/>
      <c r="R96" s="601"/>
    </row>
    <row r="97" spans="1:18" s="602" customFormat="1" ht="18" customHeight="1" thickBot="1" x14ac:dyDescent="0.25">
      <c r="A97" s="592"/>
      <c r="B97" s="903" t="s">
        <v>1092</v>
      </c>
      <c r="C97" s="904"/>
      <c r="D97" s="615" t="s">
        <v>228</v>
      </c>
      <c r="E97" s="616" t="str">
        <f>CONCATENATE(TEXT(Berechnung1!C9,"0,00%")," (",Berechnung1!C6,")")</f>
        <v>0,00% (0)</v>
      </c>
      <c r="F97" s="907" t="str">
        <f>CONCATENATE(TEXT(Berechnung1!D10,"0,00%")," (",Berechnung1!D7,")")</f>
        <v>0,00% (0)</v>
      </c>
      <c r="G97" s="915" t="s">
        <v>234</v>
      </c>
      <c r="H97" s="594"/>
      <c r="I97" s="594"/>
      <c r="J97" s="595"/>
      <c r="K97" s="596"/>
      <c r="L97" s="596"/>
      <c r="M97" s="595"/>
      <c r="N97" s="597"/>
      <c r="O97" s="598"/>
      <c r="P97" s="599"/>
      <c r="Q97" s="600"/>
      <c r="R97" s="601"/>
    </row>
    <row r="98" spans="1:18" s="602" customFormat="1" ht="18" customHeight="1" thickBot="1" x14ac:dyDescent="0.25">
      <c r="A98" s="592"/>
      <c r="B98" s="905"/>
      <c r="C98" s="906"/>
      <c r="D98" s="617" t="s">
        <v>208</v>
      </c>
      <c r="E98" s="618" t="str">
        <f>CONCATENATE(TEXT(Berechnung1!K9,"0,00%")," (",Berechnung1!K6,")")</f>
        <v>0,00% (0)</v>
      </c>
      <c r="F98" s="907"/>
      <c r="G98" s="916"/>
      <c r="H98" s="594"/>
      <c r="I98" s="594"/>
      <c r="J98" s="595"/>
      <c r="K98" s="596"/>
      <c r="L98" s="596"/>
      <c r="M98" s="595"/>
      <c r="N98" s="597"/>
      <c r="O98" s="598"/>
      <c r="P98" s="599"/>
      <c r="Q98" s="600"/>
      <c r="R98" s="601"/>
    </row>
    <row r="99" spans="1:18" s="602" customFormat="1" ht="18" customHeight="1" thickBot="1" x14ac:dyDescent="0.25">
      <c r="A99" s="592"/>
      <c r="B99" s="908" t="s">
        <v>1093</v>
      </c>
      <c r="C99" s="909"/>
      <c r="D99" s="909"/>
      <c r="E99" s="910"/>
      <c r="F99" s="619" t="str">
        <f>CONCATENATE(TEXT(Berechnung1!E10,"0,00%")," (",Berechnung1!E7,")")</f>
        <v>0,00% (0)</v>
      </c>
      <c r="G99" s="610" t="str">
        <f>CONCATENATE(TEXT(Berechnung1!E11,"0,00%")," (",Berechnung1!E8,")")</f>
        <v>0,00% (0)</v>
      </c>
      <c r="H99" s="594"/>
      <c r="I99" s="594"/>
      <c r="J99" s="595"/>
      <c r="K99" s="596"/>
      <c r="L99" s="596"/>
      <c r="M99" s="595"/>
      <c r="N99" s="597"/>
      <c r="O99" s="598"/>
      <c r="P99" s="599"/>
      <c r="Q99" s="600"/>
      <c r="R99" s="601"/>
    </row>
    <row r="100" spans="1:18" s="602" customFormat="1" ht="18" customHeight="1" thickBot="1" x14ac:dyDescent="0.25">
      <c r="A100" s="592"/>
      <c r="B100" s="911" t="s">
        <v>230</v>
      </c>
      <c r="C100" s="912"/>
      <c r="D100" s="620" t="s">
        <v>229</v>
      </c>
      <c r="E100" s="621" t="str">
        <f>CONCATENATE(TEXT(Berechnung1!G9,"0,00%")," (",Berechnung1!G6,")")</f>
        <v>0,00% (0)</v>
      </c>
      <c r="F100" s="907" t="str">
        <f>CONCATENATE(TEXT(Berechnung1!G10,"0,00%")," (",Berechnung1!G8,")")</f>
        <v>100,00% (23)</v>
      </c>
      <c r="G100" s="907"/>
      <c r="H100" s="594"/>
      <c r="I100" s="594"/>
      <c r="J100" s="595"/>
      <c r="K100" s="596"/>
      <c r="L100" s="596"/>
      <c r="M100" s="595"/>
      <c r="N100" s="597"/>
      <c r="O100" s="598"/>
      <c r="P100" s="599"/>
      <c r="Q100" s="600"/>
      <c r="R100" s="601"/>
    </row>
    <row r="101" spans="1:18" s="602" customFormat="1" ht="18" customHeight="1" thickBot="1" x14ac:dyDescent="0.25">
      <c r="A101" s="592"/>
      <c r="B101" s="913"/>
      <c r="C101" s="914"/>
      <c r="D101" s="622" t="s">
        <v>231</v>
      </c>
      <c r="E101" s="623" t="str">
        <f>CONCATENATE(TEXT(Berechnung1!F9,"0,00%")," (",Berechnung1!F6, ")")</f>
        <v>100,00% (23)</v>
      </c>
      <c r="F101" s="907"/>
      <c r="G101" s="907"/>
      <c r="H101" s="594"/>
      <c r="I101" s="594"/>
      <c r="J101" s="595"/>
      <c r="K101" s="596"/>
      <c r="L101" s="596"/>
      <c r="M101" s="595"/>
      <c r="N101" s="597"/>
      <c r="O101" s="598"/>
      <c r="P101" s="599"/>
      <c r="Q101" s="600"/>
      <c r="R101" s="601"/>
    </row>
    <row r="102" spans="1:18" s="91" customFormat="1" ht="24" customHeight="1" x14ac:dyDescent="0.2">
      <c r="A102" s="243" t="s">
        <v>205</v>
      </c>
    </row>
    <row r="103" spans="1:18" s="10" customFormat="1" ht="22.5" customHeight="1" x14ac:dyDescent="0.2">
      <c r="A103" s="948" t="s">
        <v>1094</v>
      </c>
      <c r="B103" s="948"/>
      <c r="C103" s="948"/>
      <c r="D103" s="948"/>
      <c r="E103" s="948"/>
      <c r="F103" s="948"/>
      <c r="G103" s="948"/>
      <c r="H103" s="948"/>
      <c r="I103" s="948"/>
      <c r="J103" s="948"/>
      <c r="K103" s="948"/>
      <c r="L103" s="948"/>
      <c r="M103" s="948"/>
      <c r="N103" s="948"/>
      <c r="O103" s="948"/>
      <c r="P103" s="948"/>
    </row>
    <row r="104" spans="1:18" s="9" customFormat="1" ht="125.25" customHeight="1" x14ac:dyDescent="0.25">
      <c r="A104" s="947" t="s">
        <v>1095</v>
      </c>
      <c r="B104" s="947"/>
      <c r="C104" s="947"/>
      <c r="D104" s="947"/>
      <c r="E104" s="947"/>
      <c r="F104" s="947"/>
      <c r="G104" s="947"/>
      <c r="H104" s="947"/>
      <c r="I104" s="947"/>
      <c r="J104" s="947"/>
      <c r="K104" s="947"/>
      <c r="L104" s="947"/>
      <c r="M104" s="947"/>
      <c r="N104" s="947"/>
      <c r="O104" s="947"/>
      <c r="P104" s="947"/>
      <c r="Q104" s="10"/>
      <c r="R104" s="10"/>
    </row>
    <row r="105" spans="1:18" s="611" customFormat="1" ht="15.75" customHeight="1" x14ac:dyDescent="0.25">
      <c r="A105" s="902" t="s">
        <v>1096</v>
      </c>
      <c r="B105" s="902"/>
      <c r="C105" s="624"/>
      <c r="D105" s="624"/>
      <c r="E105" s="624"/>
      <c r="F105" s="624"/>
      <c r="G105" s="624"/>
      <c r="H105" s="624"/>
      <c r="I105" s="624"/>
      <c r="J105" s="624"/>
      <c r="K105" s="624"/>
      <c r="L105" s="624"/>
      <c r="M105" s="624"/>
      <c r="N105" s="624"/>
      <c r="O105" s="624"/>
      <c r="P105" s="624"/>
      <c r="Q105" s="612"/>
      <c r="R105" s="612"/>
    </row>
    <row r="106" spans="1:18" s="9" customFormat="1" ht="23.25" customHeight="1" x14ac:dyDescent="0.25">
      <c r="A106" s="952" t="s">
        <v>1097</v>
      </c>
      <c r="B106" s="952"/>
      <c r="C106" s="952"/>
      <c r="D106" s="952"/>
      <c r="E106" s="952"/>
      <c r="F106" s="952"/>
      <c r="G106" s="952"/>
      <c r="H106" s="952"/>
      <c r="I106" s="952"/>
      <c r="J106" s="952"/>
      <c r="K106" s="952"/>
      <c r="L106" s="952"/>
      <c r="M106" s="952"/>
      <c r="N106" s="952"/>
      <c r="O106" s="952"/>
      <c r="P106" s="952"/>
    </row>
    <row r="107" spans="1:18" s="611" customFormat="1" ht="13.5" customHeight="1" x14ac:dyDescent="0.25">
      <c r="A107" s="609"/>
      <c r="B107" s="609"/>
      <c r="C107" s="609"/>
      <c r="D107" s="609"/>
      <c r="E107" s="609"/>
      <c r="F107" s="609"/>
      <c r="G107" s="609"/>
      <c r="H107" s="609"/>
      <c r="I107" s="609"/>
      <c r="J107" s="609"/>
      <c r="K107" s="609"/>
      <c r="L107" s="609"/>
      <c r="M107" s="609"/>
      <c r="N107" s="609"/>
      <c r="O107" s="609"/>
      <c r="P107" s="609"/>
    </row>
    <row r="108" spans="1:18" ht="90" hidden="1" customHeight="1" x14ac:dyDescent="0.25">
      <c r="B108" s="363"/>
      <c r="C108" s="363"/>
      <c r="D108" s="366" t="str">
        <f>CONCATENATE(LEFT(Basisdaten!D25,11)," ",Basisdaten!D26," ",LEFT(Basisdaten!D27,21))</f>
        <v>Primärfälle operiert 2) Nicht vollständige OP</v>
      </c>
      <c r="E108" s="367" t="str">
        <f>CONCATENATE(LEFT(Basisdaten!D25,11)," ",Basisdaten!D26," ",LEFT(Basisdaten!E27,26))</f>
        <v>Primärfälle operiert 2) Definitive OP = 
Staging O</v>
      </c>
      <c r="F108" s="367" t="str">
        <f>CONCATENATE(LEFT(Basisdaten!D25,11)," ",Basisdaten!D26," ",LEFT(Basisdaten!F27,88))</f>
        <v>Primärfälle operiert 2) davon mit neoadjuvanter oder präoperativer systemischer Therapie (Ovar/Tuben/Peritoneal)</v>
      </c>
      <c r="G108" s="367" t="str">
        <f>CONCATENATE(LEFT(Basisdaten!D25,11)," ",Basisdaten!D26," ",LEFT(Basisdaten!G27,60))</f>
        <v>Primärfälle operiert 2) Ausschließlich Staging OP / Nicht vollständige OP (Zervix, E</v>
      </c>
      <c r="H108" s="367" t="str">
        <f>CONCATENATE(LEFT(Basisdaten!D25,11)," ",Basisdaten!D26," ",LEFT(Basisdaten!H27,60))</f>
        <v>Primärfälle operiert 2) Definitive OP (ggf. inkl. Staging-OP) 
(Zervix, Endometrium,</v>
      </c>
      <c r="I108" s="368" t="str">
        <f>CONCATENATE(LEFT(Basisdaten!D25,11)," ",Basisdaten!I26)</f>
        <v>Primärfälle nicht 
operiert</v>
      </c>
      <c r="J108" s="366" t="str">
        <f>CONCATENATE(LEFT(Basisdaten!J25,20)," ",Basisdaten!J26)</f>
        <v>Nicht Primärfälle operiert</v>
      </c>
      <c r="K108" s="368" t="str">
        <f>CONCATENATE(LEFT(Basisdaten!J25,20)," ",Basisdaten!K26)</f>
        <v>Nicht Primärfälle nicht 
operiert</v>
      </c>
      <c r="L108" s="366" t="str">
        <f>CONCATENATE(LEFT(Basisdaten!L25,14)," ",LEFT(Basisdaten!L26,8))</f>
        <v>Gesamtfallzahl operiert</v>
      </c>
      <c r="M108" s="368" t="str">
        <f>CONCATENATE(LEFT(Basisdaten!L25,14)," ",Basisdaten!M26)</f>
        <v>Gesamtfallzahl nicht 
operiert</v>
      </c>
      <c r="N108" s="362"/>
      <c r="O108" s="362"/>
    </row>
    <row r="109" spans="1:18" hidden="1" x14ac:dyDescent="0.25">
      <c r="B109" s="310" t="str">
        <f>CONCATENATE(LEFT(Basisdaten!$A$28,15),RIGHT(Basisdaten!B28,8))</f>
        <v>Ovarialkarzinom FIGO IA</v>
      </c>
      <c r="C109" s="364"/>
      <c r="D109" s="365">
        <f>Basisdaten!D28</f>
        <v>0</v>
      </c>
      <c r="E109" s="341">
        <f>Basisdaten!E28</f>
        <v>0</v>
      </c>
      <c r="F109" s="381">
        <f>Basisdaten!F28</f>
        <v>0</v>
      </c>
      <c r="G109" s="944"/>
      <c r="H109" s="941"/>
      <c r="I109" s="380">
        <f>Basisdaten!I28</f>
        <v>0</v>
      </c>
      <c r="J109" s="379">
        <f>Basisdaten!J28</f>
        <v>0</v>
      </c>
      <c r="K109" s="380">
        <f>Basisdaten!K28</f>
        <v>0</v>
      </c>
      <c r="L109" s="389">
        <f>IF(Basisdaten!L28="",0,Basisdaten!L28)</f>
        <v>0</v>
      </c>
      <c r="M109" s="391">
        <f>IF(Basisdaten!M28="",0,Basisdaten!M28)</f>
        <v>0</v>
      </c>
    </row>
    <row r="110" spans="1:18" hidden="1" x14ac:dyDescent="0.25">
      <c r="B110" s="310" t="str">
        <f>CONCATENATE(LEFT(Basisdaten!$A$28,15),RIGHT(Basisdaten!B29,8))</f>
        <v>Ovarialkarzinom FIGO IB</v>
      </c>
      <c r="C110" s="364"/>
      <c r="D110" s="365">
        <f>Basisdaten!D29</f>
        <v>0</v>
      </c>
      <c r="E110" s="341">
        <f>Basisdaten!E29</f>
        <v>0</v>
      </c>
      <c r="F110" s="381">
        <f>Basisdaten!F29</f>
        <v>0</v>
      </c>
      <c r="G110" s="945"/>
      <c r="H110" s="942"/>
      <c r="I110" s="380">
        <f>Basisdaten!I29</f>
        <v>0</v>
      </c>
      <c r="J110" s="392"/>
      <c r="K110" s="393"/>
      <c r="L110" s="392"/>
      <c r="M110" s="393"/>
    </row>
    <row r="111" spans="1:18" hidden="1" x14ac:dyDescent="0.25">
      <c r="B111" s="310" t="str">
        <f>CONCATENATE(LEFT(Basisdaten!$A$28,15),RIGHT(Basisdaten!B30,8))</f>
        <v>Ovarialkarzinom FIGO IC</v>
      </c>
      <c r="C111" s="364"/>
      <c r="D111" s="365">
        <f>Basisdaten!D30</f>
        <v>0</v>
      </c>
      <c r="E111" s="341">
        <f>Basisdaten!E30</f>
        <v>0</v>
      </c>
      <c r="F111" s="381">
        <f>Basisdaten!F30</f>
        <v>0</v>
      </c>
      <c r="G111" s="945"/>
      <c r="H111" s="942"/>
      <c r="I111" s="380">
        <f>Basisdaten!I30</f>
        <v>0</v>
      </c>
      <c r="J111" s="392"/>
      <c r="K111" s="393"/>
      <c r="L111" s="392"/>
      <c r="M111" s="393"/>
    </row>
    <row r="112" spans="1:18" hidden="1" x14ac:dyDescent="0.25">
      <c r="B112" s="310" t="str">
        <f>CONCATENATE(LEFT(Basisdaten!$A$28,15),RIGHT(Basisdaten!B31,9))</f>
        <v>Ovarialkarzinom FIGO IIA</v>
      </c>
      <c r="C112" s="364"/>
      <c r="D112" s="365">
        <f>Basisdaten!D31</f>
        <v>0</v>
      </c>
      <c r="E112" s="341">
        <f>Basisdaten!E31</f>
        <v>0</v>
      </c>
      <c r="F112" s="381">
        <f>Basisdaten!F31</f>
        <v>0</v>
      </c>
      <c r="G112" s="945"/>
      <c r="H112" s="942"/>
      <c r="I112" s="380">
        <f>Basisdaten!I31</f>
        <v>0</v>
      </c>
      <c r="J112" s="392"/>
      <c r="K112" s="393"/>
      <c r="L112" s="392"/>
      <c r="M112" s="393"/>
    </row>
    <row r="113" spans="2:13" hidden="1" x14ac:dyDescent="0.25">
      <c r="B113" s="310" t="str">
        <f>CONCATENATE(LEFT(Basisdaten!$A$28,15),RIGHT(Basisdaten!B32,9))</f>
        <v>Ovarialkarzinom FIGO IIB</v>
      </c>
      <c r="C113" s="364"/>
      <c r="D113" s="365">
        <f>Basisdaten!D32</f>
        <v>0</v>
      </c>
      <c r="E113" s="341">
        <f>Basisdaten!E32</f>
        <v>0</v>
      </c>
      <c r="F113" s="381">
        <f>Basisdaten!F32</f>
        <v>0</v>
      </c>
      <c r="G113" s="945"/>
      <c r="H113" s="942"/>
      <c r="I113" s="380">
        <f>Basisdaten!I32</f>
        <v>0</v>
      </c>
      <c r="J113" s="392"/>
      <c r="K113" s="393"/>
      <c r="L113" s="392"/>
      <c r="M113" s="393"/>
    </row>
    <row r="114" spans="2:13" hidden="1" x14ac:dyDescent="0.25">
      <c r="B114" s="310" t="str">
        <f>CONCATENATE(LEFT(Basisdaten!$A$28,15),RIGHT(Basisdaten!B33,10))</f>
        <v>Ovarialkarzinom FIGO IIIA</v>
      </c>
      <c r="C114" s="364"/>
      <c r="D114" s="365">
        <f>Basisdaten!D33</f>
        <v>0</v>
      </c>
      <c r="E114" s="341">
        <f>Basisdaten!E33</f>
        <v>0</v>
      </c>
      <c r="F114" s="381">
        <f>Basisdaten!F33</f>
        <v>0</v>
      </c>
      <c r="G114" s="945"/>
      <c r="H114" s="942"/>
      <c r="I114" s="380">
        <f>Basisdaten!I33</f>
        <v>0</v>
      </c>
      <c r="J114" s="392"/>
      <c r="K114" s="393"/>
      <c r="L114" s="392"/>
      <c r="M114" s="393"/>
    </row>
    <row r="115" spans="2:13" hidden="1" x14ac:dyDescent="0.25">
      <c r="B115" s="310" t="str">
        <f>CONCATENATE(LEFT(Basisdaten!$A$28,15),RIGHT(Basisdaten!B34,10))</f>
        <v>Ovarialkarzinom FIGO IIIB</v>
      </c>
      <c r="C115" s="364"/>
      <c r="D115" s="365">
        <f>Basisdaten!D34</f>
        <v>0</v>
      </c>
      <c r="E115" s="341">
        <f>Basisdaten!E34</f>
        <v>0</v>
      </c>
      <c r="F115" s="381">
        <f>Basisdaten!F34</f>
        <v>0</v>
      </c>
      <c r="G115" s="945"/>
      <c r="H115" s="942"/>
      <c r="I115" s="380">
        <f>Basisdaten!I34</f>
        <v>0</v>
      </c>
      <c r="J115" s="392"/>
      <c r="K115" s="393"/>
      <c r="L115" s="392"/>
      <c r="M115" s="393"/>
    </row>
    <row r="116" spans="2:13" hidden="1" x14ac:dyDescent="0.25">
      <c r="B116" s="310" t="str">
        <f>CONCATENATE(LEFT(Basisdaten!$A$28,15),RIGHT(Basisdaten!B35,10))</f>
        <v>Ovarialkarzinom FIGO IIIC</v>
      </c>
      <c r="C116" s="364"/>
      <c r="D116" s="365">
        <f>Basisdaten!D35</f>
        <v>0</v>
      </c>
      <c r="E116" s="341">
        <f>Basisdaten!E35</f>
        <v>0</v>
      </c>
      <c r="F116" s="381">
        <f>Basisdaten!F35</f>
        <v>0</v>
      </c>
      <c r="G116" s="945"/>
      <c r="H116" s="942"/>
      <c r="I116" s="380">
        <f>Basisdaten!I35</f>
        <v>0</v>
      </c>
      <c r="J116" s="392"/>
      <c r="K116" s="393"/>
      <c r="L116" s="392"/>
      <c r="M116" s="393"/>
    </row>
    <row r="117" spans="2:13" hidden="1" x14ac:dyDescent="0.25">
      <c r="B117" s="310" t="str">
        <f>CONCATENATE(LEFT(Basisdaten!$A$28,15),RIGHT(Basisdaten!B36,8))</f>
        <v>Ovarialkarzinom FIGO IV</v>
      </c>
      <c r="C117" s="364"/>
      <c r="D117" s="365">
        <f>Basisdaten!D36</f>
        <v>0</v>
      </c>
      <c r="E117" s="341">
        <f>Basisdaten!E36</f>
        <v>0</v>
      </c>
      <c r="F117" s="381">
        <f>Basisdaten!F36</f>
        <v>0</v>
      </c>
      <c r="G117" s="945"/>
      <c r="H117" s="942"/>
      <c r="I117" s="380">
        <f>Basisdaten!I36</f>
        <v>0</v>
      </c>
      <c r="J117" s="392"/>
      <c r="K117" s="393"/>
      <c r="L117" s="392"/>
      <c r="M117" s="393"/>
    </row>
    <row r="118" spans="2:13" hidden="1" x14ac:dyDescent="0.25">
      <c r="B118" s="310" t="str">
        <f>CONCATENATE(LEFT(Basisdaten!$A$28,15),RIGHT(Basisdaten!B37,8))</f>
        <v>Ovarialkarzinom Gesamt</v>
      </c>
      <c r="C118" s="364"/>
      <c r="D118" s="389">
        <f>IF(Basisdaten!D37="",0,Basisdaten!D37)</f>
        <v>0</v>
      </c>
      <c r="E118" s="390">
        <f>IF(Basisdaten!E37="",0,Basisdaten!E37)</f>
        <v>0</v>
      </c>
      <c r="F118" s="390">
        <f>IF(Basisdaten!F37="",0,Basisdaten!F37)</f>
        <v>0</v>
      </c>
      <c r="G118" s="945"/>
      <c r="H118" s="942"/>
      <c r="I118" s="391">
        <f>IF(Basisdaten!I37="",0,Basisdaten!I37)</f>
        <v>0</v>
      </c>
      <c r="J118" s="392"/>
      <c r="K118" s="393"/>
      <c r="L118" s="392"/>
      <c r="M118" s="393"/>
    </row>
    <row r="119" spans="2:13" hidden="1" x14ac:dyDescent="0.25">
      <c r="B119" s="310" t="str">
        <f>Basisdaten!A38</f>
        <v>Borderline Ovar / Seröses Tubares Intraepitheliales Carcinom (STIC)</v>
      </c>
      <c r="C119" s="364"/>
      <c r="D119" s="365">
        <f>Basisdaten!D38</f>
        <v>0</v>
      </c>
      <c r="E119" s="341">
        <f>Basisdaten!E38</f>
        <v>0</v>
      </c>
      <c r="F119" s="941"/>
      <c r="G119" s="946"/>
      <c r="H119" s="943"/>
      <c r="I119" s="380">
        <f>Basisdaten!I38</f>
        <v>0</v>
      </c>
      <c r="J119" s="379">
        <f>Basisdaten!J38</f>
        <v>0</v>
      </c>
      <c r="K119" s="380">
        <f>Basisdaten!K38</f>
        <v>0</v>
      </c>
      <c r="L119" s="389">
        <f>IF(Basisdaten!L38="",0,Basisdaten!L38)</f>
        <v>0</v>
      </c>
      <c r="M119" s="391">
        <f>IF(Basisdaten!M38="",0,Basisdaten!M38)</f>
        <v>0</v>
      </c>
    </row>
    <row r="120" spans="2:13" hidden="1" x14ac:dyDescent="0.25">
      <c r="B120" s="310" t="str">
        <f>CONCATENATE(LEFT(Basisdaten!$A$39,15),RIGHT(Basisdaten!B39,9))</f>
        <v>Zervixkarzinom  (= T1a1)</v>
      </c>
      <c r="C120" s="364"/>
      <c r="D120" s="930"/>
      <c r="E120" s="931"/>
      <c r="F120" s="942"/>
      <c r="G120" s="381">
        <f>Basisdaten!G39</f>
        <v>0</v>
      </c>
      <c r="H120" s="381">
        <f>Basisdaten!H39</f>
        <v>0</v>
      </c>
      <c r="I120" s="380">
        <f>Basisdaten!I39</f>
        <v>0</v>
      </c>
      <c r="J120" s="379">
        <f>Basisdaten!J39</f>
        <v>0</v>
      </c>
      <c r="K120" s="380">
        <f>Basisdaten!K39</f>
        <v>0</v>
      </c>
      <c r="L120" s="389">
        <f>IF(Basisdaten!L39="",0,Basisdaten!L39)</f>
        <v>0</v>
      </c>
      <c r="M120" s="391">
        <f>IF(Basisdaten!M39="",0,Basisdaten!M39)</f>
        <v>0</v>
      </c>
    </row>
    <row r="121" spans="2:13" hidden="1" x14ac:dyDescent="0.25">
      <c r="B121" s="310" t="str">
        <f>CONCATENATE(LEFT(Basisdaten!$A$39,15),RIGHT(Basisdaten!B40,9))</f>
        <v>Zervixkarzinom  (= T1a2)</v>
      </c>
      <c r="C121" s="364"/>
      <c r="D121" s="932"/>
      <c r="E121" s="933"/>
      <c r="F121" s="942"/>
      <c r="G121" s="381">
        <f>Basisdaten!G40</f>
        <v>0</v>
      </c>
      <c r="H121" s="381">
        <f>Basisdaten!H40</f>
        <v>0</v>
      </c>
      <c r="I121" s="380">
        <f>Basisdaten!I40</f>
        <v>0</v>
      </c>
      <c r="J121" s="392"/>
      <c r="K121" s="393"/>
      <c r="L121" s="392"/>
      <c r="M121" s="393"/>
    </row>
    <row r="122" spans="2:13" hidden="1" x14ac:dyDescent="0.25">
      <c r="B122" s="310" t="str">
        <f>CONCATENATE(LEFT(Basisdaten!$A$39,15),RIGHT(Basisdaten!B41,9))</f>
        <v>Zervixkarzinom  (= T1b1)</v>
      </c>
      <c r="C122" s="364"/>
      <c r="D122" s="932"/>
      <c r="E122" s="933"/>
      <c r="F122" s="942"/>
      <c r="G122" s="381">
        <f>Basisdaten!G41</f>
        <v>0</v>
      </c>
      <c r="H122" s="381">
        <f>Basisdaten!H41</f>
        <v>0</v>
      </c>
      <c r="I122" s="380">
        <f>Basisdaten!I41</f>
        <v>0</v>
      </c>
      <c r="J122" s="392"/>
      <c r="K122" s="393"/>
      <c r="L122" s="392"/>
      <c r="M122" s="393"/>
    </row>
    <row r="123" spans="2:13" hidden="1" x14ac:dyDescent="0.25">
      <c r="B123" s="310" t="str">
        <f>CONCATENATE(LEFT(Basisdaten!$A$39,15),RIGHT(Basisdaten!B42,9))</f>
        <v>Zervixkarzinom  (= T1b2)</v>
      </c>
      <c r="C123" s="364"/>
      <c r="D123" s="932"/>
      <c r="E123" s="933"/>
      <c r="F123" s="942"/>
      <c r="G123" s="381">
        <f>Basisdaten!G42</f>
        <v>0</v>
      </c>
      <c r="H123" s="381">
        <f>Basisdaten!H42</f>
        <v>0</v>
      </c>
      <c r="I123" s="380">
        <f>Basisdaten!I42</f>
        <v>0</v>
      </c>
      <c r="J123" s="392"/>
      <c r="K123" s="393"/>
      <c r="L123" s="392"/>
      <c r="M123" s="393"/>
    </row>
    <row r="124" spans="2:13" hidden="1" x14ac:dyDescent="0.25">
      <c r="B124" s="310" t="str">
        <f>CONCATENATE(LEFT(Basisdaten!$A$39,15),RIGHT(Basisdaten!B43,9))</f>
        <v>Zervixkarzinom A (= T2a)</v>
      </c>
      <c r="C124" s="364"/>
      <c r="D124" s="932"/>
      <c r="E124" s="933"/>
      <c r="F124" s="942"/>
      <c r="G124" s="381">
        <f>Basisdaten!G43</f>
        <v>0</v>
      </c>
      <c r="H124" s="381">
        <f>Basisdaten!H43</f>
        <v>0</v>
      </c>
      <c r="I124" s="380">
        <f>Basisdaten!I43</f>
        <v>0</v>
      </c>
      <c r="J124" s="392"/>
      <c r="K124" s="393"/>
      <c r="L124" s="392"/>
      <c r="M124" s="393"/>
    </row>
    <row r="125" spans="2:13" hidden="1" x14ac:dyDescent="0.25">
      <c r="B125" s="310" t="str">
        <f>CONCATENATE(LEFT(Basisdaten!$A$39,15),RIGHT(Basisdaten!B44,9))</f>
        <v>Zervixkarzinom B (= T2b)</v>
      </c>
      <c r="C125" s="364"/>
      <c r="D125" s="932"/>
      <c r="E125" s="933"/>
      <c r="F125" s="942"/>
      <c r="G125" s="381">
        <f>Basisdaten!G44</f>
        <v>0</v>
      </c>
      <c r="H125" s="381">
        <f>Basisdaten!H44</f>
        <v>0</v>
      </c>
      <c r="I125" s="380">
        <f>Basisdaten!I44</f>
        <v>0</v>
      </c>
      <c r="J125" s="392"/>
      <c r="K125" s="393"/>
      <c r="L125" s="392"/>
      <c r="M125" s="393"/>
    </row>
    <row r="126" spans="2:13" hidden="1" x14ac:dyDescent="0.25">
      <c r="B126" s="310" t="str">
        <f>CONCATENATE(LEFT(Basisdaten!$A$39,15),RIGHT(Basisdaten!B45,9))</f>
        <v>Zervixkarzinom A (= T3a)</v>
      </c>
      <c r="C126" s="364"/>
      <c r="D126" s="932"/>
      <c r="E126" s="933"/>
      <c r="F126" s="942"/>
      <c r="G126" s="381">
        <f>Basisdaten!G45</f>
        <v>0</v>
      </c>
      <c r="H126" s="381">
        <f>Basisdaten!H45</f>
        <v>0</v>
      </c>
      <c r="I126" s="380">
        <f>Basisdaten!I45</f>
        <v>0</v>
      </c>
      <c r="J126" s="392"/>
      <c r="K126" s="393"/>
      <c r="L126" s="392"/>
      <c r="M126" s="393"/>
    </row>
    <row r="127" spans="2:13" hidden="1" x14ac:dyDescent="0.25">
      <c r="B127" s="310" t="str">
        <f>CONCATENATE(LEFT(Basisdaten!$A$39,15),RIGHT(Basisdaten!B46,9))</f>
        <v>Zervixkarzinom B (= T3b)</v>
      </c>
      <c r="C127" s="364"/>
      <c r="D127" s="932"/>
      <c r="E127" s="933"/>
      <c r="F127" s="942"/>
      <c r="G127" s="381">
        <f>Basisdaten!G46</f>
        <v>0</v>
      </c>
      <c r="H127" s="381">
        <f>Basisdaten!H46</f>
        <v>0</v>
      </c>
      <c r="I127" s="380">
        <f>Basisdaten!I46</f>
        <v>0</v>
      </c>
      <c r="J127" s="392"/>
      <c r="K127" s="393"/>
      <c r="L127" s="392"/>
      <c r="M127" s="393"/>
    </row>
    <row r="128" spans="2:13" hidden="1" x14ac:dyDescent="0.25">
      <c r="B128" s="310" t="str">
        <f>CONCATENATE(LEFT(Basisdaten!$A$39,15),RIGHT(Basisdaten!B47,9))</f>
        <v>Zervixkarzinom VA (= T4)</v>
      </c>
      <c r="C128" s="364"/>
      <c r="D128" s="932"/>
      <c r="E128" s="933"/>
      <c r="F128" s="942"/>
      <c r="G128" s="381">
        <f>Basisdaten!G47</f>
        <v>0</v>
      </c>
      <c r="H128" s="381">
        <f>Basisdaten!H47</f>
        <v>0</v>
      </c>
      <c r="I128" s="380">
        <f>Basisdaten!I47</f>
        <v>0</v>
      </c>
      <c r="J128" s="392"/>
      <c r="K128" s="393"/>
      <c r="L128" s="392"/>
      <c r="M128" s="393"/>
    </row>
    <row r="129" spans="2:13" hidden="1" x14ac:dyDescent="0.25">
      <c r="B129" s="310" t="str">
        <f>CONCATENATE(LEFT(Basisdaten!$A$39,15),RIGHT(Basisdaten!B48,9))</f>
        <v>Zervixkarzinom VB (= M1)</v>
      </c>
      <c r="C129" s="364"/>
      <c r="D129" s="932"/>
      <c r="E129" s="933"/>
      <c r="F129" s="942"/>
      <c r="G129" s="381">
        <f>Basisdaten!G48</f>
        <v>0</v>
      </c>
      <c r="H129" s="381">
        <f>Basisdaten!H48</f>
        <v>0</v>
      </c>
      <c r="I129" s="380">
        <f>Basisdaten!I48</f>
        <v>0</v>
      </c>
      <c r="J129" s="392"/>
      <c r="K129" s="393"/>
      <c r="L129" s="392"/>
      <c r="M129" s="393"/>
    </row>
    <row r="130" spans="2:13" hidden="1" x14ac:dyDescent="0.25">
      <c r="B130" s="310" t="str">
        <f>CONCATENATE(LEFT(Basisdaten!$A$39,15),RIGHT(Basisdaten!B49,9))</f>
        <v>Zervixkarzinom  Gesamt</v>
      </c>
      <c r="C130" s="364"/>
      <c r="D130" s="932"/>
      <c r="E130" s="933"/>
      <c r="F130" s="942"/>
      <c r="G130" s="390">
        <f>IF(Basisdaten!G49="",0,Basisdaten!G49)</f>
        <v>0</v>
      </c>
      <c r="H130" s="390">
        <f>IF(Basisdaten!H49="",0,Basisdaten!H49)</f>
        <v>0</v>
      </c>
      <c r="I130" s="391">
        <f>IF(Basisdaten!I49="",0,Basisdaten!I49)</f>
        <v>0</v>
      </c>
      <c r="J130" s="392"/>
      <c r="K130" s="393"/>
      <c r="L130" s="392"/>
      <c r="M130" s="393"/>
    </row>
    <row r="131" spans="2:13" hidden="1" x14ac:dyDescent="0.25">
      <c r="B131" s="310" t="str">
        <f>Basisdaten!A50</f>
        <v>Endometriumkarzinom</v>
      </c>
      <c r="C131" s="364"/>
      <c r="D131" s="932"/>
      <c r="E131" s="933"/>
      <c r="F131" s="942"/>
      <c r="G131" s="381">
        <f>Basisdaten!G50</f>
        <v>0</v>
      </c>
      <c r="H131" s="381">
        <f>Basisdaten!H50</f>
        <v>0</v>
      </c>
      <c r="I131" s="380">
        <f>Basisdaten!I50</f>
        <v>0</v>
      </c>
      <c r="J131" s="379">
        <f>Basisdaten!J50</f>
        <v>0</v>
      </c>
      <c r="K131" s="380">
        <f>Basisdaten!K50</f>
        <v>0</v>
      </c>
      <c r="L131" s="389">
        <f>IF(Basisdaten!L50="",0,Basisdaten!L50)</f>
        <v>0</v>
      </c>
      <c r="M131" s="391">
        <f>IF(Basisdaten!M50="",0,Basisdaten!M50)</f>
        <v>0</v>
      </c>
    </row>
    <row r="132" spans="2:13" hidden="1" x14ac:dyDescent="0.25">
      <c r="B132" s="310" t="str">
        <f>Basisdaten!A51</f>
        <v>Vulvakarzinom</v>
      </c>
      <c r="C132" s="364"/>
      <c r="D132" s="932"/>
      <c r="E132" s="933"/>
      <c r="F132" s="942"/>
      <c r="G132" s="381">
        <f>Basisdaten!G51</f>
        <v>0</v>
      </c>
      <c r="H132" s="381">
        <f>Basisdaten!H51</f>
        <v>0</v>
      </c>
      <c r="I132" s="380">
        <f>Basisdaten!I51</f>
        <v>0</v>
      </c>
      <c r="J132" s="379">
        <f>Basisdaten!J51</f>
        <v>0</v>
      </c>
      <c r="K132" s="380">
        <f>Basisdaten!K51</f>
        <v>0</v>
      </c>
      <c r="L132" s="389">
        <f>IF(Basisdaten!L51="",0,Basisdaten!L51)</f>
        <v>0</v>
      </c>
      <c r="M132" s="391">
        <f>IF(Basisdaten!M51="",0,Basisdaten!M51)</f>
        <v>0</v>
      </c>
    </row>
    <row r="133" spans="2:13" hidden="1" x14ac:dyDescent="0.25">
      <c r="B133" s="310" t="str">
        <f>Basisdaten!A52</f>
        <v>Vaginalkarzinom</v>
      </c>
      <c r="C133" s="364"/>
      <c r="D133" s="932"/>
      <c r="E133" s="933"/>
      <c r="F133" s="942"/>
      <c r="G133" s="381">
        <f>Basisdaten!G52</f>
        <v>0</v>
      </c>
      <c r="H133" s="381">
        <f>Basisdaten!H52</f>
        <v>0</v>
      </c>
      <c r="I133" s="380">
        <f>Basisdaten!I52</f>
        <v>0</v>
      </c>
      <c r="J133" s="379">
        <f>Basisdaten!J52</f>
        <v>0</v>
      </c>
      <c r="K133" s="380">
        <f>Basisdaten!K52</f>
        <v>0</v>
      </c>
      <c r="L133" s="389">
        <f>IF(Basisdaten!L52="",0,Basisdaten!L52)</f>
        <v>0</v>
      </c>
      <c r="M133" s="391">
        <f>IF(Basisdaten!M52="",0,Basisdaten!M52)</f>
        <v>0</v>
      </c>
    </row>
    <row r="134" spans="2:13" hidden="1" x14ac:dyDescent="0.25">
      <c r="B134" s="936" t="str">
        <f>LEFT(Basisdaten!A53,9)</f>
        <v xml:space="preserve">Sonstige </v>
      </c>
      <c r="C134" s="937"/>
      <c r="D134" s="934"/>
      <c r="E134" s="935"/>
      <c r="F134" s="943"/>
      <c r="G134" s="381">
        <f>Basisdaten!G53</f>
        <v>0</v>
      </c>
      <c r="H134" s="381">
        <f>Basisdaten!H53</f>
        <v>0</v>
      </c>
      <c r="I134" s="380">
        <f>Basisdaten!I53</f>
        <v>0</v>
      </c>
      <c r="J134" s="379">
        <f>Basisdaten!J53</f>
        <v>0</v>
      </c>
      <c r="K134" s="380">
        <f>Basisdaten!K53</f>
        <v>0</v>
      </c>
      <c r="L134" s="389">
        <f>IF(Basisdaten!L53="",0,Basisdaten!L53)</f>
        <v>0</v>
      </c>
      <c r="M134" s="391">
        <f>IF(Basisdaten!M53="",0,Basisdaten!M53)</f>
        <v>0</v>
      </c>
    </row>
    <row r="135" spans="2:13" hidden="1" x14ac:dyDescent="0.25">
      <c r="B135" s="361"/>
      <c r="C135" s="79"/>
      <c r="D135" s="389">
        <f>IF(Basisdaten!D54="",0,Basisdaten!D54)</f>
        <v>0</v>
      </c>
      <c r="E135" s="390">
        <f>IF(Basisdaten!E54="",0,Basisdaten!E54)</f>
        <v>0</v>
      </c>
      <c r="F135" s="390">
        <f>IF(Basisdaten!F54="",0,Basisdaten!F54)</f>
        <v>0</v>
      </c>
      <c r="G135" s="390">
        <f>IF(Basisdaten!G54="",0,Basisdaten!G54)</f>
        <v>0</v>
      </c>
      <c r="H135" s="390">
        <f>IF(Basisdaten!H54="",0,Basisdaten!H54)</f>
        <v>0</v>
      </c>
      <c r="I135" s="391">
        <f>IF(Basisdaten!I54="",0,Basisdaten!I54)</f>
        <v>0</v>
      </c>
      <c r="J135" s="389">
        <f>IF(Basisdaten!J54="",0,Basisdaten!J54)</f>
        <v>0</v>
      </c>
      <c r="K135" s="391">
        <f>IF(Basisdaten!K54="",0,Basisdaten!K54)</f>
        <v>0</v>
      </c>
      <c r="L135" s="389">
        <f>IF(Basisdaten!L54="",0,Basisdaten!L54)</f>
        <v>0</v>
      </c>
      <c r="M135" s="391">
        <f>IF(Basisdaten!M54="",0,Basisdaten!M54)</f>
        <v>0</v>
      </c>
    </row>
    <row r="136" spans="2:13" ht="15.75" hidden="1" customHeight="1" thickBot="1" x14ac:dyDescent="0.3">
      <c r="B136" s="79"/>
      <c r="C136" s="79"/>
      <c r="D136" s="938">
        <f>IF(Basisdaten!D55="",0,Basisdaten!D55)</f>
        <v>0</v>
      </c>
      <c r="E136" s="939"/>
      <c r="F136" s="939"/>
      <c r="G136" s="939"/>
      <c r="H136" s="939"/>
      <c r="I136" s="940"/>
      <c r="J136" s="938">
        <f>IF(Basisdaten!J55="",0,Basisdaten!J55)</f>
        <v>0</v>
      </c>
      <c r="K136" s="940"/>
      <c r="L136" s="938">
        <f>IF(Basisdaten!L55="",0,Basisdaten!L55)</f>
        <v>0</v>
      </c>
      <c r="M136" s="940"/>
    </row>
  </sheetData>
  <sheetProtection algorithmName="SHA-512" hashValue="GKOXq63+HNH6DMXmX7nkS2DN810TuTw051yPzZmwqUEXPGmiMzW6kswO3pAkbL2o+ploTye1Cp3tHhU4Nw6gnA==" saltValue="O3/PVA0CBwpRjp+6F5QD2g==" spinCount="100000" sheet="1" objects="1" scenarios="1" selectLockedCells="1"/>
  <dataConsolidate/>
  <mergeCells count="365">
    <mergeCell ref="H89:I91"/>
    <mergeCell ref="J89:J91"/>
    <mergeCell ref="K89:L91"/>
    <mergeCell ref="M89:M91"/>
    <mergeCell ref="P89:P91"/>
    <mergeCell ref="Q89:Q91"/>
    <mergeCell ref="R89:R91"/>
    <mergeCell ref="A68:A70"/>
    <mergeCell ref="B68:B70"/>
    <mergeCell ref="C68:C70"/>
    <mergeCell ref="D68:E70"/>
    <mergeCell ref="F68:G70"/>
    <mergeCell ref="M71:M73"/>
    <mergeCell ref="R83:R85"/>
    <mergeCell ref="H71:I73"/>
    <mergeCell ref="J71:J73"/>
    <mergeCell ref="C86:C88"/>
    <mergeCell ref="D86:E88"/>
    <mergeCell ref="F86:G88"/>
    <mergeCell ref="H86:I88"/>
    <mergeCell ref="J86:J88"/>
    <mergeCell ref="K86:L88"/>
    <mergeCell ref="P86:P88"/>
    <mergeCell ref="C77:C79"/>
    <mergeCell ref="R92:R94"/>
    <mergeCell ref="A106:P106"/>
    <mergeCell ref="Q86:Q88"/>
    <mergeCell ref="R86:R88"/>
    <mergeCell ref="M83:M85"/>
    <mergeCell ref="M86:M88"/>
    <mergeCell ref="A83:A85"/>
    <mergeCell ref="B83:B85"/>
    <mergeCell ref="C83:C85"/>
    <mergeCell ref="D83:E85"/>
    <mergeCell ref="F83:G85"/>
    <mergeCell ref="H83:I85"/>
    <mergeCell ref="J83:J85"/>
    <mergeCell ref="K83:L85"/>
    <mergeCell ref="Q83:Q85"/>
    <mergeCell ref="A86:A88"/>
    <mergeCell ref="B86:B88"/>
    <mergeCell ref="A92:A94"/>
    <mergeCell ref="B92:B94"/>
    <mergeCell ref="A89:A91"/>
    <mergeCell ref="B89:B91"/>
    <mergeCell ref="C89:C91"/>
    <mergeCell ref="D89:E91"/>
    <mergeCell ref="F89:G91"/>
    <mergeCell ref="R32:R34"/>
    <mergeCell ref="D120:E134"/>
    <mergeCell ref="B134:C134"/>
    <mergeCell ref="D136:I136"/>
    <mergeCell ref="F119:F134"/>
    <mergeCell ref="G109:H119"/>
    <mergeCell ref="J136:K136"/>
    <mergeCell ref="A104:P104"/>
    <mergeCell ref="P83:P85"/>
    <mergeCell ref="L136:M136"/>
    <mergeCell ref="A103:P103"/>
    <mergeCell ref="R62:R64"/>
    <mergeCell ref="J62:J64"/>
    <mergeCell ref="K62:L64"/>
    <mergeCell ref="M62:M64"/>
    <mergeCell ref="P62:P64"/>
    <mergeCell ref="K65:L67"/>
    <mergeCell ref="M65:M67"/>
    <mergeCell ref="P65:P67"/>
    <mergeCell ref="R65:R67"/>
    <mergeCell ref="Q62:Q64"/>
    <mergeCell ref="Q65:Q67"/>
    <mergeCell ref="K68:L70"/>
    <mergeCell ref="H56:I58"/>
    <mergeCell ref="Q56:Q58"/>
    <mergeCell ref="R56:R58"/>
    <mergeCell ref="K56:L58"/>
    <mergeCell ref="M56:M58"/>
    <mergeCell ref="A105:B105"/>
    <mergeCell ref="B97:C98"/>
    <mergeCell ref="F97:F98"/>
    <mergeCell ref="B99:E99"/>
    <mergeCell ref="B100:C101"/>
    <mergeCell ref="F100:G101"/>
    <mergeCell ref="G97:G98"/>
    <mergeCell ref="P92:P94"/>
    <mergeCell ref="Q92:Q94"/>
    <mergeCell ref="C92:C94"/>
    <mergeCell ref="D92:E94"/>
    <mergeCell ref="F92:G94"/>
    <mergeCell ref="H92:I94"/>
    <mergeCell ref="J92:J94"/>
    <mergeCell ref="K92:L94"/>
    <mergeCell ref="M92:M94"/>
    <mergeCell ref="A56:A58"/>
    <mergeCell ref="B77:B79"/>
    <mergeCell ref="B80:B82"/>
    <mergeCell ref="C74:C76"/>
    <mergeCell ref="A44:A46"/>
    <mergeCell ref="B44:B46"/>
    <mergeCell ref="M44:M46"/>
    <mergeCell ref="F50:G52"/>
    <mergeCell ref="H50:I52"/>
    <mergeCell ref="J50:J52"/>
    <mergeCell ref="K50:L52"/>
    <mergeCell ref="K47:L49"/>
    <mergeCell ref="K44:L46"/>
    <mergeCell ref="M47:M49"/>
    <mergeCell ref="K12:L13"/>
    <mergeCell ref="F53:G55"/>
    <mergeCell ref="H53:I55"/>
    <mergeCell ref="J53:J55"/>
    <mergeCell ref="C41:C43"/>
    <mergeCell ref="F41:G43"/>
    <mergeCell ref="C44:C46"/>
    <mergeCell ref="D44:E46"/>
    <mergeCell ref="F44:G46"/>
    <mergeCell ref="H44:I46"/>
    <mergeCell ref="J44:J46"/>
    <mergeCell ref="D47:E49"/>
    <mergeCell ref="J47:J49"/>
    <mergeCell ref="F47:G49"/>
    <mergeCell ref="H47:I49"/>
    <mergeCell ref="C50:C52"/>
    <mergeCell ref="D50:E52"/>
    <mergeCell ref="F35:G37"/>
    <mergeCell ref="C20:C22"/>
    <mergeCell ref="H23:I25"/>
    <mergeCell ref="K20:L22"/>
    <mergeCell ref="H20:I22"/>
    <mergeCell ref="K23:L25"/>
    <mergeCell ref="K32:L34"/>
    <mergeCell ref="D6:L6"/>
    <mergeCell ref="D8:E8"/>
    <mergeCell ref="H12:I13"/>
    <mergeCell ref="A11:P11"/>
    <mergeCell ref="I8:L8"/>
    <mergeCell ref="J12:J13"/>
    <mergeCell ref="A12:A13"/>
    <mergeCell ref="A29:A31"/>
    <mergeCell ref="N29:N31"/>
    <mergeCell ref="H26:I28"/>
    <mergeCell ref="J14:J16"/>
    <mergeCell ref="J17:J19"/>
    <mergeCell ref="F17:G19"/>
    <mergeCell ref="K26:L28"/>
    <mergeCell ref="D17:E19"/>
    <mergeCell ref="M14:M16"/>
    <mergeCell ref="K17:L19"/>
    <mergeCell ref="F23:G25"/>
    <mergeCell ref="J23:J25"/>
    <mergeCell ref="F14:G16"/>
    <mergeCell ref="H14:I16"/>
    <mergeCell ref="D12:E13"/>
    <mergeCell ref="B14:B16"/>
    <mergeCell ref="D14:E16"/>
    <mergeCell ref="B23:B25"/>
    <mergeCell ref="C12:C13"/>
    <mergeCell ref="A35:A37"/>
    <mergeCell ref="D29:E31"/>
    <mergeCell ref="C35:C37"/>
    <mergeCell ref="C17:C19"/>
    <mergeCell ref="B17:B19"/>
    <mergeCell ref="C23:C25"/>
    <mergeCell ref="B12:B13"/>
    <mergeCell ref="A14:A16"/>
    <mergeCell ref="A23:A25"/>
    <mergeCell ref="D35:E37"/>
    <mergeCell ref="A26:A28"/>
    <mergeCell ref="B26:B28"/>
    <mergeCell ref="D26:E28"/>
    <mergeCell ref="A20:A22"/>
    <mergeCell ref="B20:B22"/>
    <mergeCell ref="C14:C16"/>
    <mergeCell ref="D23:E25"/>
    <mergeCell ref="B29:B31"/>
    <mergeCell ref="A17:A19"/>
    <mergeCell ref="A32:A34"/>
    <mergeCell ref="D20:E22"/>
    <mergeCell ref="B35:B37"/>
    <mergeCell ref="Q12:R12"/>
    <mergeCell ref="Q20:Q22"/>
    <mergeCell ref="Q17:Q19"/>
    <mergeCell ref="F12:G13"/>
    <mergeCell ref="F20:G22"/>
    <mergeCell ref="J20:J22"/>
    <mergeCell ref="K14:L16"/>
    <mergeCell ref="H17:I19"/>
    <mergeCell ref="R23:R25"/>
    <mergeCell ref="Q14:Q16"/>
    <mergeCell ref="P20:P22"/>
    <mergeCell ref="Q23:Q25"/>
    <mergeCell ref="P23:P25"/>
    <mergeCell ref="M20:M22"/>
    <mergeCell ref="M23:M25"/>
    <mergeCell ref="P14:P16"/>
    <mergeCell ref="M12:M13"/>
    <mergeCell ref="P17:P19"/>
    <mergeCell ref="M17:M19"/>
    <mergeCell ref="R14:R16"/>
    <mergeCell ref="R17:R19"/>
    <mergeCell ref="R20:R22"/>
    <mergeCell ref="P12:P13"/>
    <mergeCell ref="N12:O13"/>
    <mergeCell ref="B41:B43"/>
    <mergeCell ref="D41:E43"/>
    <mergeCell ref="A41:A43"/>
    <mergeCell ref="F26:G28"/>
    <mergeCell ref="F29:G31"/>
    <mergeCell ref="C26:C28"/>
    <mergeCell ref="C29:C31"/>
    <mergeCell ref="B32:B34"/>
    <mergeCell ref="C32:C34"/>
    <mergeCell ref="D32:E34"/>
    <mergeCell ref="F32:G34"/>
    <mergeCell ref="A38:A40"/>
    <mergeCell ref="B38:B40"/>
    <mergeCell ref="C38:C40"/>
    <mergeCell ref="D38:E40"/>
    <mergeCell ref="F38:G40"/>
    <mergeCell ref="N26:N28"/>
    <mergeCell ref="M29:M31"/>
    <mergeCell ref="H29:I31"/>
    <mergeCell ref="M26:M28"/>
    <mergeCell ref="J26:J28"/>
    <mergeCell ref="N32:N34"/>
    <mergeCell ref="N35:N37"/>
    <mergeCell ref="M41:M43"/>
    <mergeCell ref="H41:I43"/>
    <mergeCell ref="K29:L31"/>
    <mergeCell ref="M35:M37"/>
    <mergeCell ref="K35:L37"/>
    <mergeCell ref="J41:J43"/>
    <mergeCell ref="K41:L43"/>
    <mergeCell ref="J35:J37"/>
    <mergeCell ref="J29:J31"/>
    <mergeCell ref="K38:L40"/>
    <mergeCell ref="M38:M40"/>
    <mergeCell ref="H35:I37"/>
    <mergeCell ref="M32:M34"/>
    <mergeCell ref="H38:I40"/>
    <mergeCell ref="J38:J40"/>
    <mergeCell ref="H32:I34"/>
    <mergeCell ref="J32:J34"/>
    <mergeCell ref="Q35:Q37"/>
    <mergeCell ref="Q29:Q31"/>
    <mergeCell ref="Q26:Q28"/>
    <mergeCell ref="R26:R28"/>
    <mergeCell ref="O26:O28"/>
    <mergeCell ref="P26:P28"/>
    <mergeCell ref="P41:P43"/>
    <mergeCell ref="R41:R43"/>
    <mergeCell ref="R44:R46"/>
    <mergeCell ref="O29:O31"/>
    <mergeCell ref="Q41:Q43"/>
    <mergeCell ref="R29:R31"/>
    <mergeCell ref="P29:P31"/>
    <mergeCell ref="R35:R37"/>
    <mergeCell ref="P35:P37"/>
    <mergeCell ref="Q44:Q46"/>
    <mergeCell ref="O35:O37"/>
    <mergeCell ref="P44:P46"/>
    <mergeCell ref="P38:P40"/>
    <mergeCell ref="Q38:Q40"/>
    <mergeCell ref="R38:R40"/>
    <mergeCell ref="O32:O34"/>
    <mergeCell ref="P32:P34"/>
    <mergeCell ref="Q32:Q34"/>
    <mergeCell ref="A53:A55"/>
    <mergeCell ref="B53:B55"/>
    <mergeCell ref="C53:C55"/>
    <mergeCell ref="D53:E55"/>
    <mergeCell ref="A47:A49"/>
    <mergeCell ref="B47:B49"/>
    <mergeCell ref="C47:C49"/>
    <mergeCell ref="A50:A52"/>
    <mergeCell ref="B50:B52"/>
    <mergeCell ref="Q47:Q49"/>
    <mergeCell ref="R47:R49"/>
    <mergeCell ref="Q50:Q52"/>
    <mergeCell ref="R50:R52"/>
    <mergeCell ref="Q53:Q55"/>
    <mergeCell ref="R53:R55"/>
    <mergeCell ref="M53:M55"/>
    <mergeCell ref="K53:L55"/>
    <mergeCell ref="P53:P55"/>
    <mergeCell ref="M50:M52"/>
    <mergeCell ref="P50:P52"/>
    <mergeCell ref="P47:P49"/>
    <mergeCell ref="B56:B58"/>
    <mergeCell ref="A80:A82"/>
    <mergeCell ref="P71:P73"/>
    <mergeCell ref="K71:L73"/>
    <mergeCell ref="K74:L76"/>
    <mergeCell ref="K77:L79"/>
    <mergeCell ref="Q71:Q73"/>
    <mergeCell ref="A62:A64"/>
    <mergeCell ref="A71:A73"/>
    <mergeCell ref="B71:B73"/>
    <mergeCell ref="C71:C73"/>
    <mergeCell ref="A74:A76"/>
    <mergeCell ref="A77:A79"/>
    <mergeCell ref="B74:B76"/>
    <mergeCell ref="F77:G79"/>
    <mergeCell ref="D80:E82"/>
    <mergeCell ref="F80:G82"/>
    <mergeCell ref="M80:M82"/>
    <mergeCell ref="K80:L82"/>
    <mergeCell ref="H74:I76"/>
    <mergeCell ref="H77:I79"/>
    <mergeCell ref="H80:I82"/>
    <mergeCell ref="A65:A67"/>
    <mergeCell ref="A59:A61"/>
    <mergeCell ref="B62:B64"/>
    <mergeCell ref="C62:C64"/>
    <mergeCell ref="D62:E64"/>
    <mergeCell ref="H62:I64"/>
    <mergeCell ref="B59:B61"/>
    <mergeCell ref="R80:R82"/>
    <mergeCell ref="R74:R76"/>
    <mergeCell ref="Q77:Q79"/>
    <mergeCell ref="R77:R79"/>
    <mergeCell ref="M77:M79"/>
    <mergeCell ref="P74:P76"/>
    <mergeCell ref="P77:P79"/>
    <mergeCell ref="P80:P82"/>
    <mergeCell ref="Q74:Q76"/>
    <mergeCell ref="Q80:Q82"/>
    <mergeCell ref="B65:B67"/>
    <mergeCell ref="C65:C67"/>
    <mergeCell ref="R59:R61"/>
    <mergeCell ref="K59:L61"/>
    <mergeCell ref="M59:M61"/>
    <mergeCell ref="P59:P61"/>
    <mergeCell ref="Q59:Q61"/>
    <mergeCell ref="F59:G61"/>
    <mergeCell ref="H59:I61"/>
    <mergeCell ref="D77:E79"/>
    <mergeCell ref="C80:C82"/>
    <mergeCell ref="J74:J76"/>
    <mergeCell ref="R71:R73"/>
    <mergeCell ref="J77:J79"/>
    <mergeCell ref="J80:J82"/>
    <mergeCell ref="M74:M76"/>
    <mergeCell ref="F62:G64"/>
    <mergeCell ref="D74:E76"/>
    <mergeCell ref="F74:G76"/>
    <mergeCell ref="D71:E73"/>
    <mergeCell ref="F71:G73"/>
    <mergeCell ref="M68:M70"/>
    <mergeCell ref="P68:P70"/>
    <mergeCell ref="Q68:Q70"/>
    <mergeCell ref="R68:R70"/>
    <mergeCell ref="P56:P58"/>
    <mergeCell ref="C56:C58"/>
    <mergeCell ref="D65:E67"/>
    <mergeCell ref="F65:G67"/>
    <mergeCell ref="J65:J67"/>
    <mergeCell ref="J56:J58"/>
    <mergeCell ref="J59:J61"/>
    <mergeCell ref="H68:I70"/>
    <mergeCell ref="J68:J70"/>
    <mergeCell ref="D56:E58"/>
    <mergeCell ref="F56:G58"/>
    <mergeCell ref="C59:C61"/>
    <mergeCell ref="D59:E61"/>
    <mergeCell ref="H65:I67"/>
  </mergeCells>
  <phoneticPr fontId="36" type="noConversion"/>
  <conditionalFormatting sqref="O14">
    <cfRule type="expression" dxfId="174" priority="1033" stopIfTrue="1">
      <formula>LEN(TRIM(O14))=0</formula>
    </cfRule>
  </conditionalFormatting>
  <conditionalFormatting sqref="O17">
    <cfRule type="expression" dxfId="173" priority="457" stopIfTrue="1">
      <formula>LEN(TRIM(O17))=0</formula>
    </cfRule>
  </conditionalFormatting>
  <conditionalFormatting sqref="O23">
    <cfRule type="expression" dxfId="172" priority="385" stopIfTrue="1">
      <formula>LEN(TRIM(O23))=0</formula>
    </cfRule>
  </conditionalFormatting>
  <conditionalFormatting sqref="O20">
    <cfRule type="expression" dxfId="171" priority="371" stopIfTrue="1">
      <formula>LEN(TRIM(O20))=0</formula>
    </cfRule>
  </conditionalFormatting>
  <conditionalFormatting sqref="O44 O41 O47 O53">
    <cfRule type="expression" dxfId="170" priority="299" stopIfTrue="1">
      <formula>LEN(TRIM(O41))=0</formula>
    </cfRule>
  </conditionalFormatting>
  <conditionalFormatting sqref="O56">
    <cfRule type="expression" dxfId="169" priority="278" stopIfTrue="1">
      <formula>LEN(TRIM(O56))=0</formula>
    </cfRule>
  </conditionalFormatting>
  <conditionalFormatting sqref="O59:O60">
    <cfRule type="expression" dxfId="168" priority="277" stopIfTrue="1">
      <formula>LEN(TRIM(O59))=0</formula>
    </cfRule>
  </conditionalFormatting>
  <conditionalFormatting sqref="O62">
    <cfRule type="expression" dxfId="167" priority="276" stopIfTrue="1">
      <formula>LEN(TRIM(O62))=0</formula>
    </cfRule>
  </conditionalFormatting>
  <conditionalFormatting sqref="O65:O66">
    <cfRule type="expression" dxfId="166" priority="271" stopIfTrue="1">
      <formula>LEN(TRIM(O65))=0</formula>
    </cfRule>
  </conditionalFormatting>
  <conditionalFormatting sqref="O71">
    <cfRule type="expression" dxfId="165" priority="260" stopIfTrue="1">
      <formula>LEN(TRIM(O71))=0</formula>
    </cfRule>
  </conditionalFormatting>
  <conditionalFormatting sqref="O72">
    <cfRule type="expression" dxfId="164" priority="259" stopIfTrue="1">
      <formula>LEN(TRIM(O72))=0</formula>
    </cfRule>
  </conditionalFormatting>
  <conditionalFormatting sqref="O74">
    <cfRule type="expression" dxfId="163" priority="256" stopIfTrue="1">
      <formula>LEN(TRIM(O74))=0</formula>
    </cfRule>
  </conditionalFormatting>
  <conditionalFormatting sqref="O75">
    <cfRule type="expression" dxfId="162" priority="255" stopIfTrue="1">
      <formula>LEN(TRIM(O75))=0</formula>
    </cfRule>
  </conditionalFormatting>
  <conditionalFormatting sqref="O77">
    <cfRule type="expression" dxfId="161" priority="248" stopIfTrue="1">
      <formula>LEN(TRIM(O77))=0</formula>
    </cfRule>
  </conditionalFormatting>
  <conditionalFormatting sqref="O78">
    <cfRule type="expression" dxfId="160" priority="247" stopIfTrue="1">
      <formula>LEN(TRIM(O78))=0</formula>
    </cfRule>
  </conditionalFormatting>
  <conditionalFormatting sqref="O80">
    <cfRule type="expression" dxfId="159" priority="246" stopIfTrue="1">
      <formula>LEN(TRIM(O80))=0</formula>
    </cfRule>
  </conditionalFormatting>
  <conditionalFormatting sqref="O81">
    <cfRule type="expression" dxfId="158" priority="245" stopIfTrue="1">
      <formula>LEN(TRIM(O81))=0</formula>
    </cfRule>
  </conditionalFormatting>
  <conditionalFormatting sqref="O83">
    <cfRule type="expression" dxfId="157" priority="134" stopIfTrue="1">
      <formula>LEN(TRIM(O83))=0</formula>
    </cfRule>
  </conditionalFormatting>
  <conditionalFormatting sqref="O86">
    <cfRule type="expression" dxfId="156" priority="133" stopIfTrue="1">
      <formula>LEN(TRIM(O86))=0</formula>
    </cfRule>
  </conditionalFormatting>
  <conditionalFormatting sqref="O84">
    <cfRule type="expression" dxfId="155" priority="132" stopIfTrue="1">
      <formula>LEN(TRIM(O84))=0</formula>
    </cfRule>
  </conditionalFormatting>
  <conditionalFormatting sqref="O87">
    <cfRule type="expression" dxfId="154" priority="131" stopIfTrue="1">
      <formula>LEN(TRIM(O87))=0</formula>
    </cfRule>
  </conditionalFormatting>
  <conditionalFormatting sqref="Q14:Q31 Q35:Q37 Q41:Q49 Q71:Q86 Q53:Q67">
    <cfRule type="expression" dxfId="153" priority="1036" stopIfTrue="1">
      <formula>OR($P14="Unvollständig",$P14="Sollvorgabe nicht erfüllt",$P14="I.O. (Plausibilität unklar)",$P14="Ausnahme (Plausibilität unklar)",$P14="optional - unvollständig",$P14="optional - Sollvorgabe nicht erfüllt",$P14="optional - I.O. (Plausibilität unklar)", $P14="optional - I.O. (Plausibilität unklar)",$P14="optional - Ausnahme (Plausibilität unklar)")</formula>
    </cfRule>
    <cfRule type="notContainsBlanks" dxfId="152" priority="1036" stopIfTrue="1">
      <formula>LEN(TRIM(Q14))&gt;0</formula>
    </cfRule>
  </conditionalFormatting>
  <conditionalFormatting sqref="O38">
    <cfRule type="expression" dxfId="151" priority="117" stopIfTrue="1">
      <formula>LEN(TRIM(O38))=0</formula>
    </cfRule>
  </conditionalFormatting>
  <conditionalFormatting sqref="Q38:Q40">
    <cfRule type="expression" dxfId="150" priority="119" stopIfTrue="1">
      <formula>OR($P38="Unvollständig",$P38="Sollvorgabe nicht erfüllt",$P38="I.O. (Plausibilität unklar)",$P38="Ausnahme (Plausibilität unklar)",$P38="optional - unvollständig",$P38="optional - Sollvorgabe nicht erfüllt",$P38="optional - I.O. (Plausibilität unklar)", $P38="optional - I.O. (Plausibilität unklar)",$P38="optional - Ausnahme (Plausibilität unklar)")</formula>
    </cfRule>
  </conditionalFormatting>
  <conditionalFormatting sqref="Q32:Q34">
    <cfRule type="expression" dxfId="149" priority="104" stopIfTrue="1">
      <formula>OR($P32="Unvollständig",$P32="Sollvorgabe nicht erfüllt",$P32="I.O. (Plausibilität unklar)",$P32="Ausnahme (Plausibilität unklar)",$P32="optional - unvollständig",$P32="optional - Sollvorgabe nicht erfüllt",$P32="optional - I.O. (Plausibilität unklar)", $P32="optional - I.O. (Plausibilität unklar)",$P32="optional - Ausnahme (Plausibilität unklar)")</formula>
    </cfRule>
  </conditionalFormatting>
  <conditionalFormatting sqref="Q71:Q88 Q17:Q22 Q26:Q37">
    <cfRule type="notContainsBlanks" dxfId="148" priority="3755" stopIfTrue="1">
      <formula>LEN(TRIM(Q17))&gt;0</formula>
    </cfRule>
    <cfRule type="expression" dxfId="147" priority="3756" stopIfTrue="1">
      <formula>OR($P17=#REF!,$P17="I.O. (Plausibilität unklar)",$P17=#REF!)</formula>
    </cfRule>
  </conditionalFormatting>
  <conditionalFormatting sqref="Q38:Q49 Q53:Q67">
    <cfRule type="notContainsBlanks" dxfId="146" priority="3767" stopIfTrue="1">
      <formula>LEN(TRIM(Q38))&gt;0</formula>
    </cfRule>
    <cfRule type="expression" dxfId="145" priority="3768" stopIfTrue="1">
      <formula>OR($P38=#REF!,$P38="I.O. (Plausibilität unklar)",$P38=#REF!)</formula>
    </cfRule>
  </conditionalFormatting>
  <conditionalFormatting sqref="P14:P67 P71:P88">
    <cfRule type="cellIs" dxfId="144" priority="3769" operator="equal">
      <formula>"optional - Ausnahme (Plausibilität unklar)"</formula>
    </cfRule>
    <cfRule type="cellIs" dxfId="143" priority="3770" operator="equal">
      <formula>"optional - inkorrekt"</formula>
    </cfRule>
    <cfRule type="cellIs" dxfId="142" priority="3771" operator="equal">
      <formula>"optional - Sollvorgabe nicht erfüllt"</formula>
    </cfRule>
    <cfRule type="cellIs" dxfId="141" priority="3772" operator="equal">
      <formula>"optional - I.O. (Plausibilität unklar)"</formula>
    </cfRule>
    <cfRule type="cellIs" dxfId="140" priority="3773" operator="equal">
      <formula>"optional - I.O."</formula>
    </cfRule>
    <cfRule type="expression" dxfId="139" priority="3774" stopIfTrue="1">
      <formula>OR(P14=$D$101,P14=$D$100)</formula>
    </cfRule>
    <cfRule type="cellIs" dxfId="138" priority="3775" stopIfTrue="1" operator="equal">
      <formula>"Ausnahme (Plausibilität unklar)"</formula>
    </cfRule>
    <cfRule type="cellIs" dxfId="137" priority="3776" stopIfTrue="1" operator="equal">
      <formula>"I.O. (Plausibilität unklar)"</formula>
    </cfRule>
    <cfRule type="cellIs" dxfId="136" priority="3777" stopIfTrue="1" operator="equal">
      <formula>"Sollvorgabe nicht erfüllt"</formula>
    </cfRule>
    <cfRule type="cellIs" dxfId="135" priority="3778" stopIfTrue="1" operator="equal">
      <formula>"I.O."</formula>
    </cfRule>
  </conditionalFormatting>
  <conditionalFormatting sqref="O68:O69">
    <cfRule type="expression" dxfId="134" priority="81" stopIfTrue="1">
      <formula>LEN(TRIM(O68))=0</formula>
    </cfRule>
  </conditionalFormatting>
  <conditionalFormatting sqref="Q68:Q70">
    <cfRule type="expression" dxfId="133" priority="78" stopIfTrue="1">
      <formula>OR($P68="optional - Unvollständig",$P68="optional - Sollvorgabe nicht erfüllt",$P68="I.O. (Plausibilität unklar)",$P68="Ausnahme (Plausibilität unklar)",$P68="optional - unvollständig",$P68="optional - Sollvorgabe nicht erfüllt",$P68="optional - I.O. (Plausibilität unklar)", $P68="optional - I.O. (Plausibilität unklar)",$P68="optional - Ausnahme (Plausibilität unklar)")</formula>
    </cfRule>
  </conditionalFormatting>
  <conditionalFormatting sqref="Q68:Q70">
    <cfRule type="notContainsBlanks" dxfId="132" priority="77" stopIfTrue="1">
      <formula>LEN(TRIM(Q68))&gt;0</formula>
    </cfRule>
  </conditionalFormatting>
  <conditionalFormatting sqref="O89">
    <cfRule type="expression" dxfId="131" priority="62" stopIfTrue="1">
      <formula>LEN(TRIM(O89))=0</formula>
    </cfRule>
  </conditionalFormatting>
  <conditionalFormatting sqref="O90">
    <cfRule type="expression" dxfId="130" priority="61" stopIfTrue="1">
      <formula>LEN(TRIM(O90))=0</formula>
    </cfRule>
  </conditionalFormatting>
  <conditionalFormatting sqref="Q89">
    <cfRule type="expression" dxfId="129" priority="64">
      <formula>OR($P89="optional - Unvollständig",$P89="optional - Sollvorgabe nicht erfüllt",$P89="I.O. (Plausibilität unklar)",$P89="Ausnahme (Plausibilität unklar)",$P89="optional - unvollständig",$P89="optional - Sollvorgabe nicht erfüllt",$P89="optional - I.O. (Plausibilität unklar)", $P89="optional - I.O. (Plausibilität unklar)",$P89="optional - Ausnahme (Plausibilität unklar)")</formula>
    </cfRule>
  </conditionalFormatting>
  <conditionalFormatting sqref="Q89:Q91">
    <cfRule type="notContainsBlanks" dxfId="128" priority="63">
      <formula>LEN(TRIM(Q89))&gt;0</formula>
    </cfRule>
  </conditionalFormatting>
  <conditionalFormatting sqref="O92">
    <cfRule type="expression" dxfId="127" priority="30" stopIfTrue="1">
      <formula>LEN(TRIM(O92))=0</formula>
    </cfRule>
  </conditionalFormatting>
  <conditionalFormatting sqref="O93">
    <cfRule type="expression" dxfId="126" priority="29" stopIfTrue="1">
      <formula>LEN(TRIM(O93))=0</formula>
    </cfRule>
  </conditionalFormatting>
  <conditionalFormatting sqref="Q92">
    <cfRule type="expression" dxfId="125" priority="32" stopIfTrue="1">
      <formula>OR($P92="optional - Unvollständig",$P92="optional - Sollvorgabe nicht erfüllt",$P92="I.O. (Plausibilität unklar)",$P92="Ausnahme (Plausibilität unklar)",$P92="optional - unvollständig",$P92="optional - Sollvorgabe nicht erfüllt",$P92="optional - I.O. (Plausibilität unklar)", $P92="optional - I.O. (Plausibilität unklar)",$P92="optional - Ausnahme (Plausibilität unklar)")</formula>
    </cfRule>
  </conditionalFormatting>
  <conditionalFormatting sqref="Q92:Q94">
    <cfRule type="notContainsBlanks" dxfId="124" priority="31" stopIfTrue="1">
      <formula>LEN(TRIM(Q92))&gt;0</formula>
    </cfRule>
  </conditionalFormatting>
  <conditionalFormatting sqref="P68:P70">
    <cfRule type="cellIs" dxfId="123" priority="19" operator="equal">
      <formula>"optional - Ausnahme (Plausibilität unklar)"</formula>
    </cfRule>
    <cfRule type="cellIs" dxfId="122" priority="20" operator="equal">
      <formula>"optional - inkorrekt"</formula>
    </cfRule>
    <cfRule type="cellIs" dxfId="121" priority="21" operator="equal">
      <formula>"optional - Sollvorgabe nicht erfüllt"</formula>
    </cfRule>
    <cfRule type="cellIs" dxfId="120" priority="22" operator="equal">
      <formula>"optional - I.O. (Plausibilität unklar)"</formula>
    </cfRule>
    <cfRule type="cellIs" dxfId="119" priority="23" operator="equal">
      <formula>"optional - I.O."</formula>
    </cfRule>
    <cfRule type="cellIs" dxfId="118" priority="25" stopIfTrue="1" operator="equal">
      <formula>"Ausnahme (Plausibilität unklar)"</formula>
    </cfRule>
    <cfRule type="cellIs" dxfId="117" priority="26" stopIfTrue="1" operator="equal">
      <formula>"I.O. (Plausibilität unklar)"</formula>
    </cfRule>
    <cfRule type="cellIs" dxfId="116" priority="27" stopIfTrue="1" operator="equal">
      <formula>"Sollvorgabe nicht erfüllt"</formula>
    </cfRule>
    <cfRule type="cellIs" dxfId="115" priority="28" stopIfTrue="1" operator="equal">
      <formula>"I.O."</formula>
    </cfRule>
  </conditionalFormatting>
  <conditionalFormatting sqref="P89:P91">
    <cfRule type="cellIs" dxfId="114" priority="10" operator="equal">
      <formula>"optional - Ausnahme (Plausibilität unklar)"</formula>
    </cfRule>
    <cfRule type="cellIs" dxfId="113" priority="11" operator="equal">
      <formula>"optional - inkorrekt"</formula>
    </cfRule>
    <cfRule type="cellIs" dxfId="112" priority="12" operator="equal">
      <formula>"optional - Sollvorgabe nicht erfüllt"</formula>
    </cfRule>
    <cfRule type="cellIs" dxfId="111" priority="13" operator="equal">
      <formula>"optional - I.O. (Plausibilität unklar)"</formula>
    </cfRule>
    <cfRule type="cellIs" dxfId="110" priority="14" operator="equal">
      <formula>"optional - I.O."</formula>
    </cfRule>
    <cfRule type="cellIs" dxfId="109" priority="15" stopIfTrue="1" operator="equal">
      <formula>"Ausnahme (Plausibilität unklar)"</formula>
    </cfRule>
    <cfRule type="cellIs" dxfId="108" priority="16" stopIfTrue="1" operator="equal">
      <formula>"I.O. (Plausibilität unklar)"</formula>
    </cfRule>
    <cfRule type="cellIs" dxfId="107" priority="17" stopIfTrue="1" operator="equal">
      <formula>"Sollvorgabe nicht erfüllt"</formula>
    </cfRule>
    <cfRule type="cellIs" dxfId="106" priority="18" stopIfTrue="1" operator="equal">
      <formula>"I.O."</formula>
    </cfRule>
  </conditionalFormatting>
  <conditionalFormatting sqref="P92:P94">
    <cfRule type="cellIs" dxfId="105" priority="1" operator="equal">
      <formula>"optional - Ausnahme (Plausibilität unklar)"</formula>
    </cfRule>
    <cfRule type="cellIs" dxfId="104" priority="2" operator="equal">
      <formula>"optional - inkorrekt"</formula>
    </cfRule>
    <cfRule type="cellIs" dxfId="103" priority="3" operator="equal">
      <formula>"optional - Sollvorgabe nicht erfüllt"</formula>
    </cfRule>
    <cfRule type="cellIs" dxfId="102" priority="4" operator="equal">
      <formula>"optional - I.O. (Plausibilität unklar)"</formula>
    </cfRule>
    <cfRule type="cellIs" dxfId="101" priority="5" operator="equal">
      <formula>"optional - I.O."</formula>
    </cfRule>
    <cfRule type="cellIs" dxfId="100" priority="6" stopIfTrue="1" operator="equal">
      <formula>"Ausnahme (Plausibilität unklar)"</formula>
    </cfRule>
    <cfRule type="cellIs" dxfId="99" priority="7" stopIfTrue="1" operator="equal">
      <formula>"I.O. (Plausibilität unklar)"</formula>
    </cfRule>
    <cfRule type="cellIs" dxfId="98" priority="8" stopIfTrue="1" operator="equal">
      <formula>"Sollvorgabe nicht erfüllt"</formula>
    </cfRule>
    <cfRule type="cellIs" dxfId="97" priority="9" stopIfTrue="1" operator="equal">
      <formula>"I.O."</formula>
    </cfRule>
  </conditionalFormatting>
  <dataValidations xWindow="1309" yWindow="614" count="27">
    <dataValidation errorStyle="information" allowBlank="1" showInputMessage="1" showErrorMessage="1" errorTitle="Kennzahl" promptTitle="Kennzahl" sqref="A12:B13" xr:uid="{00000000-0002-0000-0400-000000000000}"/>
    <dataValidation errorStyle="information" allowBlank="1" showInputMessage="1" showErrorMessage="1" sqref="P14:P16" xr:uid="{00000000-0002-0000-0400-000001000000}"/>
    <dataValidation type="textLength" allowBlank="1" showInputMessage="1" showErrorMessage="1" errorTitle="Zeichenlänge" error="Minimal 30 Zeichen und max. 500 Zeichen." promptTitle="Hinweis" prompt="Wenn die Datenqualität nicht &quot;I.O.&quot;ist, ist der Kennzahlenwert zu begründen." sqref="Q14:Q16" xr:uid="{00000000-0002-0000-0400-000002000000}">
      <formula1>30</formula1>
      <formula2>500</formula2>
    </dataValidation>
    <dataValidation type="whole" showInputMessage="1" showErrorMessage="1" errorTitle="Eingabefehler" error="1. Tabellenblatt Basisdaten muss vollständig bearbeitet sein._x000a_2. Zähler muss eine positive ganze Zahl sein._x000a_3. Zähler kann nicht größer als Nenner sein." sqref="O14" xr:uid="{00000000-0002-0000-0400-000003000000}">
      <formula1>0</formula1>
      <formula2>IF(O15="",0,O15)</formula2>
    </dataValidation>
    <dataValidation type="whole" showInputMessage="1" showErrorMessage="1" errorTitle="Eingabefehler" error="1. Tabellenblatt Basisdaten muss vollständig ausgefüllt sein._x000a_2. Zähler muss eine positive ganze Zahl sein._x000a_3. Zähler kann nicht größer als Nenner sein." sqref="O20 O17" xr:uid="{00000000-0002-0000-0400-000004000000}">
      <formula1>0</formula1>
      <formula2>IF(O18="",0,O18)</formula2>
    </dataValidation>
    <dataValidation type="whole" showInputMessage="1" showErrorMessage="1" errorTitle="Eingabefehler" error="1. Tabellenblatt Basisdaten muss vollständig ausgefüllt sein._x000a_2. Zähler muss eine positive ganze Zahl sein." sqref="O23" xr:uid="{00000000-0002-0000-0400-000005000000}">
      <formula1>0</formula1>
      <formula2>IF(O24="",0,5000)</formula2>
    </dataValidation>
    <dataValidation type="whole" showInputMessage="1" showErrorMessage="1" error="1. Tabellenblatt Basisdaten muss vollständig bearbeitet sein._x000a_2. Zähler muss eine positive ganze Zahl sein._x000a_3. Zähler kann nicht größer als Nenner sein." sqref="O44" xr:uid="{00000000-0002-0000-0400-000006000000}">
      <formula1>0</formula1>
      <formula2>IF(O45="",5000,O45)</formula2>
    </dataValidation>
    <dataValidation type="whole" showInputMessage="1" showErrorMessage="1" errorTitle="Eingabefehler" error="1. Zähler muss eine positive ganze Zahl sein._x000a_2. Zähler kann nicht größer als Nenner sein." sqref="O50 O62 O80 O59 O77 O71 O74 O65" xr:uid="{00000000-0002-0000-0400-000007000000}">
      <formula1>0</formula1>
      <formula2>IF(O51="",5000,O51)</formula2>
    </dataValidation>
    <dataValidation allowBlank="1" showInputMessage="1" showErrorMessage="1" errorTitle="Eingabefehler" error="1. Nenner muss eine positive ganze Zahl sein. _x000a_2. Nenner kann nicht kleiner als Zähler sein._x000a_3. Nenner kann nicht größer sein als Operative Primärfälle Ovarialkarzinom FIGO IIB-IV." sqref="O48" xr:uid="{00000000-0002-0000-0400-000008000000}"/>
    <dataValidation type="textLength" allowBlank="1" showInputMessage="1" showErrorMessage="1" errorTitle="Zeichenlänge" error="Minimal 30 Zeichen und max. 500 Zeichen." sqref="R74 R77 Q86 R80:R101 R14:R71 Q17:Q83" xr:uid="{00000000-0002-0000-0400-000009000000}">
      <formula1>30</formula1>
      <formula2>500</formula2>
    </dataValidation>
    <dataValidation type="whole" showInputMessage="1" showErrorMessage="1" errorTitle="Eingabefehler" error="1. Tabellenblatt Basisdaten muss vollständig bearbeitet sein._x000a_2. Zähler muss eine positive ganze Zahl sein._x000a_3. Zähler kann nicht größer als Nenner sein." sqref="O41 O47 O53 O56" xr:uid="{00000000-0002-0000-0400-00000A000000}">
      <formula1>0</formula1>
      <formula2>IF(O42="",5000,O42)</formula2>
    </dataValidation>
    <dataValidation type="whole" showInputMessage="1" showErrorMessage="1" errorTitle="Eingabefehler" error="1. Basisdaten vollständig bearbeiten._x000a_2. Nenner muss eine positive ganze Zahl sein. _x000a_3. Nenner kann nicht kleiner als Zähler sein._x000a_4. Nenner kann nicht größer als Operative Fälle Zervixkarzinom (nur definitive OP) sein." sqref="O60" xr:uid="{00000000-0002-0000-0400-00000B000000}">
      <formula1>O59</formula1>
      <formula2>$H$130+$J$120</formula2>
    </dataValidation>
    <dataValidation type="whole" showInputMessage="1" showErrorMessage="1" errorTitle="Eingabefehler" error="1.Zähler muss eine positive ganze Zahl sein._x000a_2.Zähler kann nicht größer als Nenner sein." sqref="O83 O86" xr:uid="{00000000-0002-0000-0400-00000C000000}">
      <formula1>0</formula1>
      <formula2>IF(O84="",5000,O84)</formula2>
    </dataValidation>
    <dataValidation type="whole" showInputMessage="1" showErrorMessage="1" errorTitle="Eingabefehler" error="1. Nenner muss eine positive ganze Zahl sein._x000a_2. Nenner kann nicht kleiner als Zähler sein._x000a_3. Nenner kann nicht größer als Primärfälle und nicht Primärfälle Endometriumkarzinoms sein." sqref="O87" xr:uid="{00000000-0002-0000-0400-00000D000000}">
      <formula1>O86</formula1>
      <formula2>SUM(G131:K131)</formula2>
    </dataValidation>
    <dataValidation type="whole" showInputMessage="1" showErrorMessage="1" errorTitle="Eingabefehler" error="1. Nenner muss eine positive ganze Zahl sein._x000a_2. Nenner kann nicht kleiner als Zähler sein._x000a_3. Nenner kann nicht größer als Primärfälle und nicht Primärfälle Endometriumkarzinoms sein." sqref="O84" xr:uid="{00000000-0002-0000-0400-00000E000000}">
      <formula1>O83</formula1>
      <formula2>SUM(G131:K131)</formula2>
    </dataValidation>
    <dataValidation type="whole" showInputMessage="1" showErrorMessage="1" errorTitle="Eingabefehler" error="1. Basisdaten vollständig ausfüllen._x000a_2. Nenner muss eine positive ganze Zahl sein. _x000a_3. Nenner kann nicht kleiner als Zähler sein._x000a_4. Nenner kann nicht größer als Primärfälle und nicht Primärfälle Vulvakarzinom sein." sqref="O78" xr:uid="{00000000-0002-0000-0400-00000F000000}">
      <formula1>O77</formula1>
      <formula2>SUM(G132:K132)</formula2>
    </dataValidation>
    <dataValidation type="whole" showInputMessage="1" showErrorMessage="1" errorTitle="Eingabefehler" error="1. Basisdaten vollständig ausfüllen._x000a_2. Nenner muss eine positive ganze Zahl sein. _x000a_3. Nenner kann nicht kleiner als Zähler sein._x000a_4. Nenner kann nicht größer als Primärfälle und nicht Primärfälle Vulvakarzinom sein." sqref="O81" xr:uid="{00000000-0002-0000-0400-000010000000}">
      <formula1>O80</formula1>
      <formula2>SUM(G132:K132)</formula2>
    </dataValidation>
    <dataValidation type="whole" showInputMessage="1" showErrorMessage="1" errorTitle="Eingabefehler" error="1. Basisdaten vollständig ausfüllen._x000a_2. Nenner muss eine positive ganze Zahl sein. _x000a_3. Nenner kann nicht kleiner als Zähler sein._x000a_4. Nenner kann nicht größer als Op. PF und nicht PF operiert Vulvakarzinom sein." sqref="O72" xr:uid="{00000000-0002-0000-0400-000011000000}">
      <formula1>O71</formula1>
      <formula2>G132+H132+J132</formula2>
    </dataValidation>
    <dataValidation type="whole" showInputMessage="1" showErrorMessage="1" errorTitle="Eingabefehler" error="1. Basisdaten vollständig ausfüllen._x000a_2. Nenner muss eine positive ganze Zahl sein. _x000a_3. Nenner kann nicht kleiner als Zähler sein._x000a_4. Nenner kann nicht größer als Op. PF und nicht PF operiert Vulvakarzinom sein." sqref="O75" xr:uid="{00000000-0002-0000-0400-000012000000}">
      <formula1>O74</formula1>
      <formula2>G132+H132+J132</formula2>
    </dataValidation>
    <dataValidation type="whole" showInputMessage="1" showErrorMessage="1" errorTitle="Eingabefehler" error="1. Basisdaten vollständig ausfüllen._x000a_2. Nenner muss eine positive ganze Zahl sein. _x000a_3. Nenner kann nicht kleiner als Zähler sein._x000a_4. Nenner kann nicht größer als Primärfälle Zervixkarzinom sein." sqref="O66" xr:uid="{00000000-0002-0000-0400-000013000000}">
      <formula1>O65</formula1>
      <formula2>G130+H130+I130</formula2>
    </dataValidation>
    <dataValidation type="whole" allowBlank="1" showInputMessage="1" showErrorMessage="1" errorTitle="Eingabefehler" error="1. Tabellenblatt Basisdaten muss vollständig ausgefüllt sein!_x000a_2. Zähler muss eine positive ganze Zahl sein._x000a_3. Zähler kann nicht größer als Nenner sein." sqref="O38" xr:uid="{00000000-0002-0000-0400-000014000000}">
      <formula1>0</formula1>
      <formula2>IF(O39="",5000,O39)</formula2>
    </dataValidation>
    <dataValidation showInputMessage="1" showErrorMessage="1" errorTitle="Eingabefehler" error="1. Tabellenblatt Basisdaten muss vollständig ausgefüllt sein!_x000a_2. Zähler muss eine positive ganze Zahl sein._x000a_3. Zähler kann nicht größer als Nenner sein._x000a_4. Zähler kann nicht größer als PF Ovarialkarzinom sein." sqref="O39" xr:uid="{00000000-0002-0000-0400-000015000000}"/>
    <dataValidation type="whole" showInputMessage="1" showErrorMessage="1" errorTitle="Eingabefehler" error="1. Basisdaten vollständig ausfüllen._x000a_2. Nenner muss eine positive ganze Zahl sein. _x000a_3. Nenner kann nicht kleiner als Zähler sein._x000a_4. Nenner kann nicht größer sein als Op PF OvarCa. FIGO IIA-IV (definitive OP=Staging OP)." sqref="O51" xr:uid="{00000000-0002-0000-0400-000016000000}">
      <formula1>IF(O50="",0,O50)</formula1>
      <formula2>SUM(E112:E117)</formula2>
    </dataValidation>
    <dataValidation type="whole" allowBlank="1" showInputMessage="1" showErrorMessage="1" errorTitle="Eingabefehler" error="1. Zähler muss eine positive ganze Zahl sein._x000a_2. Zähler kann nicht größer als Nenner sein." sqref="O68" xr:uid="{00000000-0002-0000-0400-000017000000}">
      <formula1>0</formula1>
      <formula2>IF(O69="",5000,O69)</formula2>
    </dataValidation>
    <dataValidation type="whole" allowBlank="1" showInputMessage="1" showErrorMessage="1" errorTitle="EIngabefehler" error="1. Basisdaten vollständig ausfüllen._x000a_2. Nenner muss eine positive ganze Zahl sein. _x000a_3. Nenner kann nicht kleiner als Zähler sein." sqref="O69" xr:uid="{00000000-0002-0000-0400-000018000000}">
      <formula1>0</formula1>
      <formula2>5000</formula2>
    </dataValidation>
    <dataValidation type="whole" allowBlank="1" showInputMessage="1" showErrorMessage="1" errorTitle="Eingabefehler" error="1.Zähler muss eine positive ganze Zahl sein._x000a_2.Zähler kann nicht größer als Nenner sein." sqref="O89 O92" xr:uid="{00000000-0002-0000-0400-000019000000}">
      <formula1>0</formula1>
      <formula2>IF(O90="",5000,O90)</formula2>
    </dataValidation>
    <dataValidation type="whole" allowBlank="1" showInputMessage="1" showErrorMessage="1" errorTitle="Eingabefehler" error="1. Nenner muss eine positive ganze Zahl sein._x000a_2. Nenner kann nicht kleiner als Zähler sein." sqref="O90 O93" xr:uid="{00000000-0002-0000-0400-00001A000000}">
      <formula1>0</formula1>
      <formula2>5000</formula2>
    </dataValidation>
  </dataValidations>
  <pageMargins left="0.25" right="0.25" top="0.75" bottom="0.75" header="0.3" footer="0.3"/>
  <pageSetup paperSize="9" scale="95" orientation="landscape" r:id="rId1"/>
  <headerFooter>
    <oddFooter xml:space="preserve">&amp;L&amp;"Arial,Standard"&amp;7&amp;F&amp;C&amp;"Arial,Standard"&amp;7 © DKG  Alle Rechte vorbehalten&amp;R&amp;"Arial,Standard"&amp;7&amp;P       </oddFooter>
  </headerFooter>
  <rowBreaks count="8" manualBreakCount="8">
    <brk id="22" max="15" man="1"/>
    <brk id="37" max="15" man="1"/>
    <brk id="49" max="15" man="1"/>
    <brk id="58" max="15" man="1"/>
    <brk id="70" max="15" man="1"/>
    <brk id="73" max="15" man="1"/>
    <brk id="82" max="15" man="1"/>
    <brk id="91" max="15" man="1"/>
  </rowBreaks>
  <ignoredErrors>
    <ignoredError sqref="B14:B16 B35:B37 B23:B31" twoDigitTextYear="1"/>
  </ignoredErrors>
  <drawing r:id="rId2"/>
  <legacy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dimension ref="A1:K37"/>
  <sheetViews>
    <sheetView workbookViewId="0">
      <selection activeCell="B41" sqref="B41"/>
    </sheetView>
  </sheetViews>
  <sheetFormatPr defaultColWidth="11.44140625" defaultRowHeight="13.2" x14ac:dyDescent="0.3"/>
  <cols>
    <col min="1" max="1" width="23.5546875" style="166" customWidth="1"/>
    <col min="2" max="2" width="25.5546875" style="166" customWidth="1"/>
    <col min="3" max="3" width="25.33203125" style="166" customWidth="1"/>
    <col min="4" max="4" width="17.88671875" style="166" customWidth="1"/>
    <col min="5" max="5" width="10.109375" style="166" customWidth="1"/>
    <col min="6" max="6" width="37.6640625" style="166" customWidth="1"/>
    <col min="7" max="7" width="43.5546875" style="146" customWidth="1"/>
    <col min="8" max="8" width="10.44140625" style="166" customWidth="1"/>
    <col min="9" max="9" width="13.5546875" style="146" customWidth="1"/>
    <col min="10" max="10" width="10.109375" style="166" customWidth="1"/>
    <col min="11" max="11" width="12.88671875" style="166" customWidth="1"/>
    <col min="12" max="16384" width="11.44140625" style="166"/>
  </cols>
  <sheetData>
    <row r="1" spans="1:11" x14ac:dyDescent="0.3">
      <c r="A1" s="167" t="s">
        <v>159</v>
      </c>
      <c r="B1" s="385">
        <v>163</v>
      </c>
    </row>
    <row r="2" spans="1:11" x14ac:dyDescent="0.3">
      <c r="A2" s="167" t="s">
        <v>80</v>
      </c>
      <c r="B2" s="170" t="str">
        <f>IF(Basisdaten!C6=0,"",Basisdaten!C6)</f>
        <v/>
      </c>
      <c r="K2" s="165"/>
    </row>
    <row r="3" spans="1:11" x14ac:dyDescent="0.3">
      <c r="A3" s="167" t="s">
        <v>207</v>
      </c>
      <c r="B3" s="171" t="str">
        <f>IF(Basisdaten!L12=0,"",Basisdaten!L12)</f>
        <v/>
      </c>
    </row>
    <row r="5" spans="1:11" x14ac:dyDescent="0.3">
      <c r="A5" s="172" t="s">
        <v>506</v>
      </c>
      <c r="B5" s="170"/>
    </row>
    <row r="6" spans="1:11" x14ac:dyDescent="0.3">
      <c r="A6" s="172" t="s">
        <v>507</v>
      </c>
      <c r="B6" s="170"/>
    </row>
    <row r="7" spans="1:11" x14ac:dyDescent="0.3">
      <c r="A7" s="172" t="s">
        <v>508</v>
      </c>
      <c r="B7" s="170"/>
    </row>
    <row r="8" spans="1:11" x14ac:dyDescent="0.3">
      <c r="A8" s="172" t="s">
        <v>509</v>
      </c>
      <c r="B8" s="170"/>
    </row>
    <row r="9" spans="1:11" x14ac:dyDescent="0.3">
      <c r="A9" s="172" t="s">
        <v>510</v>
      </c>
      <c r="B9" s="170"/>
    </row>
    <row r="11" spans="1:11" s="175" customFormat="1" x14ac:dyDescent="0.3">
      <c r="A11" s="174" t="s">
        <v>158</v>
      </c>
      <c r="B11" s="174" t="s">
        <v>157</v>
      </c>
      <c r="C11" s="174" t="s">
        <v>50</v>
      </c>
      <c r="D11" s="174" t="s">
        <v>79</v>
      </c>
      <c r="E11" s="173" t="s">
        <v>156</v>
      </c>
      <c r="F11" s="173" t="s">
        <v>160</v>
      </c>
      <c r="G11" s="173" t="s">
        <v>154</v>
      </c>
      <c r="H11" s="173" t="s">
        <v>155</v>
      </c>
      <c r="I11" s="179" t="s">
        <v>511</v>
      </c>
      <c r="J11" s="178" t="s">
        <v>512</v>
      </c>
      <c r="K11" s="178" t="s">
        <v>513</v>
      </c>
    </row>
    <row r="12" spans="1:11" x14ac:dyDescent="0.3">
      <c r="A12" s="176">
        <v>1</v>
      </c>
      <c r="B12" s="168" t="str">
        <f>IF('Kennzahlenbogen_(KB)'!O14 = "", "", 'Kennzahlenbogen_(KB)'!O14)</f>
        <v/>
      </c>
      <c r="C12" s="169">
        <f>IF('Kennzahlenbogen_(KB)'!O15="","",'Kennzahlenbogen_(KB)'!O15)</f>
        <v>0</v>
      </c>
      <c r="D12" s="200" t="str">
        <f>IF('Kennzahlenbogen_(KB)'!O16="n.d.","n.d.",'Kennzahlenbogen_(KB)'!O16*100)</f>
        <v>n.d.</v>
      </c>
      <c r="E12" s="168">
        <f>Berechnung1!N27</f>
        <v>1</v>
      </c>
      <c r="F12" s="164" t="str">
        <f>IF('Kennzahlenbogen_(KB)'!Q14=0,"",'Kennzahlenbogen_(KB)'!Q14)</f>
        <v/>
      </c>
      <c r="G12" s="164" t="str">
        <f>IF('Kennzahlenbogen_(KB)'!R14=0,"",'Kennzahlenbogen_(KB)'!R14)</f>
        <v/>
      </c>
      <c r="H12" s="168">
        <f>Berechnung1!O27</f>
        <v>0</v>
      </c>
      <c r="I12" s="147"/>
      <c r="J12" s="164"/>
      <c r="K12" s="164"/>
    </row>
    <row r="13" spans="1:11" x14ac:dyDescent="0.3">
      <c r="A13" s="176">
        <v>2</v>
      </c>
      <c r="B13" s="168" t="str">
        <f>IF('Kennzahlenbogen_(KB)'!O17 = "", "",'Kennzahlenbogen_(KB)'!O17)</f>
        <v/>
      </c>
      <c r="C13" s="169">
        <f>IF('Kennzahlenbogen_(KB)'!O18="","",'Kennzahlenbogen_(KB)'!O18)</f>
        <v>0</v>
      </c>
      <c r="D13" s="200" t="str">
        <f>IF('Kennzahlenbogen_(KB)'!O19="n.d.","n.d.",'Kennzahlenbogen_(KB)'!O19*100)</f>
        <v>n.d.</v>
      </c>
      <c r="E13" s="168">
        <f>Berechnung1!N30</f>
        <v>1</v>
      </c>
      <c r="F13" s="164" t="str">
        <f>IF('Kennzahlenbogen_(KB)'!Q17=0,"",'Kennzahlenbogen_(KB)'!Q17)</f>
        <v/>
      </c>
      <c r="G13" s="164" t="str">
        <f>IF('Kennzahlenbogen_(KB)'!R17=0,"",'Kennzahlenbogen_(KB)'!R17)</f>
        <v/>
      </c>
      <c r="H13" s="168">
        <f>Berechnung1!O30</f>
        <v>0</v>
      </c>
      <c r="I13" s="147"/>
      <c r="J13" s="164"/>
      <c r="K13" s="164"/>
    </row>
    <row r="14" spans="1:11" x14ac:dyDescent="0.3">
      <c r="A14" s="176">
        <v>3</v>
      </c>
      <c r="B14" s="168" t="str">
        <f>IF('Kennzahlenbogen_(KB)'!O20 = "", "",'Kennzahlenbogen_(KB)'!O20)</f>
        <v/>
      </c>
      <c r="C14" s="169">
        <f>IF('Kennzahlenbogen_(KB)'!O21="","",'Kennzahlenbogen_(KB)'!O21)</f>
        <v>0</v>
      </c>
      <c r="D14" s="200" t="str">
        <f>IF('Kennzahlenbogen_(KB)'!O22="n.d.","n.d.",'Kennzahlenbogen_(KB)'!O22*100)</f>
        <v>n.d.</v>
      </c>
      <c r="E14" s="168">
        <f>Berechnung1!N33</f>
        <v>1</v>
      </c>
      <c r="F14" s="164" t="str">
        <f>IF('Kennzahlenbogen_(KB)'!Q20=0,"",'Kennzahlenbogen_(KB)'!Q20)</f>
        <v/>
      </c>
      <c r="G14" s="164" t="str">
        <f>IF('Kennzahlenbogen_(KB)'!R20=0,"",'Kennzahlenbogen_(KB)'!R20)</f>
        <v/>
      </c>
      <c r="H14" s="168">
        <f>Berechnung1!O33</f>
        <v>0</v>
      </c>
      <c r="I14" s="147"/>
      <c r="J14" s="164"/>
      <c r="K14" s="164"/>
    </row>
    <row r="15" spans="1:11" x14ac:dyDescent="0.3">
      <c r="A15" s="176">
        <v>4</v>
      </c>
      <c r="B15" s="168" t="str">
        <f>IF('Kennzahlenbogen_(KB)'!O23 = "", "",'Kennzahlenbogen_(KB)'!O23)</f>
        <v/>
      </c>
      <c r="C15" s="169">
        <f>IF('Kennzahlenbogen_(KB)'!O24="","",'Kennzahlenbogen_(KB)'!O24)</f>
        <v>0</v>
      </c>
      <c r="D15" s="200" t="str">
        <f>IF('Kennzahlenbogen_(KB)'!O25="n.d.","n.d.",'Kennzahlenbogen_(KB)'!O25*100)</f>
        <v>n.d.</v>
      </c>
      <c r="E15" s="168">
        <f>Berechnung1!N36</f>
        <v>1</v>
      </c>
      <c r="F15" s="164" t="str">
        <f>IF('Kennzahlenbogen_(KB)'!Q23=0,"",'Kennzahlenbogen_(KB)'!Q23)</f>
        <v/>
      </c>
      <c r="G15" s="164" t="str">
        <f>IF('Kennzahlenbogen_(KB)'!R23=0,"",'Kennzahlenbogen_(KB)'!R23)</f>
        <v/>
      </c>
      <c r="H15" s="168">
        <f>Berechnung1!O36</f>
        <v>0</v>
      </c>
      <c r="I15" s="147"/>
      <c r="J15" s="164"/>
      <c r="K15" s="162"/>
    </row>
    <row r="16" spans="1:11" x14ac:dyDescent="0.3">
      <c r="A16" s="176">
        <v>5</v>
      </c>
      <c r="B16" s="169">
        <f>IF('Kennzahlenbogen_(KB)'!O26 = "", "",'Kennzahlenbogen_(KB)'!O26)</f>
        <v>0</v>
      </c>
      <c r="C16" s="163"/>
      <c r="D16" s="590"/>
      <c r="E16" s="168">
        <f>Berechnung1!N39</f>
        <v>1</v>
      </c>
      <c r="F16" s="164" t="str">
        <f>IF('Kennzahlenbogen_(KB)'!Q26=0,"",'Kennzahlenbogen_(KB)'!Q26)</f>
        <v/>
      </c>
      <c r="G16" s="164" t="str">
        <f>IF('Kennzahlenbogen_(KB)'!R26=0,"",'Kennzahlenbogen_(KB)'!R26)</f>
        <v/>
      </c>
      <c r="H16" s="168">
        <f>Berechnung1!O39</f>
        <v>0</v>
      </c>
      <c r="I16" s="147"/>
      <c r="J16" s="164"/>
      <c r="K16" s="162"/>
    </row>
    <row r="17" spans="1:11" x14ac:dyDescent="0.3">
      <c r="A17" s="588" t="s">
        <v>1054</v>
      </c>
      <c r="B17" s="169">
        <f>IF('Kennzahlenbogen_(KB)'!O29 = "", "",'Kennzahlenbogen_(KB)'!O29)</f>
        <v>0</v>
      </c>
      <c r="C17" s="163"/>
      <c r="D17" s="590"/>
      <c r="E17" s="168">
        <f>Berechnung1!N42</f>
        <v>1</v>
      </c>
      <c r="F17" s="164" t="str">
        <f>IF('Kennzahlenbogen_(KB)'!Q29=0,"",'Kennzahlenbogen_(KB)'!Q29)</f>
        <v/>
      </c>
      <c r="G17" s="164" t="str">
        <f>IF('Kennzahlenbogen_(KB)'!R29=0,"",'Kennzahlenbogen_(KB)'!R29)</f>
        <v/>
      </c>
      <c r="H17" s="168">
        <f>Berechnung1!O42</f>
        <v>0</v>
      </c>
      <c r="I17" s="147"/>
      <c r="J17" s="164"/>
      <c r="K17" s="162"/>
    </row>
    <row r="18" spans="1:11" x14ac:dyDescent="0.3">
      <c r="A18" s="588" t="s">
        <v>1055</v>
      </c>
      <c r="B18" s="169">
        <f>IF('Kennzahlenbogen_(KB)'!O32= "", "",'Kennzahlenbogen_(KB)'!O32)</f>
        <v>0</v>
      </c>
      <c r="C18" s="163"/>
      <c r="D18" s="590"/>
      <c r="E18" s="168">
        <f>Berechnung1!N45</f>
        <v>1</v>
      </c>
      <c r="F18" s="164" t="str">
        <f>IF('Kennzahlenbogen_(KB)'!Q32=0,"",'Kennzahlenbogen_(KB)'!Q32)</f>
        <v/>
      </c>
      <c r="G18" s="164" t="str">
        <f>IF('Kennzahlenbogen_(KB)'!R32=0,"",'Kennzahlenbogen_(KB)'!R32)</f>
        <v/>
      </c>
      <c r="H18" s="168">
        <f>Berechnung1!O45</f>
        <v>0</v>
      </c>
      <c r="I18" s="147"/>
      <c r="J18" s="164"/>
      <c r="K18" s="162"/>
    </row>
    <row r="19" spans="1:11" x14ac:dyDescent="0.3">
      <c r="A19" s="176">
        <v>7</v>
      </c>
      <c r="B19" s="169">
        <f>IF('Kennzahlenbogen_(KB)'!O35 = "", "",'Kennzahlenbogen_(KB)'!O35)</f>
        <v>0</v>
      </c>
      <c r="C19" s="163"/>
      <c r="D19" s="590"/>
      <c r="E19" s="168">
        <f>Berechnung1!N48</f>
        <v>1</v>
      </c>
      <c r="F19" s="164" t="str">
        <f>IF('Kennzahlenbogen_(KB)'!Q35=0,"",'Kennzahlenbogen_(KB)'!Q35)</f>
        <v/>
      </c>
      <c r="G19" s="164" t="str">
        <f>IF('Kennzahlenbogen_(KB)'!R35=0,"",'Kennzahlenbogen_(KB)'!R35)</f>
        <v/>
      </c>
      <c r="H19" s="168">
        <f>Berechnung1!O48</f>
        <v>0</v>
      </c>
      <c r="I19" s="147"/>
      <c r="J19" s="164"/>
      <c r="K19" s="162"/>
    </row>
    <row r="20" spans="1:11" x14ac:dyDescent="0.3">
      <c r="A20" s="394">
        <v>8</v>
      </c>
      <c r="B20" s="176" t="str">
        <f>IF('Kennzahlenbogen_(KB)'!O38="", "",'Kennzahlenbogen_(KB)'!O38)</f>
        <v/>
      </c>
      <c r="C20" s="176">
        <f>IF('Kennzahlenbogen_(KB)'!O39= "", "",'Kennzahlenbogen_(KB)'!O39)</f>
        <v>0</v>
      </c>
      <c r="D20" s="200" t="str">
        <f>IF('Kennzahlenbogen_(KB)'!O40="n.d.","n.d.",'Kennzahlenbogen_(KB)'!O40*100)</f>
        <v>n.d.</v>
      </c>
      <c r="E20" s="168">
        <f>Berechnung1!N51</f>
        <v>1</v>
      </c>
      <c r="F20" s="164" t="str">
        <f>IF('Kennzahlenbogen_(KB)'!Q38=0,"",'Kennzahlenbogen_(KB)'!Q38)</f>
        <v/>
      </c>
      <c r="G20" s="164" t="str">
        <f>IF('Kennzahlenbogen_(KB)'!R38=0,"",'Kennzahlenbogen_(KB)'!R38)</f>
        <v/>
      </c>
      <c r="H20" s="168">
        <f>Berechnung1!O51</f>
        <v>0</v>
      </c>
      <c r="I20" s="185"/>
      <c r="J20" s="170"/>
      <c r="K20" s="170"/>
    </row>
    <row r="21" spans="1:11" x14ac:dyDescent="0.3">
      <c r="A21" s="176">
        <v>9</v>
      </c>
      <c r="B21" s="176" t="str">
        <f>IF('Kennzahlenbogen_(KB)'!O41 = "", "",'Kennzahlenbogen_(KB)'!O41)</f>
        <v/>
      </c>
      <c r="C21" s="176">
        <f>IF('Kennzahlenbogen_(KB)'!O42 = "", "",'Kennzahlenbogen_(KB)'!O42)</f>
        <v>0</v>
      </c>
      <c r="D21" s="550" t="str">
        <f>IF('Kennzahlenbogen_(KB)'!O43="n.d.","n.d.",IF('Kennzahlenbogen_(KB)'!O43="","n.d.",'Kennzahlenbogen_(KB)'!O43*100))</f>
        <v>n.d.</v>
      </c>
      <c r="E21" s="168">
        <f>Berechnung1!N54</f>
        <v>1</v>
      </c>
      <c r="F21" s="164" t="str">
        <f>IF('Kennzahlenbogen_(KB)'!Q41=0,"",'Kennzahlenbogen_(KB)'!Q41)</f>
        <v/>
      </c>
      <c r="G21" s="164" t="str">
        <f>IF('Kennzahlenbogen_(KB)'!R41=0,"",'Kennzahlenbogen_(KB)'!R41)</f>
        <v/>
      </c>
      <c r="H21" s="168">
        <f>Berechnung1!O54</f>
        <v>0</v>
      </c>
      <c r="I21" s="185"/>
      <c r="J21" s="170"/>
      <c r="K21" s="170"/>
    </row>
    <row r="22" spans="1:11" x14ac:dyDescent="0.3">
      <c r="A22" s="176">
        <v>10</v>
      </c>
      <c r="B22" s="176" t="str">
        <f>IF('Kennzahlenbogen_(KB)'!O44= "", "",'Kennzahlenbogen_(KB)'!O44)</f>
        <v/>
      </c>
      <c r="C22" s="176">
        <f>IF('Kennzahlenbogen_(KB)'!O45= "", "",'Kennzahlenbogen_(KB)'!O45)</f>
        <v>0</v>
      </c>
      <c r="D22" s="201" t="str">
        <f>IF('Kennzahlenbogen_(KB)'!O46="n.d.","n.d.",'Kennzahlenbogen_(KB)'!O46*100)</f>
        <v>n.d.</v>
      </c>
      <c r="E22" s="168">
        <f>Berechnung1!N57</f>
        <v>1</v>
      </c>
      <c r="F22" s="164" t="str">
        <f>IF('Kennzahlenbogen_(KB)'!Q44=0,"",'Kennzahlenbogen_(KB)'!Q44)</f>
        <v/>
      </c>
      <c r="G22" s="164" t="str">
        <f>IF('Kennzahlenbogen_(KB)'!R44=0,"",'Kennzahlenbogen_(KB)'!R44)</f>
        <v/>
      </c>
      <c r="H22" s="168">
        <f>Berechnung1!O57</f>
        <v>0</v>
      </c>
      <c r="I22" s="185"/>
      <c r="J22" s="170"/>
      <c r="K22" s="170"/>
    </row>
    <row r="23" spans="1:11" x14ac:dyDescent="0.3">
      <c r="A23" s="176">
        <v>11</v>
      </c>
      <c r="B23" s="176" t="str">
        <f>IF('Kennzahlenbogen_(KB)'!O47= "", "",'Kennzahlenbogen_(KB)'!O47)</f>
        <v/>
      </c>
      <c r="C23" s="176">
        <f>IF('Kennzahlenbogen_(KB)'!O48= "", "",'Kennzahlenbogen_(KB)'!O48)</f>
        <v>0</v>
      </c>
      <c r="D23" s="201" t="str">
        <f>IF('Kennzahlenbogen_(KB)'!O49="n.d.","n.d.",'Kennzahlenbogen_(KB)'!O49*100)</f>
        <v>n.d.</v>
      </c>
      <c r="E23" s="168">
        <f>Berechnung1!N60</f>
        <v>1</v>
      </c>
      <c r="F23" s="164" t="str">
        <f>IF('Kennzahlenbogen_(KB)'!Q47=0,"",'Kennzahlenbogen_(KB)'!Q47)</f>
        <v/>
      </c>
      <c r="G23" s="164" t="str">
        <f>IF('Kennzahlenbogen_(KB)'!R47=0,"",'Kennzahlenbogen_(KB)'!R47)</f>
        <v/>
      </c>
      <c r="H23" s="168">
        <f>Berechnung1!O60</f>
        <v>0</v>
      </c>
      <c r="I23" s="185"/>
      <c r="J23" s="170"/>
      <c r="K23" s="170"/>
    </row>
    <row r="24" spans="1:11" x14ac:dyDescent="0.3">
      <c r="A24" s="176">
        <v>13</v>
      </c>
      <c r="B24" s="176" t="str">
        <f>IF('Kennzahlenbogen_(KB)'!O53= "", "",'Kennzahlenbogen_(KB)'!O53)</f>
        <v/>
      </c>
      <c r="C24" s="176">
        <f>IF('Kennzahlenbogen_(KB)'!O54= "", "",'Kennzahlenbogen_(KB)'!O54)</f>
        <v>0</v>
      </c>
      <c r="D24" s="201" t="str">
        <f>IF('Kennzahlenbogen_(KB)'!O55="n.d.","n.d.",'Kennzahlenbogen_(KB)'!O55*100)</f>
        <v>n.d.</v>
      </c>
      <c r="E24" s="168">
        <f>Berechnung1!N63</f>
        <v>1</v>
      </c>
      <c r="F24" s="164" t="str">
        <f>IF('Kennzahlenbogen_(KB)'!Q53=0,"",'Kennzahlenbogen_(KB)'!Q53)</f>
        <v/>
      </c>
      <c r="G24" s="164" t="str">
        <f>IF('Kennzahlenbogen_(KB)'!R53=0,"",'Kennzahlenbogen_(KB)'!R53)</f>
        <v/>
      </c>
      <c r="H24" s="168">
        <f>Berechnung1!O63</f>
        <v>0</v>
      </c>
      <c r="I24" s="185"/>
      <c r="J24" s="170"/>
      <c r="K24" s="170"/>
    </row>
    <row r="25" spans="1:11" x14ac:dyDescent="0.3">
      <c r="A25" s="176">
        <v>14</v>
      </c>
      <c r="B25" s="176" t="str">
        <f>IF('Kennzahlenbogen_(KB)'!O56= "", "",'Kennzahlenbogen_(KB)'!O56)</f>
        <v/>
      </c>
      <c r="C25" s="176">
        <f>IF('Kennzahlenbogen_(KB)'!O57= "", "",'Kennzahlenbogen_(KB)'!O57)</f>
        <v>0</v>
      </c>
      <c r="D25" s="201" t="str">
        <f>IF('Kennzahlenbogen_(KB)'!O58="n.d.","n.d.",'Kennzahlenbogen_(KB)'!O58*100)</f>
        <v>n.d.</v>
      </c>
      <c r="E25" s="168">
        <f>Berechnung1!N66</f>
        <v>1</v>
      </c>
      <c r="F25" s="164" t="str">
        <f>IF('Kennzahlenbogen_(KB)'!Q56=0,"",'Kennzahlenbogen_(KB)'!Q56)</f>
        <v/>
      </c>
      <c r="G25" s="164" t="str">
        <f>IF('Kennzahlenbogen_(KB)'!R56=0,"",'Kennzahlenbogen_(KB)'!R56)</f>
        <v/>
      </c>
      <c r="H25" s="169">
        <f>Berechnung1!O66</f>
        <v>0</v>
      </c>
      <c r="I25" s="185"/>
      <c r="J25" s="170"/>
      <c r="K25" s="170"/>
    </row>
    <row r="26" spans="1:11" x14ac:dyDescent="0.3">
      <c r="A26" s="176">
        <v>15</v>
      </c>
      <c r="B26" s="176" t="str">
        <f>IF('Kennzahlenbogen_(KB)'!O59= "", "",'Kennzahlenbogen_(KB)'!O59)</f>
        <v/>
      </c>
      <c r="C26" s="176" t="str">
        <f>IF('Kennzahlenbogen_(KB)'!O60= "", "",'Kennzahlenbogen_(KB)'!O60)</f>
        <v/>
      </c>
      <c r="D26" s="550" t="str">
        <f>IF('Kennzahlenbogen_(KB)'!O61="n.d.","n.d.",IF('Kennzahlenbogen_(KB)'!O61="","n.d.",'Kennzahlenbogen_(KB)'!O61*100))</f>
        <v>n.d.</v>
      </c>
      <c r="E26" s="168">
        <f>Berechnung1!N69</f>
        <v>1</v>
      </c>
      <c r="F26" s="164" t="str">
        <f>IF('Kennzahlenbogen_(KB)'!Q59=0,"",'Kennzahlenbogen_(KB)'!Q59)</f>
        <v/>
      </c>
      <c r="G26" s="164" t="str">
        <f>IF('Kennzahlenbogen_(KB)'!R59=0,"",'Kennzahlenbogen_(KB)'!R59)</f>
        <v/>
      </c>
      <c r="H26" s="169">
        <f>Berechnung1!O69</f>
        <v>0</v>
      </c>
      <c r="I26" s="185"/>
      <c r="J26" s="170"/>
      <c r="K26" s="170"/>
    </row>
    <row r="27" spans="1:11" x14ac:dyDescent="0.3">
      <c r="A27" s="176">
        <v>16</v>
      </c>
      <c r="B27" s="176" t="str">
        <f>IF('Kennzahlenbogen_(KB)'!O62= "", "",'Kennzahlenbogen_(KB)'!O62)</f>
        <v/>
      </c>
      <c r="C27" s="176">
        <f>IF('Kennzahlenbogen_(KB)'!O63= "", "",'Kennzahlenbogen_(KB)'!O63)</f>
        <v>0</v>
      </c>
      <c r="D27" s="550" t="str">
        <f>IF('Kennzahlenbogen_(KB)'!O64="n.d.","n.d.",IF('Kennzahlenbogen_(KB)'!O64="","n.d.",'Kennzahlenbogen_(KB)'!O64*100))</f>
        <v>n.d.</v>
      </c>
      <c r="E27" s="168">
        <f>Berechnung1!N72</f>
        <v>1</v>
      </c>
      <c r="F27" s="164" t="str">
        <f>IF('Kennzahlenbogen_(KB)'!Q62=0,"",'Kennzahlenbogen_(KB)'!Q62)</f>
        <v/>
      </c>
      <c r="G27" s="164" t="str">
        <f>IF('Kennzahlenbogen_(KB)'!R62=0,"",'Kennzahlenbogen_(KB)'!R62)</f>
        <v/>
      </c>
      <c r="H27" s="169">
        <f>Berechnung1!O72</f>
        <v>0</v>
      </c>
      <c r="I27" s="185"/>
      <c r="J27" s="170"/>
      <c r="K27" s="170"/>
    </row>
    <row r="28" spans="1:11" x14ac:dyDescent="0.3">
      <c r="A28" s="394">
        <v>17</v>
      </c>
      <c r="B28" s="176" t="str">
        <f>IF('Kennzahlenbogen_(KB)'!O65= "", "",'Kennzahlenbogen_(KB)'!O65)</f>
        <v/>
      </c>
      <c r="C28" s="176" t="str">
        <f>IF('Kennzahlenbogen_(KB)'!O66= "", "",'Kennzahlenbogen_(KB)'!O66)</f>
        <v/>
      </c>
      <c r="D28" s="550" t="str">
        <f>IF('Kennzahlenbogen_(KB)'!O67="n.d.","n.d.",IF('Kennzahlenbogen_(KB)'!O67="","n.d.",'Kennzahlenbogen_(KB)'!O67*100))</f>
        <v>n.d.</v>
      </c>
      <c r="E28" s="168">
        <f>Berechnung1!N75</f>
        <v>1</v>
      </c>
      <c r="F28" s="164" t="str">
        <f>IF('Kennzahlenbogen_(KB)'!Q65=0,"",'Kennzahlenbogen_(KB)'!Q65)</f>
        <v/>
      </c>
      <c r="G28" s="164" t="str">
        <f>IF('Kennzahlenbogen_(KB)'!R65=0,"",'Kennzahlenbogen_(KB)'!R65)</f>
        <v/>
      </c>
      <c r="H28" s="169">
        <f>Berechnung1!O75</f>
        <v>0</v>
      </c>
      <c r="I28" s="185"/>
      <c r="J28" s="170"/>
      <c r="K28" s="170"/>
    </row>
    <row r="29" spans="1:11" x14ac:dyDescent="0.3">
      <c r="A29" s="394">
        <v>18</v>
      </c>
      <c r="B29" s="176" t="str">
        <f>IF('Kennzahlenbogen_(KB)'!O68= "", "",'Kennzahlenbogen_(KB)'!O68)</f>
        <v/>
      </c>
      <c r="C29" s="176" t="str">
        <f>IF('Kennzahlenbogen_(KB)'!O69= "", "",'Kennzahlenbogen_(KB)'!O69)</f>
        <v/>
      </c>
      <c r="D29" s="550" t="str">
        <f>IF('Kennzahlenbogen_(KB)'!O70="n.d.","n.d.",IF('Kennzahlenbogen_(KB)'!O70="","n.d.",'Kennzahlenbogen_(KB)'!O70*100))</f>
        <v>n.d.</v>
      </c>
      <c r="E29" s="168">
        <f>Berechnung1!N78</f>
        <v>1</v>
      </c>
      <c r="F29" s="164" t="str">
        <f>IF('Kennzahlenbogen_(KB)'!Q68=0,"",'Kennzahlenbogen_(KB)'!Q68)</f>
        <v/>
      </c>
      <c r="G29" s="164" t="str">
        <f>IF('Kennzahlenbogen_(KB)'!R68=0,"",'Kennzahlenbogen_(KB)'!R68)</f>
        <v/>
      </c>
      <c r="H29" s="169">
        <f>Berechnung1!O78</f>
        <v>0</v>
      </c>
      <c r="I29" s="185"/>
      <c r="J29" s="170"/>
      <c r="K29" s="170"/>
    </row>
    <row r="30" spans="1:11" s="397" customFormat="1" x14ac:dyDescent="0.3">
      <c r="A30" s="394">
        <v>19</v>
      </c>
      <c r="B30" s="394" t="str">
        <f>IF('Kennzahlenbogen_(KB)'!O71= "", "",'Kennzahlenbogen_(KB)'!O71)</f>
        <v/>
      </c>
      <c r="C30" s="394" t="str">
        <f>IF('Kennzahlenbogen_(KB)'!O72= "", "",'Kennzahlenbogen_(KB)'!O72)</f>
        <v/>
      </c>
      <c r="D30" s="550" t="str">
        <f>IF('Kennzahlenbogen_(KB)'!O73="n.d.","n.d.",IF('Kennzahlenbogen_(KB)'!O73="","n.d.",'Kennzahlenbogen_(KB)'!O73*100))</f>
        <v>n.d.</v>
      </c>
      <c r="E30" s="169">
        <f>Berechnung1!N81</f>
        <v>1</v>
      </c>
      <c r="F30" s="395" t="str">
        <f>IF('Kennzahlenbogen_(KB)'!Q71=0,"",'Kennzahlenbogen_(KB)'!Q71)</f>
        <v/>
      </c>
      <c r="G30" s="395" t="str">
        <f>IF('Kennzahlenbogen_(KB)'!R71=0,"",'Kennzahlenbogen_(KB)'!R71)</f>
        <v/>
      </c>
      <c r="H30" s="169">
        <f>Berechnung1!O81</f>
        <v>0</v>
      </c>
      <c r="I30" s="396"/>
      <c r="J30" s="385"/>
      <c r="K30" s="385"/>
    </row>
    <row r="31" spans="1:11" s="397" customFormat="1" x14ac:dyDescent="0.3">
      <c r="A31" s="394">
        <v>20</v>
      </c>
      <c r="B31" s="394" t="str">
        <f>IF('Kennzahlenbogen_(KB)'!O74= "", "",'Kennzahlenbogen_(KB)'!O74)</f>
        <v/>
      </c>
      <c r="C31" s="394" t="str">
        <f>IF('Kennzahlenbogen_(KB)'!O75= "", "",'Kennzahlenbogen_(KB)'!O75)</f>
        <v/>
      </c>
      <c r="D31" s="550" t="str">
        <f>IF('Kennzahlenbogen_(KB)'!O76="n.d.","n.d.",IF('Kennzahlenbogen_(KB)'!O76="","n.d.",'Kennzahlenbogen_(KB)'!O76*100))</f>
        <v>n.d.</v>
      </c>
      <c r="E31" s="169">
        <f>Berechnung1!N84</f>
        <v>1</v>
      </c>
      <c r="F31" s="395" t="str">
        <f>IF('Kennzahlenbogen_(KB)'!Q74=0,"",'Kennzahlenbogen_(KB)'!Q74)</f>
        <v/>
      </c>
      <c r="G31" s="395" t="str">
        <f>IF('Kennzahlenbogen_(KB)'!R74=0,"",'Kennzahlenbogen_(KB)'!R74)</f>
        <v/>
      </c>
      <c r="H31" s="169">
        <f>Berechnung1!O84</f>
        <v>0</v>
      </c>
      <c r="I31" s="396"/>
      <c r="J31" s="385"/>
      <c r="K31" s="385"/>
    </row>
    <row r="32" spans="1:11" s="397" customFormat="1" x14ac:dyDescent="0.3">
      <c r="A32" s="394">
        <v>21</v>
      </c>
      <c r="B32" s="394" t="str">
        <f>IF('Kennzahlenbogen_(KB)'!O77= "", "",'Kennzahlenbogen_(KB)'!O77)</f>
        <v/>
      </c>
      <c r="C32" s="394" t="str">
        <f>IF('Kennzahlenbogen_(KB)'!O78= "", "",'Kennzahlenbogen_(KB)'!O78)</f>
        <v/>
      </c>
      <c r="D32" s="550" t="str">
        <f>IF('Kennzahlenbogen_(KB)'!O79="n.d.","n.d.",IF('Kennzahlenbogen_(KB)'!O79="","n.d.",'Kennzahlenbogen_(KB)'!O79*100))</f>
        <v>n.d.</v>
      </c>
      <c r="E32" s="169">
        <f>Berechnung1!N87</f>
        <v>1</v>
      </c>
      <c r="F32" s="395" t="str">
        <f>IF('Kennzahlenbogen_(KB)'!Q77=0,"",'Kennzahlenbogen_(KB)'!Q77)</f>
        <v/>
      </c>
      <c r="G32" s="395" t="str">
        <f>IF('Kennzahlenbogen_(KB)'!R77=0,"",'Kennzahlenbogen_(KB)'!R77)</f>
        <v/>
      </c>
      <c r="H32" s="169">
        <f>Berechnung1!O87</f>
        <v>0</v>
      </c>
      <c r="I32" s="396"/>
      <c r="J32" s="385"/>
      <c r="K32" s="385"/>
    </row>
    <row r="33" spans="1:11" s="397" customFormat="1" x14ac:dyDescent="0.3">
      <c r="A33" s="394">
        <v>22</v>
      </c>
      <c r="B33" s="394" t="str">
        <f>IF('Kennzahlenbogen_(KB)'!O80= "", "",'Kennzahlenbogen_(KB)'!O80)</f>
        <v/>
      </c>
      <c r="C33" s="394" t="str">
        <f>IF('Kennzahlenbogen_(KB)'!O81= "", "",'Kennzahlenbogen_(KB)'!O81)</f>
        <v/>
      </c>
      <c r="D33" s="550" t="str">
        <f>IF('Kennzahlenbogen_(KB)'!O82="n.d.","n.d.",IF('Kennzahlenbogen_(KB)'!O82="","n.d.",'Kennzahlenbogen_(KB)'!O82*100))</f>
        <v>n.d.</v>
      </c>
      <c r="E33" s="169">
        <f>Berechnung1!N90</f>
        <v>1</v>
      </c>
      <c r="F33" s="395" t="str">
        <f>IF('Kennzahlenbogen_(KB)'!Q80=0,"",'Kennzahlenbogen_(KB)'!Q80)</f>
        <v/>
      </c>
      <c r="G33" s="395" t="str">
        <f>IF('Kennzahlenbogen_(KB)'!R80=0,"",'Kennzahlenbogen_(KB)'!R80)</f>
        <v/>
      </c>
      <c r="H33" s="169">
        <f>Berechnung1!O90</f>
        <v>0</v>
      </c>
      <c r="I33" s="396"/>
      <c r="J33" s="385"/>
      <c r="K33" s="385"/>
    </row>
    <row r="34" spans="1:11" x14ac:dyDescent="0.3">
      <c r="A34" s="176">
        <v>23</v>
      </c>
      <c r="B34" s="394" t="str">
        <f>IF('Kennzahlenbogen_(KB)'!O83= "", "",'Kennzahlenbogen_(KB)'!O83)</f>
        <v/>
      </c>
      <c r="C34" s="394" t="str">
        <f>IF('Kennzahlenbogen_(KB)'!O84= "", "",'Kennzahlenbogen_(KB)'!O84)</f>
        <v/>
      </c>
      <c r="D34" s="550" t="str">
        <f>IF('Kennzahlenbogen_(KB)'!O85="n.d.","n.d.",IF('Kennzahlenbogen_(KB)'!O85="","n.d.",'Kennzahlenbogen_(KB)'!O85*100))</f>
        <v>n.d.</v>
      </c>
      <c r="E34" s="169">
        <f>Berechnung1!N93</f>
        <v>1</v>
      </c>
      <c r="F34" s="395" t="str">
        <f>IF('Kennzahlenbogen_(KB)'!Q83=0,"",'Kennzahlenbogen_(KB)'!Q83)</f>
        <v/>
      </c>
      <c r="G34" s="395" t="str">
        <f>IF('Kennzahlenbogen_(KB)'!R83=0,"",'Kennzahlenbogen_(KB)'!R83)</f>
        <v/>
      </c>
      <c r="H34" s="169">
        <f>Berechnung1!O93</f>
        <v>0</v>
      </c>
      <c r="I34" s="147"/>
      <c r="J34" s="164"/>
      <c r="K34" s="164"/>
    </row>
    <row r="35" spans="1:11" x14ac:dyDescent="0.3">
      <c r="A35" s="176">
        <v>24</v>
      </c>
      <c r="B35" s="394" t="str">
        <f>IF('Kennzahlenbogen_(KB)'!O86= "", "",'Kennzahlenbogen_(KB)'!O86)</f>
        <v/>
      </c>
      <c r="C35" s="394" t="str">
        <f>IF('Kennzahlenbogen_(KB)'!O87= "", "",'Kennzahlenbogen_(KB)'!O87)</f>
        <v/>
      </c>
      <c r="D35" s="550" t="str">
        <f>IF('Kennzahlenbogen_(KB)'!O88="n.d.","n.d.",IF('Kennzahlenbogen_(KB)'!O88="","n.d.",'Kennzahlenbogen_(KB)'!O88*100))</f>
        <v>n.d.</v>
      </c>
      <c r="E35" s="169">
        <f>Berechnung1!N96</f>
        <v>1</v>
      </c>
      <c r="F35" s="395" t="str">
        <f>IF('Kennzahlenbogen_(KB)'!Q86=0,"",'Kennzahlenbogen_(KB)'!Q86)</f>
        <v/>
      </c>
      <c r="G35" s="395" t="str">
        <f>IF('Kennzahlenbogen_(KB)'!R86=0,"",'Kennzahlenbogen_(KB)'!R86)</f>
        <v/>
      </c>
      <c r="H35" s="169">
        <f>Berechnung1!O96</f>
        <v>0</v>
      </c>
      <c r="I35" s="147"/>
      <c r="J35" s="164"/>
      <c r="K35" s="164"/>
    </row>
    <row r="36" spans="1:11" x14ac:dyDescent="0.3">
      <c r="A36" s="588" t="s">
        <v>1116</v>
      </c>
      <c r="B36" s="394" t="str">
        <f>IF('Kennzahlenbogen_(KB)'!O89= "", "",'Kennzahlenbogen_(KB)'!O89)</f>
        <v/>
      </c>
      <c r="C36" s="394" t="str">
        <f>IF('Kennzahlenbogen_(KB)'!O90= "", "",'Kennzahlenbogen_(KB)'!O90)</f>
        <v/>
      </c>
      <c r="D36" s="550" t="str">
        <f>IF('Kennzahlenbogen_(KB)'!O91="n.d.","n.d.",IF('Kennzahlenbogen_(KB)'!O91="","n.d.",'Kennzahlenbogen_(KB)'!O91*100))</f>
        <v>n.d.</v>
      </c>
      <c r="E36" s="169">
        <f>Berechnung1!N99</f>
        <v>1</v>
      </c>
      <c r="F36" s="395" t="str">
        <f>IF('Kennzahlenbogen_(KB)'!Q89=0,"",'Kennzahlenbogen_(KB)'!Q89)</f>
        <v/>
      </c>
      <c r="G36" s="395" t="str">
        <f>IF('Kennzahlenbogen_(KB)'!R89=0,"",'Kennzahlenbogen_(KB)'!R89)</f>
        <v/>
      </c>
      <c r="H36" s="169">
        <f>Berechnung1!O99</f>
        <v>0</v>
      </c>
      <c r="I36" s="147"/>
      <c r="J36" s="164"/>
      <c r="K36" s="164"/>
    </row>
    <row r="37" spans="1:11" x14ac:dyDescent="0.3">
      <c r="A37" s="588" t="s">
        <v>1117</v>
      </c>
      <c r="B37" s="394" t="str">
        <f>IF('Kennzahlenbogen_(KB)'!O92= "", "",'Kennzahlenbogen_(KB)'!O92)</f>
        <v/>
      </c>
      <c r="C37" s="394" t="str">
        <f>IF('Kennzahlenbogen_(KB)'!O93= "", "",'Kennzahlenbogen_(KB)'!O93)</f>
        <v/>
      </c>
      <c r="D37" s="550" t="str">
        <f>IF('Kennzahlenbogen_(KB)'!O94="n.d.","n.d.",IF('Kennzahlenbogen_(KB)'!O94="","n.d.",'Kennzahlenbogen_(KB)'!O94*100))</f>
        <v>n.d.</v>
      </c>
      <c r="E37" s="169">
        <f>Berechnung1!N102</f>
        <v>1</v>
      </c>
      <c r="F37" s="395" t="str">
        <f>IF('Kennzahlenbogen_(KB)'!Q92=0,"",'Kennzahlenbogen_(KB)'!Q92)</f>
        <v/>
      </c>
      <c r="G37" s="395" t="str">
        <f>IF('Kennzahlenbogen_(KB)'!R92=0,"",'Kennzahlenbogen_(KB)'!R92)</f>
        <v/>
      </c>
      <c r="H37" s="169">
        <f>Berechnung1!O102</f>
        <v>0</v>
      </c>
      <c r="I37" s="147"/>
      <c r="J37" s="164"/>
      <c r="K37" s="164"/>
    </row>
  </sheetData>
  <phoneticPr fontId="36" type="noConversion"/>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2"/>
  <dimension ref="A3:P149"/>
  <sheetViews>
    <sheetView topLeftCell="A70" zoomScaleNormal="100" workbookViewId="0">
      <selection activeCell="I107" sqref="I107"/>
    </sheetView>
  </sheetViews>
  <sheetFormatPr defaultColWidth="11.44140625" defaultRowHeight="10.199999999999999" x14ac:dyDescent="0.2"/>
  <cols>
    <col min="1" max="1" width="9.109375" style="407" customWidth="1"/>
    <col min="2" max="2" width="14.88671875" style="407" customWidth="1"/>
    <col min="3" max="3" width="9.109375" style="407" customWidth="1"/>
    <col min="4" max="4" width="13.6640625" style="407" customWidth="1"/>
    <col min="5" max="5" width="18.44140625" style="407" customWidth="1"/>
    <col min="6" max="6" width="16.5546875" style="407" customWidth="1"/>
    <col min="7" max="7" width="20" style="407" customWidth="1"/>
    <col min="8" max="9" width="20.33203125" style="407" customWidth="1"/>
    <col min="10" max="10" width="14.5546875" style="407" customWidth="1"/>
    <col min="11" max="11" width="15.44140625" style="407" customWidth="1"/>
    <col min="12" max="12" width="16.33203125" style="407" customWidth="1"/>
    <col min="13" max="16384" width="11.44140625" style="407"/>
  </cols>
  <sheetData>
    <row r="3" spans="2:15" s="400" customFormat="1" x14ac:dyDescent="0.2">
      <c r="C3" s="399" t="s">
        <v>220</v>
      </c>
      <c r="M3" s="401"/>
      <c r="N3" s="401"/>
      <c r="O3" s="401"/>
    </row>
    <row r="4" spans="2:15" s="400" customFormat="1" x14ac:dyDescent="0.2">
      <c r="D4" s="402" t="s">
        <v>208</v>
      </c>
      <c r="I4" s="402"/>
      <c r="M4" s="401"/>
      <c r="N4" s="401"/>
      <c r="O4" s="401"/>
    </row>
    <row r="5" spans="2:15" s="400" customFormat="1" ht="20.399999999999999" x14ac:dyDescent="0.2">
      <c r="C5" s="402" t="s">
        <v>218</v>
      </c>
      <c r="D5" s="402" t="s">
        <v>219</v>
      </c>
      <c r="E5" s="402" t="s">
        <v>57</v>
      </c>
      <c r="F5" s="402" t="s">
        <v>231</v>
      </c>
      <c r="G5" s="402" t="s">
        <v>229</v>
      </c>
      <c r="H5" s="10" t="s">
        <v>859</v>
      </c>
      <c r="I5" s="402" t="s">
        <v>78</v>
      </c>
      <c r="K5" s="400" t="s">
        <v>860</v>
      </c>
      <c r="M5" s="401"/>
      <c r="N5" s="401"/>
      <c r="O5" s="401"/>
    </row>
    <row r="6" spans="2:15" s="400" customFormat="1" x14ac:dyDescent="0.2">
      <c r="C6" s="402">
        <f>COUNTIF('Kennzahlenbogen_(KB)'!$P$14:$P$86,C5)</f>
        <v>0</v>
      </c>
      <c r="D6" s="402">
        <f>COUNTIF('Kennzahlenbogen_(KB)'!$P$14:$P$86,D5)</f>
        <v>0</v>
      </c>
      <c r="E6" s="402">
        <f>COUNTIF('Kennzahlenbogen_(KB)'!$P$14:$P$86,E5)</f>
        <v>0</v>
      </c>
      <c r="F6" s="402">
        <f>COUNTIF('Kennzahlenbogen_(KB)'!$P$14:$P$86,F5)</f>
        <v>23</v>
      </c>
      <c r="G6" s="402">
        <f>COUNTIF('Kennzahlenbogen_(KB)'!$P$14:$P$86,G5)</f>
        <v>0</v>
      </c>
      <c r="H6" s="551">
        <f>COUNTIF('Kennzahlenbogen_(KB)'!$P$14:$P$86,H5)</f>
        <v>0</v>
      </c>
      <c r="I6" s="402">
        <f>SUM(C6:H6)</f>
        <v>23</v>
      </c>
      <c r="K6" s="551">
        <f>D6+H6</f>
        <v>0</v>
      </c>
      <c r="M6" s="401"/>
      <c r="N6" s="401"/>
      <c r="O6" s="401"/>
    </row>
    <row r="7" spans="2:15" s="400" customFormat="1" ht="13.8" x14ac:dyDescent="0.2">
      <c r="C7" s="402"/>
      <c r="D7" s="553">
        <f>C6+D6+H6</f>
        <v>0</v>
      </c>
      <c r="E7" s="553">
        <f>E6</f>
        <v>0</v>
      </c>
      <c r="F7" s="553"/>
      <c r="G7" s="553">
        <f>F6+G6</f>
        <v>23</v>
      </c>
      <c r="H7" s="553">
        <f>H6+D6+C6</f>
        <v>0</v>
      </c>
      <c r="I7" s="553">
        <f>SUM(D7:G7)</f>
        <v>23</v>
      </c>
      <c r="J7" s="239"/>
      <c r="K7" s="553"/>
      <c r="M7" s="401"/>
      <c r="N7" s="401"/>
      <c r="O7" s="401"/>
    </row>
    <row r="8" spans="2:15" s="400" customFormat="1" ht="13.8" x14ac:dyDescent="0.2">
      <c r="B8" s="400" t="s">
        <v>12</v>
      </c>
      <c r="C8" s="402"/>
      <c r="D8" s="553"/>
      <c r="E8" s="553">
        <f>D7+E7</f>
        <v>0</v>
      </c>
      <c r="F8" s="553"/>
      <c r="G8" s="553">
        <f>G7</f>
        <v>23</v>
      </c>
      <c r="H8" s="553"/>
      <c r="I8" s="553">
        <f>SUM(D8:H8)</f>
        <v>23</v>
      </c>
      <c r="J8" s="239"/>
      <c r="K8" s="553"/>
      <c r="M8" s="401"/>
      <c r="N8" s="401"/>
      <c r="O8" s="401"/>
    </row>
    <row r="9" spans="2:15" s="400" customFormat="1" ht="13.8" x14ac:dyDescent="0.2">
      <c r="B9" s="451">
        <v>23</v>
      </c>
      <c r="C9" s="404">
        <f t="shared" ref="C9:H9" si="0">ROUND(C6/$B$9,4)</f>
        <v>0</v>
      </c>
      <c r="D9" s="554">
        <f t="shared" si="0"/>
        <v>0</v>
      </c>
      <c r="E9" s="554">
        <f t="shared" si="0"/>
        <v>0</v>
      </c>
      <c r="F9" s="554">
        <f t="shared" si="0"/>
        <v>1</v>
      </c>
      <c r="G9" s="554">
        <f t="shared" si="0"/>
        <v>0</v>
      </c>
      <c r="H9" s="554">
        <f t="shared" si="0"/>
        <v>0</v>
      </c>
      <c r="I9" s="554">
        <f>SUM(C9:H9)</f>
        <v>1</v>
      </c>
      <c r="J9" s="239"/>
      <c r="K9" s="554">
        <f>D9+H9</f>
        <v>0</v>
      </c>
      <c r="M9" s="401"/>
      <c r="N9" s="401"/>
      <c r="O9" s="401"/>
    </row>
    <row r="10" spans="2:15" s="400" customFormat="1" ht="13.8" x14ac:dyDescent="0.2">
      <c r="C10" s="404"/>
      <c r="D10" s="554">
        <f>ROUND((C6+D6+H6)/$B$9,4)</f>
        <v>0</v>
      </c>
      <c r="E10" s="554">
        <f>ROUND(E6/$B$9,4)</f>
        <v>0</v>
      </c>
      <c r="F10" s="554"/>
      <c r="G10" s="554">
        <f>ROUND((F6+G6)/$B$9,4)</f>
        <v>1</v>
      </c>
      <c r="H10" s="554">
        <f>ROUND((H6+D6+C6)/$B$9,4)</f>
        <v>0</v>
      </c>
      <c r="I10" s="554">
        <f>SUM(D10:G10)</f>
        <v>1</v>
      </c>
      <c r="J10" s="239"/>
      <c r="K10" s="554"/>
      <c r="M10" s="401"/>
      <c r="N10" s="401"/>
      <c r="O10" s="401"/>
    </row>
    <row r="11" spans="2:15" s="400" customFormat="1" ht="13.8" x14ac:dyDescent="0.2">
      <c r="C11" s="405"/>
      <c r="D11" s="555"/>
      <c r="E11" s="554">
        <f>ROUND((C6+D6+E6+H6)/$B$9,4)</f>
        <v>0</v>
      </c>
      <c r="F11" s="555"/>
      <c r="G11" s="554">
        <f>G10</f>
        <v>1</v>
      </c>
      <c r="H11" s="554"/>
      <c r="I11" s="554">
        <f>SUM(D11:H11)</f>
        <v>1</v>
      </c>
      <c r="J11" s="239"/>
      <c r="K11" s="239"/>
      <c r="M11" s="401"/>
      <c r="N11" s="401"/>
      <c r="O11" s="401"/>
    </row>
    <row r="12" spans="2:15" s="400" customFormat="1" x14ac:dyDescent="0.2">
      <c r="E12" s="403"/>
      <c r="G12" s="403"/>
      <c r="H12" s="403"/>
      <c r="I12" s="403"/>
      <c r="M12" s="401"/>
      <c r="N12" s="401"/>
      <c r="O12" s="401"/>
    </row>
    <row r="13" spans="2:15" s="400" customFormat="1" x14ac:dyDescent="0.2">
      <c r="M13" s="401"/>
      <c r="N13" s="401"/>
      <c r="O13" s="401"/>
    </row>
    <row r="14" spans="2:15" s="400" customFormat="1" x14ac:dyDescent="0.2">
      <c r="M14" s="401"/>
      <c r="N14" s="401"/>
      <c r="O14" s="401"/>
    </row>
    <row r="15" spans="2:15" s="400" customFormat="1" x14ac:dyDescent="0.2">
      <c r="M15" s="401"/>
      <c r="N15" s="401"/>
      <c r="O15" s="401"/>
    </row>
    <row r="16" spans="2:15" s="400" customFormat="1" x14ac:dyDescent="0.2">
      <c r="C16" s="399" t="s">
        <v>221</v>
      </c>
      <c r="M16" s="401"/>
      <c r="N16" s="401"/>
      <c r="O16" s="401"/>
    </row>
    <row r="17" spans="1:15" s="400" customFormat="1" ht="20.399999999999999" x14ac:dyDescent="0.2">
      <c r="C17" s="406" t="s">
        <v>222</v>
      </c>
      <c r="D17" s="570" t="s">
        <v>223</v>
      </c>
      <c r="E17" s="570" t="s">
        <v>224</v>
      </c>
      <c r="F17" s="406" t="s">
        <v>225</v>
      </c>
      <c r="G17" s="570" t="s">
        <v>226</v>
      </c>
      <c r="H17" s="570" t="s">
        <v>861</v>
      </c>
      <c r="M17" s="401"/>
      <c r="N17" s="401"/>
      <c r="O17" s="401"/>
    </row>
    <row r="18" spans="1:15" s="400" customFormat="1" x14ac:dyDescent="0.2">
      <c r="C18" s="406"/>
      <c r="D18" s="406"/>
      <c r="E18" s="406"/>
      <c r="F18" s="406"/>
      <c r="G18" s="406"/>
      <c r="M18" s="401"/>
      <c r="N18" s="401"/>
      <c r="O18" s="401"/>
    </row>
    <row r="19" spans="1:15" s="400" customFormat="1" x14ac:dyDescent="0.2">
      <c r="C19" s="406"/>
      <c r="D19" s="406"/>
      <c r="E19" s="406"/>
      <c r="F19" s="406"/>
      <c r="G19" s="406"/>
      <c r="M19" s="401"/>
      <c r="N19" s="401"/>
      <c r="O19" s="401"/>
    </row>
    <row r="20" spans="1:15" s="400" customFormat="1" x14ac:dyDescent="0.2">
      <c r="C20" s="406"/>
      <c r="D20" s="406"/>
      <c r="E20" s="406"/>
      <c r="F20" s="406"/>
      <c r="G20" s="406"/>
      <c r="M20" s="401"/>
      <c r="N20" s="401"/>
      <c r="O20" s="401"/>
    </row>
    <row r="21" spans="1:15" s="400" customFormat="1" x14ac:dyDescent="0.2">
      <c r="B21" s="406"/>
      <c r="C21" s="406"/>
      <c r="D21" s="406"/>
      <c r="E21" s="406"/>
      <c r="F21" s="406"/>
      <c r="M21" s="401"/>
      <c r="N21" s="401"/>
      <c r="O21" s="401"/>
    </row>
    <row r="22" spans="1:15" s="400" customFormat="1" x14ac:dyDescent="0.2">
      <c r="B22" s="406"/>
      <c r="C22" s="399" t="s">
        <v>206</v>
      </c>
      <c r="D22" s="406"/>
      <c r="E22" s="406"/>
      <c r="F22" s="406"/>
      <c r="M22" s="401"/>
      <c r="N22" s="401"/>
      <c r="O22" s="401"/>
    </row>
    <row r="23" spans="1:15" x14ac:dyDescent="0.2">
      <c r="L23" s="408"/>
      <c r="M23" s="409"/>
      <c r="N23" s="409"/>
      <c r="O23" s="409"/>
    </row>
    <row r="24" spans="1:15" x14ac:dyDescent="0.2">
      <c r="C24" s="410" t="s">
        <v>46</v>
      </c>
      <c r="D24" s="410" t="s">
        <v>232</v>
      </c>
      <c r="E24" s="410" t="s">
        <v>242</v>
      </c>
      <c r="F24" s="410" t="s">
        <v>241</v>
      </c>
      <c r="G24" s="410" t="s">
        <v>239</v>
      </c>
      <c r="H24" s="410" t="s">
        <v>240</v>
      </c>
      <c r="I24" s="410"/>
      <c r="J24" s="410" t="s">
        <v>243</v>
      </c>
      <c r="K24" s="410" t="s">
        <v>244</v>
      </c>
      <c r="L24" s="411" t="s">
        <v>238</v>
      </c>
      <c r="M24" s="411" t="s">
        <v>153</v>
      </c>
      <c r="N24" s="411" t="s">
        <v>152</v>
      </c>
      <c r="O24" s="411" t="s">
        <v>151</v>
      </c>
    </row>
    <row r="25" spans="1:15" x14ac:dyDescent="0.2">
      <c r="A25" s="412"/>
      <c r="C25" s="410"/>
      <c r="D25" s="410"/>
      <c r="E25" s="410"/>
      <c r="F25" s="410"/>
      <c r="G25" s="410"/>
      <c r="H25" s="410"/>
      <c r="I25" s="410"/>
      <c r="J25" s="410"/>
      <c r="K25" s="410"/>
      <c r="L25" s="411"/>
      <c r="M25" s="411"/>
      <c r="N25" s="411"/>
      <c r="O25" s="413"/>
    </row>
    <row r="26" spans="1:15" x14ac:dyDescent="0.2">
      <c r="A26" s="412"/>
      <c r="C26" s="410"/>
      <c r="D26" s="410"/>
      <c r="E26" s="410"/>
      <c r="F26" s="410"/>
      <c r="G26" s="410"/>
      <c r="H26" s="410"/>
      <c r="I26" s="410"/>
      <c r="J26" s="410"/>
      <c r="K26" s="410"/>
      <c r="L26" s="411"/>
      <c r="M26" s="411"/>
      <c r="N26" s="411"/>
      <c r="O26" s="413"/>
    </row>
    <row r="27" spans="1:15" x14ac:dyDescent="0.2">
      <c r="A27" s="412"/>
      <c r="C27" s="414">
        <v>1</v>
      </c>
      <c r="D27" s="415" t="s">
        <v>233</v>
      </c>
      <c r="E27" s="416">
        <v>0</v>
      </c>
      <c r="F27" s="416">
        <v>1</v>
      </c>
      <c r="G27" s="416">
        <v>0.8</v>
      </c>
      <c r="H27" s="416">
        <v>10000</v>
      </c>
      <c r="I27" s="416"/>
      <c r="J27" s="416">
        <v>-10000</v>
      </c>
      <c r="K27" s="416">
        <v>10000</v>
      </c>
      <c r="L27" s="417" t="str">
        <f>'Kennzahlenbogen_(KB)'!O16</f>
        <v>n.d.</v>
      </c>
      <c r="M27" s="418">
        <f>IF('Kennzahlenbogen_(KB)'!P14=Berechnung1!$G$5,1,IF('Kennzahlenbogen_(KB)'!P14=Berechnung1!$F$5,1,IF('Kennzahlenbogen_(KB)'!P14=Berechnung1!$E$5,2,IF('Kennzahlenbogen_(KB)'!P14=Berechnung1!$D$5,3,IF('Kennzahlenbogen_(KB)'!P14=Berechnung1!$C$5,4,"")))))</f>
        <v>1</v>
      </c>
      <c r="N27" s="418">
        <f>IF(M27&gt;1,M27+3,M27)</f>
        <v>1</v>
      </c>
      <c r="O27" s="418">
        <f>IF('Kennzahlenbogen_(KB)'!R14="",0,1)</f>
        <v>0</v>
      </c>
    </row>
    <row r="28" spans="1:15" x14ac:dyDescent="0.2">
      <c r="A28" s="412"/>
      <c r="C28" s="419"/>
      <c r="D28" s="420"/>
      <c r="E28" s="421"/>
      <c r="F28" s="421"/>
      <c r="G28" s="421"/>
      <c r="H28" s="421"/>
      <c r="I28" s="421"/>
      <c r="J28" s="421"/>
      <c r="K28" s="421"/>
      <c r="L28" s="422"/>
      <c r="M28" s="423"/>
      <c r="N28" s="422"/>
      <c r="O28" s="424"/>
    </row>
    <row r="29" spans="1:15" x14ac:dyDescent="0.2">
      <c r="A29" s="412"/>
      <c r="C29" s="419"/>
      <c r="D29" s="420"/>
      <c r="E29" s="421"/>
      <c r="F29" s="421"/>
      <c r="G29" s="421"/>
      <c r="H29" s="421"/>
      <c r="I29" s="421"/>
      <c r="J29" s="421"/>
      <c r="K29" s="421"/>
      <c r="L29" s="422"/>
      <c r="M29" s="423"/>
      <c r="N29" s="422"/>
      <c r="O29" s="424"/>
    </row>
    <row r="30" spans="1:15" x14ac:dyDescent="0.2">
      <c r="A30" s="412"/>
      <c r="C30" s="414">
        <v>2</v>
      </c>
      <c r="D30" s="415" t="s">
        <v>233</v>
      </c>
      <c r="E30" s="416">
        <v>0</v>
      </c>
      <c r="F30" s="416">
        <v>1</v>
      </c>
      <c r="G30" s="416">
        <v>-10000</v>
      </c>
      <c r="H30" s="416">
        <v>10000</v>
      </c>
      <c r="I30" s="416"/>
      <c r="J30" s="416">
        <v>0.15</v>
      </c>
      <c r="K30" s="416">
        <v>10000</v>
      </c>
      <c r="L30" s="417" t="str">
        <f>'Kennzahlenbogen_(KB)'!O19</f>
        <v>n.d.</v>
      </c>
      <c r="M30" s="418">
        <f>IF('Kennzahlenbogen_(KB)'!P17=Berechnung1!$G$5,1,IF('Kennzahlenbogen_(KB)'!P17=Berechnung1!$F$5,1,IF('Kennzahlenbogen_(KB)'!P17=Berechnung1!$E$5,2,IF('Kennzahlenbogen_(KB)'!P17=Berechnung1!$D$5,3,IF('Kennzahlenbogen_(KB)'!P17=Berechnung1!$C$5,4,"")))))</f>
        <v>1</v>
      </c>
      <c r="N30" s="418">
        <f>IF(M30&gt;1,M30+3,M30)</f>
        <v>1</v>
      </c>
      <c r="O30" s="418">
        <f>IF('Kennzahlenbogen_(KB)'!R17="",0,1)</f>
        <v>0</v>
      </c>
    </row>
    <row r="31" spans="1:15" x14ac:dyDescent="0.2">
      <c r="A31" s="412"/>
      <c r="C31" s="419"/>
      <c r="D31" s="420"/>
      <c r="E31" s="421"/>
      <c r="F31" s="421"/>
      <c r="G31" s="421"/>
      <c r="H31" s="421"/>
      <c r="I31" s="421"/>
      <c r="J31" s="421"/>
      <c r="K31" s="421"/>
      <c r="L31" s="422"/>
      <c r="M31" s="423"/>
      <c r="N31" s="422"/>
      <c r="O31" s="424"/>
    </row>
    <row r="32" spans="1:15" x14ac:dyDescent="0.2">
      <c r="A32" s="412"/>
      <c r="C32" s="419"/>
      <c r="D32" s="420"/>
      <c r="E32" s="421"/>
      <c r="F32" s="421"/>
      <c r="G32" s="421"/>
      <c r="H32" s="421"/>
      <c r="I32" s="421"/>
      <c r="J32" s="421"/>
      <c r="K32" s="421"/>
      <c r="L32" s="422"/>
      <c r="M32" s="423"/>
      <c r="N32" s="422"/>
      <c r="O32" s="424"/>
    </row>
    <row r="33" spans="1:15" x14ac:dyDescent="0.2">
      <c r="A33" s="412"/>
      <c r="C33" s="414">
        <v>3</v>
      </c>
      <c r="D33" s="415" t="s">
        <v>233</v>
      </c>
      <c r="E33" s="416">
        <v>0</v>
      </c>
      <c r="F33" s="416">
        <v>1</v>
      </c>
      <c r="G33" s="416">
        <v>-10000</v>
      </c>
      <c r="H33" s="416">
        <v>10000</v>
      </c>
      <c r="I33" s="416"/>
      <c r="J33" s="416">
        <v>0.5</v>
      </c>
      <c r="K33" s="416">
        <v>10000</v>
      </c>
      <c r="L33" s="417" t="str">
        <f>'Kennzahlenbogen_(KB)'!O22</f>
        <v>n.d.</v>
      </c>
      <c r="M33" s="418">
        <f>IF('Kennzahlenbogen_(KB)'!P20=Berechnung1!$G$5,1,IF('Kennzahlenbogen_(KB)'!P20=Berechnung1!$F$5,1,IF('Kennzahlenbogen_(KB)'!P20=Berechnung1!$E$5,2,IF('Kennzahlenbogen_(KB)'!P20=Berechnung1!$D$5,3,IF('Kennzahlenbogen_(KB)'!P20=Berechnung1!$C$5,4,"")))))</f>
        <v>1</v>
      </c>
      <c r="N33" s="418">
        <f>IF(M33&gt;1,M33+3,M33)</f>
        <v>1</v>
      </c>
      <c r="O33" s="418">
        <f>IF('Kennzahlenbogen_(KB)'!R20="",0,1)</f>
        <v>0</v>
      </c>
    </row>
    <row r="34" spans="1:15" x14ac:dyDescent="0.2">
      <c r="A34" s="412"/>
      <c r="C34" s="419"/>
      <c r="D34" s="420"/>
      <c r="E34" s="421"/>
      <c r="F34" s="421"/>
      <c r="G34" s="421"/>
      <c r="H34" s="421"/>
      <c r="I34" s="421"/>
      <c r="J34" s="421"/>
      <c r="K34" s="421"/>
      <c r="L34" s="422"/>
      <c r="M34" s="423"/>
      <c r="N34" s="422"/>
      <c r="O34" s="424"/>
    </row>
    <row r="35" spans="1:15" x14ac:dyDescent="0.2">
      <c r="A35" s="412"/>
      <c r="C35" s="419"/>
      <c r="D35" s="420"/>
      <c r="E35" s="421"/>
      <c r="F35" s="421"/>
      <c r="G35" s="421"/>
      <c r="H35" s="421"/>
      <c r="I35" s="421"/>
      <c r="J35" s="421"/>
      <c r="K35" s="421"/>
      <c r="L35" s="422"/>
      <c r="M35" s="423"/>
      <c r="N35" s="422"/>
      <c r="O35" s="424"/>
    </row>
    <row r="36" spans="1:15" x14ac:dyDescent="0.2">
      <c r="A36" s="412"/>
      <c r="C36" s="425">
        <v>4</v>
      </c>
      <c r="D36" s="415" t="s">
        <v>233</v>
      </c>
      <c r="E36" s="416">
        <v>0</v>
      </c>
      <c r="F36" s="416">
        <v>10000</v>
      </c>
      <c r="G36" s="416">
        <v>0.05</v>
      </c>
      <c r="H36" s="416">
        <v>10000</v>
      </c>
      <c r="I36" s="416"/>
      <c r="J36" s="416">
        <v>-10000</v>
      </c>
      <c r="K36" s="416">
        <v>0.65</v>
      </c>
      <c r="L36" s="417" t="str">
        <f>'Kennzahlenbogen_(KB)'!O25</f>
        <v>n.d.</v>
      </c>
      <c r="M36" s="418">
        <f>IF('Kennzahlenbogen_(KB)'!P23=Berechnung1!$G$5,1,IF('Kennzahlenbogen_(KB)'!P23=Berechnung1!$F$5,1,IF('Kennzahlenbogen_(KB)'!P23=Berechnung1!$E$5,2,IF('Kennzahlenbogen_(KB)'!P23=Berechnung1!$D$5,3,IF('Kennzahlenbogen_(KB)'!P23=Berechnung1!$C$5,4,"")))))</f>
        <v>1</v>
      </c>
      <c r="N36" s="418">
        <f>IF(M36&gt;1,M36+3,M36)</f>
        <v>1</v>
      </c>
      <c r="O36" s="418">
        <f>IF('Kennzahlenbogen_(KB)'!R23="",0,1)</f>
        <v>0</v>
      </c>
    </row>
    <row r="37" spans="1:15" x14ac:dyDescent="0.2">
      <c r="A37" s="412"/>
      <c r="C37" s="419"/>
      <c r="D37" s="420"/>
      <c r="E37" s="421"/>
      <c r="F37" s="421"/>
      <c r="G37" s="421"/>
      <c r="H37" s="421"/>
      <c r="I37" s="421"/>
      <c r="J37" s="421"/>
      <c r="K37" s="421"/>
      <c r="L37" s="422"/>
      <c r="M37" s="423"/>
      <c r="N37" s="422"/>
      <c r="O37" s="424"/>
    </row>
    <row r="38" spans="1:15" x14ac:dyDescent="0.2">
      <c r="A38" s="412"/>
      <c r="C38" s="419"/>
      <c r="D38" s="420"/>
      <c r="E38" s="421"/>
      <c r="F38" s="421"/>
      <c r="G38" s="421"/>
      <c r="H38" s="421"/>
      <c r="I38" s="421"/>
      <c r="J38" s="421"/>
      <c r="K38" s="421"/>
      <c r="L38" s="422"/>
      <c r="M38" s="423"/>
      <c r="N38" s="422"/>
      <c r="O38" s="424"/>
    </row>
    <row r="39" spans="1:15" x14ac:dyDescent="0.2">
      <c r="A39" s="412"/>
      <c r="C39" s="425">
        <v>5</v>
      </c>
      <c r="D39" s="415" t="s">
        <v>233</v>
      </c>
      <c r="E39" s="416">
        <v>0</v>
      </c>
      <c r="F39" s="426">
        <v>1E+18</v>
      </c>
      <c r="G39" s="426">
        <v>75</v>
      </c>
      <c r="H39" s="426">
        <v>1E+16</v>
      </c>
      <c r="I39" s="416"/>
      <c r="J39" s="426">
        <v>-100000</v>
      </c>
      <c r="K39" s="426">
        <v>100000000</v>
      </c>
      <c r="L39" s="427">
        <f>'Kennzahlenbogen_(KB)'!O26</f>
        <v>0</v>
      </c>
      <c r="M39" s="418">
        <f>IF('Kennzahlenbogen_(KB)'!P26=Berechnung1!$G$5,1,IF('Kennzahlenbogen_(KB)'!P26=Berechnung1!$F$5,1,IF('Kennzahlenbogen_(KB)'!P26=Berechnung1!$E$5,2,IF('Kennzahlenbogen_(KB)'!P26=Berechnung1!$D$5,3,IF('Kennzahlenbogen_(KB)'!P26=Berechnung1!$C$5,4,"")))))</f>
        <v>1</v>
      </c>
      <c r="N39" s="418">
        <f>IF(M39&gt;1,M39+3,M39)</f>
        <v>1</v>
      </c>
      <c r="O39" s="418">
        <f>IF('Kennzahlenbogen_(KB)'!R26="",0,1)</f>
        <v>0</v>
      </c>
    </row>
    <row r="40" spans="1:15" x14ac:dyDescent="0.2">
      <c r="A40" s="412"/>
      <c r="C40" s="419"/>
      <c r="D40" s="420"/>
      <c r="E40" s="421"/>
      <c r="F40" s="428"/>
      <c r="G40" s="428"/>
      <c r="H40" s="428"/>
      <c r="I40" s="421"/>
      <c r="J40" s="428"/>
      <c r="K40" s="428"/>
      <c r="L40" s="422"/>
      <c r="M40" s="423"/>
      <c r="N40" s="422"/>
      <c r="O40" s="424"/>
    </row>
    <row r="41" spans="1:15" x14ac:dyDescent="0.2">
      <c r="A41" s="412"/>
      <c r="C41" s="419"/>
      <c r="D41" s="420"/>
      <c r="E41" s="421"/>
      <c r="F41" s="428"/>
      <c r="G41" s="428"/>
      <c r="H41" s="428"/>
      <c r="I41" s="421"/>
      <c r="J41" s="428"/>
      <c r="K41" s="428"/>
      <c r="L41" s="422"/>
      <c r="M41" s="423"/>
      <c r="N41" s="422"/>
      <c r="O41" s="424"/>
    </row>
    <row r="42" spans="1:15" x14ac:dyDescent="0.2">
      <c r="A42" s="412"/>
      <c r="C42" s="587" t="s">
        <v>1054</v>
      </c>
      <c r="D42" s="415" t="s">
        <v>233</v>
      </c>
      <c r="E42" s="416">
        <v>0</v>
      </c>
      <c r="F42" s="426">
        <v>100000000000000</v>
      </c>
      <c r="G42" s="426">
        <v>50</v>
      </c>
      <c r="H42" s="426">
        <v>100000000000000</v>
      </c>
      <c r="I42" s="416"/>
      <c r="J42" s="426">
        <v>-100000</v>
      </c>
      <c r="K42" s="426">
        <v>100000000</v>
      </c>
      <c r="L42" s="427">
        <f>'Kennzahlenbogen_(KB)'!O29</f>
        <v>0</v>
      </c>
      <c r="M42" s="418">
        <f>IF('Kennzahlenbogen_(KB)'!P29=Berechnung1!$G$5,1,IF('Kennzahlenbogen_(KB)'!P29=Berechnung1!$F$5,1,IF('Kennzahlenbogen_(KB)'!P29=Berechnung1!$E$5,2,IF('Kennzahlenbogen_(KB)'!P29=Berechnung1!$D$5,3,IF('Kennzahlenbogen_(KB)'!P29=Berechnung1!$C$5,4,"")))))</f>
        <v>1</v>
      </c>
      <c r="N42" s="418">
        <f>IF(M42&gt;1,M42+3,M42)</f>
        <v>1</v>
      </c>
      <c r="O42" s="418">
        <f>IF('Kennzahlenbogen_(KB)'!R29="",0,1)</f>
        <v>0</v>
      </c>
    </row>
    <row r="43" spans="1:15" x14ac:dyDescent="0.2">
      <c r="A43" s="412"/>
      <c r="C43" s="419"/>
      <c r="D43" s="420"/>
      <c r="E43" s="421"/>
      <c r="F43" s="428"/>
      <c r="G43" s="428"/>
      <c r="H43" s="428"/>
      <c r="I43" s="421"/>
      <c r="J43" s="428"/>
      <c r="K43" s="428"/>
      <c r="L43" s="422"/>
      <c r="M43" s="423"/>
      <c r="N43" s="422"/>
      <c r="O43" s="424"/>
    </row>
    <row r="44" spans="1:15" x14ac:dyDescent="0.2">
      <c r="A44" s="412"/>
      <c r="C44" s="419"/>
      <c r="D44" s="420"/>
      <c r="E44" s="421"/>
      <c r="F44" s="428"/>
      <c r="G44" s="428"/>
      <c r="H44" s="428"/>
      <c r="I44" s="421"/>
      <c r="J44" s="428"/>
      <c r="K44" s="428"/>
      <c r="L44" s="422"/>
      <c r="M44" s="423"/>
      <c r="N44" s="422"/>
      <c r="O44" s="424"/>
    </row>
    <row r="45" spans="1:15" x14ac:dyDescent="0.2">
      <c r="A45" s="412"/>
      <c r="C45" s="587" t="s">
        <v>1055</v>
      </c>
      <c r="D45" s="415" t="s">
        <v>233</v>
      </c>
      <c r="E45" s="416">
        <v>0</v>
      </c>
      <c r="F45" s="426">
        <v>100000000000000</v>
      </c>
      <c r="G45" s="426">
        <v>-10000000</v>
      </c>
      <c r="H45" s="426">
        <v>100000000000000</v>
      </c>
      <c r="I45" s="416"/>
      <c r="J45" s="426">
        <v>-100000</v>
      </c>
      <c r="K45" s="426">
        <v>100000000</v>
      </c>
      <c r="L45" s="427">
        <f>'Kennzahlenbogen_(KB)'!O32</f>
        <v>0</v>
      </c>
      <c r="M45" s="418">
        <f>IF('Kennzahlenbogen_(KB)'!P32=Berechnung1!$G$5,1,IF('Kennzahlenbogen_(KB)'!P32=Berechnung1!$F$5,1,IF('Kennzahlenbogen_(KB)'!P32=Berechnung1!$E$5,2,IF('Kennzahlenbogen_(KB)'!P32=Berechnung1!$D$5,3,IF('Kennzahlenbogen_(KB)'!P32=Berechnung1!$C$5,4,"")))))</f>
        <v>1</v>
      </c>
      <c r="N45" s="418">
        <f>IF(M45&gt;1,M45+3,M45)</f>
        <v>1</v>
      </c>
      <c r="O45" s="418">
        <f>IF('Kennzahlenbogen_(KB)'!R32="",0,1)</f>
        <v>0</v>
      </c>
    </row>
    <row r="46" spans="1:15" x14ac:dyDescent="0.2">
      <c r="A46" s="412"/>
      <c r="C46" s="419"/>
      <c r="D46" s="420"/>
      <c r="E46" s="421"/>
      <c r="F46" s="428"/>
      <c r="G46" s="428"/>
      <c r="H46" s="428"/>
      <c r="I46" s="421"/>
      <c r="J46" s="428"/>
      <c r="K46" s="428"/>
      <c r="L46" s="422"/>
      <c r="M46" s="423"/>
      <c r="N46" s="422"/>
      <c r="O46" s="424"/>
    </row>
    <row r="47" spans="1:15" x14ac:dyDescent="0.2">
      <c r="A47" s="412"/>
      <c r="C47" s="419"/>
      <c r="D47" s="420"/>
      <c r="E47" s="421"/>
      <c r="F47" s="428"/>
      <c r="G47" s="428"/>
      <c r="H47" s="428"/>
      <c r="I47" s="421"/>
      <c r="J47" s="428"/>
      <c r="K47" s="428"/>
      <c r="L47" s="422"/>
      <c r="M47" s="423"/>
      <c r="N47" s="422"/>
      <c r="O47" s="424"/>
    </row>
    <row r="48" spans="1:15" x14ac:dyDescent="0.2">
      <c r="A48" s="412"/>
      <c r="C48" s="425">
        <v>7</v>
      </c>
      <c r="D48" s="415" t="s">
        <v>233</v>
      </c>
      <c r="E48" s="416">
        <v>0</v>
      </c>
      <c r="F48" s="426">
        <v>1E+19</v>
      </c>
      <c r="G48" s="426">
        <v>40</v>
      </c>
      <c r="H48" s="426">
        <v>100000000000000</v>
      </c>
      <c r="I48" s="416"/>
      <c r="J48" s="426">
        <v>-100000</v>
      </c>
      <c r="K48" s="426">
        <v>100000000</v>
      </c>
      <c r="L48" s="427">
        <f>'Kennzahlenbogen_(KB)'!O35</f>
        <v>0</v>
      </c>
      <c r="M48" s="418">
        <f>IF('Kennzahlenbogen_(KB)'!P35=Berechnung1!$G$5,1,IF('Kennzahlenbogen_(KB)'!P35=Berechnung1!$F$5,1,IF('Kennzahlenbogen_(KB)'!P35=Berechnung1!$E$5,2,IF('Kennzahlenbogen_(KB)'!P35=Berechnung1!$D$5,3,IF('Kennzahlenbogen_(KB)'!P35=Berechnung1!$C$5,4,"")))))</f>
        <v>1</v>
      </c>
      <c r="N48" s="418">
        <f>IF(M48&gt;1,M48+3,M48)</f>
        <v>1</v>
      </c>
      <c r="O48" s="418">
        <f>IF('Kennzahlenbogen_(KB)'!R35="",0,1)</f>
        <v>0</v>
      </c>
    </row>
    <row r="49" spans="1:15" x14ac:dyDescent="0.2">
      <c r="A49" s="412"/>
      <c r="C49" s="440"/>
      <c r="D49" s="440"/>
      <c r="E49" s="437"/>
      <c r="F49" s="564"/>
      <c r="G49" s="564"/>
      <c r="H49" s="564"/>
      <c r="I49" s="437"/>
      <c r="J49" s="564"/>
      <c r="K49" s="564"/>
      <c r="L49" s="563"/>
      <c r="M49" s="423"/>
      <c r="N49" s="423"/>
      <c r="O49" s="423"/>
    </row>
    <row r="50" spans="1:15" x14ac:dyDescent="0.2">
      <c r="A50" s="412"/>
      <c r="C50" s="440"/>
      <c r="D50" s="440"/>
      <c r="E50" s="437"/>
      <c r="F50" s="564"/>
      <c r="G50" s="564"/>
      <c r="H50" s="564"/>
      <c r="I50" s="437"/>
      <c r="J50" s="564"/>
      <c r="K50" s="564"/>
      <c r="L50" s="563"/>
      <c r="M50" s="423"/>
      <c r="N50" s="423"/>
      <c r="O50" s="423"/>
    </row>
    <row r="51" spans="1:15" x14ac:dyDescent="0.2">
      <c r="A51" s="412"/>
      <c r="C51" s="425">
        <v>8</v>
      </c>
      <c r="D51" s="415" t="s">
        <v>233</v>
      </c>
      <c r="E51" s="416">
        <v>0</v>
      </c>
      <c r="F51" s="582">
        <v>1</v>
      </c>
      <c r="G51" s="416">
        <v>-10000</v>
      </c>
      <c r="H51" s="416">
        <v>10000</v>
      </c>
      <c r="I51" s="416"/>
      <c r="J51" s="426">
        <v>-100000</v>
      </c>
      <c r="K51" s="426">
        <v>100000000</v>
      </c>
      <c r="L51" s="417" t="str">
        <f>'Kennzahlenbogen_(KB)'!O40</f>
        <v>n.d.</v>
      </c>
      <c r="M51" s="418">
        <f>IF('Kennzahlenbogen_(KB)'!P38=Berechnung1!$G$5,1,IF('Kennzahlenbogen_(KB)'!P38=Berechnung1!$F$5,1,IF('Kennzahlenbogen_(KB)'!P38=Berechnung1!$E$5,2,IF('Kennzahlenbogen_(KB)'!P38=Berechnung1!$D$5,3,IF('Kennzahlenbogen_(KB)'!P38=Berechnung1!$C$5,4,"")))))</f>
        <v>1</v>
      </c>
      <c r="N51" s="418">
        <f>IF(M51&gt;1,M51+3,M51)</f>
        <v>1</v>
      </c>
      <c r="O51" s="418">
        <f>IF('Kennzahlenbogen_(KB)'!R38="",0,1)</f>
        <v>0</v>
      </c>
    </row>
    <row r="52" spans="1:15" x14ac:dyDescent="0.2">
      <c r="A52" s="412"/>
      <c r="C52" s="419"/>
      <c r="D52" s="420"/>
      <c r="E52" s="421"/>
      <c r="F52" s="421"/>
      <c r="G52" s="421"/>
      <c r="H52" s="421"/>
      <c r="I52" s="421"/>
      <c r="J52" s="421"/>
      <c r="K52" s="421"/>
      <c r="L52" s="429"/>
      <c r="M52" s="423"/>
      <c r="N52" s="423"/>
      <c r="O52" s="430"/>
    </row>
    <row r="53" spans="1:15" x14ac:dyDescent="0.2">
      <c r="A53" s="412"/>
      <c r="C53" s="419"/>
      <c r="D53" s="420"/>
      <c r="E53" s="421"/>
      <c r="F53" s="421"/>
      <c r="G53" s="421"/>
      <c r="H53" s="421"/>
      <c r="I53" s="421"/>
      <c r="J53" s="421"/>
      <c r="K53" s="421"/>
      <c r="L53" s="429"/>
      <c r="M53" s="423"/>
      <c r="N53" s="423"/>
      <c r="O53" s="430"/>
    </row>
    <row r="54" spans="1:15" x14ac:dyDescent="0.2">
      <c r="A54" s="412"/>
      <c r="B54" s="407" t="s">
        <v>766</v>
      </c>
      <c r="C54" s="544">
        <v>9</v>
      </c>
      <c r="D54" s="545" t="s">
        <v>233</v>
      </c>
      <c r="E54" s="546">
        <v>0</v>
      </c>
      <c r="F54" s="546">
        <v>1</v>
      </c>
      <c r="G54" s="546">
        <v>-10000</v>
      </c>
      <c r="H54" s="546">
        <v>10000</v>
      </c>
      <c r="I54" s="546"/>
      <c r="J54" s="546">
        <v>0.19989999999999999</v>
      </c>
      <c r="K54" s="546">
        <v>10000</v>
      </c>
      <c r="L54" s="547" t="str">
        <f>'Kennzahlenbogen_(KB)'!O43</f>
        <v>n.d.</v>
      </c>
      <c r="M54" s="548">
        <f>IF('Kennzahlenbogen_(KB)'!P41=Berechnung1!$H$5,5,IF('Kennzahlenbogen_(KB)'!P41=Berechnung1!$G$5,1,IF('Kennzahlenbogen_(KB)'!P41=Berechnung1!$F$5,1,IF('Kennzahlenbogen_(KB)'!P41=Berechnung1!$E$5,2,IF(AND('Kennzahlenbogen_(KB)'!P41=Berechnung1!$D$5,'Kennzahlenbogen_(KB)'!O41=0,'Kennzahlenbogen_(KB)'!O42=0),5,IF('Kennzahlenbogen_(KB)'!P41=Berechnung1!$D$5,3,IF('Kennzahlenbogen_(KB)'!P41=Berechnung1!$C$5,4,"")))))))</f>
        <v>1</v>
      </c>
      <c r="N54" s="548">
        <f>IF(M54&gt;1,M54+3,M54)</f>
        <v>1</v>
      </c>
      <c r="O54" s="549">
        <f>IF('Kennzahlenbogen_(KB)'!R41="",0,1)</f>
        <v>0</v>
      </c>
    </row>
    <row r="55" spans="1:15" x14ac:dyDescent="0.2">
      <c r="A55" s="412"/>
      <c r="C55" s="419"/>
      <c r="D55" s="420"/>
      <c r="E55" s="421"/>
      <c r="F55" s="421"/>
      <c r="G55" s="421"/>
      <c r="H55" s="437"/>
      <c r="I55" s="421"/>
      <c r="J55" s="421"/>
      <c r="K55" s="421"/>
      <c r="L55" s="437"/>
      <c r="M55" s="423"/>
      <c r="N55" s="423"/>
      <c r="O55" s="438"/>
    </row>
    <row r="56" spans="1:15" x14ac:dyDescent="0.2">
      <c r="A56" s="412"/>
      <c r="C56" s="419"/>
      <c r="D56" s="420"/>
      <c r="E56" s="421"/>
      <c r="F56" s="421"/>
      <c r="G56" s="421"/>
      <c r="H56" s="437"/>
      <c r="I56" s="421"/>
      <c r="J56" s="421"/>
      <c r="K56" s="421"/>
      <c r="L56" s="437"/>
      <c r="M56" s="423"/>
      <c r="N56" s="423"/>
      <c r="O56" s="438"/>
    </row>
    <row r="57" spans="1:15" x14ac:dyDescent="0.2">
      <c r="A57" s="412"/>
      <c r="C57" s="431">
        <v>10</v>
      </c>
      <c r="D57" s="432" t="s">
        <v>233</v>
      </c>
      <c r="E57" s="433">
        <v>0</v>
      </c>
      <c r="F57" s="433">
        <v>1</v>
      </c>
      <c r="G57" s="433">
        <v>0.3</v>
      </c>
      <c r="H57" s="433">
        <v>10000</v>
      </c>
      <c r="I57" s="433"/>
      <c r="J57" s="416">
        <v>-10000</v>
      </c>
      <c r="K57" s="433">
        <v>0.9</v>
      </c>
      <c r="L57" s="434" t="str">
        <f>'Kennzahlenbogen_(KB)'!O46</f>
        <v>n.d.</v>
      </c>
      <c r="M57" s="435">
        <f>IF('Kennzahlenbogen_(KB)'!P44=Berechnung1!$G$5,1,IF('Kennzahlenbogen_(KB)'!P44=Berechnung1!$F$5,1,IF('Kennzahlenbogen_(KB)'!P44=Berechnung1!$E$5,2,IF('Kennzahlenbogen_(KB)'!P44=Berechnung1!$D$5,3,IF('Kennzahlenbogen_(KB)'!P44=Berechnung1!$C$5,4,"")))))</f>
        <v>1</v>
      </c>
      <c r="N57" s="435">
        <f>IF(M57&gt;1,M57+3,M57)</f>
        <v>1</v>
      </c>
      <c r="O57" s="436">
        <f>IF('Kennzahlenbogen_(KB)'!R44="",0,1)</f>
        <v>0</v>
      </c>
    </row>
    <row r="58" spans="1:15" x14ac:dyDescent="0.2">
      <c r="A58" s="412"/>
      <c r="C58" s="419"/>
      <c r="D58" s="420"/>
      <c r="E58" s="421"/>
      <c r="F58" s="421"/>
      <c r="G58" s="421"/>
      <c r="H58" s="421"/>
      <c r="I58" s="421"/>
      <c r="J58" s="421"/>
      <c r="K58" s="421"/>
      <c r="L58" s="437"/>
      <c r="M58" s="423"/>
      <c r="N58" s="423"/>
      <c r="O58" s="438"/>
    </row>
    <row r="59" spans="1:15" x14ac:dyDescent="0.2">
      <c r="A59" s="412"/>
      <c r="C59" s="419"/>
      <c r="D59" s="420"/>
      <c r="E59" s="421"/>
      <c r="F59" s="421"/>
      <c r="G59" s="421"/>
      <c r="H59" s="421"/>
      <c r="I59" s="421"/>
      <c r="J59" s="421"/>
      <c r="K59" s="421"/>
      <c r="L59" s="437"/>
      <c r="M59" s="423"/>
      <c r="N59" s="423"/>
      <c r="O59" s="438"/>
    </row>
    <row r="60" spans="1:15" x14ac:dyDescent="0.2">
      <c r="A60" s="412"/>
      <c r="C60" s="431">
        <v>11</v>
      </c>
      <c r="D60" s="432" t="s">
        <v>233</v>
      </c>
      <c r="E60" s="433">
        <v>0</v>
      </c>
      <c r="F60" s="433">
        <v>1</v>
      </c>
      <c r="G60" s="433">
        <v>0.8</v>
      </c>
      <c r="H60" s="433">
        <v>10000</v>
      </c>
      <c r="I60" s="433"/>
      <c r="J60" s="433">
        <v>-10000</v>
      </c>
      <c r="K60" s="433">
        <v>10000</v>
      </c>
      <c r="L60" s="434" t="str">
        <f>'Kennzahlenbogen_(KB)'!O49</f>
        <v>n.d.</v>
      </c>
      <c r="M60" s="435">
        <f>IF('Kennzahlenbogen_(KB)'!P47=Berechnung1!$G$5,1,IF('Kennzahlenbogen_(KB)'!P47=Berechnung1!$F$5,1,IF('Kennzahlenbogen_(KB)'!P47=Berechnung1!$E$5,2,IF('Kennzahlenbogen_(KB)'!P47=Berechnung1!$D$5,3,IF('Kennzahlenbogen_(KB)'!P47=Berechnung1!$C$5,4,"")))))</f>
        <v>1</v>
      </c>
      <c r="N60" s="435">
        <f>IF(M60&gt;1,M60+3,M60)</f>
        <v>1</v>
      </c>
      <c r="O60" s="436">
        <f>IF('Kennzahlenbogen_(KB)'!R47="",0,1)</f>
        <v>0</v>
      </c>
    </row>
    <row r="61" spans="1:15" x14ac:dyDescent="0.2">
      <c r="A61" s="412"/>
      <c r="C61" s="419"/>
      <c r="D61" s="420"/>
      <c r="E61" s="421"/>
      <c r="F61" s="421"/>
      <c r="G61" s="421"/>
      <c r="H61" s="421"/>
      <c r="I61" s="421"/>
      <c r="J61" s="421"/>
      <c r="K61" s="421"/>
      <c r="L61" s="437"/>
      <c r="M61" s="423"/>
      <c r="N61" s="423"/>
      <c r="O61" s="438"/>
    </row>
    <row r="62" spans="1:15" x14ac:dyDescent="0.2">
      <c r="A62" s="412"/>
      <c r="C62" s="419"/>
      <c r="D62" s="420"/>
      <c r="E62" s="421"/>
      <c r="F62" s="421"/>
      <c r="G62" s="421"/>
      <c r="H62" s="421"/>
      <c r="I62" s="421"/>
      <c r="J62" s="421"/>
      <c r="K62" s="421"/>
      <c r="L62" s="437"/>
      <c r="M62" s="423"/>
      <c r="N62" s="423"/>
      <c r="O62" s="438"/>
    </row>
    <row r="63" spans="1:15" x14ac:dyDescent="0.2">
      <c r="A63" s="412"/>
      <c r="C63" s="431">
        <v>13</v>
      </c>
      <c r="D63" s="432" t="s">
        <v>233</v>
      </c>
      <c r="E63" s="433">
        <v>0</v>
      </c>
      <c r="F63" s="433">
        <v>1</v>
      </c>
      <c r="G63" s="433">
        <v>-10000</v>
      </c>
      <c r="H63" s="433">
        <v>10000</v>
      </c>
      <c r="I63" s="433"/>
      <c r="J63" s="416">
        <v>0.19989999999999999</v>
      </c>
      <c r="K63" s="433">
        <v>10000</v>
      </c>
      <c r="L63" s="434" t="str">
        <f>'Kennzahlenbogen_(KB)'!O55</f>
        <v>n.d.</v>
      </c>
      <c r="M63" s="435">
        <f>IF('Kennzahlenbogen_(KB)'!P53=Berechnung1!$G$5,1,IF('Kennzahlenbogen_(KB)'!P53=Berechnung1!$F$5,1,IF('Kennzahlenbogen_(KB)'!P53=Berechnung1!$E$5,2,IF('Kennzahlenbogen_(KB)'!P53=Berechnung1!$D$5,3,IF('Kennzahlenbogen_(KB)'!P53=Berechnung1!$C$5,4,"")))))</f>
        <v>1</v>
      </c>
      <c r="N63" s="435">
        <f>IF(M63&gt;1,M63+3,M63)</f>
        <v>1</v>
      </c>
      <c r="O63" s="436">
        <f>IF('Kennzahlenbogen_(KB)'!R53="",0,1)</f>
        <v>0</v>
      </c>
    </row>
    <row r="64" spans="1:15" x14ac:dyDescent="0.2">
      <c r="A64" s="412"/>
      <c r="C64" s="419"/>
      <c r="D64" s="420"/>
      <c r="E64" s="421"/>
      <c r="F64" s="421"/>
      <c r="G64" s="421"/>
      <c r="H64" s="421"/>
      <c r="I64" s="421"/>
      <c r="J64" s="421"/>
      <c r="K64" s="421"/>
      <c r="L64" s="429"/>
      <c r="M64" s="423"/>
      <c r="N64" s="423"/>
      <c r="O64" s="438"/>
    </row>
    <row r="65" spans="1:16" x14ac:dyDescent="0.2">
      <c r="A65" s="412"/>
      <c r="C65" s="419"/>
      <c r="D65" s="420"/>
      <c r="E65" s="421"/>
      <c r="F65" s="421"/>
      <c r="G65" s="421"/>
      <c r="H65" s="421"/>
      <c r="I65" s="421"/>
      <c r="J65" s="421"/>
      <c r="K65" s="421"/>
      <c r="L65" s="429"/>
      <c r="M65" s="423"/>
      <c r="N65" s="423"/>
      <c r="O65" s="438"/>
    </row>
    <row r="66" spans="1:16" x14ac:dyDescent="0.2">
      <c r="B66" s="400"/>
      <c r="C66" s="431">
        <v>14</v>
      </c>
      <c r="D66" s="432" t="s">
        <v>233</v>
      </c>
      <c r="E66" s="433">
        <v>0</v>
      </c>
      <c r="F66" s="433">
        <v>1</v>
      </c>
      <c r="G66" s="433">
        <v>0.8</v>
      </c>
      <c r="H66" s="433">
        <v>10000</v>
      </c>
      <c r="I66" s="433"/>
      <c r="J66" s="416">
        <v>-10000</v>
      </c>
      <c r="K66" s="433">
        <v>10000</v>
      </c>
      <c r="L66" s="434" t="str">
        <f>'Kennzahlenbogen_(KB)'!O58</f>
        <v>n.d.</v>
      </c>
      <c r="M66" s="435">
        <f>IF('Kennzahlenbogen_(KB)'!P56=Berechnung1!$G$5,1,IF('Kennzahlenbogen_(KB)'!P56=Berechnung1!$F$5,1,IF('Kennzahlenbogen_(KB)'!P56=Berechnung1!$E$5,2,IF('Kennzahlenbogen_(KB)'!P56=Berechnung1!$D$5,3,IF('Kennzahlenbogen_(KB)'!P56=Berechnung1!$C$5,4,"")))))</f>
        <v>1</v>
      </c>
      <c r="N66" s="435">
        <f>IF(M66&gt;1,M66+3,M66)</f>
        <v>1</v>
      </c>
      <c r="O66" s="436">
        <f>IF('Kennzahlenbogen_(KB)'!R56="",0,1)</f>
        <v>0</v>
      </c>
      <c r="P66" s="400"/>
    </row>
    <row r="67" spans="1:16" x14ac:dyDescent="0.2">
      <c r="B67" s="400"/>
      <c r="C67" s="419"/>
      <c r="D67" s="420"/>
      <c r="E67" s="421"/>
      <c r="F67" s="421"/>
      <c r="G67" s="421"/>
      <c r="H67" s="421"/>
      <c r="I67" s="421"/>
      <c r="J67" s="421"/>
      <c r="K67" s="421"/>
      <c r="L67" s="429"/>
      <c r="M67" s="423"/>
      <c r="N67" s="429"/>
      <c r="O67" s="430"/>
      <c r="P67" s="400"/>
    </row>
    <row r="68" spans="1:16" x14ac:dyDescent="0.2">
      <c r="B68" s="400"/>
      <c r="C68" s="419"/>
      <c r="D68" s="420"/>
      <c r="E68" s="421"/>
      <c r="F68" s="421"/>
      <c r="G68" s="421"/>
      <c r="H68" s="421"/>
      <c r="I68" s="421"/>
      <c r="J68" s="421"/>
      <c r="K68" s="421"/>
      <c r="L68" s="429"/>
      <c r="M68" s="423"/>
      <c r="N68" s="429"/>
      <c r="O68" s="430"/>
      <c r="P68" s="400"/>
    </row>
    <row r="69" spans="1:16" x14ac:dyDescent="0.2">
      <c r="B69" s="407" t="s">
        <v>766</v>
      </c>
      <c r="C69" s="544">
        <v>15</v>
      </c>
      <c r="D69" s="545" t="s">
        <v>233</v>
      </c>
      <c r="E69" s="546">
        <v>0</v>
      </c>
      <c r="F69" s="546">
        <v>1</v>
      </c>
      <c r="G69" s="546">
        <v>0.8</v>
      </c>
      <c r="H69" s="546">
        <v>10000</v>
      </c>
      <c r="I69" s="546"/>
      <c r="J69" s="546">
        <v>-10000</v>
      </c>
      <c r="K69" s="546">
        <v>10000</v>
      </c>
      <c r="L69" s="547" t="str">
        <f>'Kennzahlenbogen_(KB)'!O61</f>
        <v>n.d.</v>
      </c>
      <c r="M69" s="548">
        <f>IF('Kennzahlenbogen_(KB)'!P59=Berechnung1!$H$5,5,IF('Kennzahlenbogen_(KB)'!P59=Berechnung1!$G$5,1,IF('Kennzahlenbogen_(KB)'!P59=Berechnung1!$F$5,1,IF('Kennzahlenbogen_(KB)'!P59=Berechnung1!$E$5,2,IF('Kennzahlenbogen_(KB)'!P59=Berechnung1!$D$5,3,IF('Kennzahlenbogen_(KB)'!P59=Berechnung1!$C$5,4,""))))))</f>
        <v>1</v>
      </c>
      <c r="N69" s="548">
        <f>IF(M69&gt;1,M69+3,M69)</f>
        <v>1</v>
      </c>
      <c r="O69" s="549">
        <f>IF('Kennzahlenbogen_(KB)'!R59="",0,1)</f>
        <v>0</v>
      </c>
      <c r="P69" s="400"/>
    </row>
    <row r="70" spans="1:16" x14ac:dyDescent="0.2">
      <c r="B70" s="400"/>
      <c r="C70" s="419"/>
      <c r="D70" s="420"/>
      <c r="E70" s="421"/>
      <c r="F70" s="421"/>
      <c r="G70" s="421"/>
      <c r="H70" s="421"/>
      <c r="I70" s="421"/>
      <c r="J70" s="421"/>
      <c r="K70" s="421"/>
      <c r="L70" s="429"/>
      <c r="M70" s="423"/>
      <c r="N70" s="429"/>
      <c r="O70" s="430"/>
      <c r="P70" s="400"/>
    </row>
    <row r="71" spans="1:16" x14ac:dyDescent="0.2">
      <c r="B71" s="400"/>
      <c r="C71" s="419"/>
      <c r="D71" s="420"/>
      <c r="E71" s="421"/>
      <c r="F71" s="421"/>
      <c r="G71" s="421"/>
      <c r="H71" s="421"/>
      <c r="I71" s="421"/>
      <c r="J71" s="421"/>
      <c r="K71" s="421"/>
      <c r="L71" s="429"/>
      <c r="M71" s="423"/>
      <c r="N71" s="429"/>
      <c r="O71" s="430"/>
      <c r="P71" s="400"/>
    </row>
    <row r="72" spans="1:16" x14ac:dyDescent="0.2">
      <c r="B72" s="407" t="s">
        <v>766</v>
      </c>
      <c r="C72" s="544">
        <v>16</v>
      </c>
      <c r="D72" s="545" t="s">
        <v>233</v>
      </c>
      <c r="E72" s="546">
        <v>0</v>
      </c>
      <c r="F72" s="546">
        <v>1</v>
      </c>
      <c r="G72" s="546">
        <v>0.6</v>
      </c>
      <c r="H72" s="546">
        <v>10000</v>
      </c>
      <c r="I72" s="546"/>
      <c r="J72" s="546">
        <v>-10000</v>
      </c>
      <c r="K72" s="546">
        <v>10000</v>
      </c>
      <c r="L72" s="547" t="str">
        <f>'Kennzahlenbogen_(KB)'!O64</f>
        <v>n.d.</v>
      </c>
      <c r="M72" s="548">
        <f>IF('Kennzahlenbogen_(KB)'!P62=Berechnung1!$H$5,5,IF('Kennzahlenbogen_(KB)'!P62=Berechnung1!$G$5,1,IF('Kennzahlenbogen_(KB)'!P62=Berechnung1!$F$5,1,IF('Kennzahlenbogen_(KB)'!P62=Berechnung1!$E$5,2,IF('Kennzahlenbogen_(KB)'!P62=Berechnung1!$D$5,3,IF('Kennzahlenbogen_(KB)'!P62=Berechnung1!$C$5,4,""))))))</f>
        <v>1</v>
      </c>
      <c r="N72" s="548">
        <f>IF(M72&gt;1,M72+3,M72)</f>
        <v>1</v>
      </c>
      <c r="O72" s="549">
        <f>IF('Kennzahlenbogen_(KB)'!R62="",0,1)</f>
        <v>0</v>
      </c>
      <c r="P72" s="400"/>
    </row>
    <row r="73" spans="1:16" x14ac:dyDescent="0.2">
      <c r="B73" s="400"/>
      <c r="C73" s="419"/>
      <c r="D73" s="420"/>
      <c r="E73" s="421"/>
      <c r="F73" s="421"/>
      <c r="G73" s="421"/>
      <c r="H73" s="421"/>
      <c r="I73" s="421"/>
      <c r="J73" s="421"/>
      <c r="K73" s="421"/>
      <c r="L73" s="429"/>
      <c r="M73" s="423"/>
      <c r="N73" s="429"/>
      <c r="O73" s="430"/>
      <c r="P73" s="400"/>
    </row>
    <row r="74" spans="1:16" x14ac:dyDescent="0.2">
      <c r="B74" s="400"/>
      <c r="C74" s="419"/>
      <c r="D74" s="420"/>
      <c r="E74" s="421"/>
      <c r="F74" s="421"/>
      <c r="G74" s="421"/>
      <c r="H74" s="421"/>
      <c r="I74" s="421"/>
      <c r="J74" s="421"/>
      <c r="K74" s="421"/>
      <c r="L74" s="429"/>
      <c r="M74" s="423"/>
      <c r="N74" s="429"/>
      <c r="O74" s="430"/>
      <c r="P74" s="400"/>
    </row>
    <row r="75" spans="1:16" x14ac:dyDescent="0.2">
      <c r="B75" s="407" t="s">
        <v>766</v>
      </c>
      <c r="C75" s="544">
        <v>17</v>
      </c>
      <c r="D75" s="545" t="s">
        <v>233</v>
      </c>
      <c r="E75" s="546">
        <v>0</v>
      </c>
      <c r="F75" s="546">
        <v>1</v>
      </c>
      <c r="G75" s="546">
        <v>0.8</v>
      </c>
      <c r="H75" s="546">
        <v>10000</v>
      </c>
      <c r="I75" s="546"/>
      <c r="J75" s="546">
        <v>-10000</v>
      </c>
      <c r="K75" s="546">
        <v>10000</v>
      </c>
      <c r="L75" s="547" t="str">
        <f>'Kennzahlenbogen_(KB)'!O67</f>
        <v>n.d.</v>
      </c>
      <c r="M75" s="548">
        <f>IF('Kennzahlenbogen_(KB)'!P65=Berechnung1!$H$5,5,IF('Kennzahlenbogen_(KB)'!P65=Berechnung1!$G$5,1,IF('Kennzahlenbogen_(KB)'!P65=Berechnung1!$F$5,1,IF('Kennzahlenbogen_(KB)'!P65=Berechnung1!$E$5,2,IF(AND('Kennzahlenbogen_(KB)'!P65=Berechnung1!$D$5,'Kennzahlenbogen_(KB)'!O65=0,'Kennzahlenbogen_(KB)'!O66=0),5,IF('Kennzahlenbogen_(KB)'!P65=Berechnung1!$D$5,3,IF('Kennzahlenbogen_(KB)'!P65=Berechnung1!$C$5,4,"")))))))</f>
        <v>1</v>
      </c>
      <c r="N75" s="548">
        <f>IF(M75&gt;1,M75+3,M75)</f>
        <v>1</v>
      </c>
      <c r="O75" s="549">
        <f>IF('Kennzahlenbogen_(KB)'!R65="",0,1)</f>
        <v>0</v>
      </c>
      <c r="P75" s="400"/>
    </row>
    <row r="76" spans="1:16" x14ac:dyDescent="0.2">
      <c r="C76" s="419"/>
      <c r="D76" s="420"/>
      <c r="E76" s="421"/>
      <c r="F76" s="421"/>
      <c r="G76" s="421"/>
      <c r="H76" s="421"/>
      <c r="I76" s="421"/>
      <c r="J76" s="421"/>
      <c r="K76" s="421"/>
      <c r="L76" s="429"/>
      <c r="M76" s="423"/>
      <c r="N76" s="423"/>
      <c r="O76" s="438"/>
      <c r="P76" s="400"/>
    </row>
    <row r="77" spans="1:16" x14ac:dyDescent="0.2">
      <c r="C77" s="419"/>
      <c r="D77" s="420"/>
      <c r="E77" s="421"/>
      <c r="F77" s="421"/>
      <c r="G77" s="421"/>
      <c r="H77" s="421"/>
      <c r="I77" s="421"/>
      <c r="J77" s="421"/>
      <c r="K77" s="421"/>
      <c r="L77" s="429"/>
      <c r="M77" s="423"/>
      <c r="N77" s="423"/>
      <c r="O77" s="438"/>
      <c r="P77" s="400"/>
    </row>
    <row r="78" spans="1:16" x14ac:dyDescent="0.2">
      <c r="B78" s="11" t="s">
        <v>766</v>
      </c>
      <c r="C78" s="625" t="s">
        <v>1115</v>
      </c>
      <c r="D78" s="545" t="s">
        <v>233</v>
      </c>
      <c r="E78" s="546">
        <v>0</v>
      </c>
      <c r="F78" s="546">
        <v>1</v>
      </c>
      <c r="G78" s="546">
        <v>-10000</v>
      </c>
      <c r="H78" s="546">
        <v>10000</v>
      </c>
      <c r="I78" s="546"/>
      <c r="J78" s="546">
        <v>0.5</v>
      </c>
      <c r="K78" s="546">
        <v>10000</v>
      </c>
      <c r="L78" s="626" t="str">
        <f>'Kennzahlenbogen_(KB)'!O70</f>
        <v>n.d.</v>
      </c>
      <c r="M78" s="548">
        <f>IF('Kennzahlenbogen_(KB)'!P68=Berechnung1!$H$17,5,IF('Kennzahlenbogen_(KB)'!P68=Berechnung1!$G$17,1,IF('Kennzahlenbogen_(KB)'!P68=Berechnung1!$F$17,1,IF('Kennzahlenbogen_(KB)'!P68=Berechnung1!$E$17,2,IF(AND('Kennzahlenbogen_(KB)'!P68=Berechnung1!$D$5,'Kennzahlenbogen_(KB)'!O68=0,'Kennzahlenbogen_(KB)'!O69=0),5,IF('Kennzahlenbogen_(KB)'!P68=Berechnung1!$D$17,3,IF('Kennzahlenbogen_(KB)'!P68=Berechnung1!$C$17,4,"")))))))</f>
        <v>1</v>
      </c>
      <c r="N78" s="548">
        <f t="shared" ref="N78" si="1">IF(M78&gt;1,M78+3,M78)</f>
        <v>1</v>
      </c>
      <c r="O78" s="549">
        <f>IF('Kennzahlenbogen_(KB)'!R68="",0,1)</f>
        <v>0</v>
      </c>
      <c r="P78" s="400"/>
    </row>
    <row r="79" spans="1:16" x14ac:dyDescent="0.2">
      <c r="C79" s="419"/>
      <c r="D79" s="420"/>
      <c r="E79" s="421"/>
      <c r="F79" s="421"/>
      <c r="G79" s="421"/>
      <c r="H79" s="421"/>
      <c r="I79" s="421"/>
      <c r="J79" s="421"/>
      <c r="K79" s="421"/>
      <c r="L79" s="429"/>
      <c r="M79" s="423"/>
      <c r="N79" s="429"/>
      <c r="O79" s="430"/>
      <c r="P79" s="400"/>
    </row>
    <row r="80" spans="1:16" x14ac:dyDescent="0.2">
      <c r="C80" s="419"/>
      <c r="D80" s="420"/>
      <c r="E80" s="421"/>
      <c r="F80" s="421"/>
      <c r="G80" s="421"/>
      <c r="H80" s="421"/>
      <c r="I80" s="421"/>
      <c r="J80" s="421"/>
      <c r="K80" s="421"/>
      <c r="L80" s="429"/>
      <c r="M80" s="423"/>
      <c r="N80" s="429"/>
      <c r="O80" s="430"/>
      <c r="P80" s="400"/>
    </row>
    <row r="81" spans="1:15" s="400" customFormat="1" x14ac:dyDescent="0.2">
      <c r="B81" s="407" t="s">
        <v>766</v>
      </c>
      <c r="C81" s="544">
        <v>19</v>
      </c>
      <c r="D81" s="545" t="s">
        <v>233</v>
      </c>
      <c r="E81" s="546">
        <v>0</v>
      </c>
      <c r="F81" s="546">
        <v>1</v>
      </c>
      <c r="G81" s="546">
        <v>0.8</v>
      </c>
      <c r="H81" s="546">
        <v>10000</v>
      </c>
      <c r="I81" s="546"/>
      <c r="J81" s="546">
        <v>-10000</v>
      </c>
      <c r="K81" s="546">
        <v>10000</v>
      </c>
      <c r="L81" s="547" t="str">
        <f>'Kennzahlenbogen_(KB)'!O73</f>
        <v>n.d.</v>
      </c>
      <c r="M81" s="548">
        <f>IF('Kennzahlenbogen_(KB)'!P71=Berechnung1!$H$5,5,IF('Kennzahlenbogen_(KB)'!P71=Berechnung1!$G$5,1,IF('Kennzahlenbogen_(KB)'!P71=Berechnung1!$F$5,1,IF('Kennzahlenbogen_(KB)'!P71=Berechnung1!$E$5,2,IF(AND('Kennzahlenbogen_(KB)'!P71=Berechnung1!$D$5,'Kennzahlenbogen_(KB)'!O71=0,'Kennzahlenbogen_(KB)'!O72=0),5,IF('Kennzahlenbogen_(KB)'!P71=Berechnung1!$D$5,3,IF('Kennzahlenbogen_(KB)'!P71=Berechnung1!$C$5,4,"")))))))</f>
        <v>1</v>
      </c>
      <c r="N81" s="548">
        <f>IF(M81&gt;1,M81+3,M81)</f>
        <v>1</v>
      </c>
      <c r="O81" s="549">
        <f>IF('Kennzahlenbogen_(KB)'!R71="",0,1)</f>
        <v>0</v>
      </c>
    </row>
    <row r="82" spans="1:15" x14ac:dyDescent="0.2">
      <c r="C82" s="419"/>
      <c r="D82" s="420"/>
      <c r="E82" s="421"/>
      <c r="F82" s="421"/>
      <c r="G82" s="421"/>
      <c r="H82" s="421"/>
      <c r="I82" s="421"/>
      <c r="J82" s="421"/>
      <c r="K82" s="421"/>
      <c r="L82" s="429"/>
      <c r="M82" s="423"/>
      <c r="N82" s="429"/>
      <c r="O82" s="430"/>
    </row>
    <row r="83" spans="1:15" x14ac:dyDescent="0.2">
      <c r="C83" s="419"/>
      <c r="D83" s="420"/>
      <c r="E83" s="421"/>
      <c r="F83" s="421"/>
      <c r="G83" s="421"/>
      <c r="H83" s="421"/>
      <c r="I83" s="421"/>
      <c r="J83" s="421"/>
      <c r="K83" s="421"/>
      <c r="L83" s="429"/>
      <c r="M83" s="423"/>
      <c r="N83" s="429"/>
      <c r="O83" s="430"/>
    </row>
    <row r="84" spans="1:15" x14ac:dyDescent="0.2">
      <c r="A84" s="400"/>
      <c r="B84" s="407" t="s">
        <v>766</v>
      </c>
      <c r="C84" s="544">
        <v>20</v>
      </c>
      <c r="D84" s="545" t="s">
        <v>233</v>
      </c>
      <c r="E84" s="546">
        <v>0</v>
      </c>
      <c r="F84" s="546">
        <v>1</v>
      </c>
      <c r="G84" s="546">
        <v>0.8</v>
      </c>
      <c r="H84" s="546">
        <v>10000</v>
      </c>
      <c r="I84" s="546"/>
      <c r="J84" s="546">
        <v>-10000</v>
      </c>
      <c r="K84" s="546">
        <v>10000</v>
      </c>
      <c r="L84" s="547" t="str">
        <f>'Kennzahlenbogen_(KB)'!O76</f>
        <v>n.d.</v>
      </c>
      <c r="M84" s="548">
        <f>IF('Kennzahlenbogen_(KB)'!P74=Berechnung1!$H$5,5,IF('Kennzahlenbogen_(KB)'!P74=Berechnung1!$G$5,1,IF('Kennzahlenbogen_(KB)'!P74=Berechnung1!$F$5,1,IF('Kennzahlenbogen_(KB)'!P74=Berechnung1!$E$5,2,IF(AND('Kennzahlenbogen_(KB)'!P74=Berechnung1!$D$5,'Kennzahlenbogen_(KB)'!O74=0,'Kennzahlenbogen_(KB)'!O75=0),5,IF('Kennzahlenbogen_(KB)'!P74=Berechnung1!$D$5,3,IF('Kennzahlenbogen_(KB)'!P74=Berechnung1!$C$5,4,"")))))))</f>
        <v>1</v>
      </c>
      <c r="N84" s="548">
        <f t="shared" ref="N84" si="2">IF(M84&gt;1,M84+3,M84)</f>
        <v>1</v>
      </c>
      <c r="O84" s="549">
        <f>IF('Kennzahlenbogen_(KB)'!R74="",0,1)</f>
        <v>0</v>
      </c>
    </row>
    <row r="85" spans="1:15" x14ac:dyDescent="0.2">
      <c r="C85" s="419"/>
      <c r="D85" s="420"/>
      <c r="E85" s="421"/>
      <c r="F85" s="421"/>
      <c r="G85" s="421"/>
      <c r="H85" s="421"/>
      <c r="I85" s="421"/>
      <c r="J85" s="421"/>
      <c r="K85" s="421"/>
      <c r="L85" s="429"/>
      <c r="M85" s="423"/>
      <c r="N85" s="429"/>
      <c r="O85" s="430"/>
    </row>
    <row r="86" spans="1:15" x14ac:dyDescent="0.2">
      <c r="C86" s="419"/>
      <c r="D86" s="420"/>
      <c r="E86" s="421"/>
      <c r="F86" s="421"/>
      <c r="G86" s="421"/>
      <c r="H86" s="421"/>
      <c r="I86" s="421"/>
      <c r="J86" s="421"/>
      <c r="K86" s="421"/>
      <c r="L86" s="429"/>
      <c r="M86" s="423"/>
      <c r="N86" s="429"/>
      <c r="O86" s="430"/>
    </row>
    <row r="87" spans="1:15" x14ac:dyDescent="0.2">
      <c r="A87" s="400"/>
      <c r="B87" s="407" t="s">
        <v>766</v>
      </c>
      <c r="C87" s="544">
        <v>21</v>
      </c>
      <c r="D87" s="545" t="s">
        <v>233</v>
      </c>
      <c r="E87" s="546">
        <v>0</v>
      </c>
      <c r="F87" s="546">
        <v>1</v>
      </c>
      <c r="G87" s="546">
        <v>0.9</v>
      </c>
      <c r="H87" s="546">
        <v>10000</v>
      </c>
      <c r="I87" s="546"/>
      <c r="J87" s="546">
        <v>-10000</v>
      </c>
      <c r="K87" s="546">
        <v>10000</v>
      </c>
      <c r="L87" s="547" t="str">
        <f>'Kennzahlenbogen_(KB)'!O79</f>
        <v>n.d.</v>
      </c>
      <c r="M87" s="548">
        <f>IF('Kennzahlenbogen_(KB)'!P77=Berechnung1!$H$5,5,IF('Kennzahlenbogen_(KB)'!P77=Berechnung1!$G$5,1,IF('Kennzahlenbogen_(KB)'!P77=Berechnung1!$F$5,1,IF('Kennzahlenbogen_(KB)'!P77=Berechnung1!$E$5,2,IF(AND('Kennzahlenbogen_(KB)'!P77=Berechnung1!$D$5,'Kennzahlenbogen_(KB)'!O77=0,'Kennzahlenbogen_(KB)'!O78=0),5,IF('Kennzahlenbogen_(KB)'!P77=Berechnung1!$D$5,3,IF('Kennzahlenbogen_(KB)'!P77=Berechnung1!$C$5,4,"")))))))</f>
        <v>1</v>
      </c>
      <c r="N87" s="548">
        <f>IF(M87&gt;1,M87+3,M87)</f>
        <v>1</v>
      </c>
      <c r="O87" s="549">
        <f>IF('Kennzahlenbogen_(KB)'!R77="",0,1)</f>
        <v>0</v>
      </c>
    </row>
    <row r="88" spans="1:15" x14ac:dyDescent="0.2">
      <c r="C88" s="419"/>
      <c r="D88" s="420"/>
      <c r="E88" s="421"/>
      <c r="F88" s="421"/>
      <c r="G88" s="421"/>
      <c r="H88" s="421"/>
      <c r="I88" s="421"/>
      <c r="J88" s="421"/>
      <c r="K88" s="421"/>
      <c r="L88" s="429"/>
      <c r="M88" s="423"/>
      <c r="N88" s="429"/>
      <c r="O88" s="430"/>
    </row>
    <row r="89" spans="1:15" x14ac:dyDescent="0.2">
      <c r="C89" s="419"/>
      <c r="D89" s="420"/>
      <c r="E89" s="421"/>
      <c r="F89" s="421"/>
      <c r="G89" s="421"/>
      <c r="H89" s="421"/>
      <c r="I89" s="421"/>
      <c r="J89" s="421"/>
      <c r="K89" s="421"/>
      <c r="L89" s="429"/>
      <c r="M89" s="423"/>
      <c r="N89" s="429"/>
      <c r="O89" s="430"/>
    </row>
    <row r="90" spans="1:15" x14ac:dyDescent="0.2">
      <c r="A90" s="400"/>
      <c r="B90" s="407" t="s">
        <v>766</v>
      </c>
      <c r="C90" s="544">
        <v>22</v>
      </c>
      <c r="D90" s="545" t="s">
        <v>233</v>
      </c>
      <c r="E90" s="546">
        <v>0</v>
      </c>
      <c r="F90" s="546">
        <v>1</v>
      </c>
      <c r="G90" s="546">
        <v>0.8</v>
      </c>
      <c r="H90" s="546">
        <v>10000</v>
      </c>
      <c r="I90" s="546"/>
      <c r="J90" s="546">
        <v>-10000</v>
      </c>
      <c r="K90" s="546">
        <v>10000</v>
      </c>
      <c r="L90" s="547" t="str">
        <f>'Kennzahlenbogen_(KB)'!O82</f>
        <v>n.d.</v>
      </c>
      <c r="M90" s="548">
        <f>IF('Kennzahlenbogen_(KB)'!P80=Berechnung1!$H$5,5,IF('Kennzahlenbogen_(KB)'!P80=Berechnung1!$G$5,1,IF('Kennzahlenbogen_(KB)'!P80=Berechnung1!$F$5,1,IF('Kennzahlenbogen_(KB)'!P80=Berechnung1!$E$5,2,IF(AND('Kennzahlenbogen_(KB)'!P80=Berechnung1!$D$5,'Kennzahlenbogen_(KB)'!O80=0,'Kennzahlenbogen_(KB)'!O81=0),5,IF('Kennzahlenbogen_(KB)'!P80=Berechnung1!$D$5,3,IF('Kennzahlenbogen_(KB)'!P80=Berechnung1!$C$5,4,"")))))))</f>
        <v>1</v>
      </c>
      <c r="N90" s="548">
        <f t="shared" ref="N90" si="3">IF(M90&gt;1,M90+3,M90)</f>
        <v>1</v>
      </c>
      <c r="O90" s="549">
        <f>IF('Kennzahlenbogen_(KB)'!R80="",0,1)</f>
        <v>0</v>
      </c>
    </row>
    <row r="91" spans="1:15" x14ac:dyDescent="0.2">
      <c r="C91" s="439"/>
      <c r="D91" s="440"/>
      <c r="E91" s="437"/>
      <c r="F91" s="437"/>
      <c r="G91" s="437"/>
      <c r="H91" s="437"/>
      <c r="I91" s="437"/>
      <c r="J91" s="437"/>
      <c r="K91" s="437"/>
      <c r="L91" s="441"/>
      <c r="M91" s="423"/>
      <c r="N91" s="423"/>
      <c r="O91" s="438"/>
    </row>
    <row r="92" spans="1:15" x14ac:dyDescent="0.2">
      <c r="C92" s="419"/>
      <c r="D92" s="420"/>
      <c r="E92" s="421"/>
      <c r="F92" s="421"/>
      <c r="G92" s="421"/>
      <c r="H92" s="421"/>
      <c r="I92" s="421"/>
      <c r="J92" s="421"/>
      <c r="K92" s="421"/>
      <c r="L92" s="429"/>
      <c r="M92" s="423"/>
      <c r="N92" s="429"/>
      <c r="O92" s="430"/>
    </row>
    <row r="93" spans="1:15" x14ac:dyDescent="0.2">
      <c r="B93" s="11" t="s">
        <v>766</v>
      </c>
      <c r="C93" s="544">
        <v>23</v>
      </c>
      <c r="D93" s="545" t="s">
        <v>233</v>
      </c>
      <c r="E93" s="546">
        <v>0</v>
      </c>
      <c r="F93" s="546">
        <v>1</v>
      </c>
      <c r="G93" s="546">
        <v>-10000</v>
      </c>
      <c r="H93" s="546">
        <v>0.05</v>
      </c>
      <c r="I93" s="546"/>
      <c r="J93" s="546">
        <v>-10000</v>
      </c>
      <c r="K93" s="546">
        <v>10000</v>
      </c>
      <c r="L93" s="547" t="str">
        <f>'Kennzahlenbogen_(KB)'!O85</f>
        <v>n.d.</v>
      </c>
      <c r="M93" s="548">
        <f>IF('Kennzahlenbogen_(KB)'!P83=Berechnung1!$H$5,5,IF('Kennzahlenbogen_(KB)'!P83=Berechnung1!$G$5,1,IF('Kennzahlenbogen_(KB)'!P83=Berechnung1!$F$5,1,IF('Kennzahlenbogen_(KB)'!P83=Berechnung1!$E$5,2,IF(AND('Kennzahlenbogen_(KB)'!P83=Berechnung1!$D$5,'Kennzahlenbogen_(KB)'!O84=0,'Kennzahlenbogen_(KB)'!O83=0),5,IF('Kennzahlenbogen_(KB)'!P83=Berechnung1!$D$5,3,IF('Kennzahlenbogen_(KB)'!P83=Berechnung1!$C$5,4,"")))))))</f>
        <v>1</v>
      </c>
      <c r="N93" s="548">
        <f>IF(M93&gt;1,M93+3,M93)</f>
        <v>1</v>
      </c>
      <c r="O93" s="549">
        <f>IF('Kennzahlenbogen_(KB)'!R83="",0,1)</f>
        <v>0</v>
      </c>
    </row>
    <row r="94" spans="1:15" x14ac:dyDescent="0.2">
      <c r="C94" s="439"/>
      <c r="D94" s="440"/>
      <c r="E94" s="437"/>
      <c r="F94" s="437"/>
      <c r="G94" s="437"/>
      <c r="H94" s="437"/>
      <c r="I94" s="437"/>
      <c r="J94" s="437"/>
      <c r="K94" s="437"/>
      <c r="L94" s="441"/>
      <c r="M94" s="423" t="str">
        <f>IF('Kennzahlenbogen_(KB)'!P84=Berechnung1!$G$17,1,IF('Kennzahlenbogen_(KB)'!P84=Berechnung1!$F$17,1,IF('Kennzahlenbogen_(KB)'!P84=Berechnung1!$E$17,2,IF('Kennzahlenbogen_(KB)'!P84=Berechnung1!$D$17,3,IF('Kennzahlenbogen_(KB)'!P84=Berechnung1!$C$17,4,"")))))</f>
        <v/>
      </c>
      <c r="N94" s="423"/>
      <c r="O94" s="438"/>
    </row>
    <row r="95" spans="1:15" x14ac:dyDescent="0.2">
      <c r="C95" s="419"/>
      <c r="D95" s="420"/>
      <c r="E95" s="421"/>
      <c r="F95" s="421"/>
      <c r="G95" s="421"/>
      <c r="H95" s="421"/>
      <c r="I95" s="421"/>
      <c r="J95" s="421"/>
      <c r="K95" s="421"/>
      <c r="L95" s="429"/>
      <c r="M95" s="423" t="str">
        <f>IF('Kennzahlenbogen_(KB)'!P85=Berechnung1!$G$17,1,IF('Kennzahlenbogen_(KB)'!P85=Berechnung1!$F$17,1,IF('Kennzahlenbogen_(KB)'!P85=Berechnung1!$E$17,2,IF('Kennzahlenbogen_(KB)'!P85=Berechnung1!$D$17,3,IF('Kennzahlenbogen_(KB)'!P85=Berechnung1!$C$17,4,"")))))</f>
        <v/>
      </c>
      <c r="N95" s="429"/>
      <c r="O95" s="430"/>
    </row>
    <row r="96" spans="1:15" x14ac:dyDescent="0.2">
      <c r="B96" s="11" t="s">
        <v>766</v>
      </c>
      <c r="C96" s="544">
        <v>24</v>
      </c>
      <c r="D96" s="545" t="s">
        <v>233</v>
      </c>
      <c r="E96" s="546">
        <v>0</v>
      </c>
      <c r="F96" s="546">
        <v>1</v>
      </c>
      <c r="G96" s="546">
        <v>-10000</v>
      </c>
      <c r="H96" s="546">
        <v>0.05</v>
      </c>
      <c r="I96" s="546"/>
      <c r="J96" s="546">
        <v>-10000</v>
      </c>
      <c r="K96" s="546">
        <v>10000</v>
      </c>
      <c r="L96" s="547" t="str">
        <f>'Kennzahlenbogen_(KB)'!O88</f>
        <v>n.d.</v>
      </c>
      <c r="M96" s="548">
        <f>IF('Kennzahlenbogen_(KB)'!P86=Berechnung1!$H$5,5,IF('Kennzahlenbogen_(KB)'!P86=Berechnung1!$G$5,1,IF('Kennzahlenbogen_(KB)'!P86=Berechnung1!$F$5,1,IF('Kennzahlenbogen_(KB)'!P86=Berechnung1!$E$5,2,IF(AND('Kennzahlenbogen_(KB)'!P86=Berechnung1!$D$5,'Kennzahlenbogen_(KB)'!O87=0,'Kennzahlenbogen_(KB)'!O86=0),5,IF('Kennzahlenbogen_(KB)'!P86=Berechnung1!$D$5,3,IF('Kennzahlenbogen_(KB)'!P86=Berechnung1!$C$5,4,"")))))))</f>
        <v>1</v>
      </c>
      <c r="N96" s="548">
        <f t="shared" ref="N96" si="4">IF(M96&gt;1,M96+3,M96)</f>
        <v>1</v>
      </c>
      <c r="O96" s="549">
        <f>IF('Kennzahlenbogen_(KB)'!R86="",0,1)</f>
        <v>0</v>
      </c>
    </row>
    <row r="97" spans="2:15" x14ac:dyDescent="0.2">
      <c r="C97" s="439"/>
      <c r="D97" s="440"/>
      <c r="E97" s="437"/>
      <c r="F97" s="437"/>
      <c r="G97" s="437"/>
      <c r="H97" s="437"/>
      <c r="I97" s="437"/>
      <c r="J97" s="437"/>
      <c r="K97" s="437"/>
      <c r="L97" s="441"/>
      <c r="M97" s="423"/>
      <c r="N97" s="423"/>
      <c r="O97" s="438"/>
    </row>
    <row r="98" spans="2:15" x14ac:dyDescent="0.2">
      <c r="C98" s="419"/>
      <c r="D98" s="420"/>
      <c r="E98" s="421"/>
      <c r="F98" s="421"/>
      <c r="G98" s="421"/>
      <c r="H98" s="421"/>
      <c r="I98" s="421"/>
      <c r="J98" s="421"/>
      <c r="K98" s="421"/>
      <c r="L98" s="429"/>
      <c r="M98" s="423"/>
      <c r="N98" s="429"/>
      <c r="O98" s="430"/>
    </row>
    <row r="99" spans="2:15" x14ac:dyDescent="0.2">
      <c r="B99" s="11" t="s">
        <v>766</v>
      </c>
      <c r="C99" s="627" t="s">
        <v>1116</v>
      </c>
      <c r="D99" s="545" t="s">
        <v>233</v>
      </c>
      <c r="E99" s="546">
        <v>0</v>
      </c>
      <c r="F99" s="546">
        <v>1</v>
      </c>
      <c r="G99" s="546">
        <v>-10000</v>
      </c>
      <c r="H99" s="546">
        <v>10000</v>
      </c>
      <c r="I99" s="546"/>
      <c r="J99" s="546">
        <v>0.9</v>
      </c>
      <c r="K99" s="546">
        <v>10000</v>
      </c>
      <c r="L99" s="547" t="str">
        <f>'Kennzahlenbogen_(KB)'!O91</f>
        <v>n.d.</v>
      </c>
      <c r="M99" s="548">
        <f>IF('Kennzahlenbogen_(KB)'!P89=Berechnung1!$H$17,5,IF('Kennzahlenbogen_(KB)'!P89=Berechnung1!$G$17,1,IF('Kennzahlenbogen_(KB)'!P89=Berechnung1!$F$17,1,IF('Kennzahlenbogen_(KB)'!P89=Berechnung1!$E$17,2,IF(AND('Kennzahlenbogen_(KB)'!P89=Berechnung1!$D$17,'Kennzahlenbogen_(KB)'!O90=0,'Kennzahlenbogen_(KB)'!O89=0),5,IF('Kennzahlenbogen_(KB)'!P89=Berechnung1!$D$17,3,IF('Kennzahlenbogen_(KB)'!P89=Berechnung1!$C$17,4,"")))))))</f>
        <v>1</v>
      </c>
      <c r="N99" s="548">
        <f t="shared" ref="N99" si="5">IF(M99&gt;1,M99+3,M99)</f>
        <v>1</v>
      </c>
      <c r="O99" s="549">
        <f>IF('Kennzahlenbogen_(KB)'!R89="",0,1)</f>
        <v>0</v>
      </c>
    </row>
    <row r="100" spans="2:15" x14ac:dyDescent="0.2">
      <c r="C100" s="439"/>
      <c r="D100" s="440"/>
      <c r="E100" s="437"/>
      <c r="F100" s="437"/>
      <c r="G100" s="437"/>
      <c r="H100" s="437"/>
      <c r="I100" s="437"/>
      <c r="J100" s="437"/>
      <c r="K100" s="437"/>
      <c r="L100" s="441"/>
      <c r="M100" s="423" t="str">
        <f>IF('Kennzahlenbogen_(KB)'!P90=Berechnung1!$H$17,5,IF('Kennzahlenbogen_(KB)'!P90=Berechnung1!$G$17,1,IF('Kennzahlenbogen_(KB)'!P90=Berechnung1!$F$17,1,IF('Kennzahlenbogen_(KB)'!P90=Berechnung1!$E$17,2,IF(AND('Kennzahlenbogen_(KB)'!P90=Berechnung1!$D$17,'Kennzahlenbogen_(KB)'!O91=0,'Kennzahlenbogen_(KB)'!O90=0),5,IF('Kennzahlenbogen_(KB)'!P90=Berechnung1!$D$17,3,IF('Kennzahlenbogen_(KB)'!P90=Berechnung1!$C$17,4,"")))))))</f>
        <v/>
      </c>
      <c r="N100" s="423"/>
      <c r="O100" s="438"/>
    </row>
    <row r="101" spans="2:15" x14ac:dyDescent="0.2">
      <c r="C101" s="419"/>
      <c r="D101" s="420"/>
      <c r="E101" s="421"/>
      <c r="F101" s="421"/>
      <c r="G101" s="421"/>
      <c r="H101" s="421"/>
      <c r="I101" s="421"/>
      <c r="J101" s="421"/>
      <c r="K101" s="421"/>
      <c r="L101" s="429"/>
      <c r="M101" s="423" t="str">
        <f>IF('Kennzahlenbogen_(KB)'!P91=Berechnung1!$H$17,5,IF('Kennzahlenbogen_(KB)'!P91=Berechnung1!$G$17,1,IF('Kennzahlenbogen_(KB)'!P91=Berechnung1!$F$17,1,IF('Kennzahlenbogen_(KB)'!P91=Berechnung1!$E$17,2,IF(AND('Kennzahlenbogen_(KB)'!P91=Berechnung1!$D$17,'Kennzahlenbogen_(KB)'!O92=0,'Kennzahlenbogen_(KB)'!O91=0),5,IF('Kennzahlenbogen_(KB)'!P91=Berechnung1!$D$17,3,IF('Kennzahlenbogen_(KB)'!P91=Berechnung1!$C$17,4,"")))))))</f>
        <v/>
      </c>
      <c r="N101" s="429"/>
      <c r="O101" s="430"/>
    </row>
    <row r="102" spans="2:15" x14ac:dyDescent="0.2">
      <c r="B102" s="11" t="s">
        <v>766</v>
      </c>
      <c r="C102" s="627" t="s">
        <v>1117</v>
      </c>
      <c r="D102" s="545" t="s">
        <v>233</v>
      </c>
      <c r="E102" s="546">
        <v>0</v>
      </c>
      <c r="F102" s="546">
        <v>1</v>
      </c>
      <c r="G102" s="546">
        <v>-10000</v>
      </c>
      <c r="H102" s="546">
        <v>10000</v>
      </c>
      <c r="I102" s="546"/>
      <c r="J102" s="546">
        <v>0.9</v>
      </c>
      <c r="K102" s="546">
        <v>10000</v>
      </c>
      <c r="L102" s="547" t="str">
        <f>'Kennzahlenbogen_(KB)'!O94</f>
        <v>n.d.</v>
      </c>
      <c r="M102" s="548">
        <f>IF('Kennzahlenbogen_(KB)'!P92=Berechnung1!$H$17,5,IF('Kennzahlenbogen_(KB)'!P92=Berechnung1!$G$17,1,IF('Kennzahlenbogen_(KB)'!P92=Berechnung1!$F$17,1,IF('Kennzahlenbogen_(KB)'!P92=Berechnung1!$E$17,2,IF(AND('Kennzahlenbogen_(KB)'!P92=Berechnung1!$D$17,'Kennzahlenbogen_(KB)'!O93=0,'Kennzahlenbogen_(KB)'!O92=0),5,IF('Kennzahlenbogen_(KB)'!P92=Berechnung1!$D$17,3,IF('Kennzahlenbogen_(KB)'!P92=Berechnung1!$C$17,4,"")))))))</f>
        <v>1</v>
      </c>
      <c r="N102" s="548">
        <f t="shared" ref="N102" si="6">IF(M102&gt;1,M102+3,M102)</f>
        <v>1</v>
      </c>
      <c r="O102" s="549">
        <f>IF('Kennzahlenbogen_(KB)'!R92="",0,1)</f>
        <v>0</v>
      </c>
    </row>
    <row r="103" spans="2:15" x14ac:dyDescent="0.2">
      <c r="C103" s="439"/>
      <c r="D103" s="440"/>
      <c r="E103" s="437"/>
      <c r="F103" s="437"/>
      <c r="G103" s="437"/>
      <c r="H103" s="437"/>
      <c r="I103" s="437"/>
      <c r="J103" s="437"/>
      <c r="K103" s="437"/>
      <c r="L103" s="441"/>
      <c r="M103" s="423"/>
      <c r="N103" s="423"/>
      <c r="O103" s="438"/>
    </row>
    <row r="104" spans="2:15" x14ac:dyDescent="0.2">
      <c r="C104" s="419"/>
      <c r="D104" s="420"/>
      <c r="E104" s="421"/>
      <c r="F104" s="421"/>
      <c r="G104" s="421"/>
      <c r="H104" s="421"/>
      <c r="I104" s="421"/>
      <c r="J104" s="421"/>
      <c r="K104" s="421"/>
      <c r="L104" s="429"/>
      <c r="M104" s="423"/>
      <c r="N104" s="429"/>
      <c r="O104" s="430"/>
    </row>
    <row r="105" spans="2:15" x14ac:dyDescent="0.2">
      <c r="C105" s="442"/>
      <c r="D105" s="412"/>
      <c r="E105" s="443"/>
      <c r="F105" s="443"/>
      <c r="G105" s="443"/>
      <c r="H105" s="443"/>
      <c r="I105" s="443"/>
      <c r="J105" s="443"/>
      <c r="K105" s="443"/>
      <c r="L105" s="444"/>
      <c r="M105" s="445"/>
      <c r="N105" s="444"/>
      <c r="O105" s="446"/>
    </row>
    <row r="106" spans="2:15" x14ac:dyDescent="0.2">
      <c r="C106" s="442"/>
      <c r="D106" s="412"/>
      <c r="E106" s="443"/>
      <c r="F106" s="443"/>
      <c r="G106" s="443"/>
      <c r="H106" s="443"/>
      <c r="I106" s="443"/>
      <c r="J106" s="443"/>
      <c r="K106" s="443"/>
      <c r="L106" s="444"/>
      <c r="M106" s="445"/>
      <c r="N106" s="444"/>
      <c r="O106" s="446"/>
    </row>
    <row r="107" spans="2:15" x14ac:dyDescent="0.2">
      <c r="C107" s="442"/>
      <c r="D107" s="412"/>
      <c r="E107" s="443"/>
      <c r="F107" s="443"/>
      <c r="G107" s="443"/>
      <c r="H107" s="443"/>
      <c r="I107" s="443"/>
      <c r="J107" s="443"/>
      <c r="K107" s="443"/>
      <c r="L107" s="444"/>
      <c r="M107" s="445"/>
      <c r="N107" s="444"/>
      <c r="O107" s="446"/>
    </row>
    <row r="108" spans="2:15" x14ac:dyDescent="0.2">
      <c r="C108" s="442"/>
      <c r="D108" s="412"/>
      <c r="E108" s="443"/>
      <c r="F108" s="443"/>
      <c r="G108" s="443"/>
      <c r="H108" s="443"/>
      <c r="I108" s="443"/>
      <c r="J108" s="443"/>
      <c r="K108" s="443"/>
      <c r="L108" s="444"/>
      <c r="M108" s="445"/>
      <c r="N108" s="444"/>
      <c r="O108" s="446"/>
    </row>
    <row r="109" spans="2:15" x14ac:dyDescent="0.2">
      <c r="C109" s="442"/>
      <c r="D109" s="412"/>
      <c r="E109" s="443"/>
      <c r="F109" s="443"/>
      <c r="G109" s="443"/>
      <c r="H109" s="443"/>
      <c r="I109" s="443"/>
      <c r="J109" s="443"/>
      <c r="K109" s="443"/>
      <c r="L109" s="444"/>
      <c r="M109" s="445"/>
      <c r="N109" s="444"/>
      <c r="O109" s="446"/>
    </row>
    <row r="110" spans="2:15" x14ac:dyDescent="0.2">
      <c r="C110" s="442"/>
      <c r="D110" s="412"/>
      <c r="E110" s="443"/>
      <c r="F110" s="443"/>
      <c r="G110" s="443"/>
      <c r="H110" s="443"/>
      <c r="I110" s="443"/>
      <c r="J110" s="443"/>
      <c r="K110" s="443"/>
      <c r="L110" s="444"/>
      <c r="M110" s="445"/>
      <c r="N110" s="444"/>
      <c r="O110" s="446"/>
    </row>
    <row r="111" spans="2:15" x14ac:dyDescent="0.2">
      <c r="C111" s="442"/>
      <c r="D111" s="412"/>
      <c r="E111" s="443"/>
      <c r="F111" s="443"/>
      <c r="G111" s="443"/>
      <c r="H111" s="443"/>
      <c r="I111" s="443"/>
      <c r="J111" s="443"/>
      <c r="K111" s="443"/>
      <c r="L111" s="444"/>
      <c r="M111" s="445"/>
      <c r="N111" s="444"/>
      <c r="O111" s="446"/>
    </row>
    <row r="112" spans="2:15" x14ac:dyDescent="0.2">
      <c r="C112" s="442"/>
      <c r="D112" s="412"/>
      <c r="E112" s="443"/>
      <c r="F112" s="443"/>
      <c r="G112" s="443"/>
      <c r="H112" s="443"/>
      <c r="I112" s="443"/>
      <c r="J112" s="443"/>
      <c r="K112" s="443"/>
      <c r="L112" s="444"/>
      <c r="M112" s="445"/>
      <c r="N112" s="444"/>
      <c r="O112" s="446"/>
    </row>
    <row r="113" spans="1:15" x14ac:dyDescent="0.2">
      <c r="C113" s="442"/>
      <c r="D113" s="412"/>
      <c r="E113" s="443"/>
      <c r="F113" s="443"/>
      <c r="G113" s="443"/>
      <c r="H113" s="443"/>
      <c r="I113" s="443"/>
      <c r="J113" s="443"/>
      <c r="K113" s="443"/>
      <c r="L113" s="444"/>
      <c r="M113" s="445"/>
      <c r="N113" s="444"/>
      <c r="O113" s="446"/>
    </row>
    <row r="114" spans="1:15" x14ac:dyDescent="0.2">
      <c r="C114" s="442"/>
      <c r="D114" s="412"/>
      <c r="E114" s="443"/>
      <c r="F114" s="443"/>
      <c r="G114" s="443"/>
      <c r="H114" s="443"/>
      <c r="I114" s="443"/>
      <c r="J114" s="443"/>
      <c r="K114" s="443"/>
      <c r="L114" s="444"/>
      <c r="M114" s="445"/>
      <c r="N114" s="444"/>
      <c r="O114" s="446"/>
    </row>
    <row r="115" spans="1:15" x14ac:dyDescent="0.2">
      <c r="C115" s="442"/>
      <c r="D115" s="412"/>
      <c r="E115" s="443"/>
      <c r="F115" s="443"/>
      <c r="G115" s="443"/>
      <c r="H115" s="443"/>
      <c r="I115" s="443"/>
      <c r="J115" s="443"/>
      <c r="K115" s="443"/>
      <c r="L115" s="444"/>
      <c r="M115" s="445"/>
      <c r="N115" s="444"/>
      <c r="O115" s="446"/>
    </row>
    <row r="116" spans="1:15" x14ac:dyDescent="0.2">
      <c r="C116" s="442"/>
      <c r="D116" s="412"/>
      <c r="E116" s="443"/>
      <c r="F116" s="443"/>
      <c r="G116" s="443"/>
      <c r="H116" s="443"/>
      <c r="I116" s="443"/>
      <c r="J116" s="443"/>
      <c r="K116" s="443"/>
      <c r="L116" s="444"/>
      <c r="M116" s="445"/>
      <c r="N116" s="444"/>
      <c r="O116" s="446"/>
    </row>
    <row r="117" spans="1:15" x14ac:dyDescent="0.2">
      <c r="C117" s="442"/>
      <c r="D117" s="412"/>
      <c r="E117" s="443"/>
      <c r="F117" s="443"/>
      <c r="G117" s="443"/>
      <c r="H117" s="443"/>
      <c r="I117" s="443"/>
      <c r="J117" s="443"/>
      <c r="K117" s="443"/>
      <c r="L117" s="444"/>
      <c r="M117" s="445"/>
      <c r="N117" s="444"/>
      <c r="O117" s="446"/>
    </row>
    <row r="118" spans="1:15" x14ac:dyDescent="0.2">
      <c r="C118" s="442"/>
      <c r="D118" s="412"/>
      <c r="E118" s="443"/>
      <c r="F118" s="443"/>
      <c r="G118" s="443"/>
      <c r="H118" s="443"/>
      <c r="I118" s="443"/>
      <c r="J118" s="443"/>
      <c r="K118" s="443"/>
      <c r="L118" s="444"/>
      <c r="M118" s="445"/>
      <c r="N118" s="444"/>
      <c r="O118" s="446"/>
    </row>
    <row r="119" spans="1:15" x14ac:dyDescent="0.2">
      <c r="C119" s="442"/>
      <c r="D119" s="412"/>
      <c r="E119" s="443"/>
      <c r="F119" s="443"/>
      <c r="G119" s="443"/>
      <c r="H119" s="443"/>
      <c r="I119" s="443"/>
      <c r="J119" s="443"/>
      <c r="K119" s="443"/>
      <c r="L119" s="444"/>
      <c r="M119" s="445"/>
      <c r="N119" s="444"/>
      <c r="O119" s="446"/>
    </row>
    <row r="120" spans="1:15" x14ac:dyDescent="0.2">
      <c r="C120" s="442"/>
      <c r="D120" s="412"/>
      <c r="E120" s="443"/>
      <c r="F120" s="443"/>
      <c r="G120" s="443"/>
      <c r="H120" s="443"/>
      <c r="I120" s="443"/>
      <c r="J120" s="443"/>
      <c r="K120" s="443"/>
      <c r="L120" s="444"/>
      <c r="M120" s="445"/>
      <c r="N120" s="444"/>
      <c r="O120" s="446"/>
    </row>
    <row r="121" spans="1:15" x14ac:dyDescent="0.2">
      <c r="C121" s="442"/>
      <c r="D121" s="412"/>
      <c r="E121" s="443"/>
      <c r="F121" s="443"/>
      <c r="G121" s="443"/>
      <c r="H121" s="443"/>
      <c r="I121" s="443"/>
      <c r="J121" s="443"/>
      <c r="K121" s="443"/>
      <c r="L121" s="444"/>
      <c r="M121" s="445"/>
      <c r="N121" s="444"/>
      <c r="O121" s="446"/>
    </row>
    <row r="122" spans="1:15" x14ac:dyDescent="0.2">
      <c r="C122" s="442"/>
      <c r="D122" s="412"/>
      <c r="E122" s="443"/>
      <c r="F122" s="443"/>
      <c r="G122" s="443"/>
      <c r="H122" s="443"/>
      <c r="I122" s="443"/>
      <c r="J122" s="443"/>
      <c r="K122" s="443"/>
      <c r="L122" s="444"/>
      <c r="M122" s="445"/>
      <c r="N122" s="444"/>
      <c r="O122" s="446"/>
    </row>
    <row r="123" spans="1:15" x14ac:dyDescent="0.2">
      <c r="C123" s="442"/>
      <c r="D123" s="412"/>
      <c r="E123" s="443"/>
      <c r="F123" s="443"/>
      <c r="G123" s="443"/>
      <c r="H123" s="443"/>
      <c r="I123" s="443"/>
      <c r="J123" s="443"/>
      <c r="K123" s="443"/>
      <c r="L123" s="444"/>
      <c r="M123" s="445"/>
      <c r="N123" s="444"/>
      <c r="O123" s="446"/>
    </row>
    <row r="124" spans="1:15" x14ac:dyDescent="0.2">
      <c r="C124" s="442"/>
      <c r="D124" s="412"/>
      <c r="E124" s="443"/>
      <c r="F124" s="443"/>
      <c r="G124" s="443"/>
      <c r="H124" s="443"/>
      <c r="I124" s="443"/>
      <c r="J124" s="443"/>
      <c r="K124" s="443"/>
      <c r="L124" s="444"/>
      <c r="M124" s="445"/>
      <c r="N124" s="444"/>
      <c r="O124" s="446"/>
    </row>
    <row r="126" spans="1:15" x14ac:dyDescent="0.2">
      <c r="A126" s="399" t="s">
        <v>35</v>
      </c>
      <c r="B126" s="399"/>
      <c r="C126" s="399"/>
      <c r="D126" s="399"/>
      <c r="I126" s="399" t="s">
        <v>34</v>
      </c>
      <c r="J126" s="401"/>
      <c r="K126" s="401"/>
      <c r="L126" s="401"/>
      <c r="M126" s="400"/>
      <c r="N126" s="400"/>
    </row>
    <row r="127" spans="1:15" x14ac:dyDescent="0.2">
      <c r="A127" s="447" t="s">
        <v>20</v>
      </c>
      <c r="C127" s="447" t="s">
        <v>21</v>
      </c>
      <c r="D127" s="447" t="s">
        <v>275</v>
      </c>
      <c r="I127" s="400"/>
      <c r="J127" s="401"/>
      <c r="K127" s="401"/>
      <c r="L127" s="401"/>
      <c r="M127" s="400"/>
      <c r="N127" s="400"/>
    </row>
    <row r="128" spans="1:15" s="400" customFormat="1" x14ac:dyDescent="0.2">
      <c r="A128" s="448" t="s">
        <v>447</v>
      </c>
      <c r="C128" s="400" t="s">
        <v>319</v>
      </c>
      <c r="D128" s="400" t="s">
        <v>307</v>
      </c>
      <c r="I128" s="400" t="s">
        <v>198</v>
      </c>
      <c r="J128" s="401"/>
      <c r="K128" s="401"/>
      <c r="L128" s="401"/>
    </row>
    <row r="129" spans="1:12" s="400" customFormat="1" x14ac:dyDescent="0.2">
      <c r="A129" s="449"/>
      <c r="D129" s="400" t="s">
        <v>305</v>
      </c>
      <c r="I129" s="400" t="s">
        <v>197</v>
      </c>
      <c r="J129" s="401"/>
      <c r="K129" s="401"/>
      <c r="L129" s="401"/>
    </row>
    <row r="130" spans="1:12" s="400" customFormat="1" x14ac:dyDescent="0.2">
      <c r="A130" s="449"/>
      <c r="D130" s="400" t="s">
        <v>306</v>
      </c>
      <c r="J130" s="401"/>
      <c r="K130" s="401"/>
      <c r="L130" s="401"/>
    </row>
    <row r="131" spans="1:12" s="400" customFormat="1" x14ac:dyDescent="0.2">
      <c r="A131" s="449"/>
      <c r="I131" s="400" t="s">
        <v>25</v>
      </c>
      <c r="J131" s="401"/>
      <c r="K131" s="401"/>
      <c r="L131" s="401"/>
    </row>
    <row r="132" spans="1:12" s="400" customFormat="1" x14ac:dyDescent="0.2">
      <c r="A132" s="449"/>
      <c r="I132" s="400" t="s">
        <v>19</v>
      </c>
      <c r="J132" s="401"/>
      <c r="K132" s="401"/>
      <c r="L132" s="401"/>
    </row>
    <row r="133" spans="1:12" s="400" customFormat="1" x14ac:dyDescent="0.2">
      <c r="A133" s="450">
        <v>4</v>
      </c>
      <c r="C133" s="400" t="s">
        <v>319</v>
      </c>
      <c r="D133" s="400" t="s">
        <v>307</v>
      </c>
      <c r="J133" s="401"/>
      <c r="K133" s="401"/>
      <c r="L133" s="401"/>
    </row>
    <row r="134" spans="1:12" s="400" customFormat="1" x14ac:dyDescent="0.2">
      <c r="D134" s="400" t="s">
        <v>305</v>
      </c>
      <c r="I134" s="400" t="s">
        <v>17</v>
      </c>
      <c r="J134" s="401"/>
      <c r="K134" s="401"/>
      <c r="L134" s="401"/>
    </row>
    <row r="135" spans="1:12" s="400" customFormat="1" x14ac:dyDescent="0.2">
      <c r="A135" s="449"/>
      <c r="I135" s="400" t="s">
        <v>18</v>
      </c>
      <c r="J135" s="401"/>
      <c r="K135" s="401"/>
      <c r="L135" s="401"/>
    </row>
    <row r="136" spans="1:12" s="400" customFormat="1" x14ac:dyDescent="0.2"/>
    <row r="137" spans="1:12" s="400" customFormat="1" x14ac:dyDescent="0.2">
      <c r="J137" s="401"/>
      <c r="K137" s="401"/>
      <c r="L137" s="401"/>
    </row>
    <row r="138" spans="1:12" s="400" customFormat="1" x14ac:dyDescent="0.2">
      <c r="I138" s="400" t="s">
        <v>459</v>
      </c>
      <c r="J138" s="401"/>
      <c r="K138" s="401"/>
      <c r="L138" s="401"/>
    </row>
    <row r="139" spans="1:12" s="400" customFormat="1" x14ac:dyDescent="0.2">
      <c r="A139" s="449"/>
      <c r="J139" s="401"/>
      <c r="K139" s="401"/>
      <c r="L139" s="401"/>
    </row>
    <row r="140" spans="1:12" s="400" customFormat="1" x14ac:dyDescent="0.2"/>
    <row r="141" spans="1:12" s="400" customFormat="1" x14ac:dyDescent="0.2"/>
    <row r="142" spans="1:12" s="400" customFormat="1" x14ac:dyDescent="0.2"/>
    <row r="143" spans="1:12" s="400" customFormat="1" x14ac:dyDescent="0.2">
      <c r="A143" s="449"/>
    </row>
    <row r="144" spans="1:12" s="400" customFormat="1" x14ac:dyDescent="0.2">
      <c r="A144" s="449"/>
    </row>
    <row r="145" spans="1:1" s="400" customFormat="1" x14ac:dyDescent="0.2">
      <c r="A145" s="449"/>
    </row>
    <row r="146" spans="1:1" s="400" customFormat="1" x14ac:dyDescent="0.2">
      <c r="A146" s="449"/>
    </row>
    <row r="147" spans="1:1" s="400" customFormat="1" x14ac:dyDescent="0.2"/>
    <row r="148" spans="1:1" s="400" customFormat="1" x14ac:dyDescent="0.2"/>
    <row r="149" spans="1:1" s="400" customFormat="1" x14ac:dyDescent="0.2"/>
  </sheetData>
  <phoneticPr fontId="36" type="noConversion"/>
  <pageMargins left="0.7" right="0.7" top="0.78740157499999996" bottom="0.78740157499999996" header="0.3" footer="0.3"/>
  <pageSetup paperSize="9" orientation="portrait" horizontalDpi="200" verticalDpi="2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3"/>
  <dimension ref="A1:M37"/>
  <sheetViews>
    <sheetView showGridLines="0" showRuler="0" showWhiteSpace="0" topLeftCell="A2" zoomScaleNormal="100" zoomScaleSheetLayoutView="90" workbookViewId="0">
      <selection activeCell="Q14" sqref="Q14"/>
    </sheetView>
  </sheetViews>
  <sheetFormatPr defaultColWidth="11.44140625" defaultRowHeight="14.4" x14ac:dyDescent="0.3"/>
  <cols>
    <col min="1" max="1" width="3.5546875" customWidth="1"/>
    <col min="2" max="2" width="17.44140625" customWidth="1"/>
    <col min="3" max="3" width="6.88671875" customWidth="1"/>
    <col min="4" max="4" width="8.88671875" customWidth="1"/>
    <col min="5" max="5" width="6.88671875" customWidth="1"/>
    <col min="6" max="6" width="6.5546875" customWidth="1"/>
    <col min="7" max="7" width="6.6640625" customWidth="1"/>
    <col min="8" max="8" width="7.109375" customWidth="1"/>
    <col min="9" max="9" width="10.109375" customWidth="1"/>
    <col min="10" max="10" width="33.44140625" customWidth="1"/>
    <col min="11" max="11" width="33.5546875" customWidth="1"/>
    <col min="12" max="12" width="2.33203125" customWidth="1"/>
    <col min="13" max="13" width="13.33203125" hidden="1" customWidth="1"/>
    <col min="14" max="16" width="9.109375" customWidth="1"/>
  </cols>
  <sheetData>
    <row r="1" spans="1:13" s="5" customFormat="1" ht="20.25" hidden="1" customHeight="1" x14ac:dyDescent="0.25">
      <c r="B1" s="219" t="str">
        <f ca="1">IF($M$11=TRUE,"A1:L15",CONCATENATE("A1:L",(MATCH("",A:A,-1)-1)))</f>
        <v>A1:L35</v>
      </c>
    </row>
    <row r="2" spans="1:13" s="9" customFormat="1" ht="17.25" customHeight="1" x14ac:dyDescent="0.25">
      <c r="A2" s="374" t="s">
        <v>1087</v>
      </c>
      <c r="K2" s="5"/>
    </row>
    <row r="3" spans="1:13" s="5" customFormat="1" ht="16.8" x14ac:dyDescent="0.3">
      <c r="A3" s="29" t="s">
        <v>433</v>
      </c>
      <c r="K3" s="30"/>
    </row>
    <row r="4" spans="1:13" s="5" customFormat="1" ht="13.8" x14ac:dyDescent="0.25">
      <c r="B4" s="9"/>
      <c r="K4" s="30"/>
    </row>
    <row r="5" spans="1:13" s="5" customFormat="1" ht="15" customHeight="1" x14ac:dyDescent="0.25">
      <c r="C5" s="18"/>
      <c r="D5" s="18"/>
      <c r="E5" s="18"/>
      <c r="F5" s="18"/>
      <c r="G5" s="18"/>
      <c r="H5" s="18"/>
      <c r="I5" s="18"/>
      <c r="J5" s="18"/>
      <c r="K5" s="30"/>
    </row>
    <row r="6" spans="1:13" s="33" customFormat="1" ht="15" customHeight="1" x14ac:dyDescent="0.25">
      <c r="B6" s="36" t="s">
        <v>282</v>
      </c>
      <c r="C6" s="963" t="str">
        <f>IF(Basisdaten!C8=0,"",Basisdaten!C8)</f>
        <v/>
      </c>
      <c r="D6" s="964"/>
      <c r="E6" s="964"/>
      <c r="F6" s="964"/>
      <c r="G6" s="964"/>
      <c r="H6" s="964"/>
      <c r="I6" s="964"/>
      <c r="J6" s="965"/>
      <c r="K6" s="30"/>
    </row>
    <row r="7" spans="1:13" s="33" customFormat="1" ht="6.9" customHeight="1" x14ac:dyDescent="0.25">
      <c r="B7" s="8"/>
      <c r="C7" s="18"/>
      <c r="D7" s="18"/>
      <c r="E7" s="18"/>
      <c r="F7" s="18"/>
      <c r="G7" s="18"/>
      <c r="H7" s="18"/>
      <c r="I7" s="18"/>
      <c r="J7" s="18"/>
      <c r="K7" s="30"/>
    </row>
    <row r="8" spans="1:13" s="33" customFormat="1" ht="15" customHeight="1" x14ac:dyDescent="0.25">
      <c r="B8" s="36" t="s">
        <v>210</v>
      </c>
      <c r="C8" s="963" t="str">
        <f>IF(Basisdaten!C6=0,"",Basisdaten!C6)</f>
        <v/>
      </c>
      <c r="D8" s="964"/>
      <c r="E8" s="964"/>
      <c r="F8" s="965"/>
      <c r="H8" s="33" t="s">
        <v>9</v>
      </c>
      <c r="I8" s="6"/>
      <c r="J8" s="60" t="str">
        <f>IF(Basisdaten!L12=0,"",Basisdaten!L12)</f>
        <v/>
      </c>
      <c r="K8" s="30"/>
    </row>
    <row r="9" spans="1:13" s="5" customFormat="1" ht="14.25" customHeight="1" x14ac:dyDescent="0.25">
      <c r="K9" s="30"/>
    </row>
    <row r="10" spans="1:13" s="5" customFormat="1" ht="14.25" customHeight="1" x14ac:dyDescent="0.25">
      <c r="B10" s="15" t="str">
        <f ca="1">IF($M$11=TRUE,"Kein Datendefizit vorhanden","")</f>
        <v/>
      </c>
      <c r="K10" s="30"/>
      <c r="M10" s="237" t="s">
        <v>2</v>
      </c>
    </row>
    <row r="11" spans="1:13" s="5" customFormat="1" ht="15" customHeight="1" x14ac:dyDescent="0.25">
      <c r="B11" s="220" t="str">
        <f ca="1">IF($M$11=TRUE,"","Übertragung erfolgt automatisch aus Kennzahlenbogen (Ist-Werte, Begründungen und Aktionen)")</f>
        <v>Übertragung erfolgt automatisch aus Kennzahlenbogen (Ist-Werte, Begründungen und Aktionen)</v>
      </c>
      <c r="K11" s="30"/>
      <c r="M11" s="237" t="b">
        <f t="array" aca="1" ref="M11" ca="1">$A$14:$K$37=""</f>
        <v>0</v>
      </c>
    </row>
    <row r="12" spans="1:13" ht="17.25" customHeight="1" x14ac:dyDescent="0.3">
      <c r="A12" s="966" t="str">
        <f ca="1">IF($M$11=TRUE,"","KN")</f>
        <v>KN</v>
      </c>
      <c r="B12" s="966" t="str">
        <f ca="1">IF($M$11=TRUE,"","Kennzahlendefinition")</f>
        <v>Kennzahlendefinition</v>
      </c>
      <c r="C12" s="966" t="str">
        <f ca="1">IF($M$11=TRUE,"","Vorgaben Datenqualität")</f>
        <v>Vorgaben Datenqualität</v>
      </c>
      <c r="D12" s="966"/>
      <c r="E12" s="966"/>
      <c r="F12" s="966" t="str">
        <f ca="1">IF($M$11=TRUE,"","Ist-Werte")</f>
        <v>Ist-Werte</v>
      </c>
      <c r="G12" s="966"/>
      <c r="H12" s="966"/>
      <c r="I12" s="967" t="str">
        <f ca="1">IF($M$11=TRUE,"","Daten-qualität")</f>
        <v>Daten-qualität</v>
      </c>
      <c r="J12" s="968" t="str">
        <f ca="1">IF($M$11=TRUE,"","Verifizierung Zentrum")</f>
        <v>Verifizierung Zentrum</v>
      </c>
      <c r="K12" s="968"/>
    </row>
    <row r="13" spans="1:13" ht="24" customHeight="1" x14ac:dyDescent="0.3">
      <c r="A13" s="966"/>
      <c r="B13" s="966"/>
      <c r="C13" s="213" t="str">
        <f ca="1">IF($M$11=TRUE,"","Plausi unklar")</f>
        <v>Plausi unklar</v>
      </c>
      <c r="D13" s="213" t="str">
        <f ca="1">IF($M$11=TRUE,"","Sollvorgabe")</f>
        <v>Sollvorgabe</v>
      </c>
      <c r="E13" s="213" t="str">
        <f ca="1">IF($M$11=TRUE,"","Plausi unklar")</f>
        <v>Plausi unklar</v>
      </c>
      <c r="F13" s="213" t="str">
        <f ca="1">IF($M$11=TRUE,"","Zähler / Anzahl")</f>
        <v>Zähler / Anzahl</v>
      </c>
      <c r="G13" s="213" t="str">
        <f ca="1">IF($M$11=TRUE,"","Nenner")</f>
        <v>Nenner</v>
      </c>
      <c r="H13" s="213" t="str">
        <f ca="1">IF($M$11=TRUE,"","Quote")</f>
        <v>Quote</v>
      </c>
      <c r="I13" s="967"/>
      <c r="J13" s="150" t="str">
        <f ca="1">IF($M$11=TRUE,"","Begründung / Ursache")</f>
        <v>Begründung / Ursache</v>
      </c>
      <c r="K13" s="336" t="str">
        <f ca="1">IF($M$11=TRUE,"","Eingeleitete / geplante Aktionen")</f>
        <v>Eingeleitete / geplante Aktionen</v>
      </c>
    </row>
    <row r="14" spans="1:13" ht="169.5" customHeight="1" x14ac:dyDescent="0.3">
      <c r="A14" s="117">
        <f ca="1">'Hilfstabelle Datendef_KB'!O2</f>
        <v>1</v>
      </c>
      <c r="B14" s="225" t="str">
        <f ca="1">'Hilfstabelle Datendef_KB'!P2</f>
        <v>Vorstellung Tumorkonferenz</v>
      </c>
      <c r="C14" s="222" t="str">
        <f ca="1">'Hilfstabelle Datendef_KB'!Q2</f>
        <v>-----</v>
      </c>
      <c r="D14" s="222" t="str">
        <f ca="1">'Hilfstabelle Datendef_KB'!R2</f>
        <v>≥ 80%</v>
      </c>
      <c r="E14" s="222" t="str">
        <f ca="1">'Hilfstabelle Datendef_KB'!S2</f>
        <v>-----</v>
      </c>
      <c r="F14" s="224" t="str">
        <f ca="1">'Hilfstabelle Datendef_KB'!T2</f>
        <v>-----</v>
      </c>
      <c r="G14" s="224">
        <f ca="1">'Hilfstabelle Datendef_KB'!U2</f>
        <v>0</v>
      </c>
      <c r="H14" s="221" t="str">
        <f ca="1">'Hilfstabelle Datendef_KB'!V2</f>
        <v>n.d.</v>
      </c>
      <c r="I14" s="117" t="str">
        <f ca="1">'Hilfstabelle Datendef_KB'!W2</f>
        <v>Unvollständig</v>
      </c>
      <c r="J14" s="291" t="str">
        <f ca="1">'Hilfstabelle Datendef_KB'!X2</f>
        <v>-----</v>
      </c>
      <c r="K14" s="223" t="str">
        <f ca="1">'Hilfstabelle Datendef_KB'!Y2</f>
        <v>-----</v>
      </c>
    </row>
    <row r="15" spans="1:13" ht="169.5" customHeight="1" x14ac:dyDescent="0.3">
      <c r="A15" s="117">
        <f ca="1">'Hilfstabelle Datendef_KB'!O3</f>
        <v>2</v>
      </c>
      <c r="B15" s="225" t="str">
        <f ca="1">'Hilfstabelle Datendef_KB'!P3</f>
        <v>Psychoonkologische Betreuung 
(Gespräch ≥ 25 Min.)</v>
      </c>
      <c r="C15" s="222" t="str">
        <f ca="1">'Hilfstabelle Datendef_KB'!Q3</f>
        <v>&lt; 15%</v>
      </c>
      <c r="D15" s="222" t="str">
        <f ca="1">'Hilfstabelle Datendef_KB'!R3</f>
        <v>Derzeit keine Vorgaben</v>
      </c>
      <c r="E15" s="222" t="str">
        <f ca="1">'Hilfstabelle Datendef_KB'!S3</f>
        <v>-----</v>
      </c>
      <c r="F15" s="224" t="str">
        <f ca="1">'Hilfstabelle Datendef_KB'!T3</f>
        <v>-----</v>
      </c>
      <c r="G15" s="224">
        <f ca="1">'Hilfstabelle Datendef_KB'!U3</f>
        <v>0</v>
      </c>
      <c r="H15" s="221" t="str">
        <f ca="1">'Hilfstabelle Datendef_KB'!V3</f>
        <v>n.d.</v>
      </c>
      <c r="I15" s="117" t="str">
        <f ca="1">'Hilfstabelle Datendef_KB'!W3</f>
        <v>Unvollständig</v>
      </c>
      <c r="J15" s="291" t="str">
        <f ca="1">'Hilfstabelle Datendef_KB'!X3</f>
        <v>-----</v>
      </c>
      <c r="K15" s="223" t="str">
        <f ca="1">'Hilfstabelle Datendef_KB'!Y3</f>
        <v>-----</v>
      </c>
    </row>
    <row r="16" spans="1:13" ht="169.5" customHeight="1" x14ac:dyDescent="0.3">
      <c r="A16" s="117">
        <f ca="1">'Hilfstabelle Datendef_KB'!O4</f>
        <v>3</v>
      </c>
      <c r="B16" s="225" t="str">
        <f ca="1">'Hilfstabelle Datendef_KB'!P4</f>
        <v>Beratung Sozialdienst</v>
      </c>
      <c r="C16" s="222" t="str">
        <f ca="1">'Hilfstabelle Datendef_KB'!Q4</f>
        <v>&lt; 50%</v>
      </c>
      <c r="D16" s="222" t="str">
        <f ca="1">'Hilfstabelle Datendef_KB'!R4</f>
        <v>Derzeit keine Vorgaben</v>
      </c>
      <c r="E16" s="222" t="str">
        <f ca="1">'Hilfstabelle Datendef_KB'!S4</f>
        <v>-----</v>
      </c>
      <c r="F16" s="224" t="str">
        <f ca="1">'Hilfstabelle Datendef_KB'!T4</f>
        <v>-----</v>
      </c>
      <c r="G16" s="224">
        <f ca="1">'Hilfstabelle Datendef_KB'!U4</f>
        <v>0</v>
      </c>
      <c r="H16" s="221" t="str">
        <f ca="1">'Hilfstabelle Datendef_KB'!V4</f>
        <v>n.d.</v>
      </c>
      <c r="I16" s="117" t="str">
        <f ca="1">'Hilfstabelle Datendef_KB'!W4</f>
        <v>Unvollständig</v>
      </c>
      <c r="J16" s="291" t="str">
        <f ca="1">'Hilfstabelle Datendef_KB'!X4</f>
        <v>-----</v>
      </c>
      <c r="K16" s="223" t="str">
        <f ca="1">'Hilfstabelle Datendef_KB'!Y4</f>
        <v>-----</v>
      </c>
    </row>
    <row r="17" spans="1:11" ht="169.5" customHeight="1" x14ac:dyDescent="0.3">
      <c r="A17" s="117">
        <f ca="1">'Hilfstabelle Datendef_KB'!O5</f>
        <v>4</v>
      </c>
      <c r="B17" s="225" t="str">
        <f ca="1">'Hilfstabelle Datendef_KB'!P5</f>
        <v>Anteil Studienpat.</v>
      </c>
      <c r="C17" s="222" t="str">
        <f ca="1">'Hilfstabelle Datendef_KB'!Q5</f>
        <v>-----</v>
      </c>
      <c r="D17" s="222" t="str">
        <f ca="1">'Hilfstabelle Datendef_KB'!R5</f>
        <v>≥ 5%</v>
      </c>
      <c r="E17" s="222" t="str">
        <f ca="1">'Hilfstabelle Datendef_KB'!S5</f>
        <v>&gt; 65%</v>
      </c>
      <c r="F17" s="224" t="str">
        <f ca="1">'Hilfstabelle Datendef_KB'!T5</f>
        <v>-----</v>
      </c>
      <c r="G17" s="224">
        <f ca="1">'Hilfstabelle Datendef_KB'!U5</f>
        <v>0</v>
      </c>
      <c r="H17" s="221" t="str">
        <f ca="1">'Hilfstabelle Datendef_KB'!V5</f>
        <v>n.d.</v>
      </c>
      <c r="I17" s="117" t="str">
        <f ca="1">'Hilfstabelle Datendef_KB'!W5</f>
        <v>Unvollständig</v>
      </c>
      <c r="J17" s="291" t="str">
        <f ca="1">'Hilfstabelle Datendef_KB'!X5</f>
        <v>-----</v>
      </c>
      <c r="K17" s="223" t="str">
        <f ca="1">'Hilfstabelle Datendef_KB'!Y5</f>
        <v>-----</v>
      </c>
    </row>
    <row r="18" spans="1:11" s="74" customFormat="1" ht="169.5" customHeight="1" x14ac:dyDescent="0.3">
      <c r="A18" s="117">
        <f ca="1">'Hilfstabelle Datendef_KB'!O6</f>
        <v>5</v>
      </c>
      <c r="B18" s="225" t="str">
        <f ca="1">'Hilfstabelle Datendef_KB'!P6</f>
        <v>Gesamtfallzahl</v>
      </c>
      <c r="C18" s="222" t="str">
        <f ca="1">'Hilfstabelle Datendef_KB'!Q6</f>
        <v>-----</v>
      </c>
      <c r="D18" s="222" t="str">
        <f ca="1">'Hilfstabelle Datendef_KB'!R6</f>
        <v>≥ 75</v>
      </c>
      <c r="E18" s="222" t="str">
        <f ca="1">'Hilfstabelle Datendef_KB'!S6</f>
        <v>-----</v>
      </c>
      <c r="F18" s="224">
        <f ca="1">'Hilfstabelle Datendef_KB'!T6</f>
        <v>0</v>
      </c>
      <c r="G18" s="224" t="str">
        <f ca="1">'Hilfstabelle Datendef_KB'!U6</f>
        <v>-----</v>
      </c>
      <c r="H18" s="221" t="str">
        <f ca="1">'Hilfstabelle Datendef_KB'!V6</f>
        <v>-----</v>
      </c>
      <c r="I18" s="117" t="str">
        <f ca="1">'Hilfstabelle Datendef_KB'!W6</f>
        <v>Unvollständig</v>
      </c>
      <c r="J18" s="291" t="str">
        <f ca="1">'Hilfstabelle Datendef_KB'!X6</f>
        <v>-----</v>
      </c>
      <c r="K18" s="223" t="str">
        <f ca="1">'Hilfstabelle Datendef_KB'!Y6</f>
        <v>-----</v>
      </c>
    </row>
    <row r="19" spans="1:11" ht="169.5" customHeight="1" x14ac:dyDescent="0.3">
      <c r="A19" s="117" t="str">
        <f ca="1">'Hilfstabelle Datendef_KB'!O7</f>
        <v>6a</v>
      </c>
      <c r="B19" s="225" t="str">
        <f ca="1">'Hilfstabelle Datendef_KB'!P7</f>
        <v>Primärfälle</v>
      </c>
      <c r="C19" s="222" t="str">
        <f ca="1">'Hilfstabelle Datendef_KB'!Q7</f>
        <v>-----</v>
      </c>
      <c r="D19" s="222" t="str">
        <f ca="1">'Hilfstabelle Datendef_KB'!R7</f>
        <v>≥ 50</v>
      </c>
      <c r="E19" s="222" t="str">
        <f ca="1">'Hilfstabelle Datendef_KB'!S7</f>
        <v>-----</v>
      </c>
      <c r="F19" s="224">
        <f ca="1">'Hilfstabelle Datendef_KB'!T7</f>
        <v>0</v>
      </c>
      <c r="G19" s="224" t="str">
        <f ca="1">'Hilfstabelle Datendef_KB'!U7</f>
        <v>-----</v>
      </c>
      <c r="H19" s="221" t="str">
        <f ca="1">'Hilfstabelle Datendef_KB'!V7</f>
        <v>-----</v>
      </c>
      <c r="I19" s="117" t="str">
        <f ca="1">'Hilfstabelle Datendef_KB'!W7</f>
        <v>Unvollständig</v>
      </c>
      <c r="J19" s="291" t="str">
        <f ca="1">'Hilfstabelle Datendef_KB'!X7</f>
        <v>-----</v>
      </c>
      <c r="K19" s="223" t="str">
        <f ca="1">'Hilfstabelle Datendef_KB'!Y7</f>
        <v>-----</v>
      </c>
    </row>
    <row r="20" spans="1:11" s="74" customFormat="1" ht="169.5" customHeight="1" x14ac:dyDescent="0.3">
      <c r="A20" s="117" t="str">
        <f ca="1">'Hilfstabelle Datendef_KB'!O8</f>
        <v>6b</v>
      </c>
      <c r="B20" s="225" t="str">
        <f ca="1">'Hilfstabelle Datendef_KB'!P8</f>
        <v>Nicht Primärfälle</v>
      </c>
      <c r="C20" s="222" t="str">
        <f ca="1">'Hilfstabelle Datendef_KB'!Q8</f>
        <v>-----</v>
      </c>
      <c r="D20" s="222" t="str">
        <f ca="1">'Hilfstabelle Datendef_KB'!R8</f>
        <v>Derzeit keine Vorgaben</v>
      </c>
      <c r="E20" s="222" t="str">
        <f ca="1">'Hilfstabelle Datendef_KB'!S8</f>
        <v>-----</v>
      </c>
      <c r="F20" s="224">
        <f ca="1">'Hilfstabelle Datendef_KB'!T8</f>
        <v>0</v>
      </c>
      <c r="G20" s="224" t="str">
        <f ca="1">'Hilfstabelle Datendef_KB'!U8</f>
        <v>-----</v>
      </c>
      <c r="H20" s="221" t="str">
        <f ca="1">'Hilfstabelle Datendef_KB'!V8</f>
        <v>-----</v>
      </c>
      <c r="I20" s="117" t="str">
        <f ca="1">'Hilfstabelle Datendef_KB'!W8</f>
        <v>Unvollständig</v>
      </c>
      <c r="J20" s="291" t="str">
        <f ca="1">'Hilfstabelle Datendef_KB'!X8</f>
        <v>-----</v>
      </c>
      <c r="K20" s="223" t="str">
        <f ca="1">'Hilfstabelle Datendef_KB'!Y8</f>
        <v>-----</v>
      </c>
    </row>
    <row r="21" spans="1:11" ht="169.5" customHeight="1" x14ac:dyDescent="0.3">
      <c r="A21" s="117">
        <f ca="1">'Hilfstabelle Datendef_KB'!O9</f>
        <v>7</v>
      </c>
      <c r="B21" s="225" t="str">
        <f ca="1">'Hilfstabelle Datendef_KB'!P9</f>
        <v>Operative Fälle</v>
      </c>
      <c r="C21" s="222" t="str">
        <f ca="1">'Hilfstabelle Datendef_KB'!Q9</f>
        <v>-----</v>
      </c>
      <c r="D21" s="222" t="str">
        <f ca="1">'Hilfstabelle Datendef_KB'!R9</f>
        <v>≥ 40</v>
      </c>
      <c r="E21" s="222" t="str">
        <f ca="1">'Hilfstabelle Datendef_KB'!S9</f>
        <v>-----</v>
      </c>
      <c r="F21" s="224">
        <f ca="1">'Hilfstabelle Datendef_KB'!T9</f>
        <v>0</v>
      </c>
      <c r="G21" s="224" t="str">
        <f ca="1">'Hilfstabelle Datendef_KB'!U9</f>
        <v>-----</v>
      </c>
      <c r="H21" s="221" t="str">
        <f ca="1">'Hilfstabelle Datendef_KB'!V9</f>
        <v>-----</v>
      </c>
      <c r="I21" s="117" t="str">
        <f ca="1">'Hilfstabelle Datendef_KB'!W9</f>
        <v>Unvollständig</v>
      </c>
      <c r="J21" s="291" t="str">
        <f ca="1">'Hilfstabelle Datendef_KB'!X9</f>
        <v>-----</v>
      </c>
      <c r="K21" s="223" t="str">
        <f ca="1">'Hilfstabelle Datendef_KB'!Y9</f>
        <v>-----</v>
      </c>
    </row>
    <row r="22" spans="1:11" ht="169.5" customHeight="1" x14ac:dyDescent="0.3">
      <c r="A22" s="117">
        <f ca="1">'Hilfstabelle Datendef_KB'!O10</f>
        <v>8</v>
      </c>
      <c r="B22" s="225" t="str">
        <f ca="1">'Hilfstabelle Datendef_KB'!P10</f>
        <v xml:space="preserve">Angebot zur genetischen Testung </v>
      </c>
      <c r="C22" s="222" t="str">
        <f ca="1">'Hilfstabelle Datendef_KB'!Q10</f>
        <v>-----</v>
      </c>
      <c r="D22" s="222" t="str">
        <f ca="1">'Hilfstabelle Datendef_KB'!R10</f>
        <v>Derzeit keine Vorgaben</v>
      </c>
      <c r="E22" s="222" t="str">
        <f ca="1">'Hilfstabelle Datendef_KB'!S10</f>
        <v>-----</v>
      </c>
      <c r="F22" s="224" t="str">
        <f ca="1">'Hilfstabelle Datendef_KB'!T10</f>
        <v>-----</v>
      </c>
      <c r="G22" s="224" t="str">
        <f ca="1">'Hilfstabelle Datendef_KB'!U10</f>
        <v>-----</v>
      </c>
      <c r="H22" s="221" t="str">
        <f ca="1">'Hilfstabelle Datendef_KB'!V10</f>
        <v>-----</v>
      </c>
      <c r="I22" s="117" t="str">
        <f ca="1">'Hilfstabelle Datendef_KB'!W10</f>
        <v>Unvollständig</v>
      </c>
      <c r="J22" s="291" t="str">
        <f ca="1">'Hilfstabelle Datendef_KB'!X10</f>
        <v>-----</v>
      </c>
      <c r="K22" s="223" t="str">
        <f ca="1">'Hilfstabelle Datendef_KB'!Y10</f>
        <v>-----</v>
      </c>
    </row>
    <row r="23" spans="1:11" ht="169.5" customHeight="1" x14ac:dyDescent="0.3">
      <c r="A23" s="117">
        <f ca="1">'Hilfstabelle Datendef_KB'!O11</f>
        <v>9</v>
      </c>
      <c r="B23" s="225" t="str">
        <f ca="1">'Hilfstabelle Datendef_KB'!P11</f>
        <v>Operatives Staging frühes Ovarialkarzinom</v>
      </c>
      <c r="C23" s="222" t="str">
        <f ca="1">'Hilfstabelle Datendef_KB'!Q11</f>
        <v>&lt; 20%</v>
      </c>
      <c r="D23" s="222" t="str">
        <f ca="1">'Hilfstabelle Datendef_KB'!R11</f>
        <v>Derzeit keine Vorgaben</v>
      </c>
      <c r="E23" s="222" t="str">
        <f ca="1">'Hilfstabelle Datendef_KB'!S11</f>
        <v>-----</v>
      </c>
      <c r="F23" s="224" t="str">
        <f ca="1">'Hilfstabelle Datendef_KB'!T11</f>
        <v>-----</v>
      </c>
      <c r="G23" s="224">
        <f ca="1">'Hilfstabelle Datendef_KB'!U11</f>
        <v>0</v>
      </c>
      <c r="H23" s="221" t="str">
        <f ca="1">'Hilfstabelle Datendef_KB'!V11</f>
        <v>n.d.</v>
      </c>
      <c r="I23" s="117" t="str">
        <f ca="1">'Hilfstabelle Datendef_KB'!W11</f>
        <v>Unvollständig</v>
      </c>
      <c r="J23" s="291" t="str">
        <f ca="1">'Hilfstabelle Datendef_KB'!X11</f>
        <v>-----</v>
      </c>
      <c r="K23" s="223" t="str">
        <f ca="1">'Hilfstabelle Datendef_KB'!Y11</f>
        <v>-----</v>
      </c>
    </row>
    <row r="24" spans="1:11" ht="169.5" customHeight="1" x14ac:dyDescent="0.3">
      <c r="A24" s="117">
        <f ca="1">'Hilfstabelle Datendef_KB'!O12</f>
        <v>10</v>
      </c>
      <c r="B24" s="225" t="str">
        <f ca="1">'Hilfstabelle Datendef_KB'!P12</f>
        <v>Makroskopisch vollständige Resektion fortgeschrittenes Ovarialkarzinom</v>
      </c>
      <c r="C24" s="222" t="str">
        <f ca="1">'Hilfstabelle Datendef_KB'!Q12</f>
        <v>-----</v>
      </c>
      <c r="D24" s="222" t="str">
        <f ca="1">'Hilfstabelle Datendef_KB'!R12</f>
        <v>≥ 30%</v>
      </c>
      <c r="E24" s="222" t="str">
        <f ca="1">'Hilfstabelle Datendef_KB'!S12</f>
        <v>&gt; 90%</v>
      </c>
      <c r="F24" s="224" t="str">
        <f ca="1">'Hilfstabelle Datendef_KB'!T12</f>
        <v>-----</v>
      </c>
      <c r="G24" s="224">
        <f ca="1">'Hilfstabelle Datendef_KB'!U12</f>
        <v>0</v>
      </c>
      <c r="H24" s="221" t="str">
        <f ca="1">'Hilfstabelle Datendef_KB'!V12</f>
        <v>n.d.</v>
      </c>
      <c r="I24" s="117" t="str">
        <f ca="1">'Hilfstabelle Datendef_KB'!W12</f>
        <v>Unvollständig</v>
      </c>
      <c r="J24" s="291" t="str">
        <f ca="1">'Hilfstabelle Datendef_KB'!X12</f>
        <v>-----</v>
      </c>
      <c r="K24" s="223" t="str">
        <f ca="1">'Hilfstabelle Datendef_KB'!Y12</f>
        <v>-----</v>
      </c>
    </row>
    <row r="25" spans="1:11" ht="169.5" customHeight="1" x14ac:dyDescent="0.3">
      <c r="A25" s="117">
        <f ca="1">'Hilfstabelle Datendef_KB'!O13</f>
        <v>11</v>
      </c>
      <c r="B25" s="225" t="str">
        <f ca="1">'Hilfstabelle Datendef_KB'!P13</f>
        <v>Operation fortgeschrittenes Ovarialkarzinom durch Gynäkoonkologen</v>
      </c>
      <c r="C25" s="222" t="str">
        <f ca="1">'Hilfstabelle Datendef_KB'!Q13</f>
        <v>-----</v>
      </c>
      <c r="D25" s="222" t="str">
        <f ca="1">'Hilfstabelle Datendef_KB'!R13</f>
        <v>≥ 80%</v>
      </c>
      <c r="E25" s="222" t="str">
        <f ca="1">'Hilfstabelle Datendef_KB'!S13</f>
        <v>-----</v>
      </c>
      <c r="F25" s="224" t="str">
        <f ca="1">'Hilfstabelle Datendef_KB'!T13</f>
        <v>-----</v>
      </c>
      <c r="G25" s="224">
        <f ca="1">'Hilfstabelle Datendef_KB'!U13</f>
        <v>0</v>
      </c>
      <c r="H25" s="221" t="str">
        <f ca="1">'Hilfstabelle Datendef_KB'!V13</f>
        <v>n.d.</v>
      </c>
      <c r="I25" s="117" t="str">
        <f ca="1">'Hilfstabelle Datendef_KB'!W13</f>
        <v>Unvollständig</v>
      </c>
      <c r="J25" s="291" t="str">
        <f ca="1">'Hilfstabelle Datendef_KB'!X13</f>
        <v>-----</v>
      </c>
      <c r="K25" s="223" t="str">
        <f ca="1">'Hilfstabelle Datendef_KB'!Y13</f>
        <v>-----</v>
      </c>
    </row>
    <row r="26" spans="1:11" ht="169.5" customHeight="1" x14ac:dyDescent="0.3">
      <c r="A26" s="117">
        <f ca="1">'Hilfstabelle Datendef_KB'!O14</f>
        <v>13</v>
      </c>
      <c r="B26" s="225" t="str">
        <f ca="1">'Hilfstabelle Datendef_KB'!P14</f>
        <v>First-Line Chemotherapie fortgeschrittenes Ovarialkarzinom</v>
      </c>
      <c r="C26" s="222" t="str">
        <f ca="1">'Hilfstabelle Datendef_KB'!Q14</f>
        <v>&lt; 20%</v>
      </c>
      <c r="D26" s="222" t="str">
        <f ca="1">'Hilfstabelle Datendef_KB'!R14</f>
        <v>Derzeit keine Vorgaben</v>
      </c>
      <c r="E26" s="222" t="str">
        <f ca="1">'Hilfstabelle Datendef_KB'!S14</f>
        <v>-----</v>
      </c>
      <c r="F26" s="224" t="str">
        <f ca="1">'Hilfstabelle Datendef_KB'!T14</f>
        <v>-----</v>
      </c>
      <c r="G26" s="224">
        <f ca="1">'Hilfstabelle Datendef_KB'!U14</f>
        <v>0</v>
      </c>
      <c r="H26" s="221" t="str">
        <f ca="1">'Hilfstabelle Datendef_KB'!V14</f>
        <v>n.d.</v>
      </c>
      <c r="I26" s="117" t="str">
        <f ca="1">'Hilfstabelle Datendef_KB'!W14</f>
        <v>Unvollständig</v>
      </c>
      <c r="J26" s="291" t="str">
        <f ca="1">'Hilfstabelle Datendef_KB'!X14</f>
        <v>-----</v>
      </c>
      <c r="K26" s="223" t="str">
        <f ca="1">'Hilfstabelle Datendef_KB'!Y14</f>
        <v>-----</v>
      </c>
    </row>
    <row r="27" spans="1:11" ht="169.5" customHeight="1" x14ac:dyDescent="0.3">
      <c r="A27" s="117" t="str">
        <f ca="1">'Hilfstabelle Datendef_KB'!O15</f>
        <v>14</v>
      </c>
      <c r="B27" s="225" t="str">
        <f ca="1">'Hilfstabelle Datendef_KB'!P15</f>
        <v>Angaben im Befundbericht bei Erstdiagnose und Tumorresektion</v>
      </c>
      <c r="C27" s="222" t="str">
        <f ca="1">'Hilfstabelle Datendef_KB'!Q15</f>
        <v>-----</v>
      </c>
      <c r="D27" s="222" t="str">
        <f ca="1">'Hilfstabelle Datendef_KB'!R15</f>
        <v>≥ 80%</v>
      </c>
      <c r="E27" s="222" t="str">
        <f ca="1">'Hilfstabelle Datendef_KB'!S15</f>
        <v>-----</v>
      </c>
      <c r="F27" s="224" t="str">
        <f ca="1">'Hilfstabelle Datendef_KB'!T15</f>
        <v>-----</v>
      </c>
      <c r="G27" s="224">
        <f ca="1">'Hilfstabelle Datendef_KB'!U15</f>
        <v>0</v>
      </c>
      <c r="H27" s="221" t="str">
        <f ca="1">'Hilfstabelle Datendef_KB'!V15</f>
        <v>n.d.</v>
      </c>
      <c r="I27" s="117" t="str">
        <f ca="1">'Hilfstabelle Datendef_KB'!W15</f>
        <v>Unvollständig</v>
      </c>
      <c r="J27" s="291" t="str">
        <f ca="1">'Hilfstabelle Datendef_KB'!X15</f>
        <v>-----</v>
      </c>
      <c r="K27" s="223" t="str">
        <f ca="1">'Hilfstabelle Datendef_KB'!Y15</f>
        <v>-----</v>
      </c>
    </row>
    <row r="28" spans="1:11" ht="169.5" customHeight="1" x14ac:dyDescent="0.3">
      <c r="A28" s="117" t="str">
        <f ca="1">'Hilfstabelle Datendef_KB'!O16</f>
        <v>15</v>
      </c>
      <c r="B28" s="225" t="str">
        <f ca="1">'Hilfstabelle Datendef_KB'!P16</f>
        <v>Angaben im Befundbericht bei Lymphonodektomie</v>
      </c>
      <c r="C28" s="222" t="str">
        <f ca="1">'Hilfstabelle Datendef_KB'!Q16</f>
        <v>-----</v>
      </c>
      <c r="D28" s="222" t="str">
        <f ca="1">'Hilfstabelle Datendef_KB'!R16</f>
        <v>≥ 80%</v>
      </c>
      <c r="E28" s="222" t="str">
        <f ca="1">'Hilfstabelle Datendef_KB'!S16</f>
        <v>-----</v>
      </c>
      <c r="F28" s="224" t="str">
        <f ca="1">'Hilfstabelle Datendef_KB'!T16</f>
        <v>-----</v>
      </c>
      <c r="G28" s="224" t="str">
        <f ca="1">'Hilfstabelle Datendef_KB'!U16</f>
        <v>-----</v>
      </c>
      <c r="H28" s="221" t="str">
        <f ca="1">'Hilfstabelle Datendef_KB'!V16</f>
        <v>n.d.</v>
      </c>
      <c r="I28" s="117" t="str">
        <f ca="1">'Hilfstabelle Datendef_KB'!W16</f>
        <v>Unvollständig</v>
      </c>
      <c r="J28" s="291" t="str">
        <f ca="1">'Hilfstabelle Datendef_KB'!X16</f>
        <v>-----</v>
      </c>
      <c r="K28" s="223" t="str">
        <f ca="1">'Hilfstabelle Datendef_KB'!Y16</f>
        <v>-----</v>
      </c>
    </row>
    <row r="29" spans="1:11" ht="169.5" customHeight="1" x14ac:dyDescent="0.3">
      <c r="A29" s="117" t="str">
        <f ca="1">'Hilfstabelle Datendef_KB'!O17</f>
        <v>16</v>
      </c>
      <c r="B29" s="225" t="str">
        <f ca="1">'Hilfstabelle Datendef_KB'!P17</f>
        <v>Zytologisches/
histologisches LK-staging</v>
      </c>
      <c r="C29" s="222" t="str">
        <f ca="1">'Hilfstabelle Datendef_KB'!Q17</f>
        <v>-----</v>
      </c>
      <c r="D29" s="222" t="str">
        <f ca="1">'Hilfstabelle Datendef_KB'!R17</f>
        <v>≥ 60%</v>
      </c>
      <c r="E29" s="222" t="str">
        <f ca="1">'Hilfstabelle Datendef_KB'!S17</f>
        <v>-----</v>
      </c>
      <c r="F29" s="224" t="str">
        <f ca="1">'Hilfstabelle Datendef_KB'!T17</f>
        <v>-----</v>
      </c>
      <c r="G29" s="224">
        <f ca="1">'Hilfstabelle Datendef_KB'!U17</f>
        <v>0</v>
      </c>
      <c r="H29" s="221" t="str">
        <f ca="1">'Hilfstabelle Datendef_KB'!V17</f>
        <v>n.d.</v>
      </c>
      <c r="I29" s="117" t="str">
        <f ca="1">'Hilfstabelle Datendef_KB'!W17</f>
        <v>Unvollständig</v>
      </c>
      <c r="J29" s="291" t="str">
        <f ca="1">'Hilfstabelle Datendef_KB'!X17</f>
        <v>-----</v>
      </c>
      <c r="K29" s="223" t="str">
        <f ca="1">'Hilfstabelle Datendef_KB'!Y17</f>
        <v>-----</v>
      </c>
    </row>
    <row r="30" spans="1:11" ht="169.5" customHeight="1" x14ac:dyDescent="0.3">
      <c r="A30" s="117" t="str">
        <f ca="1">'Hilfstabelle Datendef_KB'!O18</f>
        <v>17</v>
      </c>
      <c r="B30" s="225" t="str">
        <f ca="1">'Hilfstabelle Datendef_KB'!P18</f>
        <v>Brachytherapie als Bestandteil prim. Radio(chemo)therapie</v>
      </c>
      <c r="C30" s="222" t="str">
        <f ca="1">'Hilfstabelle Datendef_KB'!Q18</f>
        <v>-----</v>
      </c>
      <c r="D30" s="222" t="str">
        <f ca="1">'Hilfstabelle Datendef_KB'!R18</f>
        <v>≥ 80%</v>
      </c>
      <c r="E30" s="222" t="str">
        <f ca="1">'Hilfstabelle Datendef_KB'!S18</f>
        <v>-----</v>
      </c>
      <c r="F30" s="224" t="str">
        <f ca="1">'Hilfstabelle Datendef_KB'!T18</f>
        <v>-----</v>
      </c>
      <c r="G30" s="224" t="str">
        <f ca="1">'Hilfstabelle Datendef_KB'!U18</f>
        <v>-----</v>
      </c>
      <c r="H30" s="221" t="str">
        <f ca="1">'Hilfstabelle Datendef_KB'!V18</f>
        <v>n.d.</v>
      </c>
      <c r="I30" s="117" t="str">
        <f ca="1">'Hilfstabelle Datendef_KB'!W18</f>
        <v>Unvollständig</v>
      </c>
      <c r="J30" s="291" t="str">
        <f ca="1">'Hilfstabelle Datendef_KB'!X18</f>
        <v>-----</v>
      </c>
      <c r="K30" s="223" t="str">
        <f ca="1">'Hilfstabelle Datendef_KB'!Y18</f>
        <v>-----</v>
      </c>
    </row>
    <row r="31" spans="1:11" ht="169.5" customHeight="1" x14ac:dyDescent="0.3">
      <c r="A31" s="117" t="str">
        <f ca="1">'Hilfstabelle Datendef_KB'!O19</f>
        <v>19</v>
      </c>
      <c r="B31" s="225" t="str">
        <f ca="1">'Hilfstabelle Datendef_KB'!P19</f>
        <v>Angaben im Befundbericht bei Erstdiagnose und Tumorresektion</v>
      </c>
      <c r="C31" s="222" t="str">
        <f ca="1">'Hilfstabelle Datendef_KB'!Q19</f>
        <v>-----</v>
      </c>
      <c r="D31" s="222" t="str">
        <f ca="1">'Hilfstabelle Datendef_KB'!R19</f>
        <v>≥ 80%</v>
      </c>
      <c r="E31" s="222" t="str">
        <f ca="1">'Hilfstabelle Datendef_KB'!S19</f>
        <v>-----</v>
      </c>
      <c r="F31" s="224" t="str">
        <f ca="1">'Hilfstabelle Datendef_KB'!T19</f>
        <v>-----</v>
      </c>
      <c r="G31" s="224" t="str">
        <f ca="1">'Hilfstabelle Datendef_KB'!U19</f>
        <v>-----</v>
      </c>
      <c r="H31" s="221" t="str">
        <f ca="1">'Hilfstabelle Datendef_KB'!V19</f>
        <v>n.d.</v>
      </c>
      <c r="I31" s="117" t="str">
        <f ca="1">'Hilfstabelle Datendef_KB'!W19</f>
        <v>Unvollständig</v>
      </c>
      <c r="J31" s="291" t="str">
        <f ca="1">'Hilfstabelle Datendef_KB'!X19</f>
        <v>-----</v>
      </c>
      <c r="K31" s="223" t="str">
        <f ca="1">'Hilfstabelle Datendef_KB'!Y19</f>
        <v>-----</v>
      </c>
    </row>
    <row r="32" spans="1:11" ht="169.5" customHeight="1" x14ac:dyDescent="0.3">
      <c r="A32" s="117" t="str">
        <f ca="1">'Hilfstabelle Datendef_KB'!O20</f>
        <v>20</v>
      </c>
      <c r="B32" s="225" t="str">
        <f ca="1">'Hilfstabelle Datendef_KB'!P20</f>
        <v>Angaben im Befundbericht bei Lymphonodektomie</v>
      </c>
      <c r="C32" s="222" t="str">
        <f ca="1">'Hilfstabelle Datendef_KB'!Q20</f>
        <v>-----</v>
      </c>
      <c r="D32" s="222" t="str">
        <f ca="1">'Hilfstabelle Datendef_KB'!R20</f>
        <v>≥ 80%</v>
      </c>
      <c r="E32" s="222" t="str">
        <f ca="1">'Hilfstabelle Datendef_KB'!S20</f>
        <v>-----</v>
      </c>
      <c r="F32" s="224" t="str">
        <f ca="1">'Hilfstabelle Datendef_KB'!T20</f>
        <v>-----</v>
      </c>
      <c r="G32" s="224" t="str">
        <f ca="1">'Hilfstabelle Datendef_KB'!U20</f>
        <v>-----</v>
      </c>
      <c r="H32" s="221" t="str">
        <f ca="1">'Hilfstabelle Datendef_KB'!V20</f>
        <v>n.d.</v>
      </c>
      <c r="I32" s="117" t="str">
        <f ca="1">'Hilfstabelle Datendef_KB'!W20</f>
        <v>Unvollständig</v>
      </c>
      <c r="J32" s="291" t="str">
        <f ca="1">'Hilfstabelle Datendef_KB'!X20</f>
        <v>-----</v>
      </c>
      <c r="K32" s="223" t="str">
        <f ca="1">'Hilfstabelle Datendef_KB'!Y20</f>
        <v>-----</v>
      </c>
    </row>
    <row r="33" spans="1:11" ht="169.5" customHeight="1" x14ac:dyDescent="0.3">
      <c r="A33" s="117" t="str">
        <f ca="1">'Hilfstabelle Datendef_KB'!O21</f>
        <v>21</v>
      </c>
      <c r="B33" s="225" t="str">
        <f ca="1">'Hilfstabelle Datendef_KB'!P21</f>
        <v>Durchführung inguinofemorales Staging</v>
      </c>
      <c r="C33" s="222" t="str">
        <f ca="1">'Hilfstabelle Datendef_KB'!Q21</f>
        <v>-----</v>
      </c>
      <c r="D33" s="222" t="str">
        <f ca="1">'Hilfstabelle Datendef_KB'!R21</f>
        <v>≥ 90%</v>
      </c>
      <c r="E33" s="222" t="str">
        <f ca="1">'Hilfstabelle Datendef_KB'!S21</f>
        <v>-----</v>
      </c>
      <c r="F33" s="224" t="str">
        <f ca="1">'Hilfstabelle Datendef_KB'!T21</f>
        <v>-----</v>
      </c>
      <c r="G33" s="224" t="str">
        <f ca="1">'Hilfstabelle Datendef_KB'!U21</f>
        <v>-----</v>
      </c>
      <c r="H33" s="221" t="str">
        <f ca="1">'Hilfstabelle Datendef_KB'!V21</f>
        <v>n.d.</v>
      </c>
      <c r="I33" s="117" t="str">
        <f ca="1">'Hilfstabelle Datendef_KB'!W21</f>
        <v>Unvollständig</v>
      </c>
      <c r="J33" s="291" t="str">
        <f ca="1">'Hilfstabelle Datendef_KB'!X21</f>
        <v>-----</v>
      </c>
      <c r="K33" s="223" t="str">
        <f ca="1">'Hilfstabelle Datendef_KB'!Y21</f>
        <v>-----</v>
      </c>
    </row>
    <row r="34" spans="1:11" ht="169.5" customHeight="1" x14ac:dyDescent="0.3">
      <c r="A34" s="117" t="str">
        <f ca="1">'Hilfstabelle Datendef_KB'!O22</f>
        <v>22</v>
      </c>
      <c r="B34" s="225" t="str">
        <f ca="1">'Hilfstabelle Datendef_KB'!P22</f>
        <v>Sentinel Lymphknoten Biopsie</v>
      </c>
      <c r="C34" s="222" t="str">
        <f ca="1">'Hilfstabelle Datendef_KB'!Q22</f>
        <v>-----</v>
      </c>
      <c r="D34" s="222" t="str">
        <f ca="1">'Hilfstabelle Datendef_KB'!R22</f>
        <v>≥ 80%</v>
      </c>
      <c r="E34" s="222" t="str">
        <f ca="1">'Hilfstabelle Datendef_KB'!S22</f>
        <v>-----</v>
      </c>
      <c r="F34" s="224" t="str">
        <f ca="1">'Hilfstabelle Datendef_KB'!T22</f>
        <v>-----</v>
      </c>
      <c r="G34" s="224" t="str">
        <f ca="1">'Hilfstabelle Datendef_KB'!U22</f>
        <v>-----</v>
      </c>
      <c r="H34" s="221" t="str">
        <f ca="1">'Hilfstabelle Datendef_KB'!V22</f>
        <v>n.d.</v>
      </c>
      <c r="I34" s="117" t="str">
        <f ca="1">'Hilfstabelle Datendef_KB'!W22</f>
        <v>Unvollständig</v>
      </c>
      <c r="J34" s="291" t="str">
        <f ca="1">'Hilfstabelle Datendef_KB'!X22</f>
        <v>-----</v>
      </c>
      <c r="K34" s="223" t="str">
        <f ca="1">'Hilfstabelle Datendef_KB'!Y22</f>
        <v>-----</v>
      </c>
    </row>
    <row r="35" spans="1:11" ht="169.2" customHeight="1" x14ac:dyDescent="0.3">
      <c r="A35" s="117" t="str">
        <f ca="1">'Hilfstabelle Datendef_KB'!O23</f>
        <v>23</v>
      </c>
      <c r="B35" s="225" t="str">
        <f ca="1">'Hilfstabelle Datendef_KB'!P23</f>
        <v>Systematische Lymphadenektomie bei Typ-I-Endometriumkarzinom</v>
      </c>
      <c r="C35" s="222" t="str">
        <f ca="1">'Hilfstabelle Datendef_KB'!Q23</f>
        <v>-----</v>
      </c>
      <c r="D35" s="222" t="str">
        <f ca="1">'Hilfstabelle Datendef_KB'!R23</f>
        <v>≤ 5%</v>
      </c>
      <c r="E35" s="222" t="str">
        <f ca="1">'Hilfstabelle Datendef_KB'!S23</f>
        <v>-----</v>
      </c>
      <c r="F35" s="224" t="str">
        <f ca="1">'Hilfstabelle Datendef_KB'!T23</f>
        <v>-----</v>
      </c>
      <c r="G35" s="224" t="str">
        <f ca="1">'Hilfstabelle Datendef_KB'!U23</f>
        <v>-----</v>
      </c>
      <c r="H35" s="221" t="str">
        <f ca="1">'Hilfstabelle Datendef_KB'!V23</f>
        <v>n.d.</v>
      </c>
      <c r="I35" s="117" t="str">
        <f ca="1">'Hilfstabelle Datendef_KB'!W23</f>
        <v>Unvollständig</v>
      </c>
      <c r="J35" s="291" t="str">
        <f ca="1">'Hilfstabelle Datendef_KB'!X23</f>
        <v>-----</v>
      </c>
      <c r="K35" s="223" t="str">
        <f ca="1">'Hilfstabelle Datendef_KB'!Y23</f>
        <v>-----</v>
      </c>
    </row>
    <row r="36" spans="1:11" ht="169.2" customHeight="1" x14ac:dyDescent="0.3">
      <c r="A36" s="117" t="str">
        <f ca="1">'Hilfstabelle Datendef_KB'!O24</f>
        <v>24</v>
      </c>
      <c r="B36" s="225" t="str">
        <f ca="1">'Hilfstabelle Datendef_KB'!P24</f>
        <v>Adjuvante Chemotherapie bei Typ-I-Endometriumkarzinom</v>
      </c>
      <c r="C36" s="222" t="str">
        <f ca="1">'Hilfstabelle Datendef_KB'!Q24</f>
        <v>-----</v>
      </c>
      <c r="D36" s="222" t="str">
        <f ca="1">'Hilfstabelle Datendef_KB'!R24</f>
        <v>≤ 5%</v>
      </c>
      <c r="E36" s="222" t="str">
        <f ca="1">'Hilfstabelle Datendef_KB'!S24</f>
        <v>-----</v>
      </c>
      <c r="F36" s="224" t="str">
        <f ca="1">'Hilfstabelle Datendef_KB'!T24</f>
        <v>-----</v>
      </c>
      <c r="G36" s="224" t="str">
        <f ca="1">'Hilfstabelle Datendef_KB'!U24</f>
        <v>-----</v>
      </c>
      <c r="H36" s="221" t="str">
        <f ca="1">'Hilfstabelle Datendef_KB'!V24</f>
        <v>n.d.</v>
      </c>
      <c r="I36" s="117" t="str">
        <f ca="1">'Hilfstabelle Datendef_KB'!W24</f>
        <v>Unvollständig</v>
      </c>
      <c r="J36" s="291" t="str">
        <f ca="1">'Hilfstabelle Datendef_KB'!X24</f>
        <v>-----</v>
      </c>
      <c r="K36" s="223" t="str">
        <f ca="1">'Hilfstabelle Datendef_KB'!Y24</f>
        <v>-----</v>
      </c>
    </row>
    <row r="37" spans="1:11" ht="169.2" customHeight="1" x14ac:dyDescent="0.3">
      <c r="A37" s="117" t="e">
        <f>'Hilfstabelle Datendef_KB'!#REF!</f>
        <v>#REF!</v>
      </c>
      <c r="B37" s="225" t="e">
        <f>'Hilfstabelle Datendef_KB'!#REF!</f>
        <v>#REF!</v>
      </c>
      <c r="C37" s="222" t="e">
        <f>'Hilfstabelle Datendef_KB'!#REF!</f>
        <v>#REF!</v>
      </c>
      <c r="D37" s="222" t="e">
        <f>'Hilfstabelle Datendef_KB'!#REF!</f>
        <v>#REF!</v>
      </c>
      <c r="E37" s="222" t="e">
        <f>'Hilfstabelle Datendef_KB'!#REF!</f>
        <v>#REF!</v>
      </c>
      <c r="F37" s="224" t="e">
        <f>'Hilfstabelle Datendef_KB'!#REF!</f>
        <v>#REF!</v>
      </c>
      <c r="G37" s="224" t="e">
        <f>'Hilfstabelle Datendef_KB'!#REF!</f>
        <v>#REF!</v>
      </c>
      <c r="H37" s="221" t="e">
        <f>'Hilfstabelle Datendef_KB'!#REF!</f>
        <v>#REF!</v>
      </c>
      <c r="I37" s="117" t="e">
        <f>'Hilfstabelle Datendef_KB'!#REF!</f>
        <v>#REF!</v>
      </c>
      <c r="J37" s="291" t="e">
        <f>'Hilfstabelle Datendef_KB'!#REF!</f>
        <v>#REF!</v>
      </c>
      <c r="K37" s="223" t="e">
        <f>'Hilfstabelle Datendef_KB'!#REF!</f>
        <v>#REF!</v>
      </c>
    </row>
  </sheetData>
  <sheetProtection algorithmName="SHA-512" hashValue="x8BDx9bHXVBh5gvO8DUCf+1P4kqe/g7YMOZxzmzSRMT4ZR6XBFUd36+OoaFHgIKqJ/Jo/CzSx8zLja08xzdnsw==" saltValue="4teot/lkkmdPpbYHZQJMHw==" spinCount="100000" sheet="1" objects="1" scenarios="1" selectLockedCells="1" selectUnlockedCells="1"/>
  <mergeCells count="8">
    <mergeCell ref="C6:J6"/>
    <mergeCell ref="C8:F8"/>
    <mergeCell ref="A12:A13"/>
    <mergeCell ref="I12:I13"/>
    <mergeCell ref="B12:B13"/>
    <mergeCell ref="C12:E12"/>
    <mergeCell ref="F12:H12"/>
    <mergeCell ref="J12:K12"/>
  </mergeCells>
  <phoneticPr fontId="36" type="noConversion"/>
  <conditionalFormatting sqref="A14:H37 J14:K37">
    <cfRule type="notContainsBlanks" dxfId="96" priority="24" stopIfTrue="1">
      <formula>LEN(TRIM(A14))&gt;0</formula>
    </cfRule>
  </conditionalFormatting>
  <conditionalFormatting sqref="I14:I37">
    <cfRule type="expression" dxfId="95" priority="1">
      <formula>AND($I14&lt;&gt;"",$I14="Ausnahme (Plausibilität unklar)")</formula>
    </cfRule>
    <cfRule type="expression" dxfId="94" priority="2">
      <formula>AND($I14&lt;&gt;"",$I14="optional - unvollständig")</formula>
    </cfRule>
    <cfRule type="expression" dxfId="93" priority="20" stopIfTrue="1">
      <formula>OR(AND($I14&lt;&gt;"",$I14="Unvollständig"),AND($I14&lt;&gt;"",$I14="Inkorrekt"),AND($I14&lt;&gt;"",$I14="optional - Inkorrekt"))</formula>
    </cfRule>
    <cfRule type="expression" dxfId="92" priority="21" stopIfTrue="1">
      <formula>OR(AND($I14&lt;&gt;"",$I14="Sollvorgabe nicht erfüllt"),AND($I14&lt;&gt;"",$I14="optional - Sollvorgabe nicht erfüllt"))</formula>
    </cfRule>
    <cfRule type="expression" dxfId="91" priority="22" stopIfTrue="1">
      <formula>OR(AND($I14&lt;&gt;"",$I14="I.O. (Plausibilität unklar)"),AND($I14&lt;&gt;"",$I14="optional - I.O. (Plausibilität unklar)"))</formula>
    </cfRule>
  </conditionalFormatting>
  <conditionalFormatting sqref="A12:A13 J12">
    <cfRule type="expression" dxfId="90" priority="19" stopIfTrue="1">
      <formula>$B$10="Kein Datendefizit vorhanden"</formula>
    </cfRule>
  </conditionalFormatting>
  <conditionalFormatting sqref="B12:B13">
    <cfRule type="expression" dxfId="89" priority="18" stopIfTrue="1">
      <formula>$B$10="Kein Datendefizit vorhanden"</formula>
    </cfRule>
  </conditionalFormatting>
  <conditionalFormatting sqref="C12:E12">
    <cfRule type="expression" dxfId="88" priority="17" stopIfTrue="1">
      <formula>$B$10="Kein Datendefizit vorhanden"</formula>
    </cfRule>
  </conditionalFormatting>
  <conditionalFormatting sqref="F12:H12">
    <cfRule type="expression" dxfId="87" priority="16" stopIfTrue="1">
      <formula>$B$10="Kein Datendefizit vorhanden"</formula>
    </cfRule>
  </conditionalFormatting>
  <conditionalFormatting sqref="I12:I13">
    <cfRule type="expression" dxfId="86" priority="15" stopIfTrue="1">
      <formula>$B$10="Kein Datendefizit vorhanden"</formula>
    </cfRule>
  </conditionalFormatting>
  <conditionalFormatting sqref="C13">
    <cfRule type="expression" dxfId="85" priority="14" stopIfTrue="1">
      <formula>$B$10="Kein Datendefizit vorhanden"</formula>
    </cfRule>
  </conditionalFormatting>
  <conditionalFormatting sqref="D13">
    <cfRule type="expression" dxfId="84" priority="13" stopIfTrue="1">
      <formula>$B$10="Kein Datendefizit vorhanden"</formula>
    </cfRule>
  </conditionalFormatting>
  <conditionalFormatting sqref="E13">
    <cfRule type="expression" dxfId="83" priority="12" stopIfTrue="1">
      <formula>$B$10="Kein Datendefizit vorhanden"</formula>
    </cfRule>
  </conditionalFormatting>
  <conditionalFormatting sqref="F13">
    <cfRule type="expression" dxfId="82" priority="11" stopIfTrue="1">
      <formula>$B$10="Kein Datendefizit vorhanden"</formula>
    </cfRule>
  </conditionalFormatting>
  <conditionalFormatting sqref="G13">
    <cfRule type="expression" dxfId="81" priority="10" stopIfTrue="1">
      <formula>$B$10="Kein Datendefizit vorhanden"</formula>
    </cfRule>
  </conditionalFormatting>
  <conditionalFormatting sqref="H13">
    <cfRule type="expression" dxfId="80" priority="9" stopIfTrue="1">
      <formula>$B$10="Kein Datendefizit vorhanden"</formula>
    </cfRule>
  </conditionalFormatting>
  <conditionalFormatting sqref="J13">
    <cfRule type="expression" dxfId="79" priority="6" stopIfTrue="1">
      <formula>$B$10="Kein Datendefizit vorhanden"</formula>
    </cfRule>
  </conditionalFormatting>
  <conditionalFormatting sqref="K13">
    <cfRule type="expression" dxfId="78" priority="5" stopIfTrue="1">
      <formula>$B$10="Kein Datendefizit vorhanden"</formula>
    </cfRule>
  </conditionalFormatting>
  <conditionalFormatting sqref="J12:K12">
    <cfRule type="expression" dxfId="77" priority="3" stopIfTrue="1">
      <formula>J12&lt;&gt;""</formula>
    </cfRule>
  </conditionalFormatting>
  <pageMargins left="0.39370078740157483" right="0.19685039370078741" top="0.59055118110236227" bottom="0.39370078740157483" header="0.11811023622047245" footer="0.11811023622047245"/>
  <pageSetup paperSize="9" scale="95" orientation="landscape" r:id="rId1"/>
  <headerFooter>
    <oddFooter xml:space="preserve">&amp;L&amp;"Arial,Standard"&amp;7&amp;F&amp;C&amp;"Arial,Standard"&amp;7 © DKG  Alle Rechte vorbehalten&amp;R&amp;"Arial,Standard"&amp;7&amp;P       </oddFooter>
  </headerFooter>
  <rowBreaks count="1" manualBreakCount="1">
    <brk id="15" max="16383" man="1"/>
  </rowBreaks>
  <colBreaks count="1" manualBreakCount="1">
    <brk id="16" max="1048575" man="1"/>
  </colBreaks>
  <ignoredErrors>
    <ignoredError sqref="D13" formula="1"/>
    <ignoredError sqref="C8" emptyCellReference="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7"/>
  <dimension ref="A1:Y24"/>
  <sheetViews>
    <sheetView topLeftCell="A19" zoomScaleNormal="100" workbookViewId="0">
      <selection activeCell="E39" sqref="E39"/>
    </sheetView>
  </sheetViews>
  <sheetFormatPr defaultColWidth="11.44140625" defaultRowHeight="10.199999999999999" x14ac:dyDescent="0.3"/>
  <cols>
    <col min="1" max="1" width="18.33203125" style="388" customWidth="1"/>
    <col min="2" max="2" width="9.109375" style="229" customWidth="1"/>
    <col min="3" max="3" width="9.44140625" style="234" customWidth="1"/>
    <col min="4" max="4" width="51.6640625" style="386" bestFit="1" customWidth="1"/>
    <col min="5" max="5" width="9.109375" style="230" customWidth="1"/>
    <col min="6" max="6" width="11.33203125" style="234" customWidth="1"/>
    <col min="7" max="10" width="9.109375" style="230" customWidth="1"/>
    <col min="11" max="11" width="13" style="234" customWidth="1"/>
    <col min="12" max="13" width="25.6640625" style="229" customWidth="1"/>
    <col min="14" max="14" width="9.109375" style="229" customWidth="1"/>
    <col min="15" max="15" width="6.5546875" style="230" customWidth="1"/>
    <col min="16" max="16" width="31" style="386" bestFit="1" customWidth="1"/>
    <col min="17" max="17" width="9.109375" style="230" customWidth="1"/>
    <col min="18" max="18" width="9.109375" style="234" customWidth="1"/>
    <col min="19" max="22" width="9.109375" style="230" customWidth="1"/>
    <col min="23" max="23" width="15.44140625" style="234" customWidth="1"/>
    <col min="24" max="25" width="18.44140625" style="229" customWidth="1"/>
    <col min="26" max="16384" width="11.44140625" style="229"/>
  </cols>
  <sheetData>
    <row r="1" spans="1:25" ht="20.399999999999999" x14ac:dyDescent="0.3">
      <c r="A1" s="387" t="s">
        <v>150</v>
      </c>
      <c r="C1" s="226" t="s">
        <v>12</v>
      </c>
      <c r="D1" s="228" t="s">
        <v>304</v>
      </c>
      <c r="E1" s="226" t="s">
        <v>467</v>
      </c>
      <c r="F1" s="227" t="s">
        <v>49</v>
      </c>
      <c r="G1" s="226" t="s">
        <v>467</v>
      </c>
      <c r="H1" s="226" t="s">
        <v>0</v>
      </c>
      <c r="I1" s="226" t="s">
        <v>50</v>
      </c>
      <c r="J1" s="226" t="s">
        <v>79</v>
      </c>
      <c r="K1" s="226" t="s">
        <v>150</v>
      </c>
      <c r="L1" s="211" t="s">
        <v>462</v>
      </c>
      <c r="M1" s="211" t="s">
        <v>461</v>
      </c>
      <c r="O1" s="231" t="s">
        <v>1</v>
      </c>
    </row>
    <row r="2" spans="1:25" ht="34.5" customHeight="1" x14ac:dyDescent="0.3">
      <c r="A2" s="452" t="str">
        <f>IF('Kennzahlenbogen_(KB)'!P14=0,"",'Kennzahlenbogen_(KB)'!P14)</f>
        <v>Unvollständig</v>
      </c>
      <c r="B2" s="453"/>
      <c r="C2" s="457">
        <f>IF($A2="I.O.","",'Kennzahlenbogen_(KB)'!A14)</f>
        <v>1</v>
      </c>
      <c r="D2" s="454" t="str">
        <f>IF($A2="I.O.","",'Kennzahlenbogen_(KB)'!C14)</f>
        <v>Vorstellung Tumorkonferenz</v>
      </c>
      <c r="E2" s="456" t="str">
        <f>IF(AND('Kennzahlenbogen_(KB)'!J14="",$A2&lt;&gt;"I.O."),"-----",IF($A2="I.O.","",'Kennzahlenbogen_(KB)'!J14))</f>
        <v>-----</v>
      </c>
      <c r="F2" s="455" t="str">
        <f>IF($A2="I.O.","",'Kennzahlenbogen_(KB)'!K14)</f>
        <v>≥ 80%</v>
      </c>
      <c r="G2" s="456" t="str">
        <f>IF(AND('Kennzahlenbogen_(KB)'!M14="",$A2&lt;&gt;"I.O."),"-----",IF($A2="I.O.","",'Kennzahlenbogen_(KB)'!M14))</f>
        <v>-----</v>
      </c>
      <c r="H2" s="369" t="str">
        <f>IF($A2="I.O.","",IF('Kennzahlenbogen_(KB)'!O14="","-----",'Kennzahlenbogen_(KB)'!O14))</f>
        <v>-----</v>
      </c>
      <c r="I2" s="369">
        <f>IF($A2="I.O.","",IF('Kennzahlenbogen_(KB)'!O15="","-----",'Kennzahlenbogen_(KB)'!O15))</f>
        <v>0</v>
      </c>
      <c r="J2" s="214" t="str">
        <f>IF($A2="I.O.","",IF('Kennzahlenbogen_(KB)'!O16="",0,'Kennzahlenbogen_(KB)'!O16))</f>
        <v>n.d.</v>
      </c>
      <c r="K2" s="213" t="str">
        <f>IF($A2="I.O.","",'Kennzahlenbogen_(KB)'!P14)</f>
        <v>Unvollständig</v>
      </c>
      <c r="L2" s="233" t="str">
        <f>IF(AND('Kennzahlenbogen_(KB)'!Q14="",$A2&lt;&gt;"I.O."),"-----",IF($A2="I.O.","",'Kennzahlenbogen_(KB)'!Q14))</f>
        <v>-----</v>
      </c>
      <c r="M2" s="233" t="str">
        <f>IF(AND('Kennzahlenbogen_(KB)'!R14="",$A2&lt;&gt;"I.O."),"-----",IF($A2="I.O.","",'Kennzahlenbogen_(KB)'!R14))</f>
        <v>-----</v>
      </c>
      <c r="O2" s="232">
        <f t="array" aca="1" ref="O2" ca="1">IF(ROW()-ROW($D$2:$D$24)+1&gt;ROWS($C$2:$C$24)-COUNTBLANK($C$2:$C$24),"",INDIRECT(ADDRESS(SMALL((IF($C$2:$C$24&lt;&gt;"",ROW($C$2:$C$24),ROW()+ROWS($C$2:$C$24))),ROW()-ROW($D$2:$D$24)+1),COLUMN($C$2:$C$24),4)))</f>
        <v>1</v>
      </c>
      <c r="P2" s="212" t="str">
        <f t="array" aca="1" ref="P2" ca="1">IF(ROW()-ROW($E$2:$E$24)+1&gt;ROWS($D$2:$D$24)-COUNTBLANK($D$2:$D$24),"",INDIRECT(ADDRESS(SMALL((IF($D$2:$D$24&gt;"",ROW($D$2:$D$24),ROW()+ROWS($D$2:$D$24))),ROW()-ROW($E$2:$E$24)+1),COLUMN($D$2:$D$24),4)))</f>
        <v>Vorstellung Tumorkonferenz</v>
      </c>
      <c r="Q2" s="235" t="str">
        <f t="array" aca="1" ref="Q2" ca="1">IF(ROW()-ROW($F$2:$F$24)+1&gt;ROWS($E$2:$E$24)-COUNTBLANK($E$2:$E$24),"",INDIRECT(ADDRESS(SMALL((IF($E$2:$E$24&gt;"",ROW($E$2:$E$24),ROW()+ROWS($E$2:$E$24))),ROW()-ROW($F$2:$F$24)+1),COLUMN($E$2:$E$24),4)))</f>
        <v>-----</v>
      </c>
      <c r="R2" s="236" t="str">
        <f t="array" aca="1" ref="R2" ca="1">IF(ROW()-ROW($G$2:$G$24)+1&gt;ROWS($F$2:$F$24)-COUNTBLANK($F$2:$F$24),"",INDIRECT(ADDRESS(SMALL((IF($F$2:$F$24&gt;"",ROW($F$2:$F$24),ROW()+ROWS($F$2:$F$24))),ROW()-ROW($G$2:$G$24)+1),COLUMN($F$2:$F$24),4)))</f>
        <v>≥ 80%</v>
      </c>
      <c r="S2" s="235" t="str">
        <f t="array" aca="1" ref="S2" ca="1">IF(ROW()-ROW($H$2:$H$24)+1&gt;ROWS($G$2:$G$24)-COUNTBLANK($G$2:$G$24),"",INDIRECT(ADDRESS(SMALL((IF($G$2:$G$24&lt;&gt;"",ROW($G$2:$G$24),ROW()+ROWS($G$2:$G$24))),ROW()-ROW($H$2:$H$24)+1),COLUMN($G$2:$G$24),4)))</f>
        <v>-----</v>
      </c>
      <c r="T2" s="215" t="str">
        <f t="array" aca="1" ref="T2" ca="1">IF(ROW()-ROW($I$2:$I$24)+1&gt;ROWS($H$2:$H$24)-COUNTBLANK($H$2:$H$24),"",INDIRECT(ADDRESS(SMALL((IF($H$2:$H$24&lt;&gt;"",ROW($H$2:$H$24),ROW()+ROWS($H$2:$H$24))),ROW()-ROW($I$2:$I$24)+1),COLUMN($H$2:$H$24),4)))</f>
        <v>-----</v>
      </c>
      <c r="U2" s="215">
        <f t="array" aca="1" ref="U2" ca="1">IF(ROW()-ROW($J$2:$J$24)+1&gt;ROWS($I$2:$I$24)-COUNTBLANK($I$2:$I$24),"",INDIRECT(ADDRESS(SMALL((IF($I$2:$I$24&lt;&gt;"",ROW($I$2:$I$24),ROW()+ROWS($I$2:$I$24))),ROW()-ROW($J$2:$J$24)+1),COLUMN($I$2:$I$24),4)))</f>
        <v>0</v>
      </c>
      <c r="V2" s="214" t="str">
        <f t="array" aca="1" ref="V2" ca="1">IF(ROW()-ROW($K$2:$K$24)+1&gt;ROWS($J$2:$J$24)-COUNTBLANK($J$2:$J$24),"",INDIRECT(ADDRESS(SMALL((IF($J$2:$J$24&lt;&gt;"",ROW($J$2:$J$24),ROW()+ROWS($J$2:$J$24))),ROW()-ROW($K$2:$K$24)+1),COLUMN($J$2:$J$24),4)))</f>
        <v>n.d.</v>
      </c>
      <c r="W2" s="213" t="str">
        <f t="array" aca="1" ref="W2" ca="1">IF(ROW()-ROW($L$2:$L$24)+1&gt;ROWS($K$2:$K$24)-COUNTBLANK($K$2:$K$24),"",INDIRECT(ADDRESS(SMALL((IF($K$2:$K$24&lt;&gt;"",ROW($K$2:$K$24),ROW()+ROWS($K$2:$K$24))),ROW()-ROW($L$2:$L$24)+1),COLUMN($K$2:$K$24),4)))</f>
        <v>Unvollständig</v>
      </c>
      <c r="X2" s="233" t="str">
        <f t="array" aca="1" ref="X2" ca="1">IF(ROW()-ROW($M$2:$M$24)+1&gt;ROWS($L$2:$L$24)-COUNTBLANK($L$2:$L$24),"",INDIRECT(ADDRESS(SMALL((IF($L$2:$L$24&lt;&gt;"",ROW($L$2:$L$24),ROW()+ROWS($L$2:$L$24))),ROW()-ROW($M$2:$M$24)+1),COLUMN($L$2:$L$24),4)))</f>
        <v>-----</v>
      </c>
      <c r="Y2" s="233" t="str">
        <f t="array" aca="1" ref="Y2" ca="1">IF(ROW()-ROW($N$2:$N$24)+1&gt;ROWS($M$2:$M$24)-COUNTBLANK($M$2:$M$24),"",INDIRECT(ADDRESS(SMALL((IF($M$2:$M$24&lt;&gt;"",ROW($M$2:$M$24),ROW()+ROWS($M$2:$M$24))),ROW()-ROW($N$2:$N$24)+1),COLUMN($M$2:$M$24),4)))</f>
        <v>-----</v>
      </c>
    </row>
    <row r="3" spans="1:25" ht="34.5" customHeight="1" x14ac:dyDescent="0.3">
      <c r="A3" s="452" t="str">
        <f>IF('Kennzahlenbogen_(KB)'!P17=0,"",'Kennzahlenbogen_(KB)'!P17)</f>
        <v>Unvollständig</v>
      </c>
      <c r="B3" s="453"/>
      <c r="C3" s="457">
        <f>IF($A3="I.O.","",'Kennzahlenbogen_(KB)'!A17)</f>
        <v>2</v>
      </c>
      <c r="D3" s="454" t="str">
        <f>IF($A3="I.O.","",'Kennzahlenbogen_(KB)'!C17)</f>
        <v>Psychoonkologische Betreuung 
(Gespräch ≥ 25 Min.)</v>
      </c>
      <c r="E3" s="456" t="str">
        <f>IF(AND('Kennzahlenbogen_(KB)'!J17="",$A3&lt;&gt;"I.O."),"-----",IF($A3="I.O.","",'Kennzahlenbogen_(KB)'!J17))</f>
        <v>&lt; 15%</v>
      </c>
      <c r="F3" s="455" t="str">
        <f>IF($A3="I.O.","",'Kennzahlenbogen_(KB)'!K17)</f>
        <v>Derzeit keine Vorgaben</v>
      </c>
      <c r="G3" s="456" t="str">
        <f>IF(AND('Kennzahlenbogen_(KB)'!M17="",$A3&lt;&gt;"I.O."),"-----",IF($A3="I.O.","",'Kennzahlenbogen_(KB)'!M17))</f>
        <v>-----</v>
      </c>
      <c r="H3" s="369" t="str">
        <f>IF($A3="I.O.","",IF('Kennzahlenbogen_(KB)'!O17="","-----",'Kennzahlenbogen_(KB)'!O17))</f>
        <v>-----</v>
      </c>
      <c r="I3" s="369">
        <f>IF($A3="I.O.","",IF('Kennzahlenbogen_(KB)'!O18="","-----",'Kennzahlenbogen_(KB)'!O18))</f>
        <v>0</v>
      </c>
      <c r="J3" s="214" t="str">
        <f>IF($A3="I.O.","",IF('Kennzahlenbogen_(KB)'!O19="",0,'Kennzahlenbogen_(KB)'!O19))</f>
        <v>n.d.</v>
      </c>
      <c r="K3" s="213" t="str">
        <f>IF($A3="I.O.","",'Kennzahlenbogen_(KB)'!P17)</f>
        <v>Unvollständig</v>
      </c>
      <c r="L3" s="233" t="str">
        <f>IF(AND('Kennzahlenbogen_(KB)'!Q17="",$A3&lt;&gt;"I.O."),"-----",IF($A3="I.O.","",'Kennzahlenbogen_(KB)'!Q17))</f>
        <v>-----</v>
      </c>
      <c r="M3" s="233" t="str">
        <f>IF(AND('Kennzahlenbogen_(KB)'!R17="",$A3&lt;&gt;"I.O."),"-----",IF($A3="I.O.","",'Kennzahlenbogen_(KB)'!R17))</f>
        <v>-----</v>
      </c>
      <c r="O3" s="232">
        <f t="array" aca="1" ref="O3" ca="1">IF(ROW()-ROW($D$2:$D$24)+1&gt;ROWS($C$2:$C$24)-COUNTBLANK($C$2:$C$24),"",INDIRECT(ADDRESS(SMALL((IF($C$2:$C$24&lt;&gt;"",ROW($C$2:$C$24),ROW()+ROWS($C$2:$C$24))),ROW()-ROW($D$2:$D$24)+1),COLUMN($C$2:$C$24),4)))</f>
        <v>2</v>
      </c>
      <c r="P3" s="212" t="str">
        <f t="array" aca="1" ref="P3" ca="1">IF(ROW()-ROW($E$2:$E$24)+1&gt;ROWS($D$2:$D$24)-COUNTBLANK($D$2:$D$24),"",INDIRECT(ADDRESS(SMALL((IF($D$2:$D$24&gt;"",ROW($D$2:$D$24),ROW()+ROWS($D$2:$D$24))),ROW()-ROW($E$2:$E$24)+1),COLUMN($D$2:$D$24),4)))</f>
        <v>Psychoonkologische Betreuung 
(Gespräch ≥ 25 Min.)</v>
      </c>
      <c r="Q3" s="235" t="str">
        <f t="array" aca="1" ref="Q3" ca="1">IF(ROW()-ROW($F$2:$F$24)+1&gt;ROWS($E$2:$E$24)-COUNTBLANK($E$2:$E$24),"",INDIRECT(ADDRESS(SMALL((IF($E$2:$E$24&gt;"",ROW($E$2:$E$24),ROW()+ROWS($E$2:$E$24))),ROW()-ROW($F$2:$F$24)+1),COLUMN($E$2:$E$24),4)))</f>
        <v>&lt; 15%</v>
      </c>
      <c r="R3" s="236" t="str">
        <f t="array" aca="1" ref="R3" ca="1">IF(ROW()-ROW($G$2:$G$24)+1&gt;ROWS($F$2:$F$24)-COUNTBLANK($F$2:$F$24),"",INDIRECT(ADDRESS(SMALL((IF($F$2:$F$24&gt;"",ROW($F$2:$F$24),ROW()+ROWS($F$2:$F$24))),ROW()-ROW($G$2:$G$24)+1),COLUMN($F$2:$F$24),4)))</f>
        <v>Derzeit keine Vorgaben</v>
      </c>
      <c r="S3" s="235" t="str">
        <f t="array" aca="1" ref="S3" ca="1">IF(ROW()-ROW($H$2:$H$24)+1&gt;ROWS($G$2:$G$24)-COUNTBLANK($G$2:$G$24),"",INDIRECT(ADDRESS(SMALL((IF($G$2:$G$24&lt;&gt;"",ROW($G$2:$G$24),ROW()+ROWS($G$2:$G$24))),ROW()-ROW($H$2:$H$24)+1),COLUMN($G$2:$G$24),4)))</f>
        <v>-----</v>
      </c>
      <c r="T3" s="215" t="str">
        <f t="array" aca="1" ref="T3" ca="1">IF(ROW()-ROW($I$2:$I$24)+1&gt;ROWS($H$2:$H$24)-COUNTBLANK($H$2:$H$24),"",INDIRECT(ADDRESS(SMALL((IF($H$2:$H$24&lt;&gt;"",ROW($H$2:$H$24),ROW()+ROWS($H$2:$H$24))),ROW()-ROW($I$2:$I$24)+1),COLUMN($H$2:$H$24),4)))</f>
        <v>-----</v>
      </c>
      <c r="U3" s="215">
        <f t="array" aca="1" ref="U3" ca="1">IF(ROW()-ROW($J$2:$J$24)+1&gt;ROWS($I$2:$I$24)-COUNTBLANK($I$2:$I$24),"",INDIRECT(ADDRESS(SMALL((IF($I$2:$I$24&lt;&gt;"",ROW($I$2:$I$24),ROW()+ROWS($I$2:$I$24))),ROW()-ROW($J$2:$J$24)+1),COLUMN($I$2:$I$24),4)))</f>
        <v>0</v>
      </c>
      <c r="V3" s="214" t="str">
        <f t="array" aca="1" ref="V3" ca="1">IF(ROW()-ROW($K$2:$K$24)+1&gt;ROWS($J$2:$J$24)-COUNTBLANK($J$2:$J$24),"",INDIRECT(ADDRESS(SMALL((IF($J$2:$J$24&lt;&gt;"",ROW($J$2:$J$24),ROW()+ROWS($J$2:$J$24))),ROW()-ROW($K$2:$K$24)+1),COLUMN($J$2:$J$24),4)))</f>
        <v>n.d.</v>
      </c>
      <c r="W3" s="213" t="str">
        <f t="array" aca="1" ref="W3" ca="1">IF(ROW()-ROW($L$2:$L$24)+1&gt;ROWS($K$2:$K$24)-COUNTBLANK($K$2:$K$24),"",INDIRECT(ADDRESS(SMALL((IF($K$2:$K$24&lt;&gt;"",ROW($K$2:$K$24),ROW()+ROWS($K$2:$K$24))),ROW()-ROW($L$2:$L$24)+1),COLUMN($K$2:$K$24),4)))</f>
        <v>Unvollständig</v>
      </c>
      <c r="X3" s="233" t="str">
        <f t="array" aca="1" ref="X3" ca="1">IF(ROW()-ROW($M$2:$M$24)+1&gt;ROWS($L$2:$L$24)-COUNTBLANK($L$2:$L$24),"",INDIRECT(ADDRESS(SMALL((IF($L$2:$L$24&lt;&gt;"",ROW($L$2:$L$24),ROW()+ROWS($L$2:$L$24))),ROW()-ROW($M$2:$M$24)+1),COLUMN($L$2:$L$24),4)))</f>
        <v>-----</v>
      </c>
      <c r="Y3" s="233" t="str">
        <f t="array" aca="1" ref="Y3" ca="1">IF(ROW()-ROW($N$2:$N$24)+1&gt;ROWS($M$2:$M$24)-COUNTBLANK($M$2:$M$24),"",INDIRECT(ADDRESS(SMALL((IF($M$2:$M$24&lt;&gt;"",ROW($M$2:$M$24),ROW()+ROWS($M$2:$M$24))),ROW()-ROW($N$2:$N$24)+1),COLUMN($M$2:$M$24),4)))</f>
        <v>-----</v>
      </c>
    </row>
    <row r="4" spans="1:25" ht="34.5" customHeight="1" x14ac:dyDescent="0.3">
      <c r="A4" s="452" t="str">
        <f>IF('Kennzahlenbogen_(KB)'!P20=0,"",'Kennzahlenbogen_(KB)'!P20)</f>
        <v>Unvollständig</v>
      </c>
      <c r="B4" s="453"/>
      <c r="C4" s="457">
        <f>IF($A4="I.O.","",'Kennzahlenbogen_(KB)'!A20)</f>
        <v>3</v>
      </c>
      <c r="D4" s="454" t="str">
        <f>IF($A4="I.O.","",'Kennzahlenbogen_(KB)'!C20)</f>
        <v>Beratung Sozialdienst</v>
      </c>
      <c r="E4" s="456" t="str">
        <f>IF(AND('Kennzahlenbogen_(KB)'!J20="",$A4&lt;&gt;"I.O."),"-----",IF($A4="I.O.","",'Kennzahlenbogen_(KB)'!J20))</f>
        <v>&lt; 50%</v>
      </c>
      <c r="F4" s="455" t="str">
        <f>IF($A4="I.O.","",'Kennzahlenbogen_(KB)'!K20)</f>
        <v>Derzeit keine Vorgaben</v>
      </c>
      <c r="G4" s="456" t="str">
        <f>IF(AND('Kennzahlenbogen_(KB)'!M20="",$A4&lt;&gt;"I.O."),"-----",IF($A4="I.O.","",'Kennzahlenbogen_(KB)'!M20))</f>
        <v>-----</v>
      </c>
      <c r="H4" s="369" t="str">
        <f>IF($A4="I.O.","",IF('Kennzahlenbogen_(KB)'!O20="","-----",'Kennzahlenbogen_(KB)'!O20))</f>
        <v>-----</v>
      </c>
      <c r="I4" s="369">
        <f>IF($A4="I.O.","",IF('Kennzahlenbogen_(KB)'!O21="","-----",'Kennzahlenbogen_(KB)'!O21))</f>
        <v>0</v>
      </c>
      <c r="J4" s="214" t="str">
        <f>IF($A4="I.O.","",IF('Kennzahlenbogen_(KB)'!O22="",0,'Kennzahlenbogen_(KB)'!O22))</f>
        <v>n.d.</v>
      </c>
      <c r="K4" s="213" t="str">
        <f>IF($A4="I.O.","",'Kennzahlenbogen_(KB)'!P20)</f>
        <v>Unvollständig</v>
      </c>
      <c r="L4" s="233" t="str">
        <f>IF(AND('Kennzahlenbogen_(KB)'!Q20="",$A4&lt;&gt;"I.O."),"-----",IF($A4="I.O.","",'Kennzahlenbogen_(KB)'!Q20))</f>
        <v>-----</v>
      </c>
      <c r="M4" s="233" t="str">
        <f>IF(AND('Kennzahlenbogen_(KB)'!R20="",$A4&lt;&gt;"I.O."),"-----",IF($A4="I.O.","",'Kennzahlenbogen_(KB)'!R20))</f>
        <v>-----</v>
      </c>
      <c r="O4" s="232">
        <f t="array" aca="1" ref="O4" ca="1">IF(ROW()-ROW($D$2:$D$24)+1&gt;ROWS($C$2:$C$24)-COUNTBLANK($C$2:$C$24),"",INDIRECT(ADDRESS(SMALL((IF($C$2:$C$24&lt;&gt;"",ROW($C$2:$C$24),ROW()+ROWS($C$2:$C$24))),ROW()-ROW($D$2:$D$24)+1),COLUMN($C$2:$C$24),4)))</f>
        <v>3</v>
      </c>
      <c r="P4" s="212" t="str">
        <f t="array" aca="1" ref="P4" ca="1">IF(ROW()-ROW($E$2:$E$24)+1&gt;ROWS($D$2:$D$24)-COUNTBLANK($D$2:$D$24),"",INDIRECT(ADDRESS(SMALL((IF($D$2:$D$24&gt;"",ROW($D$2:$D$24),ROW()+ROWS($D$2:$D$24))),ROW()-ROW($E$2:$E$24)+1),COLUMN($D$2:$D$24),4)))</f>
        <v>Beratung Sozialdienst</v>
      </c>
      <c r="Q4" s="235" t="str">
        <f t="array" aca="1" ref="Q4" ca="1">IF(ROW()-ROW($F$2:$F$24)+1&gt;ROWS($E$2:$E$24)-COUNTBLANK($E$2:$E$24),"",INDIRECT(ADDRESS(SMALL((IF($E$2:$E$24&gt;"",ROW($E$2:$E$24),ROW()+ROWS($E$2:$E$24))),ROW()-ROW($F$2:$F$24)+1),COLUMN($E$2:$E$24),4)))</f>
        <v>&lt; 50%</v>
      </c>
      <c r="R4" s="236" t="str">
        <f t="array" aca="1" ref="R4" ca="1">IF(ROW()-ROW($G$2:$G$24)+1&gt;ROWS($F$2:$F$24)-COUNTBLANK($F$2:$F$24),"",INDIRECT(ADDRESS(SMALL((IF($F$2:$F$24&gt;"",ROW($F$2:$F$24),ROW()+ROWS($F$2:$F$24))),ROW()-ROW($G$2:$G$24)+1),COLUMN($F$2:$F$24),4)))</f>
        <v>Derzeit keine Vorgaben</v>
      </c>
      <c r="S4" s="235" t="str">
        <f t="array" aca="1" ref="S4" ca="1">IF(ROW()-ROW($H$2:$H$24)+1&gt;ROWS($G$2:$G$24)-COUNTBLANK($G$2:$G$24),"",INDIRECT(ADDRESS(SMALL((IF($G$2:$G$24&lt;&gt;"",ROW($G$2:$G$24),ROW()+ROWS($G$2:$G$24))),ROW()-ROW($H$2:$H$24)+1),COLUMN($G$2:$G$24),4)))</f>
        <v>-----</v>
      </c>
      <c r="T4" s="215" t="str">
        <f t="array" aca="1" ref="T4" ca="1">IF(ROW()-ROW($I$2:$I$24)+1&gt;ROWS($H$2:$H$24)-COUNTBLANK($H$2:$H$24),"",INDIRECT(ADDRESS(SMALL((IF($H$2:$H$24&lt;&gt;"",ROW($H$2:$H$24),ROW()+ROWS($H$2:$H$24))),ROW()-ROW($I$2:$I$24)+1),COLUMN($H$2:$H$24),4)))</f>
        <v>-----</v>
      </c>
      <c r="U4" s="215">
        <f t="array" aca="1" ref="U4" ca="1">IF(ROW()-ROW($J$2:$J$24)+1&gt;ROWS($I$2:$I$24)-COUNTBLANK($I$2:$I$24),"",INDIRECT(ADDRESS(SMALL((IF($I$2:$I$24&lt;&gt;"",ROW($I$2:$I$24),ROW()+ROWS($I$2:$I$24))),ROW()-ROW($J$2:$J$24)+1),COLUMN($I$2:$I$24),4)))</f>
        <v>0</v>
      </c>
      <c r="V4" s="214" t="str">
        <f t="array" aca="1" ref="V4" ca="1">IF(ROW()-ROW($K$2:$K$24)+1&gt;ROWS($J$2:$J$24)-COUNTBLANK($J$2:$J$24),"",INDIRECT(ADDRESS(SMALL((IF($J$2:$J$24&lt;&gt;"",ROW($J$2:$J$24),ROW()+ROWS($J$2:$J$24))),ROW()-ROW($K$2:$K$24)+1),COLUMN($J$2:$J$24),4)))</f>
        <v>n.d.</v>
      </c>
      <c r="W4" s="213" t="str">
        <f t="array" aca="1" ref="W4" ca="1">IF(ROW()-ROW($L$2:$L$24)+1&gt;ROWS($K$2:$K$24)-COUNTBLANK($K$2:$K$24),"",INDIRECT(ADDRESS(SMALL((IF($K$2:$K$24&lt;&gt;"",ROW($K$2:$K$24),ROW()+ROWS($K$2:$K$24))),ROW()-ROW($L$2:$L$24)+1),COLUMN($K$2:$K$24),4)))</f>
        <v>Unvollständig</v>
      </c>
      <c r="X4" s="233" t="str">
        <f t="array" aca="1" ref="X4" ca="1">IF(ROW()-ROW($M$2:$M$24)+1&gt;ROWS($L$2:$L$24)-COUNTBLANK($L$2:$L$24),"",INDIRECT(ADDRESS(SMALL((IF($L$2:$L$24&lt;&gt;"",ROW($L$2:$L$24),ROW()+ROWS($L$2:$L$24))),ROW()-ROW($M$2:$M$24)+1),COLUMN($L$2:$L$24),4)))</f>
        <v>-----</v>
      </c>
      <c r="Y4" s="233" t="str">
        <f t="array" aca="1" ref="Y4" ca="1">IF(ROW()-ROW($N$2:$N$24)+1&gt;ROWS($M$2:$M$24)-COUNTBLANK($M$2:$M$24),"",INDIRECT(ADDRESS(SMALL((IF($M$2:$M$24&lt;&gt;"",ROW($M$2:$M$24),ROW()+ROWS($M$2:$M$24))),ROW()-ROW($N$2:$N$24)+1),COLUMN($M$2:$M$24),4)))</f>
        <v>-----</v>
      </c>
    </row>
    <row r="5" spans="1:25" ht="34.5" customHeight="1" x14ac:dyDescent="0.3">
      <c r="A5" s="452" t="str">
        <f>IF('Kennzahlenbogen_(KB)'!P23=0,"",'Kennzahlenbogen_(KB)'!P23)</f>
        <v>Unvollständig</v>
      </c>
      <c r="B5" s="453"/>
      <c r="C5" s="457">
        <f>IF($A5="I.O.","",'Kennzahlenbogen_(KB)'!A23)</f>
        <v>4</v>
      </c>
      <c r="D5" s="454" t="str">
        <f>IF($A5="I.O.","",'Kennzahlenbogen_(KB)'!C23)</f>
        <v>Anteil Studienpat.</v>
      </c>
      <c r="E5" s="456" t="str">
        <f>IF(AND('Kennzahlenbogen_(KB)'!J23="",$A5&lt;&gt;"I.O."),"-----",IF($A5="I.O.","",'Kennzahlenbogen_(KB)'!J23))</f>
        <v>-----</v>
      </c>
      <c r="F5" s="455" t="str">
        <f>IF($A5="I.O.","",'Kennzahlenbogen_(KB)'!K23)</f>
        <v>≥ 5%</v>
      </c>
      <c r="G5" s="456" t="str">
        <f>IF(AND('Kennzahlenbogen_(KB)'!M23="",$A5&lt;&gt;"I.O."),"-----",IF($A5="I.O.","",'Kennzahlenbogen_(KB)'!M23))</f>
        <v>&gt; 65%</v>
      </c>
      <c r="H5" s="369" t="str">
        <f>IF($A5="I.O.","",IF('Kennzahlenbogen_(KB)'!O23="","-----",'Kennzahlenbogen_(KB)'!O23))</f>
        <v>-----</v>
      </c>
      <c r="I5" s="369">
        <f>IF($A5="I.O.","",IF('Kennzahlenbogen_(KB)'!O24="","-----",'Kennzahlenbogen_(KB)'!O24))</f>
        <v>0</v>
      </c>
      <c r="J5" s="214" t="str">
        <f>IF($A5="I.O.","",IF('Kennzahlenbogen_(KB)'!O25="",0,'Kennzahlenbogen_(KB)'!O25))</f>
        <v>n.d.</v>
      </c>
      <c r="K5" s="213" t="str">
        <f>IF($A5="I.O.","",'Kennzahlenbogen_(KB)'!P23)</f>
        <v>Unvollständig</v>
      </c>
      <c r="L5" s="233" t="str">
        <f>IF(AND('Kennzahlenbogen_(KB)'!Q23="",$A5&lt;&gt;"I.O."),"-----",IF($A5="I.O.","",'Kennzahlenbogen_(KB)'!Q23))</f>
        <v>-----</v>
      </c>
      <c r="M5" s="233" t="str">
        <f>IF(AND('Kennzahlenbogen_(KB)'!R23="",$A5&lt;&gt;"I.O."),"-----",IF($A5="I.O.","",'Kennzahlenbogen_(KB)'!R23))</f>
        <v>-----</v>
      </c>
      <c r="O5" s="232">
        <f t="array" aca="1" ref="O5" ca="1">IF(ROW()-ROW($D$2:$D$24)+1&gt;ROWS($C$2:$C$24)-COUNTBLANK($C$2:$C$24),"",INDIRECT(ADDRESS(SMALL((IF($C$2:$C$24&lt;&gt;"",ROW($C$2:$C$24),ROW()+ROWS($C$2:$C$24))),ROW()-ROW($D$2:$D$24)+1),COLUMN($C$2:$C$24),4)))</f>
        <v>4</v>
      </c>
      <c r="P5" s="212" t="str">
        <f t="array" aca="1" ref="P5" ca="1">IF(ROW()-ROW($E$2:$E$24)+1&gt;ROWS($D$2:$D$24)-COUNTBLANK($D$2:$D$24),"",INDIRECT(ADDRESS(SMALL((IF($D$2:$D$24&gt;"",ROW($D$2:$D$24),ROW()+ROWS($D$2:$D$24))),ROW()-ROW($E$2:$E$24)+1),COLUMN($D$2:$D$24),4)))</f>
        <v>Anteil Studienpat.</v>
      </c>
      <c r="Q5" s="235" t="str">
        <f t="array" aca="1" ref="Q5" ca="1">IF(ROW()-ROW($F$2:$F$24)+1&gt;ROWS($E$2:$E$24)-COUNTBLANK($E$2:$E$24),"",INDIRECT(ADDRESS(SMALL((IF($E$2:$E$24&gt;"",ROW($E$2:$E$24),ROW()+ROWS($E$2:$E$24))),ROW()-ROW($F$2:$F$24)+1),COLUMN($E$2:$E$24),4)))</f>
        <v>-----</v>
      </c>
      <c r="R5" s="236" t="str">
        <f t="array" aca="1" ref="R5" ca="1">IF(ROW()-ROW($G$2:$G$24)+1&gt;ROWS($F$2:$F$24)-COUNTBLANK($F$2:$F$24),"",INDIRECT(ADDRESS(SMALL((IF($F$2:$F$24&gt;"",ROW($F$2:$F$24),ROW()+ROWS($F$2:$F$24))),ROW()-ROW($G$2:$G$24)+1),COLUMN($F$2:$F$24),4)))</f>
        <v>≥ 5%</v>
      </c>
      <c r="S5" s="235" t="str">
        <f t="array" aca="1" ref="S5" ca="1">IF(ROW()-ROW($H$2:$H$24)+1&gt;ROWS($G$2:$G$24)-COUNTBLANK($G$2:$G$24),"",INDIRECT(ADDRESS(SMALL((IF($G$2:$G$24&lt;&gt;"",ROW($G$2:$G$24),ROW()+ROWS($G$2:$G$24))),ROW()-ROW($H$2:$H$24)+1),COLUMN($G$2:$G$24),4)))</f>
        <v>&gt; 65%</v>
      </c>
      <c r="T5" s="215" t="str">
        <f t="array" aca="1" ref="T5" ca="1">IF(ROW()-ROW($I$2:$I$24)+1&gt;ROWS($H$2:$H$24)-COUNTBLANK($H$2:$H$24),"",INDIRECT(ADDRESS(SMALL((IF($H$2:$H$24&lt;&gt;"",ROW($H$2:$H$24),ROW()+ROWS($H$2:$H$24))),ROW()-ROW($I$2:$I$24)+1),COLUMN($H$2:$H$24),4)))</f>
        <v>-----</v>
      </c>
      <c r="U5" s="215">
        <f t="array" aca="1" ref="U5" ca="1">IF(ROW()-ROW($J$2:$J$24)+1&gt;ROWS($I$2:$I$24)-COUNTBLANK($I$2:$I$24),"",INDIRECT(ADDRESS(SMALL((IF($I$2:$I$24&lt;&gt;"",ROW($I$2:$I$24),ROW()+ROWS($I$2:$I$24))),ROW()-ROW($J$2:$J$24)+1),COLUMN($I$2:$I$24),4)))</f>
        <v>0</v>
      </c>
      <c r="V5" s="214" t="str">
        <f t="array" aca="1" ref="V5" ca="1">IF(ROW()-ROW($K$2:$K$24)+1&gt;ROWS($J$2:$J$24)-COUNTBLANK($J$2:$J$24),"",INDIRECT(ADDRESS(SMALL((IF($J$2:$J$24&lt;&gt;"",ROW($J$2:$J$24),ROW()+ROWS($J$2:$J$24))),ROW()-ROW($K$2:$K$24)+1),COLUMN($J$2:$J$24),4)))</f>
        <v>n.d.</v>
      </c>
      <c r="W5" s="213" t="str">
        <f t="array" aca="1" ref="W5" ca="1">IF(ROW()-ROW($L$2:$L$24)+1&gt;ROWS($K$2:$K$24)-COUNTBLANK($K$2:$K$24),"",INDIRECT(ADDRESS(SMALL((IF($K$2:$K$24&lt;&gt;"",ROW($K$2:$K$24),ROW()+ROWS($K$2:$K$24))),ROW()-ROW($L$2:$L$24)+1),COLUMN($K$2:$K$24),4)))</f>
        <v>Unvollständig</v>
      </c>
      <c r="X5" s="233" t="str">
        <f t="array" aca="1" ref="X5" ca="1">IF(ROW()-ROW($M$2:$M$24)+1&gt;ROWS($L$2:$L$24)-COUNTBLANK($L$2:$L$24),"",INDIRECT(ADDRESS(SMALL((IF($L$2:$L$24&lt;&gt;"",ROW($L$2:$L$24),ROW()+ROWS($L$2:$L$24))),ROW()-ROW($M$2:$M$24)+1),COLUMN($L$2:$L$24),4)))</f>
        <v>-----</v>
      </c>
      <c r="Y5" s="233" t="str">
        <f t="array" aca="1" ref="Y5" ca="1">IF(ROW()-ROW($N$2:$N$24)+1&gt;ROWS($M$2:$M$24)-COUNTBLANK($M$2:$M$24),"",INDIRECT(ADDRESS(SMALL((IF($M$2:$M$24&lt;&gt;"",ROW($M$2:$M$24),ROW()+ROWS($M$2:$M$24))),ROW()-ROW($N$2:$N$24)+1),COLUMN($M$2:$M$24),4)))</f>
        <v>-----</v>
      </c>
    </row>
    <row r="6" spans="1:25" ht="34.5" customHeight="1" x14ac:dyDescent="0.3">
      <c r="A6" s="452" t="str">
        <f>IF('Kennzahlenbogen_(KB)'!P26=0,"",'Kennzahlenbogen_(KB)'!P26)</f>
        <v>Unvollständig</v>
      </c>
      <c r="B6" s="453"/>
      <c r="C6" s="457">
        <f>IF($A6="I.O.","",'Kennzahlenbogen_(KB)'!A26)</f>
        <v>5</v>
      </c>
      <c r="D6" s="454" t="str">
        <f>IF($A6="I.O.","",'Kennzahlenbogen_(KB)'!C26)</f>
        <v>Gesamtfallzahl</v>
      </c>
      <c r="E6" s="456" t="str">
        <f>IF(AND('Kennzahlenbogen_(KB)'!J26="",$A6&lt;&gt;"I.O."),"-----",IF($A6="I.O.","",'Kennzahlenbogen_(KB)'!J26))</f>
        <v>-----</v>
      </c>
      <c r="F6" s="455" t="str">
        <f>IF($A6="I.O.","",'Kennzahlenbogen_(KB)'!K26)</f>
        <v>≥ 75</v>
      </c>
      <c r="G6" s="456" t="str">
        <f>IF(AND('Kennzahlenbogen_(KB)'!M26="",$A6&lt;&gt;"I.O."),"-----",IF($A6="I.O.","",'Kennzahlenbogen_(KB)'!M26))</f>
        <v>-----</v>
      </c>
      <c r="H6" s="369">
        <f>IF($A6="I.O.","",IF('Kennzahlenbogen_(KB)'!O26="","-----",'Kennzahlenbogen_(KB)'!O26))</f>
        <v>0</v>
      </c>
      <c r="I6" s="369" t="str">
        <f t="shared" ref="I6:J10" si="0">IF($A6="I.O.","","-----")</f>
        <v>-----</v>
      </c>
      <c r="J6" s="214" t="str">
        <f t="shared" si="0"/>
        <v>-----</v>
      </c>
      <c r="K6" s="213" t="str">
        <f>IF($A6="I.O.","",'Kennzahlenbogen_(KB)'!P26)</f>
        <v>Unvollständig</v>
      </c>
      <c r="L6" s="233" t="str">
        <f>IF(AND('Kennzahlenbogen_(KB)'!Q26="",$A6&lt;&gt;"I.O."),"-----",IF($A6="I.O.","",'Kennzahlenbogen_(KB)'!Q26))</f>
        <v>-----</v>
      </c>
      <c r="M6" s="233" t="str">
        <f>IF(AND('Kennzahlenbogen_(KB)'!R26="",$A6&lt;&gt;"I.O."),"-----",IF($A6="I.O.","",'Kennzahlenbogen_(KB)'!R26))</f>
        <v>-----</v>
      </c>
      <c r="O6" s="232">
        <f t="array" aca="1" ref="O6" ca="1">IF(ROW()-ROW($D$2:$D$24)+1&gt;ROWS($C$2:$C$24)-COUNTBLANK($C$2:$C$24),"",INDIRECT(ADDRESS(SMALL((IF($C$2:$C$24&lt;&gt;"",ROW($C$2:$C$24),ROW()+ROWS($C$2:$C$24))),ROW()-ROW($D$2:$D$24)+1),COLUMN($C$2:$C$24),4)))</f>
        <v>5</v>
      </c>
      <c r="P6" s="212" t="str">
        <f t="array" aca="1" ref="P6" ca="1">IF(ROW()-ROW($E$2:$E$24)+1&gt;ROWS($D$2:$D$24)-COUNTBLANK($D$2:$D$24),"",INDIRECT(ADDRESS(SMALL((IF($D$2:$D$24&gt;"",ROW($D$2:$D$24),ROW()+ROWS($D$2:$D$24))),ROW()-ROW($E$2:$E$24)+1),COLUMN($D$2:$D$24),4)))</f>
        <v>Gesamtfallzahl</v>
      </c>
      <c r="Q6" s="235" t="str">
        <f t="array" aca="1" ref="Q6" ca="1">IF(ROW()-ROW($F$2:$F$24)+1&gt;ROWS($E$2:$E$24)-COUNTBLANK($E$2:$E$24),"",INDIRECT(ADDRESS(SMALL((IF($E$2:$E$24&gt;"",ROW($E$2:$E$24),ROW()+ROWS($E$2:$E$24))),ROW()-ROW($F$2:$F$24)+1),COLUMN($E$2:$E$24),4)))</f>
        <v>-----</v>
      </c>
      <c r="R6" s="236" t="str">
        <f t="array" aca="1" ref="R6" ca="1">IF(ROW()-ROW($G$2:$G$24)+1&gt;ROWS($F$2:$F$24)-COUNTBLANK($F$2:$F$24),"",INDIRECT(ADDRESS(SMALL((IF($F$2:$F$24&gt;"",ROW($F$2:$F$24),ROW()+ROWS($F$2:$F$24))),ROW()-ROW($G$2:$G$24)+1),COLUMN($F$2:$F$24),4)))</f>
        <v>≥ 75</v>
      </c>
      <c r="S6" s="235" t="str">
        <f t="array" aca="1" ref="S6" ca="1">IF(ROW()-ROW($H$2:$H$24)+1&gt;ROWS($G$2:$G$24)-COUNTBLANK($G$2:$G$24),"",INDIRECT(ADDRESS(SMALL((IF($G$2:$G$24&lt;&gt;"",ROW($G$2:$G$24),ROW()+ROWS($G$2:$G$24))),ROW()-ROW($H$2:$H$24)+1),COLUMN($G$2:$G$24),4)))</f>
        <v>-----</v>
      </c>
      <c r="T6" s="215">
        <f t="array" aca="1" ref="T6" ca="1">IF(ROW()-ROW($I$2:$I$24)+1&gt;ROWS($H$2:$H$24)-COUNTBLANK($H$2:$H$24),"",INDIRECT(ADDRESS(SMALL((IF($H$2:$H$24&lt;&gt;"",ROW($H$2:$H$24),ROW()+ROWS($H$2:$H$24))),ROW()-ROW($I$2:$I$24)+1),COLUMN($H$2:$H$24),4)))</f>
        <v>0</v>
      </c>
      <c r="U6" s="215" t="str">
        <f t="array" aca="1" ref="U6" ca="1">IF(ROW()-ROW($J$2:$J$24)+1&gt;ROWS($I$2:$I$24)-COUNTBLANK($I$2:$I$24),"",INDIRECT(ADDRESS(SMALL((IF($I$2:$I$24&lt;&gt;"",ROW($I$2:$I$24),ROW()+ROWS($I$2:$I$24))),ROW()-ROW($J$2:$J$24)+1),COLUMN($I$2:$I$24),4)))</f>
        <v>-----</v>
      </c>
      <c r="V6" s="214" t="str">
        <f t="array" aca="1" ref="V6" ca="1">IF(ROW()-ROW($K$2:$K$24)+1&gt;ROWS($J$2:$J$24)-COUNTBLANK($J$2:$J$24),"",INDIRECT(ADDRESS(SMALL((IF($J$2:$J$24&lt;&gt;"",ROW($J$2:$J$24),ROW()+ROWS($J$2:$J$24))),ROW()-ROW($K$2:$K$24)+1),COLUMN($J$2:$J$24),4)))</f>
        <v>-----</v>
      </c>
      <c r="W6" s="213" t="str">
        <f t="array" aca="1" ref="W6" ca="1">IF(ROW()-ROW($L$2:$L$24)+1&gt;ROWS($K$2:$K$24)-COUNTBLANK($K$2:$K$24),"",INDIRECT(ADDRESS(SMALL((IF($K$2:$K$24&lt;&gt;"",ROW($K$2:$K$24),ROW()+ROWS($K$2:$K$24))),ROW()-ROW($L$2:$L$24)+1),COLUMN($K$2:$K$24),4)))</f>
        <v>Unvollständig</v>
      </c>
      <c r="X6" s="233" t="str">
        <f t="array" aca="1" ref="X6" ca="1">IF(ROW()-ROW($M$2:$M$24)+1&gt;ROWS($L$2:$L$24)-COUNTBLANK($L$2:$L$24),"",INDIRECT(ADDRESS(SMALL((IF($L$2:$L$24&lt;&gt;"",ROW($L$2:$L$24),ROW()+ROWS($L$2:$L$24))),ROW()-ROW($M$2:$M$24)+1),COLUMN($L$2:$L$24),4)))</f>
        <v>-----</v>
      </c>
      <c r="Y6" s="233" t="str">
        <f t="array" aca="1" ref="Y6" ca="1">IF(ROW()-ROW($N$2:$N$24)+1&gt;ROWS($M$2:$M$24)-COUNTBLANK($M$2:$M$24),"",INDIRECT(ADDRESS(SMALL((IF($M$2:$M$24&lt;&gt;"",ROW($M$2:$M$24),ROW()+ROWS($M$2:$M$24))),ROW()-ROW($N$2:$N$24)+1),COLUMN($M$2:$M$24),4)))</f>
        <v>-----</v>
      </c>
    </row>
    <row r="7" spans="1:25" ht="34.5" customHeight="1" x14ac:dyDescent="0.3">
      <c r="A7" s="452" t="str">
        <f>IF('Kennzahlenbogen_(KB)'!P29=0,"",'Kennzahlenbogen_(KB)'!P29)</f>
        <v>Unvollständig</v>
      </c>
      <c r="B7" s="453"/>
      <c r="C7" s="457" t="str">
        <f>IF($A7="I.O.","",'Kennzahlenbogen_(KB)'!A29)</f>
        <v>6a</v>
      </c>
      <c r="D7" s="454" t="str">
        <f>IF($A7="I.O.","",'Kennzahlenbogen_(KB)'!C29)</f>
        <v>Primärfälle</v>
      </c>
      <c r="E7" s="456" t="str">
        <f>IF(AND('Kennzahlenbogen_(KB)'!J29="",$A7&lt;&gt;"I.O."),"-----",IF($A7="I.O.","",'Kennzahlenbogen_(KB)'!J29))</f>
        <v>-----</v>
      </c>
      <c r="F7" s="455" t="str">
        <f>IF($A7="I.O.","",'Kennzahlenbogen_(KB)'!K29)</f>
        <v>≥ 50</v>
      </c>
      <c r="G7" s="456" t="str">
        <f>IF(AND('Kennzahlenbogen_(KB)'!M29="",$A7&lt;&gt;"I.O."),"-----",IF($A7="I.O.","",'Kennzahlenbogen_(KB)'!M29))</f>
        <v>-----</v>
      </c>
      <c r="H7" s="369">
        <f>IF($A7="I.O.","",IF('Kennzahlenbogen_(KB)'!O29="","-----",'Kennzahlenbogen_(KB)'!O29))</f>
        <v>0</v>
      </c>
      <c r="I7" s="369" t="str">
        <f t="shared" si="0"/>
        <v>-----</v>
      </c>
      <c r="J7" s="214" t="str">
        <f t="shared" si="0"/>
        <v>-----</v>
      </c>
      <c r="K7" s="213" t="str">
        <f>IF($A7="I.O.","",'Kennzahlenbogen_(KB)'!P29)</f>
        <v>Unvollständig</v>
      </c>
      <c r="L7" s="233" t="str">
        <f>IF(AND('Kennzahlenbogen_(KB)'!Q29="",$A7&lt;&gt;"I.O."),"-----",IF($A7="I.O.","",'Kennzahlenbogen_(KB)'!Q29))</f>
        <v>-----</v>
      </c>
      <c r="M7" s="233" t="str">
        <f>IF(AND('Kennzahlenbogen_(KB)'!R29="",$A7&lt;&gt;"I.O."),"-----",IF($A7="I.O.","",'Kennzahlenbogen_(KB)'!R29))</f>
        <v>-----</v>
      </c>
      <c r="O7" s="232" t="str">
        <f t="array" aca="1" ref="O7" ca="1">IF(ROW()-ROW($D$2:$D$24)+1&gt;ROWS($C$2:$C$24)-COUNTBLANK($C$2:$C$24),"",INDIRECT(ADDRESS(SMALL((IF($C$2:$C$24&lt;&gt;"",ROW($C$2:$C$24),ROW()+ROWS($C$2:$C$24))),ROW()-ROW($D$2:$D$24)+1),COLUMN($C$2:$C$24),4)))</f>
        <v>6a</v>
      </c>
      <c r="P7" s="212" t="str">
        <f t="array" aca="1" ref="P7" ca="1">IF(ROW()-ROW($E$2:$E$24)+1&gt;ROWS($D$2:$D$24)-COUNTBLANK($D$2:$D$24),"",INDIRECT(ADDRESS(SMALL((IF($D$2:$D$24&gt;"",ROW($D$2:$D$24),ROW()+ROWS($D$2:$D$24))),ROW()-ROW($E$2:$E$24)+1),COLUMN($D$2:$D$24),4)))</f>
        <v>Primärfälle</v>
      </c>
      <c r="Q7" s="235" t="str">
        <f t="array" aca="1" ref="Q7" ca="1">IF(ROW()-ROW($F$2:$F$24)+1&gt;ROWS($E$2:$E$24)-COUNTBLANK($E$2:$E$24),"",INDIRECT(ADDRESS(SMALL((IF($E$2:$E$24&gt;"",ROW($E$2:$E$24),ROW()+ROWS($E$2:$E$24))),ROW()-ROW($F$2:$F$24)+1),COLUMN($E$2:$E$24),4)))</f>
        <v>-----</v>
      </c>
      <c r="R7" s="236" t="str">
        <f t="array" aca="1" ref="R7" ca="1">IF(ROW()-ROW($G$2:$G$24)+1&gt;ROWS($F$2:$F$24)-COUNTBLANK($F$2:$F$24),"",INDIRECT(ADDRESS(SMALL((IF($F$2:$F$24&gt;"",ROW($F$2:$F$24),ROW()+ROWS($F$2:$F$24))),ROW()-ROW($G$2:$G$24)+1),COLUMN($F$2:$F$24),4)))</f>
        <v>≥ 50</v>
      </c>
      <c r="S7" s="235" t="str">
        <f t="array" aca="1" ref="S7" ca="1">IF(ROW()-ROW($H$2:$H$24)+1&gt;ROWS($G$2:$G$24)-COUNTBLANK($G$2:$G$24),"",INDIRECT(ADDRESS(SMALL((IF($G$2:$G$24&lt;&gt;"",ROW($G$2:$G$24),ROW()+ROWS($G$2:$G$24))),ROW()-ROW($H$2:$H$24)+1),COLUMN($G$2:$G$24),4)))</f>
        <v>-----</v>
      </c>
      <c r="T7" s="215">
        <f t="array" aca="1" ref="T7" ca="1">IF(ROW()-ROW($I$2:$I$24)+1&gt;ROWS($H$2:$H$24)-COUNTBLANK($H$2:$H$24),"",INDIRECT(ADDRESS(SMALL((IF($H$2:$H$24&lt;&gt;"",ROW($H$2:$H$24),ROW()+ROWS($H$2:$H$24))),ROW()-ROW($I$2:$I$24)+1),COLUMN($H$2:$H$24),4)))</f>
        <v>0</v>
      </c>
      <c r="U7" s="215" t="str">
        <f t="array" aca="1" ref="U7" ca="1">IF(ROW()-ROW($J$2:$J$24)+1&gt;ROWS($I$2:$I$24)-COUNTBLANK($I$2:$I$24),"",INDIRECT(ADDRESS(SMALL((IF($I$2:$I$24&lt;&gt;"",ROW($I$2:$I$24),ROW()+ROWS($I$2:$I$24))),ROW()-ROW($J$2:$J$24)+1),COLUMN($I$2:$I$24),4)))</f>
        <v>-----</v>
      </c>
      <c r="V7" s="214" t="str">
        <f t="array" aca="1" ref="V7" ca="1">IF(ROW()-ROW($K$2:$K$24)+1&gt;ROWS($J$2:$J$24)-COUNTBLANK($J$2:$J$24),"",INDIRECT(ADDRESS(SMALL((IF($J$2:$J$24&lt;&gt;"",ROW($J$2:$J$24),ROW()+ROWS($J$2:$J$24))),ROW()-ROW($K$2:$K$24)+1),COLUMN($J$2:$J$24),4)))</f>
        <v>-----</v>
      </c>
      <c r="W7" s="213" t="str">
        <f t="array" aca="1" ref="W7" ca="1">IF(ROW()-ROW($L$2:$L$24)+1&gt;ROWS($K$2:$K$24)-COUNTBLANK($K$2:$K$24),"",INDIRECT(ADDRESS(SMALL((IF($K$2:$K$24&lt;&gt;"",ROW($K$2:$K$24),ROW()+ROWS($K$2:$K$24))),ROW()-ROW($L$2:$L$24)+1),COLUMN($K$2:$K$24),4)))</f>
        <v>Unvollständig</v>
      </c>
      <c r="X7" s="233" t="str">
        <f t="array" aca="1" ref="X7" ca="1">IF(ROW()-ROW($M$2:$M$24)+1&gt;ROWS($L$2:$L$24)-COUNTBLANK($L$2:$L$24),"",INDIRECT(ADDRESS(SMALL((IF($L$2:$L$24&lt;&gt;"",ROW($L$2:$L$24),ROW()+ROWS($L$2:$L$24))),ROW()-ROW($M$2:$M$24)+1),COLUMN($L$2:$L$24),4)))</f>
        <v>-----</v>
      </c>
      <c r="Y7" s="233" t="str">
        <f t="array" aca="1" ref="Y7" ca="1">IF(ROW()-ROW($N$2:$N$24)+1&gt;ROWS($M$2:$M$24)-COUNTBLANK($M$2:$M$24),"",INDIRECT(ADDRESS(SMALL((IF($M$2:$M$24&lt;&gt;"",ROW($M$2:$M$24),ROW()+ROWS($M$2:$M$24))),ROW()-ROW($N$2:$N$24)+1),COLUMN($M$2:$M$24),4)))</f>
        <v>-----</v>
      </c>
    </row>
    <row r="8" spans="1:25" ht="34.5" customHeight="1" x14ac:dyDescent="0.3">
      <c r="A8" s="452" t="str">
        <f>IF('Kennzahlenbogen_(KB)'!P32=0,"",'Kennzahlenbogen_(KB)'!P32)</f>
        <v>Unvollständig</v>
      </c>
      <c r="B8" s="453"/>
      <c r="C8" s="457" t="str">
        <f>IF($A8="I.O.","",'Kennzahlenbogen_(KB)'!A32)</f>
        <v>6b</v>
      </c>
      <c r="D8" s="454" t="str">
        <f>IF($A8="I.O.","",'Kennzahlenbogen_(KB)'!C32)</f>
        <v>Nicht Primärfälle</v>
      </c>
      <c r="E8" s="456" t="str">
        <f>IF(AND('Kennzahlenbogen_(KB)'!J32="",$A8&lt;&gt;"I.O."),"-----",IF($A8="I.O.","",'Kennzahlenbogen_(KB)'!J32))</f>
        <v>-----</v>
      </c>
      <c r="F8" s="455" t="str">
        <f>IF($A8="I.O.","",'Kennzahlenbogen_(KB)'!K32)</f>
        <v>Derzeit keine Vorgaben</v>
      </c>
      <c r="G8" s="456" t="str">
        <f>IF(AND('Kennzahlenbogen_(KB)'!M32="",$A8&lt;&gt;"I.O."),"-----",IF($A8="I.O.","",'Kennzahlenbogen_(KB)'!M32))</f>
        <v>-----</v>
      </c>
      <c r="H8" s="369">
        <f>IF($A8="I.O.","",IF('Kennzahlenbogen_(KB)'!O32="","-----",'Kennzahlenbogen_(KB)'!O32))</f>
        <v>0</v>
      </c>
      <c r="I8" s="369" t="str">
        <f t="shared" si="0"/>
        <v>-----</v>
      </c>
      <c r="J8" s="214" t="str">
        <f t="shared" si="0"/>
        <v>-----</v>
      </c>
      <c r="K8" s="213" t="str">
        <f>IF($A8="I.O.","",'Kennzahlenbogen_(KB)'!P32)</f>
        <v>Unvollständig</v>
      </c>
      <c r="L8" s="233" t="str">
        <f>IF(AND('Kennzahlenbogen_(KB)'!Q32="",$A8&lt;&gt;"I.O."),"-----",IF($A8="I.O.","",'Kennzahlenbogen_(KB)'!Q32))</f>
        <v>-----</v>
      </c>
      <c r="M8" s="233" t="str">
        <f>IF(AND('Kennzahlenbogen_(KB)'!R32="",$A8&lt;&gt;"I.O."),"-----",IF($A8="I.O.","",'Kennzahlenbogen_(KB)'!R32))</f>
        <v>-----</v>
      </c>
      <c r="O8" s="232" t="str">
        <f t="array" aca="1" ref="O8" ca="1">IF(ROW()-ROW($D$2:$D$24)+1&gt;ROWS($C$2:$C$24)-COUNTBLANK($C$2:$C$24),"",INDIRECT(ADDRESS(SMALL((IF($C$2:$C$24&lt;&gt;"",ROW($C$2:$C$24),ROW()+ROWS($C$2:$C$24))),ROW()-ROW($D$2:$D$24)+1),COLUMN($C$2:$C$24),4)))</f>
        <v>6b</v>
      </c>
      <c r="P8" s="212" t="str">
        <f t="array" aca="1" ref="P8" ca="1">IF(ROW()-ROW($E$2:$E$24)+1&gt;ROWS($D$2:$D$24)-COUNTBLANK($D$2:$D$24),"",INDIRECT(ADDRESS(SMALL((IF($D$2:$D$24&gt;"",ROW($D$2:$D$24),ROW()+ROWS($D$2:$D$24))),ROW()-ROW($E$2:$E$24)+1),COLUMN($D$2:$D$24),4)))</f>
        <v>Nicht Primärfälle</v>
      </c>
      <c r="Q8" s="235" t="str">
        <f t="array" aca="1" ref="Q8" ca="1">IF(ROW()-ROW($F$2:$F$24)+1&gt;ROWS($E$2:$E$24)-COUNTBLANK($E$2:$E$24),"",INDIRECT(ADDRESS(SMALL((IF($E$2:$E$24&gt;"",ROW($E$2:$E$24),ROW()+ROWS($E$2:$E$24))),ROW()-ROW($F$2:$F$24)+1),COLUMN($E$2:$E$24),4)))</f>
        <v>-----</v>
      </c>
      <c r="R8" s="236" t="str">
        <f t="array" aca="1" ref="R8" ca="1">IF(ROW()-ROW($G$2:$G$24)+1&gt;ROWS($F$2:$F$24)-COUNTBLANK($F$2:$F$24),"",INDIRECT(ADDRESS(SMALL((IF($F$2:$F$24&gt;"",ROW($F$2:$F$24),ROW()+ROWS($F$2:$F$24))),ROW()-ROW($G$2:$G$24)+1),COLUMN($F$2:$F$24),4)))</f>
        <v>Derzeit keine Vorgaben</v>
      </c>
      <c r="S8" s="235" t="str">
        <f t="array" aca="1" ref="S8" ca="1">IF(ROW()-ROW($H$2:$H$24)+1&gt;ROWS($G$2:$G$24)-COUNTBLANK($G$2:$G$24),"",INDIRECT(ADDRESS(SMALL((IF($G$2:$G$24&lt;&gt;"",ROW($G$2:$G$24),ROW()+ROWS($G$2:$G$24))),ROW()-ROW($H$2:$H$24)+1),COLUMN($G$2:$G$24),4)))</f>
        <v>-----</v>
      </c>
      <c r="T8" s="215">
        <f t="array" aca="1" ref="T8" ca="1">IF(ROW()-ROW($I$2:$I$24)+1&gt;ROWS($H$2:$H$24)-COUNTBLANK($H$2:$H$24),"",INDIRECT(ADDRESS(SMALL((IF($H$2:$H$24&lt;&gt;"",ROW($H$2:$H$24),ROW()+ROWS($H$2:$H$24))),ROW()-ROW($I$2:$I$24)+1),COLUMN($H$2:$H$24),4)))</f>
        <v>0</v>
      </c>
      <c r="U8" s="215" t="str">
        <f t="array" aca="1" ref="U8" ca="1">IF(ROW()-ROW($J$2:$J$24)+1&gt;ROWS($I$2:$I$24)-COUNTBLANK($I$2:$I$24),"",INDIRECT(ADDRESS(SMALL((IF($I$2:$I$24&lt;&gt;"",ROW($I$2:$I$24),ROW()+ROWS($I$2:$I$24))),ROW()-ROW($J$2:$J$24)+1),COLUMN($I$2:$I$24),4)))</f>
        <v>-----</v>
      </c>
      <c r="V8" s="214" t="str">
        <f t="array" aca="1" ref="V8" ca="1">IF(ROW()-ROW($K$2:$K$24)+1&gt;ROWS($J$2:$J$24)-COUNTBLANK($J$2:$J$24),"",INDIRECT(ADDRESS(SMALL((IF($J$2:$J$24&lt;&gt;"",ROW($J$2:$J$24),ROW()+ROWS($J$2:$J$24))),ROW()-ROW($K$2:$K$24)+1),COLUMN($J$2:$J$24),4)))</f>
        <v>-----</v>
      </c>
      <c r="W8" s="213" t="str">
        <f t="array" aca="1" ref="W8" ca="1">IF(ROW()-ROW($L$2:$L$24)+1&gt;ROWS($K$2:$K$24)-COUNTBLANK($K$2:$K$24),"",INDIRECT(ADDRESS(SMALL((IF($K$2:$K$24&lt;&gt;"",ROW($K$2:$K$24),ROW()+ROWS($K$2:$K$24))),ROW()-ROW($L$2:$L$24)+1),COLUMN($K$2:$K$24),4)))</f>
        <v>Unvollständig</v>
      </c>
      <c r="X8" s="233" t="str">
        <f t="array" aca="1" ref="X8" ca="1">IF(ROW()-ROW($M$2:$M$24)+1&gt;ROWS($L$2:$L$24)-COUNTBLANK($L$2:$L$24),"",INDIRECT(ADDRESS(SMALL((IF($L$2:$L$24&lt;&gt;"",ROW($L$2:$L$24),ROW()+ROWS($L$2:$L$24))),ROW()-ROW($M$2:$M$24)+1),COLUMN($L$2:$L$24),4)))</f>
        <v>-----</v>
      </c>
      <c r="Y8" s="233" t="str">
        <f t="array" aca="1" ref="Y8" ca="1">IF(ROW()-ROW($N$2:$N$24)+1&gt;ROWS($M$2:$M$24)-COUNTBLANK($M$2:$M$24),"",INDIRECT(ADDRESS(SMALL((IF($M$2:$M$24&lt;&gt;"",ROW($M$2:$M$24),ROW()+ROWS($M$2:$M$24))),ROW()-ROW($N$2:$N$24)+1),COLUMN($M$2:$M$24),4)))</f>
        <v>-----</v>
      </c>
    </row>
    <row r="9" spans="1:25" ht="34.5" customHeight="1" x14ac:dyDescent="0.3">
      <c r="A9" s="452" t="str">
        <f>IF('Kennzahlenbogen_(KB)'!P35=0,"",'Kennzahlenbogen_(KB)'!P35)</f>
        <v>Unvollständig</v>
      </c>
      <c r="B9" s="453"/>
      <c r="C9" s="457">
        <f>IF($A9="I.O.","",'Kennzahlenbogen_(KB)'!A35)</f>
        <v>7</v>
      </c>
      <c r="D9" s="454" t="str">
        <f>IF($A9="I.O.","",'Kennzahlenbogen_(KB)'!C35)</f>
        <v>Operative Fälle</v>
      </c>
      <c r="E9" s="456" t="str">
        <f>IF(AND('Kennzahlenbogen_(KB)'!J35="",$A9&lt;&gt;"I.O."),"-----",IF($A9="I.O.","",'Kennzahlenbogen_(KB)'!J35))</f>
        <v>-----</v>
      </c>
      <c r="F9" s="455" t="str">
        <f>IF($A9="I.O.","",'Kennzahlenbogen_(KB)'!K35)</f>
        <v>≥ 40</v>
      </c>
      <c r="G9" s="456" t="str">
        <f>IF(AND('Kennzahlenbogen_(KB)'!M35="",$A9&lt;&gt;"I.O."),"-----",IF($A9="I.O.","",'Kennzahlenbogen_(KB)'!M35))</f>
        <v>-----</v>
      </c>
      <c r="H9" s="369">
        <f>IF($A9="I.O.","",IF('Kennzahlenbogen_(KB)'!O35="","-----",'Kennzahlenbogen_(KB)'!O35))</f>
        <v>0</v>
      </c>
      <c r="I9" s="369" t="str">
        <f t="shared" si="0"/>
        <v>-----</v>
      </c>
      <c r="J9" s="214" t="str">
        <f>IF($A9="I.O.","","-----")</f>
        <v>-----</v>
      </c>
      <c r="K9" s="213" t="str">
        <f>IF($A9="I.O.","",'Kennzahlenbogen_(KB)'!P35)</f>
        <v>Unvollständig</v>
      </c>
      <c r="L9" s="233" t="str">
        <f>IF(AND('Kennzahlenbogen_(KB)'!Q35="",$A9&lt;&gt;"I.O."),"-----",IF($A9="I.O.","",'Kennzahlenbogen_(KB)'!Q35))</f>
        <v>-----</v>
      </c>
      <c r="M9" s="233" t="str">
        <f>IF(AND('Kennzahlenbogen_(KB)'!R35="",$A9&lt;&gt;"I.O."),"-----",IF($A9="I.O.","",'Kennzahlenbogen_(KB)'!R35))</f>
        <v>-----</v>
      </c>
      <c r="O9" s="232">
        <f t="array" aca="1" ref="O9" ca="1">IF(ROW()-ROW($D$2:$D$24)+1&gt;ROWS($C$2:$C$24)-COUNTBLANK($C$2:$C$24),"",INDIRECT(ADDRESS(SMALL((IF($C$2:$C$24&lt;&gt;"",ROW($C$2:$C$24),ROW()+ROWS($C$2:$C$24))),ROW()-ROW($D$2:$D$24)+1),COLUMN($C$2:$C$24),4)))</f>
        <v>7</v>
      </c>
      <c r="P9" s="212" t="str">
        <f t="array" aca="1" ref="P9" ca="1">IF(ROW()-ROW($E$2:$E$24)+1&gt;ROWS($D$2:$D$24)-COUNTBLANK($D$2:$D$24),"",INDIRECT(ADDRESS(SMALL((IF($D$2:$D$24&gt;"",ROW($D$2:$D$24),ROW()+ROWS($D$2:$D$24))),ROW()-ROW($E$2:$E$24)+1),COLUMN($D$2:$D$24),4)))</f>
        <v>Operative Fälle</v>
      </c>
      <c r="Q9" s="235" t="str">
        <f t="array" aca="1" ref="Q9" ca="1">IF(ROW()-ROW($F$2:$F$24)+1&gt;ROWS($E$2:$E$24)-COUNTBLANK($E$2:$E$24),"",INDIRECT(ADDRESS(SMALL((IF($E$2:$E$24&gt;"",ROW($E$2:$E$24),ROW()+ROWS($E$2:$E$24))),ROW()-ROW($F$2:$F$24)+1),COLUMN($E$2:$E$24),4)))</f>
        <v>-----</v>
      </c>
      <c r="R9" s="236" t="str">
        <f t="array" aca="1" ref="R9" ca="1">IF(ROW()-ROW($G$2:$G$24)+1&gt;ROWS($F$2:$F$24)-COUNTBLANK($F$2:$F$24),"",INDIRECT(ADDRESS(SMALL((IF($F$2:$F$24&gt;"",ROW($F$2:$F$24),ROW()+ROWS($F$2:$F$24))),ROW()-ROW($G$2:$G$24)+1),COLUMN($F$2:$F$24),4)))</f>
        <v>≥ 40</v>
      </c>
      <c r="S9" s="235" t="str">
        <f t="array" aca="1" ref="S9" ca="1">IF(ROW()-ROW($H$2:$H$24)+1&gt;ROWS($G$2:$G$24)-COUNTBLANK($G$2:$G$24),"",INDIRECT(ADDRESS(SMALL((IF($G$2:$G$24&lt;&gt;"",ROW($G$2:$G$24),ROW()+ROWS($G$2:$G$24))),ROW()-ROW($H$2:$H$24)+1),COLUMN($G$2:$G$24),4)))</f>
        <v>-----</v>
      </c>
      <c r="T9" s="215">
        <f t="array" aca="1" ref="T9" ca="1">IF(ROW()-ROW($I$2:$I$24)+1&gt;ROWS($H$2:$H$24)-COUNTBLANK($H$2:$H$24),"",INDIRECT(ADDRESS(SMALL((IF($H$2:$H$24&lt;&gt;"",ROW($H$2:$H$24),ROW()+ROWS($H$2:$H$24))),ROW()-ROW($I$2:$I$24)+1),COLUMN($H$2:$H$24),4)))</f>
        <v>0</v>
      </c>
      <c r="U9" s="215" t="str">
        <f t="array" aca="1" ref="U9" ca="1">IF(ROW()-ROW($J$2:$J$24)+1&gt;ROWS($I$2:$I$24)-COUNTBLANK($I$2:$I$24),"",INDIRECT(ADDRESS(SMALL((IF($I$2:$I$24&lt;&gt;"",ROW($I$2:$I$24),ROW()+ROWS($I$2:$I$24))),ROW()-ROW($J$2:$J$24)+1),COLUMN($I$2:$I$24),4)))</f>
        <v>-----</v>
      </c>
      <c r="V9" s="214" t="str">
        <f t="array" aca="1" ref="V9" ca="1">IF(ROW()-ROW($K$2:$K$24)+1&gt;ROWS($J$2:$J$24)-COUNTBLANK($J$2:$J$24),"",INDIRECT(ADDRESS(SMALL((IF($J$2:$J$24&lt;&gt;"",ROW($J$2:$J$24),ROW()+ROWS($J$2:$J$24))),ROW()-ROW($K$2:$K$24)+1),COLUMN($J$2:$J$24),4)))</f>
        <v>-----</v>
      </c>
      <c r="W9" s="213" t="str">
        <f t="array" aca="1" ref="W9" ca="1">IF(ROW()-ROW($L$2:$L$24)+1&gt;ROWS($K$2:$K$24)-COUNTBLANK($K$2:$K$24),"",INDIRECT(ADDRESS(SMALL((IF($K$2:$K$24&lt;&gt;"",ROW($K$2:$K$24),ROW()+ROWS($K$2:$K$24))),ROW()-ROW($L$2:$L$24)+1),COLUMN($K$2:$K$24),4)))</f>
        <v>Unvollständig</v>
      </c>
      <c r="X9" s="233" t="str">
        <f t="array" aca="1" ref="X9" ca="1">IF(ROW()-ROW($M$2:$M$24)+1&gt;ROWS($L$2:$L$24)-COUNTBLANK($L$2:$L$24),"",INDIRECT(ADDRESS(SMALL((IF($L$2:$L$24&lt;&gt;"",ROW($L$2:$L$24),ROW()+ROWS($L$2:$L$24))),ROW()-ROW($M$2:$M$24)+1),COLUMN($L$2:$L$24),4)))</f>
        <v>-----</v>
      </c>
      <c r="Y9" s="233" t="str">
        <f t="array" aca="1" ref="Y9" ca="1">IF(ROW()-ROW($N$2:$N$24)+1&gt;ROWS($M$2:$M$24)-COUNTBLANK($M$2:$M$24),"",INDIRECT(ADDRESS(SMALL((IF($M$2:$M$24&lt;&gt;"",ROW($M$2:$M$24),ROW()+ROWS($M$2:$M$24))),ROW()-ROW($N$2:$N$24)+1),COLUMN($M$2:$M$24),4)))</f>
        <v>-----</v>
      </c>
    </row>
    <row r="10" spans="1:25" ht="34.5" customHeight="1" x14ac:dyDescent="0.3">
      <c r="A10" s="452" t="str">
        <f>IF('Kennzahlenbogen_(KB)'!P38=0,"",'Kennzahlenbogen_(KB)'!P38)</f>
        <v>Unvollständig</v>
      </c>
      <c r="B10" s="453"/>
      <c r="C10" s="457">
        <f>IF($A10="I.O.","",'Kennzahlenbogen_(KB)'!A38)</f>
        <v>8</v>
      </c>
      <c r="D10" s="454" t="str">
        <f>IF($A10="I.O.","",'Kennzahlenbogen_(KB)'!C38)</f>
        <v xml:space="preserve">Angebot zur genetischen Testung </v>
      </c>
      <c r="E10" s="456" t="str">
        <f>IF(AND('Kennzahlenbogen_(KB)'!J38="",$A10&lt;&gt;"I.O."),"-----",IF($A10="I.O.","",'Kennzahlenbogen_(KB)'!J38))</f>
        <v>-----</v>
      </c>
      <c r="F10" s="455" t="str">
        <f>IF($A10="I.O.","",'Kennzahlenbogen_(KB)'!K38)</f>
        <v>Derzeit keine Vorgaben</v>
      </c>
      <c r="G10" s="456" t="str">
        <f>IF(AND('Kennzahlenbogen_(KB)'!M38="",$A10&lt;&gt;"I.O."),"-----",IF($A10="I.O.","",'Kennzahlenbogen_(KB)'!M38))</f>
        <v>-----</v>
      </c>
      <c r="H10" s="369" t="str">
        <f>IF($A10="I.O.","",IF('Kennzahlenbogen_(KB)'!O38="","-----",'Kennzahlenbogen_(KB)'!O38))</f>
        <v>-----</v>
      </c>
      <c r="I10" s="369" t="str">
        <f t="shared" si="0"/>
        <v>-----</v>
      </c>
      <c r="J10" s="214" t="str">
        <f>IF($A10="I.O.","","-----")</f>
        <v>-----</v>
      </c>
      <c r="K10" s="213" t="str">
        <f>IF($A10="I.O.","",'Kennzahlenbogen_(KB)'!P38)</f>
        <v>Unvollständig</v>
      </c>
      <c r="L10" s="233" t="str">
        <f>IF(AND('Kennzahlenbogen_(KB)'!Q38="",$A10&lt;&gt;"I.O."),"-----",IF($A10="I.O.","",'Kennzahlenbogen_(KB)'!Q38))</f>
        <v>-----</v>
      </c>
      <c r="M10" s="233" t="str">
        <f>IF(AND('Kennzahlenbogen_(KB)'!R38="",$A10&lt;&gt;"I.O."),"-----",IF($A10="I.O.","",'Kennzahlenbogen_(KB)'!R38))</f>
        <v>-----</v>
      </c>
      <c r="O10" s="232">
        <f t="array" aca="1" ref="O10" ca="1">IF(ROW()-ROW($D$2:$D$24)+1&gt;ROWS($C$2:$C$24)-COUNTBLANK($C$2:$C$24),"",INDIRECT(ADDRESS(SMALL((IF($C$2:$C$24&lt;&gt;"",ROW($C$2:$C$24),ROW()+ROWS($C$2:$C$24))),ROW()-ROW($D$2:$D$24)+1),COLUMN($C$2:$C$24),4)))</f>
        <v>8</v>
      </c>
      <c r="P10" s="212" t="str">
        <f t="array" aca="1" ref="P10" ca="1">IF(ROW()-ROW($E$2:$E$24)+1&gt;ROWS($D$2:$D$24)-COUNTBLANK($D$2:$D$24),"",INDIRECT(ADDRESS(SMALL((IF($D$2:$D$24&gt;"",ROW($D$2:$D$24),ROW()+ROWS($D$2:$D$24))),ROW()-ROW($E$2:$E$24)+1),COLUMN($D$2:$D$24),4)))</f>
        <v xml:space="preserve">Angebot zur genetischen Testung </v>
      </c>
      <c r="Q10" s="235" t="str">
        <f t="array" aca="1" ref="Q10" ca="1">IF(ROW()-ROW($F$2:$F$24)+1&gt;ROWS($E$2:$E$24)-COUNTBLANK($E$2:$E$24),"",INDIRECT(ADDRESS(SMALL((IF($E$2:$E$24&gt;"",ROW($E$2:$E$24),ROW()+ROWS($E$2:$E$24))),ROW()-ROW($F$2:$F$24)+1),COLUMN($E$2:$E$24),4)))</f>
        <v>-----</v>
      </c>
      <c r="R10" s="236" t="str">
        <f t="array" aca="1" ref="R10" ca="1">IF(ROW()-ROW($G$2:$G$24)+1&gt;ROWS($F$2:$F$24)-COUNTBLANK($F$2:$F$24),"",INDIRECT(ADDRESS(SMALL((IF($F$2:$F$24&gt;"",ROW($F$2:$F$24),ROW()+ROWS($F$2:$F$24))),ROW()-ROW($G$2:$G$24)+1),COLUMN($F$2:$F$24),4)))</f>
        <v>Derzeit keine Vorgaben</v>
      </c>
      <c r="S10" s="235" t="str">
        <f t="array" aca="1" ref="S10" ca="1">IF(ROW()-ROW($H$2:$H$24)+1&gt;ROWS($G$2:$G$24)-COUNTBLANK($G$2:$G$24),"",INDIRECT(ADDRESS(SMALL((IF($G$2:$G$24&lt;&gt;"",ROW($G$2:$G$24),ROW()+ROWS($G$2:$G$24))),ROW()-ROW($H$2:$H$24)+1),COLUMN($G$2:$G$24),4)))</f>
        <v>-----</v>
      </c>
      <c r="T10" s="215" t="str">
        <f t="array" aca="1" ref="T10" ca="1">IF(ROW()-ROW($I$2:$I$24)+1&gt;ROWS($H$2:$H$24)-COUNTBLANK($H$2:$H$24),"",INDIRECT(ADDRESS(SMALL((IF($H$2:$H$24&lt;&gt;"",ROW($H$2:$H$24),ROW()+ROWS($H$2:$H$24))),ROW()-ROW($I$2:$I$24)+1),COLUMN($H$2:$H$24),4)))</f>
        <v>-----</v>
      </c>
      <c r="U10" s="215" t="str">
        <f t="array" aca="1" ref="U10" ca="1">IF(ROW()-ROW($J$2:$J$24)+1&gt;ROWS($I$2:$I$24)-COUNTBLANK($I$2:$I$24),"",INDIRECT(ADDRESS(SMALL((IF($I$2:$I$24&lt;&gt;"",ROW($I$2:$I$24),ROW()+ROWS($I$2:$I$24))),ROW()-ROW($J$2:$J$24)+1),COLUMN($I$2:$I$24),4)))</f>
        <v>-----</v>
      </c>
      <c r="V10" s="214" t="str">
        <f t="array" aca="1" ref="V10" ca="1">IF(ROW()-ROW($K$2:$K$24)+1&gt;ROWS($J$2:$J$24)-COUNTBLANK($J$2:$J$24),"",INDIRECT(ADDRESS(SMALL((IF($J$2:$J$24&lt;&gt;"",ROW($J$2:$J$24),ROW()+ROWS($J$2:$J$24))),ROW()-ROW($K$2:$K$24)+1),COLUMN($J$2:$J$24),4)))</f>
        <v>-----</v>
      </c>
      <c r="W10" s="213" t="str">
        <f t="array" aca="1" ref="W10" ca="1">IF(ROW()-ROW($L$2:$L$24)+1&gt;ROWS($K$2:$K$24)-COUNTBLANK($K$2:$K$24),"",INDIRECT(ADDRESS(SMALL((IF($K$2:$K$24&lt;&gt;"",ROW($K$2:$K$24),ROW()+ROWS($K$2:$K$24))),ROW()-ROW($L$2:$L$24)+1),COLUMN($K$2:$K$24),4)))</f>
        <v>Unvollständig</v>
      </c>
      <c r="X10" s="233" t="str">
        <f t="array" aca="1" ref="X10" ca="1">IF(ROW()-ROW($M$2:$M$24)+1&gt;ROWS($L$2:$L$24)-COUNTBLANK($L$2:$L$24),"",INDIRECT(ADDRESS(SMALL((IF($L$2:$L$24&lt;&gt;"",ROW($L$2:$L$24),ROW()+ROWS($L$2:$L$24))),ROW()-ROW($M$2:$M$24)+1),COLUMN($L$2:$L$24),4)))</f>
        <v>-----</v>
      </c>
      <c r="Y10" s="233" t="str">
        <f t="array" aca="1" ref="Y10" ca="1">IF(ROW()-ROW($N$2:$N$24)+1&gt;ROWS($M$2:$M$24)-COUNTBLANK($M$2:$M$24),"",INDIRECT(ADDRESS(SMALL((IF($M$2:$M$24&lt;&gt;"",ROW($M$2:$M$24),ROW()+ROWS($M$2:$M$24))),ROW()-ROW($N$2:$N$24)+1),COLUMN($M$2:$M$24),4)))</f>
        <v>-----</v>
      </c>
    </row>
    <row r="11" spans="1:25" ht="34.5" customHeight="1" x14ac:dyDescent="0.3">
      <c r="A11" s="452" t="str">
        <f>IF('Kennzahlenbogen_(KB)'!P41=0,"",'Kennzahlenbogen_(KB)'!P41)</f>
        <v>Unvollständig</v>
      </c>
      <c r="B11" s="453"/>
      <c r="C11" s="629">
        <f>IF($A11="I.O.","",'Kennzahlenbogen_(KB)'!A41)</f>
        <v>9</v>
      </c>
      <c r="D11" s="454" t="str">
        <f>IF($A11="I.O.","",'Kennzahlenbogen_(KB)'!C41)</f>
        <v>Operatives Staging frühes Ovarialkarzinom</v>
      </c>
      <c r="E11" s="456" t="str">
        <f>IF(AND('Kennzahlenbogen_(KB)'!J41="",$A11&lt;&gt;"I.O."),"-----",IF($A11="I.O.","",'Kennzahlenbogen_(KB)'!J41))</f>
        <v>&lt; 20%</v>
      </c>
      <c r="F11" s="455" t="str">
        <f>IF($A11="I.O.","",'Kennzahlenbogen_(KB)'!K41)</f>
        <v>Derzeit keine Vorgaben</v>
      </c>
      <c r="G11" s="456" t="str">
        <f>IF(AND('Kennzahlenbogen_(KB)'!M41="",$A11&lt;&gt;"I.O."),"-----",IF($A11="I.O.","",'Kennzahlenbogen_(KB)'!M41))</f>
        <v>-----</v>
      </c>
      <c r="H11" s="369" t="str">
        <f>IF($A11="I.O.","",IF('Kennzahlenbogen_(KB)'!O41="","-----",'Kennzahlenbogen_(KB)'!O41))</f>
        <v>-----</v>
      </c>
      <c r="I11" s="369">
        <f>IF($A11="I.O.","",IF('Kennzahlenbogen_(KB)'!O42="","-----",'Kennzahlenbogen_(KB)'!O42))</f>
        <v>0</v>
      </c>
      <c r="J11" s="214" t="str">
        <f>IF($A11="I.O.","",IF('Kennzahlenbogen_(KB)'!O43="","-----",'Kennzahlenbogen_(KB)'!O43))</f>
        <v>n.d.</v>
      </c>
      <c r="K11" s="213" t="str">
        <f>IF($A11="I.O.","",'Kennzahlenbogen_(KB)'!P41)</f>
        <v>Unvollständig</v>
      </c>
      <c r="L11" s="233" t="str">
        <f>IF(AND('Kennzahlenbogen_(KB)'!Q41="",$A11&lt;&gt;"I.O."),"-----",IF($A11="I.O.","",'Kennzahlenbogen_(KB)'!Q41))</f>
        <v>-----</v>
      </c>
      <c r="M11" s="233" t="str">
        <f>IF(AND('Kennzahlenbogen_(KB)'!R41="",$A11&lt;&gt;"I.O."),"-----",IF($A11="I.O.","",'Kennzahlenbogen_(KB)'!R41))</f>
        <v>-----</v>
      </c>
      <c r="O11" s="232">
        <f t="array" aca="1" ref="O11" ca="1">IF(ROW()-ROW($D$2:$D$24)+1&gt;ROWS($C$2:$C$24)-COUNTBLANK($C$2:$C$24),"",INDIRECT(ADDRESS(SMALL((IF($C$2:$C$24&lt;&gt;"",ROW($C$2:$C$24),ROW()+ROWS($C$2:$C$24))),ROW()-ROW($D$2:$D$24)+1),COLUMN($C$2:$C$24),4)))</f>
        <v>9</v>
      </c>
      <c r="P11" s="212" t="str">
        <f t="array" aca="1" ref="P11" ca="1">IF(ROW()-ROW($E$2:$E$24)+1&gt;ROWS($D$2:$D$24)-COUNTBLANK($D$2:$D$24),"",INDIRECT(ADDRESS(SMALL((IF($D$2:$D$24&gt;"",ROW($D$2:$D$24),ROW()+ROWS($D$2:$D$24))),ROW()-ROW($E$2:$E$24)+1),COLUMN($D$2:$D$24),4)))</f>
        <v>Operatives Staging frühes Ovarialkarzinom</v>
      </c>
      <c r="Q11" s="235" t="str">
        <f t="array" aca="1" ref="Q11" ca="1">IF(ROW()-ROW($F$2:$F$24)+1&gt;ROWS($E$2:$E$24)-COUNTBLANK($E$2:$E$24),"",INDIRECT(ADDRESS(SMALL((IF($E$2:$E$24&gt;"",ROW($E$2:$E$24),ROW()+ROWS($E$2:$E$24))),ROW()-ROW($F$2:$F$24)+1),COLUMN($E$2:$E$24),4)))</f>
        <v>&lt; 20%</v>
      </c>
      <c r="R11" s="236" t="str">
        <f t="array" aca="1" ref="R11" ca="1">IF(ROW()-ROW($G$2:$G$24)+1&gt;ROWS($F$2:$F$24)-COUNTBLANK($F$2:$F$24),"",INDIRECT(ADDRESS(SMALL((IF($F$2:$F$24&gt;"",ROW($F$2:$F$24),ROW()+ROWS($F$2:$F$24))),ROW()-ROW($G$2:$G$24)+1),COLUMN($F$2:$F$24),4)))</f>
        <v>Derzeit keine Vorgaben</v>
      </c>
      <c r="S11" s="235" t="str">
        <f t="array" aca="1" ref="S11" ca="1">IF(ROW()-ROW($H$2:$H$24)+1&gt;ROWS($G$2:$G$24)-COUNTBLANK($G$2:$G$24),"",INDIRECT(ADDRESS(SMALL((IF($G$2:$G$24&lt;&gt;"",ROW($G$2:$G$24),ROW()+ROWS($G$2:$G$24))),ROW()-ROW($H$2:$H$24)+1),COLUMN($G$2:$G$24),4)))</f>
        <v>-----</v>
      </c>
      <c r="T11" s="215" t="str">
        <f t="array" aca="1" ref="T11" ca="1">IF(ROW()-ROW($I$2:$I$24)+1&gt;ROWS($H$2:$H$24)-COUNTBLANK($H$2:$H$24),"",INDIRECT(ADDRESS(SMALL((IF($H$2:$H$24&lt;&gt;"",ROW($H$2:$H$24),ROW()+ROWS($H$2:$H$24))),ROW()-ROW($I$2:$I$24)+1),COLUMN($H$2:$H$24),4)))</f>
        <v>-----</v>
      </c>
      <c r="U11" s="215">
        <f t="array" aca="1" ref="U11" ca="1">IF(ROW()-ROW($J$2:$J$24)+1&gt;ROWS($I$2:$I$24)-COUNTBLANK($I$2:$I$24),"",INDIRECT(ADDRESS(SMALL((IF($I$2:$I$24&lt;&gt;"",ROW($I$2:$I$24),ROW()+ROWS($I$2:$I$24))),ROW()-ROW($J$2:$J$24)+1),COLUMN($I$2:$I$24),4)))</f>
        <v>0</v>
      </c>
      <c r="V11" s="214" t="str">
        <f t="array" aca="1" ref="V11" ca="1">IF(ROW()-ROW($K$2:$K$24)+1&gt;ROWS($J$2:$J$24)-COUNTBLANK($J$2:$J$24),"",INDIRECT(ADDRESS(SMALL((IF($J$2:$J$24&lt;&gt;"",ROW($J$2:$J$24),ROW()+ROWS($J$2:$J$24))),ROW()-ROW($K$2:$K$24)+1),COLUMN($J$2:$J$24),4)))</f>
        <v>n.d.</v>
      </c>
      <c r="W11" s="213" t="str">
        <f t="array" aca="1" ref="W11" ca="1">IF(ROW()-ROW($L$2:$L$24)+1&gt;ROWS($K$2:$K$24)-COUNTBLANK($K$2:$K$24),"",INDIRECT(ADDRESS(SMALL((IF($K$2:$K$24&lt;&gt;"",ROW($K$2:$K$24),ROW()+ROWS($K$2:$K$24))),ROW()-ROW($L$2:$L$24)+1),COLUMN($K$2:$K$24),4)))</f>
        <v>Unvollständig</v>
      </c>
      <c r="X11" s="233" t="str">
        <f t="array" aca="1" ref="X11" ca="1">IF(ROW()-ROW($M$2:$M$24)+1&gt;ROWS($L$2:$L$24)-COUNTBLANK($L$2:$L$24),"",INDIRECT(ADDRESS(SMALL((IF($L$2:$L$24&lt;&gt;"",ROW($L$2:$L$24),ROW()+ROWS($L$2:$L$24))),ROW()-ROW($M$2:$M$24)+1),COLUMN($L$2:$L$24),4)))</f>
        <v>-----</v>
      </c>
      <c r="Y11" s="233" t="str">
        <f t="array" aca="1" ref="Y11" ca="1">IF(ROW()-ROW($N$2:$N$24)+1&gt;ROWS($M$2:$M$24)-COUNTBLANK($M$2:$M$24),"",INDIRECT(ADDRESS(SMALL((IF($M$2:$M$24&lt;&gt;"",ROW($M$2:$M$24),ROW()+ROWS($M$2:$M$24))),ROW()-ROW($N$2:$N$24)+1),COLUMN($M$2:$M$24),4)))</f>
        <v>-----</v>
      </c>
    </row>
    <row r="12" spans="1:25" ht="34.5" customHeight="1" x14ac:dyDescent="0.3">
      <c r="A12" s="452" t="str">
        <f>IF('Kennzahlenbogen_(KB)'!P44=0,"",'Kennzahlenbogen_(KB)'!P44)</f>
        <v>Unvollständig</v>
      </c>
      <c r="B12" s="453"/>
      <c r="C12" s="457">
        <f>IF($A12="I.O.","",'Kennzahlenbogen_(KB)'!A44)</f>
        <v>10</v>
      </c>
      <c r="D12" s="454" t="str">
        <f>IF($A12="I.O.","",'Kennzahlenbogen_(KB)'!C44)</f>
        <v>Makroskopisch vollständige Resektion fortgeschrittenes Ovarialkarzinom</v>
      </c>
      <c r="E12" s="456" t="str">
        <f>IF(AND('Kennzahlenbogen_(KB)'!J44="",$A12&lt;&gt;"I.O."),"-----",IF($A12="I.O.","",'Kennzahlenbogen_(KB)'!J44))</f>
        <v>-----</v>
      </c>
      <c r="F12" s="455" t="str">
        <f>IF($A12="I.O.","",'Kennzahlenbogen_(KB)'!K44)</f>
        <v>≥ 30%</v>
      </c>
      <c r="G12" s="456" t="str">
        <f>IF(AND('Kennzahlenbogen_(KB)'!M44="",$A12&lt;&gt;"I.O."),"-----",IF($A12="I.O.","",'Kennzahlenbogen_(KB)'!M44))</f>
        <v>&gt; 90%</v>
      </c>
      <c r="H12" s="369" t="str">
        <f>IF($A12="I.O.","",IF('Kennzahlenbogen_(KB)'!O44="","-----",'Kennzahlenbogen_(KB)'!O44))</f>
        <v>-----</v>
      </c>
      <c r="I12" s="369">
        <f>IF($A12="I.O.","",IF('Kennzahlenbogen_(KB)'!O45="","-----",'Kennzahlenbogen_(KB)'!O45))</f>
        <v>0</v>
      </c>
      <c r="J12" s="214" t="str">
        <f>IF($A12="I.O.","",IF('Kennzahlenbogen_(KB)'!O46="",0,'Kennzahlenbogen_(KB)'!O46))</f>
        <v>n.d.</v>
      </c>
      <c r="K12" s="213" t="str">
        <f>IF($A12="I.O.","",'Kennzahlenbogen_(KB)'!P44)</f>
        <v>Unvollständig</v>
      </c>
      <c r="L12" s="233" t="str">
        <f>IF(AND('Kennzahlenbogen_(KB)'!Q44="",$A12&lt;&gt;"I.O."),"-----",IF($A12="I.O.","",'Kennzahlenbogen_(KB)'!Q44))</f>
        <v>-----</v>
      </c>
      <c r="M12" s="233" t="str">
        <f>IF(AND('Kennzahlenbogen_(KB)'!R44="",$A12&lt;&gt;"I.O."),"-----",IF($A12="I.O.","",'Kennzahlenbogen_(KB)'!R44))</f>
        <v>-----</v>
      </c>
      <c r="O12" s="232">
        <f t="array" aca="1" ref="O12" ca="1">IF(ROW()-ROW($D$2:$D$24)+1&gt;ROWS($C$2:$C$24)-COUNTBLANK($C$2:$C$24),"",INDIRECT(ADDRESS(SMALL((IF($C$2:$C$24&lt;&gt;"",ROW($C$2:$C$24),ROW()+ROWS($C$2:$C$24))),ROW()-ROW($D$2:$D$24)+1),COLUMN($C$2:$C$24),4)))</f>
        <v>10</v>
      </c>
      <c r="P12" s="212" t="str">
        <f t="array" aca="1" ref="P12" ca="1">IF(ROW()-ROW($E$2:$E$24)+1&gt;ROWS($D$2:$D$24)-COUNTBLANK($D$2:$D$24),"",INDIRECT(ADDRESS(SMALL((IF($D$2:$D$24&gt;"",ROW($D$2:$D$24),ROW()+ROWS($D$2:$D$24))),ROW()-ROW($E$2:$E$24)+1),COLUMN($D$2:$D$24),4)))</f>
        <v>Makroskopisch vollständige Resektion fortgeschrittenes Ovarialkarzinom</v>
      </c>
      <c r="Q12" s="235" t="str">
        <f t="array" aca="1" ref="Q12" ca="1">IF(ROW()-ROW($F$2:$F$24)+1&gt;ROWS($E$2:$E$24)-COUNTBLANK($E$2:$E$24),"",INDIRECT(ADDRESS(SMALL((IF($E$2:$E$24&gt;"",ROW($E$2:$E$24),ROW()+ROWS($E$2:$E$24))),ROW()-ROW($F$2:$F$24)+1),COLUMN($E$2:$E$24),4)))</f>
        <v>-----</v>
      </c>
      <c r="R12" s="236" t="str">
        <f t="array" aca="1" ref="R12" ca="1">IF(ROW()-ROW($G$2:$G$24)+1&gt;ROWS($F$2:$F$24)-COUNTBLANK($F$2:$F$24),"",INDIRECT(ADDRESS(SMALL((IF($F$2:$F$24&gt;"",ROW($F$2:$F$24),ROW()+ROWS($F$2:$F$24))),ROW()-ROW($G$2:$G$24)+1),COLUMN($F$2:$F$24),4)))</f>
        <v>≥ 30%</v>
      </c>
      <c r="S12" s="235" t="str">
        <f t="array" aca="1" ref="S12" ca="1">IF(ROW()-ROW($H$2:$H$24)+1&gt;ROWS($G$2:$G$24)-COUNTBLANK($G$2:$G$24),"",INDIRECT(ADDRESS(SMALL((IF($G$2:$G$24&lt;&gt;"",ROW($G$2:$G$24),ROW()+ROWS($G$2:$G$24))),ROW()-ROW($H$2:$H$24)+1),COLUMN($G$2:$G$24),4)))</f>
        <v>&gt; 90%</v>
      </c>
      <c r="T12" s="215" t="str">
        <f t="array" aca="1" ref="T12" ca="1">IF(ROW()-ROW($I$2:$I$24)+1&gt;ROWS($H$2:$H$24)-COUNTBLANK($H$2:$H$24),"",INDIRECT(ADDRESS(SMALL((IF($H$2:$H$24&lt;&gt;"",ROW($H$2:$H$24),ROW()+ROWS($H$2:$H$24))),ROW()-ROW($I$2:$I$24)+1),COLUMN($H$2:$H$24),4)))</f>
        <v>-----</v>
      </c>
      <c r="U12" s="215">
        <f t="array" aca="1" ref="U12" ca="1">IF(ROW()-ROW($J$2:$J$24)+1&gt;ROWS($I$2:$I$24)-COUNTBLANK($I$2:$I$24),"",INDIRECT(ADDRESS(SMALL((IF($I$2:$I$24&lt;&gt;"",ROW($I$2:$I$24),ROW()+ROWS($I$2:$I$24))),ROW()-ROW($J$2:$J$24)+1),COLUMN($I$2:$I$24),4)))</f>
        <v>0</v>
      </c>
      <c r="V12" s="214" t="str">
        <f t="array" aca="1" ref="V12" ca="1">IF(ROW()-ROW($K$2:$K$24)+1&gt;ROWS($J$2:$J$24)-COUNTBLANK($J$2:$J$24),"",INDIRECT(ADDRESS(SMALL((IF($J$2:$J$24&lt;&gt;"",ROW($J$2:$J$24),ROW()+ROWS($J$2:$J$24))),ROW()-ROW($K$2:$K$24)+1),COLUMN($J$2:$J$24),4)))</f>
        <v>n.d.</v>
      </c>
      <c r="W12" s="213" t="str">
        <f t="array" aca="1" ref="W12" ca="1">IF(ROW()-ROW($L$2:$L$24)+1&gt;ROWS($K$2:$K$24)-COUNTBLANK($K$2:$K$24),"",INDIRECT(ADDRESS(SMALL((IF($K$2:$K$24&lt;&gt;"",ROW($K$2:$K$24),ROW()+ROWS($K$2:$K$24))),ROW()-ROW($L$2:$L$24)+1),COLUMN($K$2:$K$24),4)))</f>
        <v>Unvollständig</v>
      </c>
      <c r="X12" s="233" t="str">
        <f t="array" aca="1" ref="X12" ca="1">IF(ROW()-ROW($M$2:$M$24)+1&gt;ROWS($L$2:$L$24)-COUNTBLANK($L$2:$L$24),"",INDIRECT(ADDRESS(SMALL((IF($L$2:$L$24&lt;&gt;"",ROW($L$2:$L$24),ROW()+ROWS($L$2:$L$24))),ROW()-ROW($M$2:$M$24)+1),COLUMN($L$2:$L$24),4)))</f>
        <v>-----</v>
      </c>
      <c r="Y12" s="233" t="str">
        <f t="array" aca="1" ref="Y12" ca="1">IF(ROW()-ROW($N$2:$N$24)+1&gt;ROWS($M$2:$M$24)-COUNTBLANK($M$2:$M$24),"",INDIRECT(ADDRESS(SMALL((IF($M$2:$M$24&lt;&gt;"",ROW($M$2:$M$24),ROW()+ROWS($M$2:$M$24))),ROW()-ROW($N$2:$N$24)+1),COLUMN($M$2:$M$24),4)))</f>
        <v>-----</v>
      </c>
    </row>
    <row r="13" spans="1:25" ht="34.5" customHeight="1" x14ac:dyDescent="0.3">
      <c r="A13" s="452" t="str">
        <f>IF('Kennzahlenbogen_(KB)'!P47=0,"",'Kennzahlenbogen_(KB)'!P47)</f>
        <v>Unvollständig</v>
      </c>
      <c r="B13" s="453"/>
      <c r="C13" s="457">
        <f>IF($A13="I.O.","",'Kennzahlenbogen_(KB)'!A47)</f>
        <v>11</v>
      </c>
      <c r="D13" s="454" t="str">
        <f>IF($A13="I.O.","",'Kennzahlenbogen_(KB)'!C47)</f>
        <v>Operation fortgeschrittenes Ovarialkarzinom durch Gynäkoonkologen</v>
      </c>
      <c r="E13" s="456" t="str">
        <f>IF(AND('Kennzahlenbogen_(KB)'!J47="",$A13&lt;&gt;"I.O."),"-----",IF($A13="I.O.","",'Kennzahlenbogen_(KB)'!J47))</f>
        <v>-----</v>
      </c>
      <c r="F13" s="455" t="str">
        <f>IF($A13="I.O.","",'Kennzahlenbogen_(KB)'!K47)</f>
        <v>≥ 80%</v>
      </c>
      <c r="G13" s="456" t="str">
        <f>IF(AND('Kennzahlenbogen_(KB)'!M47="",$A13&lt;&gt;"I.O."),"-----",IF($A13="I.O.","",'Kennzahlenbogen_(KB)'!M47))</f>
        <v>-----</v>
      </c>
      <c r="H13" s="369" t="str">
        <f>IF($A13="I.O.","",IF('Kennzahlenbogen_(KB)'!O47="","-----",'Kennzahlenbogen_(KB)'!O47))</f>
        <v>-----</v>
      </c>
      <c r="I13" s="369">
        <f>IF($A13="I.O.","",IF('Kennzahlenbogen_(KB)'!O48="","-----",'Kennzahlenbogen_(KB)'!O48))</f>
        <v>0</v>
      </c>
      <c r="J13" s="214" t="str">
        <f>IF($A13="I.O.","",IF('Kennzahlenbogen_(KB)'!O49="",0,'Kennzahlenbogen_(KB)'!O49))</f>
        <v>n.d.</v>
      </c>
      <c r="K13" s="213" t="str">
        <f>IF($A13="I.O.","",'Kennzahlenbogen_(KB)'!P47)</f>
        <v>Unvollständig</v>
      </c>
      <c r="L13" s="233" t="str">
        <f>IF(AND('Kennzahlenbogen_(KB)'!Q47="",$A13&lt;&gt;"I.O."),"-----",IF($A13="I.O.","",'Kennzahlenbogen_(KB)'!Q47))</f>
        <v>-----</v>
      </c>
      <c r="M13" s="233" t="str">
        <f>IF(AND('Kennzahlenbogen_(KB)'!R47="",$A13&lt;&gt;"I.O."),"-----",IF($A13="I.O.","",'Kennzahlenbogen_(KB)'!R47))</f>
        <v>-----</v>
      </c>
      <c r="O13" s="232">
        <f t="array" aca="1" ref="O13" ca="1">IF(ROW()-ROW($D$2:$D$24)+1&gt;ROWS($C$2:$C$24)-COUNTBLANK($C$2:$C$24),"",INDIRECT(ADDRESS(SMALL((IF($C$2:$C$24&lt;&gt;"",ROW($C$2:$C$24),ROW()+ROWS($C$2:$C$24))),ROW()-ROW($D$2:$D$24)+1),COLUMN($C$2:$C$24),4)))</f>
        <v>11</v>
      </c>
      <c r="P13" s="212" t="str">
        <f t="array" aca="1" ref="P13" ca="1">IF(ROW()-ROW($E$2:$E$24)+1&gt;ROWS($D$2:$D$24)-COUNTBLANK($D$2:$D$24),"",INDIRECT(ADDRESS(SMALL((IF($D$2:$D$24&gt;"",ROW($D$2:$D$24),ROW()+ROWS($D$2:$D$24))),ROW()-ROW($E$2:$E$24)+1),COLUMN($D$2:$D$24),4)))</f>
        <v>Operation fortgeschrittenes Ovarialkarzinom durch Gynäkoonkologen</v>
      </c>
      <c r="Q13" s="235" t="str">
        <f t="array" aca="1" ref="Q13" ca="1">IF(ROW()-ROW($F$2:$F$24)+1&gt;ROWS($E$2:$E$24)-COUNTBLANK($E$2:$E$24),"",INDIRECT(ADDRESS(SMALL((IF($E$2:$E$24&gt;"",ROW($E$2:$E$24),ROW()+ROWS($E$2:$E$24))),ROW()-ROW($F$2:$F$24)+1),COLUMN($E$2:$E$24),4)))</f>
        <v>-----</v>
      </c>
      <c r="R13" s="236" t="str">
        <f t="array" aca="1" ref="R13" ca="1">IF(ROW()-ROW($G$2:$G$24)+1&gt;ROWS($F$2:$F$24)-COUNTBLANK($F$2:$F$24),"",INDIRECT(ADDRESS(SMALL((IF($F$2:$F$24&gt;"",ROW($F$2:$F$24),ROW()+ROWS($F$2:$F$24))),ROW()-ROW($G$2:$G$24)+1),COLUMN($F$2:$F$24),4)))</f>
        <v>≥ 80%</v>
      </c>
      <c r="S13" s="235" t="str">
        <f t="array" aca="1" ref="S13" ca="1">IF(ROW()-ROW($H$2:$H$24)+1&gt;ROWS($G$2:$G$24)-COUNTBLANK($G$2:$G$24),"",INDIRECT(ADDRESS(SMALL((IF($G$2:$G$24&lt;&gt;"",ROW($G$2:$G$24),ROW()+ROWS($G$2:$G$24))),ROW()-ROW($H$2:$H$24)+1),COLUMN($G$2:$G$24),4)))</f>
        <v>-----</v>
      </c>
      <c r="T13" s="215" t="str">
        <f t="array" aca="1" ref="T13" ca="1">IF(ROW()-ROW($I$2:$I$24)+1&gt;ROWS($H$2:$H$24)-COUNTBLANK($H$2:$H$24),"",INDIRECT(ADDRESS(SMALL((IF($H$2:$H$24&lt;&gt;"",ROW($H$2:$H$24),ROW()+ROWS($H$2:$H$24))),ROW()-ROW($I$2:$I$24)+1),COLUMN($H$2:$H$24),4)))</f>
        <v>-----</v>
      </c>
      <c r="U13" s="215">
        <f t="array" aca="1" ref="U13" ca="1">IF(ROW()-ROW($J$2:$J$24)+1&gt;ROWS($I$2:$I$24)-COUNTBLANK($I$2:$I$24),"",INDIRECT(ADDRESS(SMALL((IF($I$2:$I$24&lt;&gt;"",ROW($I$2:$I$24),ROW()+ROWS($I$2:$I$24))),ROW()-ROW($J$2:$J$24)+1),COLUMN($I$2:$I$24),4)))</f>
        <v>0</v>
      </c>
      <c r="V13" s="214" t="str">
        <f t="array" aca="1" ref="V13" ca="1">IF(ROW()-ROW($K$2:$K$24)+1&gt;ROWS($J$2:$J$24)-COUNTBLANK($J$2:$J$24),"",INDIRECT(ADDRESS(SMALL((IF($J$2:$J$24&lt;&gt;"",ROW($J$2:$J$24),ROW()+ROWS($J$2:$J$24))),ROW()-ROW($K$2:$K$24)+1),COLUMN($J$2:$J$24),4)))</f>
        <v>n.d.</v>
      </c>
      <c r="W13" s="213" t="str">
        <f t="array" aca="1" ref="W13" ca="1">IF(ROW()-ROW($L$2:$L$24)+1&gt;ROWS($K$2:$K$24)-COUNTBLANK($K$2:$K$24),"",INDIRECT(ADDRESS(SMALL((IF($K$2:$K$24&lt;&gt;"",ROW($K$2:$K$24),ROW()+ROWS($K$2:$K$24))),ROW()-ROW($L$2:$L$24)+1),COLUMN($K$2:$K$24),4)))</f>
        <v>Unvollständig</v>
      </c>
      <c r="X13" s="233" t="str">
        <f t="array" aca="1" ref="X13" ca="1">IF(ROW()-ROW($M$2:$M$24)+1&gt;ROWS($L$2:$L$24)-COUNTBLANK($L$2:$L$24),"",INDIRECT(ADDRESS(SMALL((IF($L$2:$L$24&lt;&gt;"",ROW($L$2:$L$24),ROW()+ROWS($L$2:$L$24))),ROW()-ROW($M$2:$M$24)+1),COLUMN($L$2:$L$24),4)))</f>
        <v>-----</v>
      </c>
      <c r="Y13" s="233" t="str">
        <f t="array" aca="1" ref="Y13" ca="1">IF(ROW()-ROW($N$2:$N$24)+1&gt;ROWS($M$2:$M$24)-COUNTBLANK($M$2:$M$24),"",INDIRECT(ADDRESS(SMALL((IF($M$2:$M$24&lt;&gt;"",ROW($M$2:$M$24),ROW()+ROWS($M$2:$M$24))),ROW()-ROW($N$2:$N$24)+1),COLUMN($M$2:$M$24),4)))</f>
        <v>-----</v>
      </c>
    </row>
    <row r="14" spans="1:25" ht="34.5" customHeight="1" x14ac:dyDescent="0.3">
      <c r="A14" s="452" t="str">
        <f>IF('Kennzahlenbogen_(KB)'!P53=0,"",'Kennzahlenbogen_(KB)'!P53)</f>
        <v>Unvollständig</v>
      </c>
      <c r="B14" s="453"/>
      <c r="C14" s="457">
        <f>IF($A14="I.O.","",'Kennzahlenbogen_(KB)'!A53)</f>
        <v>13</v>
      </c>
      <c r="D14" s="454" t="str">
        <f>IF($A14="I.O.","",'Kennzahlenbogen_(KB)'!C53)</f>
        <v>First-Line Chemotherapie fortgeschrittenes Ovarialkarzinom</v>
      </c>
      <c r="E14" s="456" t="str">
        <f>IF(AND('Kennzahlenbogen_(KB)'!J53="",$A14&lt;&gt;"I.O."),"-----",IF($A14="I.O.","",'Kennzahlenbogen_(KB)'!J53))</f>
        <v>&lt; 20%</v>
      </c>
      <c r="F14" s="455" t="str">
        <f>IF($A14="I.O.","",'Kennzahlenbogen_(KB)'!K53)</f>
        <v>Derzeit keine Vorgaben</v>
      </c>
      <c r="G14" s="456" t="str">
        <f>IF(AND('Kennzahlenbogen_(KB)'!M53="",$A14&lt;&gt;"I.O."),"-----",IF($A14="I.O.","",'Kennzahlenbogen_(KB)'!M53))</f>
        <v>-----</v>
      </c>
      <c r="H14" s="369" t="str">
        <f>IF($A14="I.O.","",IF('Kennzahlenbogen_(KB)'!O53="","-----",'Kennzahlenbogen_(KB)'!O53))</f>
        <v>-----</v>
      </c>
      <c r="I14" s="369">
        <f>IF($A14="I.O.","",IF('Kennzahlenbogen_(KB)'!O54="","-----",'Kennzahlenbogen_(KB)'!O54))</f>
        <v>0</v>
      </c>
      <c r="J14" s="214" t="str">
        <f>IF($A14="I.O.","",IF('Kennzahlenbogen_(KB)'!O55="",0,'Kennzahlenbogen_(KB)'!O55))</f>
        <v>n.d.</v>
      </c>
      <c r="K14" s="213" t="str">
        <f>IF($A14="I.O.","",'Kennzahlenbogen_(KB)'!P53)</f>
        <v>Unvollständig</v>
      </c>
      <c r="L14" s="233" t="str">
        <f>IF(AND('Kennzahlenbogen_(KB)'!Q53="",$A14&lt;&gt;"I.O."),"-----",IF($A14="I.O.","",'Kennzahlenbogen_(KB)'!Q53))</f>
        <v>-----</v>
      </c>
      <c r="M14" s="233" t="str">
        <f>IF(AND('Kennzahlenbogen_(KB)'!R53="",$A14&lt;&gt;"I.O."),"-----",IF($A14="I.O.","",'Kennzahlenbogen_(KB)'!R53))</f>
        <v>-----</v>
      </c>
      <c r="O14" s="232">
        <f t="array" aca="1" ref="O14" ca="1">IF(ROW()-ROW($D$2:$D$24)+1&gt;ROWS($C$2:$C$24)-COUNTBLANK($C$2:$C$24),"",INDIRECT(ADDRESS(SMALL((IF($C$2:$C$24&lt;&gt;"",ROW($C$2:$C$24),ROW()+ROWS($C$2:$C$24))),ROW()-ROW($D$2:$D$24)+1),COLUMN($C$2:$C$24),4)))</f>
        <v>13</v>
      </c>
      <c r="P14" s="212" t="str">
        <f t="array" aca="1" ref="P14" ca="1">IF(ROW()-ROW($E$2:$E$24)+1&gt;ROWS($D$2:$D$24)-COUNTBLANK($D$2:$D$24),"",INDIRECT(ADDRESS(SMALL((IF($D$2:$D$24&gt;"",ROW($D$2:$D$24),ROW()+ROWS($D$2:$D$24))),ROW()-ROW($E$2:$E$24)+1),COLUMN($D$2:$D$24),4)))</f>
        <v>First-Line Chemotherapie fortgeschrittenes Ovarialkarzinom</v>
      </c>
      <c r="Q14" s="235" t="str">
        <f t="array" aca="1" ref="Q14" ca="1">IF(ROW()-ROW($F$2:$F$24)+1&gt;ROWS($E$2:$E$24)-COUNTBLANK($E$2:$E$24),"",INDIRECT(ADDRESS(SMALL((IF($E$2:$E$24&gt;"",ROW($E$2:$E$24),ROW()+ROWS($E$2:$E$24))),ROW()-ROW($F$2:$F$24)+1),COLUMN($E$2:$E$24),4)))</f>
        <v>&lt; 20%</v>
      </c>
      <c r="R14" s="236" t="str">
        <f t="array" aca="1" ref="R14" ca="1">IF(ROW()-ROW($G$2:$G$24)+1&gt;ROWS($F$2:$F$24)-COUNTBLANK($F$2:$F$24),"",INDIRECT(ADDRESS(SMALL((IF($F$2:$F$24&gt;"",ROW($F$2:$F$24),ROW()+ROWS($F$2:$F$24))),ROW()-ROW($G$2:$G$24)+1),COLUMN($F$2:$F$24),4)))</f>
        <v>Derzeit keine Vorgaben</v>
      </c>
      <c r="S14" s="235" t="str">
        <f t="array" aca="1" ref="S14" ca="1">IF(ROW()-ROW($H$2:$H$24)+1&gt;ROWS($G$2:$G$24)-COUNTBLANK($G$2:$G$24),"",INDIRECT(ADDRESS(SMALL((IF($G$2:$G$24&lt;&gt;"",ROW($G$2:$G$24),ROW()+ROWS($G$2:$G$24))),ROW()-ROW($H$2:$H$24)+1),COLUMN($G$2:$G$24),4)))</f>
        <v>-----</v>
      </c>
      <c r="T14" s="215" t="str">
        <f t="array" aca="1" ref="T14" ca="1">IF(ROW()-ROW($I$2:$I$24)+1&gt;ROWS($H$2:$H$24)-COUNTBLANK($H$2:$H$24),"",INDIRECT(ADDRESS(SMALL((IF($H$2:$H$24&lt;&gt;"",ROW($H$2:$H$24),ROW()+ROWS($H$2:$H$24))),ROW()-ROW($I$2:$I$24)+1),COLUMN($H$2:$H$24),4)))</f>
        <v>-----</v>
      </c>
      <c r="U14" s="215">
        <f t="array" aca="1" ref="U14" ca="1">IF(ROW()-ROW($J$2:$J$24)+1&gt;ROWS($I$2:$I$24)-COUNTBLANK($I$2:$I$24),"",INDIRECT(ADDRESS(SMALL((IF($I$2:$I$24&lt;&gt;"",ROW($I$2:$I$24),ROW()+ROWS($I$2:$I$24))),ROW()-ROW($J$2:$J$24)+1),COLUMN($I$2:$I$24),4)))</f>
        <v>0</v>
      </c>
      <c r="V14" s="214" t="str">
        <f t="array" aca="1" ref="V14" ca="1">IF(ROW()-ROW($K$2:$K$24)+1&gt;ROWS($J$2:$J$24)-COUNTBLANK($J$2:$J$24),"",INDIRECT(ADDRESS(SMALL((IF($J$2:$J$24&lt;&gt;"",ROW($J$2:$J$24),ROW()+ROWS($J$2:$J$24))),ROW()-ROW($K$2:$K$24)+1),COLUMN($J$2:$J$24),4)))</f>
        <v>n.d.</v>
      </c>
      <c r="W14" s="213" t="str">
        <f t="array" aca="1" ref="W14" ca="1">IF(ROW()-ROW($L$2:$L$24)+1&gt;ROWS($K$2:$K$24)-COUNTBLANK($K$2:$K$24),"",INDIRECT(ADDRESS(SMALL((IF($K$2:$K$24&lt;&gt;"",ROW($K$2:$K$24),ROW()+ROWS($K$2:$K$24))),ROW()-ROW($L$2:$L$24)+1),COLUMN($K$2:$K$24),4)))</f>
        <v>Unvollständig</v>
      </c>
      <c r="X14" s="233" t="str">
        <f t="array" aca="1" ref="X14" ca="1">IF(ROW()-ROW($M$2:$M$24)+1&gt;ROWS($L$2:$L$24)-COUNTBLANK($L$2:$L$24),"",INDIRECT(ADDRESS(SMALL((IF($L$2:$L$24&lt;&gt;"",ROW($L$2:$L$24),ROW()+ROWS($L$2:$L$24))),ROW()-ROW($M$2:$M$24)+1),COLUMN($L$2:$L$24),4)))</f>
        <v>-----</v>
      </c>
      <c r="Y14" s="233" t="str">
        <f t="array" aca="1" ref="Y14" ca="1">IF(ROW()-ROW($N$2:$N$24)+1&gt;ROWS($M$2:$M$24)-COUNTBLANK($M$2:$M$24),"",INDIRECT(ADDRESS(SMALL((IF($M$2:$M$24&lt;&gt;"",ROW($M$2:$M$24),ROW()+ROWS($M$2:$M$24))),ROW()-ROW($N$2:$N$24)+1),COLUMN($M$2:$M$24),4)))</f>
        <v>-----</v>
      </c>
    </row>
    <row r="15" spans="1:25" ht="34.5" customHeight="1" x14ac:dyDescent="0.3">
      <c r="A15" s="452" t="str">
        <f>IF('Kennzahlenbogen_(KB)'!P56=0,"",'Kennzahlenbogen_(KB)'!P56)</f>
        <v>Unvollständig</v>
      </c>
      <c r="B15" s="453"/>
      <c r="C15" s="457" t="str">
        <f>IF($A15="I.O.","",LEFT('Kennzahlenbogen_(KB)'!A56,2))</f>
        <v>14</v>
      </c>
      <c r="D15" s="454" t="str">
        <f>IF($A15="I.O.","",'Kennzahlenbogen_(KB)'!C56)</f>
        <v>Angaben im Befundbericht bei Erstdiagnose und Tumorresektion</v>
      </c>
      <c r="E15" s="456" t="str">
        <f>IF(AND('Kennzahlenbogen_(KB)'!J56="",$A15&lt;&gt;"I.O."),"-----",IF($A15="I.O.","",'Kennzahlenbogen_(KB)'!J56))</f>
        <v>-----</v>
      </c>
      <c r="F15" s="455" t="str">
        <f>IF($A15="I.O.","",'Kennzahlenbogen_(KB)'!K56)</f>
        <v>≥ 80%</v>
      </c>
      <c r="G15" s="456" t="str">
        <f>IF(AND('Kennzahlenbogen_(KB)'!M56="",$A15&lt;&gt;"I.O."),"-----",IF($A15="I.O.","",'Kennzahlenbogen_(KB)'!M56))</f>
        <v>-----</v>
      </c>
      <c r="H15" s="369" t="str">
        <f>IF($A15="I.O.","",IF('Kennzahlenbogen_(KB)'!O56="","-----",'Kennzahlenbogen_(KB)'!O56))</f>
        <v>-----</v>
      </c>
      <c r="I15" s="369">
        <f>IF($A15="I.O.","",IF('Kennzahlenbogen_(KB)'!O57="","-----",'Kennzahlenbogen_(KB)'!O57))</f>
        <v>0</v>
      </c>
      <c r="J15" s="214" t="str">
        <f>IF($A15="I.O.","",IF('Kennzahlenbogen_(KB)'!O58="",0,'Kennzahlenbogen_(KB)'!O58))</f>
        <v>n.d.</v>
      </c>
      <c r="K15" s="213" t="str">
        <f>IF($A15="I.O.","",'Kennzahlenbogen_(KB)'!P56)</f>
        <v>Unvollständig</v>
      </c>
      <c r="L15" s="233" t="str">
        <f>IF(AND('Kennzahlenbogen_(KB)'!Q56="",$A15&lt;&gt;"I.O."),"-----",IF($A15="I.O.","",'Kennzahlenbogen_(KB)'!Q56))</f>
        <v>-----</v>
      </c>
      <c r="M15" s="233" t="str">
        <f>IF(AND('Kennzahlenbogen_(KB)'!R56="",$A15&lt;&gt;"I.O."),"-----",IF($A15="I.O.","",'Kennzahlenbogen_(KB)'!R56))</f>
        <v>-----</v>
      </c>
      <c r="O15" s="232" t="str">
        <f t="array" aca="1" ref="O15" ca="1">IF(ROW()-ROW($D$2:$D$24)+1&gt;ROWS($C$2:$C$24)-COUNTBLANK($C$2:$C$24),"",INDIRECT(ADDRESS(SMALL((IF($C$2:$C$24&lt;&gt;"",ROW($C$2:$C$24),ROW()+ROWS($C$2:$C$24))),ROW()-ROW($D$2:$D$24)+1),COLUMN($C$2:$C$24),4)))</f>
        <v>14</v>
      </c>
      <c r="P15" s="212" t="str">
        <f t="array" aca="1" ref="P15" ca="1">IF(ROW()-ROW($E$2:$E$24)+1&gt;ROWS($D$2:$D$24)-COUNTBLANK($D$2:$D$24),"",INDIRECT(ADDRESS(SMALL((IF($D$2:$D$24&gt;"",ROW($D$2:$D$24),ROW()+ROWS($D$2:$D$24))),ROW()-ROW($E$2:$E$24)+1),COLUMN($D$2:$D$24),4)))</f>
        <v>Angaben im Befundbericht bei Erstdiagnose und Tumorresektion</v>
      </c>
      <c r="Q15" s="235" t="str">
        <f t="array" aca="1" ref="Q15" ca="1">IF(ROW()-ROW($F$2:$F$24)+1&gt;ROWS($E$2:$E$24)-COUNTBLANK($E$2:$E$24),"",INDIRECT(ADDRESS(SMALL((IF($E$2:$E$24&gt;"",ROW($E$2:$E$24),ROW()+ROWS($E$2:$E$24))),ROW()-ROW($F$2:$F$24)+1),COLUMN($E$2:$E$24),4)))</f>
        <v>-----</v>
      </c>
      <c r="R15" s="236" t="str">
        <f t="array" aca="1" ref="R15" ca="1">IF(ROW()-ROW($G$2:$G$24)+1&gt;ROWS($F$2:$F$24)-COUNTBLANK($F$2:$F$24),"",INDIRECT(ADDRESS(SMALL((IF($F$2:$F$24&gt;"",ROW($F$2:$F$24),ROW()+ROWS($F$2:$F$24))),ROW()-ROW($G$2:$G$24)+1),COLUMN($F$2:$F$24),4)))</f>
        <v>≥ 80%</v>
      </c>
      <c r="S15" s="235" t="str">
        <f t="array" aca="1" ref="S15" ca="1">IF(ROW()-ROW($H$2:$H$24)+1&gt;ROWS($G$2:$G$24)-COUNTBLANK($G$2:$G$24),"",INDIRECT(ADDRESS(SMALL((IF($G$2:$G$24&lt;&gt;"",ROW($G$2:$G$24),ROW()+ROWS($G$2:$G$24))),ROW()-ROW($H$2:$H$24)+1),COLUMN($G$2:$G$24),4)))</f>
        <v>-----</v>
      </c>
      <c r="T15" s="215" t="str">
        <f t="array" aca="1" ref="T15" ca="1">IF(ROW()-ROW($I$2:$I$24)+1&gt;ROWS($H$2:$H$24)-COUNTBLANK($H$2:$H$24),"",INDIRECT(ADDRESS(SMALL((IF($H$2:$H$24&lt;&gt;"",ROW($H$2:$H$24),ROW()+ROWS($H$2:$H$24))),ROW()-ROW($I$2:$I$24)+1),COLUMN($H$2:$H$24),4)))</f>
        <v>-----</v>
      </c>
      <c r="U15" s="215">
        <f t="array" aca="1" ref="U15" ca="1">IF(ROW()-ROW($J$2:$J$24)+1&gt;ROWS($I$2:$I$24)-COUNTBLANK($I$2:$I$24),"",INDIRECT(ADDRESS(SMALL((IF($I$2:$I$24&lt;&gt;"",ROW($I$2:$I$24),ROW()+ROWS($I$2:$I$24))),ROW()-ROW($J$2:$J$24)+1),COLUMN($I$2:$I$24),4)))</f>
        <v>0</v>
      </c>
      <c r="V15" s="214" t="str">
        <f t="array" aca="1" ref="V15" ca="1">IF(ROW()-ROW($K$2:$K$24)+1&gt;ROWS($J$2:$J$24)-COUNTBLANK($J$2:$J$24),"",INDIRECT(ADDRESS(SMALL((IF($J$2:$J$24&lt;&gt;"",ROW($J$2:$J$24),ROW()+ROWS($J$2:$J$24))),ROW()-ROW($K$2:$K$24)+1),COLUMN($J$2:$J$24),4)))</f>
        <v>n.d.</v>
      </c>
      <c r="W15" s="213" t="str">
        <f t="array" aca="1" ref="W15" ca="1">IF(ROW()-ROW($L$2:$L$24)+1&gt;ROWS($K$2:$K$24)-COUNTBLANK($K$2:$K$24),"",INDIRECT(ADDRESS(SMALL((IF($K$2:$K$24&lt;&gt;"",ROW($K$2:$K$24),ROW()+ROWS($K$2:$K$24))),ROW()-ROW($L$2:$L$24)+1),COLUMN($K$2:$K$24),4)))</f>
        <v>Unvollständig</v>
      </c>
      <c r="X15" s="233" t="str">
        <f t="array" aca="1" ref="X15" ca="1">IF(ROW()-ROW($M$2:$M$24)+1&gt;ROWS($L$2:$L$24)-COUNTBLANK($L$2:$L$24),"",INDIRECT(ADDRESS(SMALL((IF($L$2:$L$24&lt;&gt;"",ROW($L$2:$L$24),ROW()+ROWS($L$2:$L$24))),ROW()-ROW($M$2:$M$24)+1),COLUMN($L$2:$L$24),4)))</f>
        <v>-----</v>
      </c>
      <c r="Y15" s="233" t="str">
        <f t="array" aca="1" ref="Y15" ca="1">IF(ROW()-ROW($N$2:$N$24)+1&gt;ROWS($M$2:$M$24)-COUNTBLANK($M$2:$M$24),"",INDIRECT(ADDRESS(SMALL((IF($M$2:$M$24&lt;&gt;"",ROW($M$2:$M$24),ROW()+ROWS($M$2:$M$24))),ROW()-ROW($N$2:$N$24)+1),COLUMN($M$2:$M$24),4)))</f>
        <v>-----</v>
      </c>
    </row>
    <row r="16" spans="1:25" ht="34.5" customHeight="1" x14ac:dyDescent="0.3">
      <c r="A16" s="452" t="str">
        <f>IF('Kennzahlenbogen_(KB)'!P59=0,"",'Kennzahlenbogen_(KB)'!P59)</f>
        <v>Unvollständig</v>
      </c>
      <c r="B16" s="453"/>
      <c r="C16" s="629" t="str">
        <f>IF($A16="I.O.","",LEFT('Kennzahlenbogen_(KB)'!A59,2))</f>
        <v>15</v>
      </c>
      <c r="D16" s="454" t="str">
        <f>IF($A16="I.O.","",'Kennzahlenbogen_(KB)'!C59)</f>
        <v>Angaben im Befundbericht bei Lymphonodektomie</v>
      </c>
      <c r="E16" s="456" t="str">
        <f>IF(AND('Kennzahlenbogen_(KB)'!J59="",$A16&lt;&gt;"I.O."),"-----",IF($A16="I.O.","",'Kennzahlenbogen_(KB)'!J59))</f>
        <v>-----</v>
      </c>
      <c r="F16" s="455" t="str">
        <f>IF($A16="I.O.","",'Kennzahlenbogen_(KB)'!K59)</f>
        <v>≥ 80%</v>
      </c>
      <c r="G16" s="456" t="str">
        <f>IF(AND('Kennzahlenbogen_(KB)'!M59="",$A16&lt;&gt;"I.O."),"-----",IF($A16="I.O.","",'Kennzahlenbogen_(KB)'!M59))</f>
        <v>-----</v>
      </c>
      <c r="H16" s="369" t="str">
        <f>IF($A16="I.O.","",IF('Kennzahlenbogen_(KB)'!O59="","-----",'Kennzahlenbogen_(KB)'!O59))</f>
        <v>-----</v>
      </c>
      <c r="I16" s="369" t="str">
        <f>IF($A16="I.O.","",IF('Kennzahlenbogen_(KB)'!O60="","-----",'Kennzahlenbogen_(KB)'!O60))</f>
        <v>-----</v>
      </c>
      <c r="J16" s="214" t="str">
        <f>IF($A16="I.O.","",IF('Kennzahlenbogen_(KB)'!O61="","-----",'Kennzahlenbogen_(KB)'!O61))</f>
        <v>n.d.</v>
      </c>
      <c r="K16" s="213" t="str">
        <f>IF($A16="I.O.","",'Kennzahlenbogen_(KB)'!P59)</f>
        <v>Unvollständig</v>
      </c>
      <c r="L16" s="233" t="str">
        <f>IF(AND('Kennzahlenbogen_(KB)'!Q59="",$A16&lt;&gt;"I.O."),"-----",IF($A16="I.O.","",'Kennzahlenbogen_(KB)'!Q59))</f>
        <v>-----</v>
      </c>
      <c r="M16" s="233" t="str">
        <f>IF(AND('Kennzahlenbogen_(KB)'!R59="",$A16&lt;&gt;"I.O."),"-----",IF($A16="I.O.","",'Kennzahlenbogen_(KB)'!R59))</f>
        <v>-----</v>
      </c>
      <c r="O16" s="232" t="str">
        <f t="array" aca="1" ref="O16" ca="1">IF(ROW()-ROW($D$2:$D$24)+1&gt;ROWS($C$2:$C$24)-COUNTBLANK($C$2:$C$24),"",INDIRECT(ADDRESS(SMALL((IF($C$2:$C$24&lt;&gt;"",ROW($C$2:$C$24),ROW()+ROWS($C$2:$C$24))),ROW()-ROW($D$2:$D$24)+1),COLUMN($C$2:$C$24),4)))</f>
        <v>15</v>
      </c>
      <c r="P16" s="212" t="str">
        <f t="array" aca="1" ref="P16" ca="1">IF(ROW()-ROW($E$2:$E$24)+1&gt;ROWS($D$2:$D$24)-COUNTBLANK($D$2:$D$24),"",INDIRECT(ADDRESS(SMALL((IF($D$2:$D$24&gt;"",ROW($D$2:$D$24),ROW()+ROWS($D$2:$D$24))),ROW()-ROW($E$2:$E$24)+1),COLUMN($D$2:$D$24),4)))</f>
        <v>Angaben im Befundbericht bei Lymphonodektomie</v>
      </c>
      <c r="Q16" s="235" t="str">
        <f t="array" aca="1" ref="Q16" ca="1">IF(ROW()-ROW($F$2:$F$24)+1&gt;ROWS($E$2:$E$24)-COUNTBLANK($E$2:$E$24),"",INDIRECT(ADDRESS(SMALL((IF($E$2:$E$24&gt;"",ROW($E$2:$E$24),ROW()+ROWS($E$2:$E$24))),ROW()-ROW($F$2:$F$24)+1),COLUMN($E$2:$E$24),4)))</f>
        <v>-----</v>
      </c>
      <c r="R16" s="236" t="str">
        <f t="array" aca="1" ref="R16" ca="1">IF(ROW()-ROW($G$2:$G$24)+1&gt;ROWS($F$2:$F$24)-COUNTBLANK($F$2:$F$24),"",INDIRECT(ADDRESS(SMALL((IF($F$2:$F$24&gt;"",ROW($F$2:$F$24),ROW()+ROWS($F$2:$F$24))),ROW()-ROW($G$2:$G$24)+1),COLUMN($F$2:$F$24),4)))</f>
        <v>≥ 80%</v>
      </c>
      <c r="S16" s="235" t="str">
        <f t="array" aca="1" ref="S16" ca="1">IF(ROW()-ROW($H$2:$H$24)+1&gt;ROWS($G$2:$G$24)-COUNTBLANK($G$2:$G$24),"",INDIRECT(ADDRESS(SMALL((IF($G$2:$G$24&lt;&gt;"",ROW($G$2:$G$24),ROW()+ROWS($G$2:$G$24))),ROW()-ROW($H$2:$H$24)+1),COLUMN($G$2:$G$24),4)))</f>
        <v>-----</v>
      </c>
      <c r="T16" s="215" t="str">
        <f t="array" aca="1" ref="T16" ca="1">IF(ROW()-ROW($I$2:$I$24)+1&gt;ROWS($H$2:$H$24)-COUNTBLANK($H$2:$H$24),"",INDIRECT(ADDRESS(SMALL((IF($H$2:$H$24&lt;&gt;"",ROW($H$2:$H$24),ROW()+ROWS($H$2:$H$24))),ROW()-ROW($I$2:$I$24)+1),COLUMN($H$2:$H$24),4)))</f>
        <v>-----</v>
      </c>
      <c r="U16" s="215" t="str">
        <f t="array" aca="1" ref="U16" ca="1">IF(ROW()-ROW($J$2:$J$24)+1&gt;ROWS($I$2:$I$24)-COUNTBLANK($I$2:$I$24),"",INDIRECT(ADDRESS(SMALL((IF($I$2:$I$24&lt;&gt;"",ROW($I$2:$I$24),ROW()+ROWS($I$2:$I$24))),ROW()-ROW($J$2:$J$24)+1),COLUMN($I$2:$I$24),4)))</f>
        <v>-----</v>
      </c>
      <c r="V16" s="214" t="str">
        <f t="array" aca="1" ref="V16" ca="1">IF(ROW()-ROW($K$2:$K$24)+1&gt;ROWS($J$2:$J$24)-COUNTBLANK($J$2:$J$24),"",INDIRECT(ADDRESS(SMALL((IF($J$2:$J$24&lt;&gt;"",ROW($J$2:$J$24),ROW()+ROWS($J$2:$J$24))),ROW()-ROW($K$2:$K$24)+1),COLUMN($J$2:$J$24),4)))</f>
        <v>n.d.</v>
      </c>
      <c r="W16" s="213" t="str">
        <f t="array" aca="1" ref="W16" ca="1">IF(ROW()-ROW($L$2:$L$24)+1&gt;ROWS($K$2:$K$24)-COUNTBLANK($K$2:$K$24),"",INDIRECT(ADDRESS(SMALL((IF($K$2:$K$24&lt;&gt;"",ROW($K$2:$K$24),ROW()+ROWS($K$2:$K$24))),ROW()-ROW($L$2:$L$24)+1),COLUMN($K$2:$K$24),4)))</f>
        <v>Unvollständig</v>
      </c>
      <c r="X16" s="233" t="str">
        <f t="array" aca="1" ref="X16" ca="1">IF(ROW()-ROW($M$2:$M$24)+1&gt;ROWS($L$2:$L$24)-COUNTBLANK($L$2:$L$24),"",INDIRECT(ADDRESS(SMALL((IF($L$2:$L$24&lt;&gt;"",ROW($L$2:$L$24),ROW()+ROWS($L$2:$L$24))),ROW()-ROW($M$2:$M$24)+1),COLUMN($L$2:$L$24),4)))</f>
        <v>-----</v>
      </c>
      <c r="Y16" s="233" t="str">
        <f t="array" aca="1" ref="Y16" ca="1">IF(ROW()-ROW($N$2:$N$24)+1&gt;ROWS($M$2:$M$24)-COUNTBLANK($M$2:$M$24),"",INDIRECT(ADDRESS(SMALL((IF($M$2:$M$24&lt;&gt;"",ROW($M$2:$M$24),ROW()+ROWS($M$2:$M$24))),ROW()-ROW($N$2:$N$24)+1),COLUMN($M$2:$M$24),4)))</f>
        <v>-----</v>
      </c>
    </row>
    <row r="17" spans="1:25" ht="34.5" customHeight="1" x14ac:dyDescent="0.3">
      <c r="A17" s="452" t="str">
        <f>IF('Kennzahlenbogen_(KB)'!P62=0,"",'Kennzahlenbogen_(KB)'!P62)</f>
        <v>Unvollständig</v>
      </c>
      <c r="B17" s="453"/>
      <c r="C17" s="629" t="str">
        <f>IF($A17="I.O.","",LEFT('Kennzahlenbogen_(KB)'!A62,2))</f>
        <v>16</v>
      </c>
      <c r="D17" s="454" t="str">
        <f>IF($A17="I.O.","",'Kennzahlenbogen_(KB)'!C62)</f>
        <v>Zytologisches/
histologisches LK-staging</v>
      </c>
      <c r="E17" s="456" t="str">
        <f>IF(AND('Kennzahlenbogen_(KB)'!J62="",$A17&lt;&gt;"I.O."),"-----",IF($A17="I.O.","",'Kennzahlenbogen_(KB)'!J62))</f>
        <v>-----</v>
      </c>
      <c r="F17" s="455" t="str">
        <f>IF($A17="I.O.","",'Kennzahlenbogen_(KB)'!K62)</f>
        <v>≥ 60%</v>
      </c>
      <c r="G17" s="456" t="str">
        <f>IF(AND('Kennzahlenbogen_(KB)'!M62="",$A17&lt;&gt;"I.O."),"-----",IF($A17="I.O.","",'Kennzahlenbogen_(KB)'!M62))</f>
        <v>-----</v>
      </c>
      <c r="H17" s="369" t="str">
        <f>IF($A17="I.O.","",IF('Kennzahlenbogen_(KB)'!O62="","-----",'Kennzahlenbogen_(KB)'!O62))</f>
        <v>-----</v>
      </c>
      <c r="I17" s="369">
        <f>IF($A17="I.O.","",IF('Kennzahlenbogen_(KB)'!O63="","-----",'Kennzahlenbogen_(KB)'!O63))</f>
        <v>0</v>
      </c>
      <c r="J17" s="214" t="str">
        <f>IF($A17="I.O.","",IF('Kennzahlenbogen_(KB)'!O64="","-----",'Kennzahlenbogen_(KB)'!O64))</f>
        <v>n.d.</v>
      </c>
      <c r="K17" s="213" t="str">
        <f>IF($A17="I.O.","",'Kennzahlenbogen_(KB)'!P62)</f>
        <v>Unvollständig</v>
      </c>
      <c r="L17" s="233" t="str">
        <f>IF(AND('Kennzahlenbogen_(KB)'!Q62="",$A17&lt;&gt;"I.O."),"-----",IF($A17="I.O.","",'Kennzahlenbogen_(KB)'!Q62))</f>
        <v>-----</v>
      </c>
      <c r="M17" s="233" t="str">
        <f>IF(AND('Kennzahlenbogen_(KB)'!R62="",$A17&lt;&gt;"I.O."),"-----",IF($A17="I.O.","",'Kennzahlenbogen_(KB)'!R62))</f>
        <v>-----</v>
      </c>
      <c r="O17" s="232" t="str">
        <f t="array" aca="1" ref="O17" ca="1">IF(ROW()-ROW($D$2:$D$24)+1&gt;ROWS($C$2:$C$24)-COUNTBLANK($C$2:$C$24),"",INDIRECT(ADDRESS(SMALL((IF($C$2:$C$24&lt;&gt;"",ROW($C$2:$C$24),ROW()+ROWS($C$2:$C$24))),ROW()-ROW($D$2:$D$24)+1),COLUMN($C$2:$C$24),4)))</f>
        <v>16</v>
      </c>
      <c r="P17" s="212" t="str">
        <f t="array" aca="1" ref="P17" ca="1">IF(ROW()-ROW($E$2:$E$24)+1&gt;ROWS($D$2:$D$24)-COUNTBLANK($D$2:$D$24),"",INDIRECT(ADDRESS(SMALL((IF($D$2:$D$24&gt;"",ROW($D$2:$D$24),ROW()+ROWS($D$2:$D$24))),ROW()-ROW($E$2:$E$24)+1),COLUMN($D$2:$D$24),4)))</f>
        <v>Zytologisches/
histologisches LK-staging</v>
      </c>
      <c r="Q17" s="235" t="str">
        <f t="array" aca="1" ref="Q17" ca="1">IF(ROW()-ROW($F$2:$F$24)+1&gt;ROWS($E$2:$E$24)-COUNTBLANK($E$2:$E$24),"",INDIRECT(ADDRESS(SMALL((IF($E$2:$E$24&gt;"",ROW($E$2:$E$24),ROW()+ROWS($E$2:$E$24))),ROW()-ROW($F$2:$F$24)+1),COLUMN($E$2:$E$24),4)))</f>
        <v>-----</v>
      </c>
      <c r="R17" s="236" t="str">
        <f t="array" aca="1" ref="R17" ca="1">IF(ROW()-ROW($G$2:$G$24)+1&gt;ROWS($F$2:$F$24)-COUNTBLANK($F$2:$F$24),"",INDIRECT(ADDRESS(SMALL((IF($F$2:$F$24&gt;"",ROW($F$2:$F$24),ROW()+ROWS($F$2:$F$24))),ROW()-ROW($G$2:$G$24)+1),COLUMN($F$2:$F$24),4)))</f>
        <v>≥ 60%</v>
      </c>
      <c r="S17" s="235" t="str">
        <f t="array" aca="1" ref="S17" ca="1">IF(ROW()-ROW($H$2:$H$24)+1&gt;ROWS($G$2:$G$24)-COUNTBLANK($G$2:$G$24),"",INDIRECT(ADDRESS(SMALL((IF($G$2:$G$24&lt;&gt;"",ROW($G$2:$G$24),ROW()+ROWS($G$2:$G$24))),ROW()-ROW($H$2:$H$24)+1),COLUMN($G$2:$G$24),4)))</f>
        <v>-----</v>
      </c>
      <c r="T17" s="215" t="str">
        <f t="array" aca="1" ref="T17" ca="1">IF(ROW()-ROW($I$2:$I$24)+1&gt;ROWS($H$2:$H$24)-COUNTBLANK($H$2:$H$24),"",INDIRECT(ADDRESS(SMALL((IF($H$2:$H$24&lt;&gt;"",ROW($H$2:$H$24),ROW()+ROWS($H$2:$H$24))),ROW()-ROW($I$2:$I$24)+1),COLUMN($H$2:$H$24),4)))</f>
        <v>-----</v>
      </c>
      <c r="U17" s="215">
        <f t="array" aca="1" ref="U17" ca="1">IF(ROW()-ROW($J$2:$J$24)+1&gt;ROWS($I$2:$I$24)-COUNTBLANK($I$2:$I$24),"",INDIRECT(ADDRESS(SMALL((IF($I$2:$I$24&lt;&gt;"",ROW($I$2:$I$24),ROW()+ROWS($I$2:$I$24))),ROW()-ROW($J$2:$J$24)+1),COLUMN($I$2:$I$24),4)))</f>
        <v>0</v>
      </c>
      <c r="V17" s="214" t="str">
        <f t="array" aca="1" ref="V17" ca="1">IF(ROW()-ROW($K$2:$K$24)+1&gt;ROWS($J$2:$J$24)-COUNTBLANK($J$2:$J$24),"",INDIRECT(ADDRESS(SMALL((IF($J$2:$J$24&lt;&gt;"",ROW($J$2:$J$24),ROW()+ROWS($J$2:$J$24))),ROW()-ROW($K$2:$K$24)+1),COLUMN($J$2:$J$24),4)))</f>
        <v>n.d.</v>
      </c>
      <c r="W17" s="213" t="str">
        <f t="array" aca="1" ref="W17" ca="1">IF(ROW()-ROW($L$2:$L$24)+1&gt;ROWS($K$2:$K$24)-COUNTBLANK($K$2:$K$24),"",INDIRECT(ADDRESS(SMALL((IF($K$2:$K$24&lt;&gt;"",ROW($K$2:$K$24),ROW()+ROWS($K$2:$K$24))),ROW()-ROW($L$2:$L$24)+1),COLUMN($K$2:$K$24),4)))</f>
        <v>Unvollständig</v>
      </c>
      <c r="X17" s="233" t="str">
        <f t="array" aca="1" ref="X17" ca="1">IF(ROW()-ROW($M$2:$M$24)+1&gt;ROWS($L$2:$L$24)-COUNTBLANK($L$2:$L$24),"",INDIRECT(ADDRESS(SMALL((IF($L$2:$L$24&lt;&gt;"",ROW($L$2:$L$24),ROW()+ROWS($L$2:$L$24))),ROW()-ROW($M$2:$M$24)+1),COLUMN($L$2:$L$24),4)))</f>
        <v>-----</v>
      </c>
      <c r="Y17" s="233" t="str">
        <f t="array" aca="1" ref="Y17" ca="1">IF(ROW()-ROW($N$2:$N$24)+1&gt;ROWS($M$2:$M$24)-COUNTBLANK($M$2:$M$24),"",INDIRECT(ADDRESS(SMALL((IF($M$2:$M$24&lt;&gt;"",ROW($M$2:$M$24),ROW()+ROWS($M$2:$M$24))),ROW()-ROW($N$2:$N$24)+1),COLUMN($M$2:$M$24),4)))</f>
        <v>-----</v>
      </c>
    </row>
    <row r="18" spans="1:25" ht="34.5" customHeight="1" x14ac:dyDescent="0.3">
      <c r="A18" s="452" t="str">
        <f>IF('Kennzahlenbogen_(KB)'!P65=0,"",'Kennzahlenbogen_(KB)'!P65)</f>
        <v>Unvollständig</v>
      </c>
      <c r="B18" s="453"/>
      <c r="C18" s="629" t="str">
        <f>IF($A18="I.O.","",LEFT('Kennzahlenbogen_(KB)'!A65,2))</f>
        <v>17</v>
      </c>
      <c r="D18" s="454" t="str">
        <f>IF($A18="I.O.","",'Kennzahlenbogen_(KB)'!C65)</f>
        <v>Brachytherapie als Bestandteil prim. Radio(chemo)therapie</v>
      </c>
      <c r="E18" s="456" t="str">
        <f>IF(AND('Kennzahlenbogen_(KB)'!J65="",$A18&lt;&gt;"I.O."),"-----",IF($A18="I.O.","",'Kennzahlenbogen_(KB)'!J65))</f>
        <v>-----</v>
      </c>
      <c r="F18" s="455" t="str">
        <f>IF($A18="I.O.","",'Kennzahlenbogen_(KB)'!K65)</f>
        <v>≥ 80%</v>
      </c>
      <c r="G18" s="456" t="str">
        <f>IF(AND('Kennzahlenbogen_(KB)'!M65="",$A18&lt;&gt;"I.O."),"-----",IF($A18="I.O.","",'Kennzahlenbogen_(KB)'!M65))</f>
        <v>-----</v>
      </c>
      <c r="H18" s="369" t="str">
        <f>IF($A18="I.O.","",IF('Kennzahlenbogen_(KB)'!O65="","-----",'Kennzahlenbogen_(KB)'!O65))</f>
        <v>-----</v>
      </c>
      <c r="I18" s="369" t="str">
        <f>IF($A18="I.O.","",IF('Kennzahlenbogen_(KB)'!O66="","-----",'Kennzahlenbogen_(KB)'!O66))</f>
        <v>-----</v>
      </c>
      <c r="J18" s="214" t="str">
        <f>IF($A18="I.O.","",IF('Kennzahlenbogen_(KB)'!O67="","-----",'Kennzahlenbogen_(KB)'!O67))</f>
        <v>n.d.</v>
      </c>
      <c r="K18" s="213" t="str">
        <f>IF($A18="I.O.","",'Kennzahlenbogen_(KB)'!P65)</f>
        <v>Unvollständig</v>
      </c>
      <c r="L18" s="233" t="str">
        <f>IF(AND('Kennzahlenbogen_(KB)'!Q65="",$A18&lt;&gt;"I.O."),"-----",IF($A18="I.O.","",'Kennzahlenbogen_(KB)'!Q65))</f>
        <v>-----</v>
      </c>
      <c r="M18" s="233" t="str">
        <f>IF(AND('Kennzahlenbogen_(KB)'!R65="",$A18&lt;&gt;"I.O."),"-----",IF($A18="I.O.","",'Kennzahlenbogen_(KB)'!R65))</f>
        <v>-----</v>
      </c>
      <c r="O18" s="232" t="str">
        <f t="array" aca="1" ref="O18" ca="1">IF(ROW()-ROW($D$2:$D$24)+1&gt;ROWS($C$2:$C$24)-COUNTBLANK($C$2:$C$24),"",INDIRECT(ADDRESS(SMALL((IF($C$2:$C$24&lt;&gt;"",ROW($C$2:$C$24),ROW()+ROWS($C$2:$C$24))),ROW()-ROW($D$2:$D$24)+1),COLUMN($C$2:$C$24),4)))</f>
        <v>17</v>
      </c>
      <c r="P18" s="212" t="str">
        <f t="array" aca="1" ref="P18" ca="1">IF(ROW()-ROW($E$2:$E$24)+1&gt;ROWS($D$2:$D$24)-COUNTBLANK($D$2:$D$24),"",INDIRECT(ADDRESS(SMALL((IF($D$2:$D$24&gt;"",ROW($D$2:$D$24),ROW()+ROWS($D$2:$D$24))),ROW()-ROW($E$2:$E$24)+1),COLUMN($D$2:$D$24),4)))</f>
        <v>Brachytherapie als Bestandteil prim. Radio(chemo)therapie</v>
      </c>
      <c r="Q18" s="235" t="str">
        <f t="array" aca="1" ref="Q18" ca="1">IF(ROW()-ROW($F$2:$F$24)+1&gt;ROWS($E$2:$E$24)-COUNTBLANK($E$2:$E$24),"",INDIRECT(ADDRESS(SMALL((IF($E$2:$E$24&gt;"",ROW($E$2:$E$24),ROW()+ROWS($E$2:$E$24))),ROW()-ROW($F$2:$F$24)+1),COLUMN($E$2:$E$24),4)))</f>
        <v>-----</v>
      </c>
      <c r="R18" s="236" t="str">
        <f t="array" aca="1" ref="R18" ca="1">IF(ROW()-ROW($G$2:$G$24)+1&gt;ROWS($F$2:$F$24)-COUNTBLANK($F$2:$F$24),"",INDIRECT(ADDRESS(SMALL((IF($F$2:$F$24&gt;"",ROW($F$2:$F$24),ROW()+ROWS($F$2:$F$24))),ROW()-ROW($G$2:$G$24)+1),COLUMN($F$2:$F$24),4)))</f>
        <v>≥ 80%</v>
      </c>
      <c r="S18" s="235" t="str">
        <f t="array" aca="1" ref="S18" ca="1">IF(ROW()-ROW($H$2:$H$24)+1&gt;ROWS($G$2:$G$24)-COUNTBLANK($G$2:$G$24),"",INDIRECT(ADDRESS(SMALL((IF($G$2:$G$24&lt;&gt;"",ROW($G$2:$G$24),ROW()+ROWS($G$2:$G$24))),ROW()-ROW($H$2:$H$24)+1),COLUMN($G$2:$G$24),4)))</f>
        <v>-----</v>
      </c>
      <c r="T18" s="215" t="str">
        <f t="array" aca="1" ref="T18" ca="1">IF(ROW()-ROW($I$2:$I$24)+1&gt;ROWS($H$2:$H$24)-COUNTBLANK($H$2:$H$24),"",INDIRECT(ADDRESS(SMALL((IF($H$2:$H$24&lt;&gt;"",ROW($H$2:$H$24),ROW()+ROWS($H$2:$H$24))),ROW()-ROW($I$2:$I$24)+1),COLUMN($H$2:$H$24),4)))</f>
        <v>-----</v>
      </c>
      <c r="U18" s="215" t="str">
        <f t="array" aca="1" ref="U18" ca="1">IF(ROW()-ROW($J$2:$J$24)+1&gt;ROWS($I$2:$I$24)-COUNTBLANK($I$2:$I$24),"",INDIRECT(ADDRESS(SMALL((IF($I$2:$I$24&lt;&gt;"",ROW($I$2:$I$24),ROW()+ROWS($I$2:$I$24))),ROW()-ROW($J$2:$J$24)+1),COLUMN($I$2:$I$24),4)))</f>
        <v>-----</v>
      </c>
      <c r="V18" s="214" t="str">
        <f t="array" aca="1" ref="V18" ca="1">IF(ROW()-ROW($K$2:$K$24)+1&gt;ROWS($J$2:$J$24)-COUNTBLANK($J$2:$J$24),"",INDIRECT(ADDRESS(SMALL((IF($J$2:$J$24&lt;&gt;"",ROW($J$2:$J$24),ROW()+ROWS($J$2:$J$24))),ROW()-ROW($K$2:$K$24)+1),COLUMN($J$2:$J$24),4)))</f>
        <v>n.d.</v>
      </c>
      <c r="W18" s="213" t="str">
        <f t="array" aca="1" ref="W18" ca="1">IF(ROW()-ROW($L$2:$L$24)+1&gt;ROWS($K$2:$K$24)-COUNTBLANK($K$2:$K$24),"",INDIRECT(ADDRESS(SMALL((IF($K$2:$K$24&lt;&gt;"",ROW($K$2:$K$24),ROW()+ROWS($K$2:$K$24))),ROW()-ROW($L$2:$L$24)+1),COLUMN($K$2:$K$24),4)))</f>
        <v>Unvollständig</v>
      </c>
      <c r="X18" s="233" t="str">
        <f t="array" aca="1" ref="X18" ca="1">IF(ROW()-ROW($M$2:$M$24)+1&gt;ROWS($L$2:$L$24)-COUNTBLANK($L$2:$L$24),"",INDIRECT(ADDRESS(SMALL((IF($L$2:$L$24&lt;&gt;"",ROW($L$2:$L$24),ROW()+ROWS($L$2:$L$24))),ROW()-ROW($M$2:$M$24)+1),COLUMN($L$2:$L$24),4)))</f>
        <v>-----</v>
      </c>
      <c r="Y18" s="233" t="str">
        <f t="array" aca="1" ref="Y18" ca="1">IF(ROW()-ROW($N$2:$N$24)+1&gt;ROWS($M$2:$M$24)-COUNTBLANK($M$2:$M$24),"",INDIRECT(ADDRESS(SMALL((IF($M$2:$M$24&lt;&gt;"",ROW($M$2:$M$24),ROW()+ROWS($M$2:$M$24))),ROW()-ROW($N$2:$N$24)+1),COLUMN($M$2:$M$24),4)))</f>
        <v>-----</v>
      </c>
    </row>
    <row r="19" spans="1:25" ht="34.5" customHeight="1" x14ac:dyDescent="0.3">
      <c r="A19" s="452" t="str">
        <f>IF('Kennzahlenbogen_(KB)'!P71=0,"",'Kennzahlenbogen_(KB)'!P71)</f>
        <v>Unvollständig</v>
      </c>
      <c r="B19" s="453"/>
      <c r="C19" s="629" t="str">
        <f>IF($A19="I.O.","",LEFT('Kennzahlenbogen_(KB)'!A71,2))</f>
        <v>19</v>
      </c>
      <c r="D19" s="454" t="str">
        <f>IF($A19="I.O.","",'Kennzahlenbogen_(KB)'!C71)</f>
        <v>Angaben im Befundbericht bei Erstdiagnose und Tumorresektion</v>
      </c>
      <c r="E19" s="456" t="str">
        <f>IF(AND('Kennzahlenbogen_(KB)'!J71="",$A19&lt;&gt;"I.O."),"-----",IF($A19="I.O.","",'Kennzahlenbogen_(KB)'!J71))</f>
        <v>-----</v>
      </c>
      <c r="F19" s="455" t="str">
        <f>IF($A19="I.O.","",'Kennzahlenbogen_(KB)'!K71)</f>
        <v>≥ 80%</v>
      </c>
      <c r="G19" s="456" t="str">
        <f>IF(AND('Kennzahlenbogen_(KB)'!M71="",$A19&lt;&gt;"I.O."),"-----",IF($A19="I.O.","",'Kennzahlenbogen_(KB)'!M71))</f>
        <v>-----</v>
      </c>
      <c r="H19" s="369" t="str">
        <f>IF($A19="I.O.","",IF('Kennzahlenbogen_(KB)'!O71="","-----",'Kennzahlenbogen_(KB)'!O71))</f>
        <v>-----</v>
      </c>
      <c r="I19" s="369" t="str">
        <f>IF($A19="I.O.","",IF('Kennzahlenbogen_(KB)'!O72="","-----",'Kennzahlenbogen_(KB)'!O72))</f>
        <v>-----</v>
      </c>
      <c r="J19" s="214" t="str">
        <f>IF($A19="I.O.","",IF('Kennzahlenbogen_(KB)'!O73="","-----",'Kennzahlenbogen_(KB)'!O73))</f>
        <v>n.d.</v>
      </c>
      <c r="K19" s="213" t="str">
        <f>IF($A19="I.O.","",'Kennzahlenbogen_(KB)'!P71)</f>
        <v>Unvollständig</v>
      </c>
      <c r="L19" s="233" t="str">
        <f>IF(AND('Kennzahlenbogen_(KB)'!Q71="",$A19&lt;&gt;"I.O."),"-----",IF($A19="I.O.","",'Kennzahlenbogen_(KB)'!Q71))</f>
        <v>-----</v>
      </c>
      <c r="M19" s="233" t="str">
        <f>IF(AND('Kennzahlenbogen_(KB)'!R71="",$A19&lt;&gt;"I.O."),"-----",IF($A19="I.O.","",'Kennzahlenbogen_(KB)'!R71))</f>
        <v>-----</v>
      </c>
      <c r="O19" s="232" t="str">
        <f t="array" aca="1" ref="O19" ca="1">IF(ROW()-ROW($D$2:$D$24)+1&gt;ROWS($C$2:$C$24)-COUNTBLANK($C$2:$C$24),"",INDIRECT(ADDRESS(SMALL((IF($C$2:$C$24&lt;&gt;"",ROW($C$2:$C$24),ROW()+ROWS($C$2:$C$24))),ROW()-ROW($D$2:$D$24)+1),COLUMN($C$2:$C$24),4)))</f>
        <v>19</v>
      </c>
      <c r="P19" s="212" t="str">
        <f t="array" aca="1" ref="P19" ca="1">IF(ROW()-ROW($E$2:$E$24)+1&gt;ROWS($D$2:$D$24)-COUNTBLANK($D$2:$D$24),"",INDIRECT(ADDRESS(SMALL((IF($D$2:$D$24&gt;"",ROW($D$2:$D$24),ROW()+ROWS($D$2:$D$24))),ROW()-ROW($E$2:$E$24)+1),COLUMN($D$2:$D$24),4)))</f>
        <v>Angaben im Befundbericht bei Erstdiagnose und Tumorresektion</v>
      </c>
      <c r="Q19" s="235" t="str">
        <f t="array" aca="1" ref="Q19" ca="1">IF(ROW()-ROW($F$2:$F$24)+1&gt;ROWS($E$2:$E$24)-COUNTBLANK($E$2:$E$24),"",INDIRECT(ADDRESS(SMALL((IF($E$2:$E$24&gt;"",ROW($E$2:$E$24),ROW()+ROWS($E$2:$E$24))),ROW()-ROW($F$2:$F$24)+1),COLUMN($E$2:$E$24),4)))</f>
        <v>-----</v>
      </c>
      <c r="R19" s="236" t="str">
        <f t="array" aca="1" ref="R19" ca="1">IF(ROW()-ROW($G$2:$G$24)+1&gt;ROWS($F$2:$F$24)-COUNTBLANK($F$2:$F$24),"",INDIRECT(ADDRESS(SMALL((IF($F$2:$F$24&gt;"",ROW($F$2:$F$24),ROW()+ROWS($F$2:$F$24))),ROW()-ROW($G$2:$G$24)+1),COLUMN($F$2:$F$24),4)))</f>
        <v>≥ 80%</v>
      </c>
      <c r="S19" s="235" t="str">
        <f t="array" aca="1" ref="S19" ca="1">IF(ROW()-ROW($H$2:$H$24)+1&gt;ROWS($G$2:$G$24)-COUNTBLANK($G$2:$G$24),"",INDIRECT(ADDRESS(SMALL((IF($G$2:$G$24&lt;&gt;"",ROW($G$2:$G$24),ROW()+ROWS($G$2:$G$24))),ROW()-ROW($H$2:$H$24)+1),COLUMN($G$2:$G$24),4)))</f>
        <v>-----</v>
      </c>
      <c r="T19" s="215" t="str">
        <f t="array" aca="1" ref="T19" ca="1">IF(ROW()-ROW($I$2:$I$24)+1&gt;ROWS($H$2:$H$24)-COUNTBLANK($H$2:$H$24),"",INDIRECT(ADDRESS(SMALL((IF($H$2:$H$24&lt;&gt;"",ROW($H$2:$H$24),ROW()+ROWS($H$2:$H$24))),ROW()-ROW($I$2:$I$24)+1),COLUMN($H$2:$H$24),4)))</f>
        <v>-----</v>
      </c>
      <c r="U19" s="215" t="str">
        <f t="array" aca="1" ref="U19" ca="1">IF(ROW()-ROW($J$2:$J$24)+1&gt;ROWS($I$2:$I$24)-COUNTBLANK($I$2:$I$24),"",INDIRECT(ADDRESS(SMALL((IF($I$2:$I$24&lt;&gt;"",ROW($I$2:$I$24),ROW()+ROWS($I$2:$I$24))),ROW()-ROW($J$2:$J$24)+1),COLUMN($I$2:$I$24),4)))</f>
        <v>-----</v>
      </c>
      <c r="V19" s="214" t="str">
        <f t="array" aca="1" ref="V19" ca="1">IF(ROW()-ROW($K$2:$K$24)+1&gt;ROWS($J$2:$J$24)-COUNTBLANK($J$2:$J$24),"",INDIRECT(ADDRESS(SMALL((IF($J$2:$J$24&lt;&gt;"",ROW($J$2:$J$24),ROW()+ROWS($J$2:$J$24))),ROW()-ROW($K$2:$K$24)+1),COLUMN($J$2:$J$24),4)))</f>
        <v>n.d.</v>
      </c>
      <c r="W19" s="213" t="str">
        <f t="array" aca="1" ref="W19" ca="1">IF(ROW()-ROW($L$2:$L$24)+1&gt;ROWS($K$2:$K$24)-COUNTBLANK($K$2:$K$24),"",INDIRECT(ADDRESS(SMALL((IF($K$2:$K$24&lt;&gt;"",ROW($K$2:$K$24),ROW()+ROWS($K$2:$K$24))),ROW()-ROW($L$2:$L$24)+1),COLUMN($K$2:$K$24),4)))</f>
        <v>Unvollständig</v>
      </c>
      <c r="X19" s="233" t="str">
        <f t="array" aca="1" ref="X19" ca="1">IF(ROW()-ROW($M$2:$M$24)+1&gt;ROWS($L$2:$L$24)-COUNTBLANK($L$2:$L$24),"",INDIRECT(ADDRESS(SMALL((IF($L$2:$L$24&lt;&gt;"",ROW($L$2:$L$24),ROW()+ROWS($L$2:$L$24))),ROW()-ROW($M$2:$M$24)+1),COLUMN($L$2:$L$24),4)))</f>
        <v>-----</v>
      </c>
      <c r="Y19" s="233" t="str">
        <f t="array" aca="1" ref="Y19" ca="1">IF(ROW()-ROW($N$2:$N$24)+1&gt;ROWS($M$2:$M$24)-COUNTBLANK($M$2:$M$24),"",INDIRECT(ADDRESS(SMALL((IF($M$2:$M$24&lt;&gt;"",ROW($M$2:$M$24),ROW()+ROWS($M$2:$M$24))),ROW()-ROW($N$2:$N$24)+1),COLUMN($M$2:$M$24),4)))</f>
        <v>-----</v>
      </c>
    </row>
    <row r="20" spans="1:25" ht="34.5" customHeight="1" x14ac:dyDescent="0.3">
      <c r="A20" s="452" t="str">
        <f>IF('Kennzahlenbogen_(KB)'!P74=0,"",'Kennzahlenbogen_(KB)'!P74)</f>
        <v>Unvollständig</v>
      </c>
      <c r="B20" s="453"/>
      <c r="C20" s="629" t="str">
        <f>IF($A20="I.O.","",LEFT('Kennzahlenbogen_(KB)'!A74,2))</f>
        <v>20</v>
      </c>
      <c r="D20" s="454" t="str">
        <f>IF($A20="I.O.","",'Kennzahlenbogen_(KB)'!C74)</f>
        <v>Angaben im Befundbericht bei Lymphonodektomie</v>
      </c>
      <c r="E20" s="456" t="str">
        <f>IF(AND('Kennzahlenbogen_(KB)'!J74="",$A20&lt;&gt;"I.O."),"-----",IF($A20="I.O.","",'Kennzahlenbogen_(KB)'!J74))</f>
        <v>-----</v>
      </c>
      <c r="F20" s="455" t="str">
        <f>IF($A20="I.O.","",'Kennzahlenbogen_(KB)'!K74)</f>
        <v>≥ 80%</v>
      </c>
      <c r="G20" s="456" t="str">
        <f>IF(AND('Kennzahlenbogen_(KB)'!M74="",$A20&lt;&gt;"I.O."),"-----",IF($A20="I.O.","",'Kennzahlenbogen_(KB)'!M74))</f>
        <v>-----</v>
      </c>
      <c r="H20" s="369" t="str">
        <f>IF($A20="I.O.","",IF('Kennzahlenbogen_(KB)'!O74="","-----",'Kennzahlenbogen_(KB)'!O74))</f>
        <v>-----</v>
      </c>
      <c r="I20" s="369" t="str">
        <f>IF($A20="I.O.","",IF('Kennzahlenbogen_(KB)'!O75="","-----",'Kennzahlenbogen_(KB)'!O75))</f>
        <v>-----</v>
      </c>
      <c r="J20" s="214" t="str">
        <f>IF($A20="I.O.","",IF('Kennzahlenbogen_(KB)'!O76="","-----",'Kennzahlenbogen_(KB)'!O76))</f>
        <v>n.d.</v>
      </c>
      <c r="K20" s="213" t="str">
        <f>IF($A20="I.O.","",'Kennzahlenbogen_(KB)'!P74)</f>
        <v>Unvollständig</v>
      </c>
      <c r="L20" s="233" t="str">
        <f>IF(AND('Kennzahlenbogen_(KB)'!Q74="",$A20&lt;&gt;"I.O."),"-----",IF($A20="I.O.","",'Kennzahlenbogen_(KB)'!Q74))</f>
        <v>-----</v>
      </c>
      <c r="M20" s="233" t="str">
        <f>IF(AND('Kennzahlenbogen_(KB)'!R74="",$A20&lt;&gt;"I.O."),"-----",IF($A20="I.O.","",'Kennzahlenbogen_(KB)'!R74))</f>
        <v>-----</v>
      </c>
      <c r="O20" s="232" t="str">
        <f t="array" aca="1" ref="O20" ca="1">IF(ROW()-ROW($D$2:$D$24)+1&gt;ROWS($C$2:$C$24)-COUNTBLANK($C$2:$C$24),"",INDIRECT(ADDRESS(SMALL((IF($C$2:$C$24&lt;&gt;"",ROW($C$2:$C$24),ROW()+ROWS($C$2:$C$24))),ROW()-ROW($D$2:$D$24)+1),COLUMN($C$2:$C$24),4)))</f>
        <v>20</v>
      </c>
      <c r="P20" s="212" t="str">
        <f t="array" aca="1" ref="P20" ca="1">IF(ROW()-ROW($E$2:$E$24)+1&gt;ROWS($D$2:$D$24)-COUNTBLANK($D$2:$D$24),"",INDIRECT(ADDRESS(SMALL((IF($D$2:$D$24&gt;"",ROW($D$2:$D$24),ROW()+ROWS($D$2:$D$24))),ROW()-ROW($E$2:$E$24)+1),COLUMN($D$2:$D$24),4)))</f>
        <v>Angaben im Befundbericht bei Lymphonodektomie</v>
      </c>
      <c r="Q20" s="235" t="str">
        <f t="array" aca="1" ref="Q20" ca="1">IF(ROW()-ROW($F$2:$F$24)+1&gt;ROWS($E$2:$E$24)-COUNTBLANK($E$2:$E$24),"",INDIRECT(ADDRESS(SMALL((IF($E$2:$E$24&gt;"",ROW($E$2:$E$24),ROW()+ROWS($E$2:$E$24))),ROW()-ROW($F$2:$F$24)+1),COLUMN($E$2:$E$24),4)))</f>
        <v>-----</v>
      </c>
      <c r="R20" s="236" t="str">
        <f t="array" aca="1" ref="R20" ca="1">IF(ROW()-ROW($G$2:$G$24)+1&gt;ROWS($F$2:$F$24)-COUNTBLANK($F$2:$F$24),"",INDIRECT(ADDRESS(SMALL((IF($F$2:$F$24&gt;"",ROW($F$2:$F$24),ROW()+ROWS($F$2:$F$24))),ROW()-ROW($G$2:$G$24)+1),COLUMN($F$2:$F$24),4)))</f>
        <v>≥ 80%</v>
      </c>
      <c r="S20" s="235" t="str">
        <f t="array" aca="1" ref="S20" ca="1">IF(ROW()-ROW($H$2:$H$24)+1&gt;ROWS($G$2:$G$24)-COUNTBLANK($G$2:$G$24),"",INDIRECT(ADDRESS(SMALL((IF($G$2:$G$24&lt;&gt;"",ROW($G$2:$G$24),ROW()+ROWS($G$2:$G$24))),ROW()-ROW($H$2:$H$24)+1),COLUMN($G$2:$G$24),4)))</f>
        <v>-----</v>
      </c>
      <c r="T20" s="215" t="str">
        <f t="array" aca="1" ref="T20" ca="1">IF(ROW()-ROW($I$2:$I$24)+1&gt;ROWS($H$2:$H$24)-COUNTBLANK($H$2:$H$24),"",INDIRECT(ADDRESS(SMALL((IF($H$2:$H$24&lt;&gt;"",ROW($H$2:$H$24),ROW()+ROWS($H$2:$H$24))),ROW()-ROW($I$2:$I$24)+1),COLUMN($H$2:$H$24),4)))</f>
        <v>-----</v>
      </c>
      <c r="U20" s="215" t="str">
        <f t="array" aca="1" ref="U20" ca="1">IF(ROW()-ROW($J$2:$J$24)+1&gt;ROWS($I$2:$I$24)-COUNTBLANK($I$2:$I$24),"",INDIRECT(ADDRESS(SMALL((IF($I$2:$I$24&lt;&gt;"",ROW($I$2:$I$24),ROW()+ROWS($I$2:$I$24))),ROW()-ROW($J$2:$J$24)+1),COLUMN($I$2:$I$24),4)))</f>
        <v>-----</v>
      </c>
      <c r="V20" s="214" t="str">
        <f t="array" aca="1" ref="V20" ca="1">IF(ROW()-ROW($K$2:$K$24)+1&gt;ROWS($J$2:$J$24)-COUNTBLANK($J$2:$J$24),"",INDIRECT(ADDRESS(SMALL((IF($J$2:$J$24&lt;&gt;"",ROW($J$2:$J$24),ROW()+ROWS($J$2:$J$24))),ROW()-ROW($K$2:$K$24)+1),COLUMN($J$2:$J$24),4)))</f>
        <v>n.d.</v>
      </c>
      <c r="W20" s="213" t="str">
        <f t="array" aca="1" ref="W20" ca="1">IF(ROW()-ROW($L$2:$L$24)+1&gt;ROWS($K$2:$K$24)-COUNTBLANK($K$2:$K$24),"",INDIRECT(ADDRESS(SMALL((IF($K$2:$K$24&lt;&gt;"",ROW($K$2:$K$24),ROW()+ROWS($K$2:$K$24))),ROW()-ROW($L$2:$L$24)+1),COLUMN($K$2:$K$24),4)))</f>
        <v>Unvollständig</v>
      </c>
      <c r="X20" s="233" t="str">
        <f t="array" aca="1" ref="X20" ca="1">IF(ROW()-ROW($M$2:$M$24)+1&gt;ROWS($L$2:$L$24)-COUNTBLANK($L$2:$L$24),"",INDIRECT(ADDRESS(SMALL((IF($L$2:$L$24&lt;&gt;"",ROW($L$2:$L$24),ROW()+ROWS($L$2:$L$24))),ROW()-ROW($M$2:$M$24)+1),COLUMN($L$2:$L$24),4)))</f>
        <v>-----</v>
      </c>
      <c r="Y20" s="233" t="str">
        <f t="array" aca="1" ref="Y20" ca="1">IF(ROW()-ROW($N$2:$N$24)+1&gt;ROWS($M$2:$M$24)-COUNTBLANK($M$2:$M$24),"",INDIRECT(ADDRESS(SMALL((IF($M$2:$M$24&lt;&gt;"",ROW($M$2:$M$24),ROW()+ROWS($M$2:$M$24))),ROW()-ROW($N$2:$N$24)+1),COLUMN($M$2:$M$24),4)))</f>
        <v>-----</v>
      </c>
    </row>
    <row r="21" spans="1:25" ht="34.5" customHeight="1" x14ac:dyDescent="0.3">
      <c r="A21" s="452" t="str">
        <f>IF('Kennzahlenbogen_(KB)'!P77=0,"",'Kennzahlenbogen_(KB)'!P77)</f>
        <v>Unvollständig</v>
      </c>
      <c r="B21" s="453"/>
      <c r="C21" s="629" t="str">
        <f>IF($A21="I.O.","",LEFT('Kennzahlenbogen_(KB)'!A77,2))</f>
        <v>21</v>
      </c>
      <c r="D21" s="454" t="str">
        <f>IF($A21="I.O.","",'Kennzahlenbogen_(KB)'!C77)</f>
        <v>Durchführung inguinofemorales Staging</v>
      </c>
      <c r="E21" s="456" t="str">
        <f>IF(AND('Kennzahlenbogen_(KB)'!J77="",$A21&lt;&gt;"I.O."),"-----",IF($A21="I.O.","",'Kennzahlenbogen_(KB)'!J77))</f>
        <v>-----</v>
      </c>
      <c r="F21" s="455" t="str">
        <f>IF($A21="I.O.","",'Kennzahlenbogen_(KB)'!K77)</f>
        <v>≥ 90%</v>
      </c>
      <c r="G21" s="456" t="str">
        <f>IF(AND('Kennzahlenbogen_(KB)'!M77="",$A21&lt;&gt;"I.O."),"-----",IF($A21="I.O.","",'Kennzahlenbogen_(KB)'!M77))</f>
        <v>-----</v>
      </c>
      <c r="H21" s="369" t="str">
        <f>IF($A21="I.O.","",IF('Kennzahlenbogen_(KB)'!O77="","-----",'Kennzahlenbogen_(KB)'!O77))</f>
        <v>-----</v>
      </c>
      <c r="I21" s="369" t="str">
        <f>IF($A21="I.O.","",IF('Kennzahlenbogen_(KB)'!O78="","-----",'Kennzahlenbogen_(KB)'!O78))</f>
        <v>-----</v>
      </c>
      <c r="J21" s="214" t="str">
        <f>IF($A21="I.O.","",IF('Kennzahlenbogen_(KB)'!O79="","-----",'Kennzahlenbogen_(KB)'!O79))</f>
        <v>n.d.</v>
      </c>
      <c r="K21" s="213" t="str">
        <f>IF($A21="I.O.","",'Kennzahlenbogen_(KB)'!P77)</f>
        <v>Unvollständig</v>
      </c>
      <c r="L21" s="233" t="str">
        <f>IF(AND('Kennzahlenbogen_(KB)'!Q77="",$A21&lt;&gt;"I.O."),"-----",IF($A21="I.O.","",'Kennzahlenbogen_(KB)'!Q77))</f>
        <v>-----</v>
      </c>
      <c r="M21" s="233" t="str">
        <f>IF(AND('Kennzahlenbogen_(KB)'!R77="",$A21&lt;&gt;"I.O."),"-----",IF($A21="I.O.","",'Kennzahlenbogen_(KB)'!R77))</f>
        <v>-----</v>
      </c>
      <c r="O21" s="232" t="str">
        <f t="array" aca="1" ref="O21" ca="1">IF(ROW()-ROW($D$2:$D$24)+1&gt;ROWS($C$2:$C$24)-COUNTBLANK($C$2:$C$24),"",INDIRECT(ADDRESS(SMALL((IF($C$2:$C$24&lt;&gt;"",ROW($C$2:$C$24),ROW()+ROWS($C$2:$C$24))),ROW()-ROW($D$2:$D$24)+1),COLUMN($C$2:$C$24),4)))</f>
        <v>21</v>
      </c>
      <c r="P21" s="212" t="str">
        <f t="array" aca="1" ref="P21" ca="1">IF(ROW()-ROW($E$2:$E$24)+1&gt;ROWS($D$2:$D$24)-COUNTBLANK($D$2:$D$24),"",INDIRECT(ADDRESS(SMALL((IF($D$2:$D$24&gt;"",ROW($D$2:$D$24),ROW()+ROWS($D$2:$D$24))),ROW()-ROW($E$2:$E$24)+1),COLUMN($D$2:$D$24),4)))</f>
        <v>Durchführung inguinofemorales Staging</v>
      </c>
      <c r="Q21" s="235" t="str">
        <f t="array" aca="1" ref="Q21" ca="1">IF(ROW()-ROW($F$2:$F$24)+1&gt;ROWS($E$2:$E$24)-COUNTBLANK($E$2:$E$24),"",INDIRECT(ADDRESS(SMALL((IF($E$2:$E$24&gt;"",ROW($E$2:$E$24),ROW()+ROWS($E$2:$E$24))),ROW()-ROW($F$2:$F$24)+1),COLUMN($E$2:$E$24),4)))</f>
        <v>-----</v>
      </c>
      <c r="R21" s="236" t="str">
        <f t="array" aca="1" ref="R21" ca="1">IF(ROW()-ROW($G$2:$G$24)+1&gt;ROWS($F$2:$F$24)-COUNTBLANK($F$2:$F$24),"",INDIRECT(ADDRESS(SMALL((IF($F$2:$F$24&gt;"",ROW($F$2:$F$24),ROW()+ROWS($F$2:$F$24))),ROW()-ROW($G$2:$G$24)+1),COLUMN($F$2:$F$24),4)))</f>
        <v>≥ 90%</v>
      </c>
      <c r="S21" s="235" t="str">
        <f t="array" aca="1" ref="S21" ca="1">IF(ROW()-ROW($H$2:$H$24)+1&gt;ROWS($G$2:$G$24)-COUNTBLANK($G$2:$G$24),"",INDIRECT(ADDRESS(SMALL((IF($G$2:$G$24&lt;&gt;"",ROW($G$2:$G$24),ROW()+ROWS($G$2:$G$24))),ROW()-ROW($H$2:$H$24)+1),COLUMN($G$2:$G$24),4)))</f>
        <v>-----</v>
      </c>
      <c r="T21" s="215" t="str">
        <f t="array" aca="1" ref="T21" ca="1">IF(ROW()-ROW($I$2:$I$24)+1&gt;ROWS($H$2:$H$24)-COUNTBLANK($H$2:$H$24),"",INDIRECT(ADDRESS(SMALL((IF($H$2:$H$24&lt;&gt;"",ROW($H$2:$H$24),ROW()+ROWS($H$2:$H$24))),ROW()-ROW($I$2:$I$24)+1),COLUMN($H$2:$H$24),4)))</f>
        <v>-----</v>
      </c>
      <c r="U21" s="215" t="str">
        <f t="array" aca="1" ref="U21" ca="1">IF(ROW()-ROW($J$2:$J$24)+1&gt;ROWS($I$2:$I$24)-COUNTBLANK($I$2:$I$24),"",INDIRECT(ADDRESS(SMALL((IF($I$2:$I$24&lt;&gt;"",ROW($I$2:$I$24),ROW()+ROWS($I$2:$I$24))),ROW()-ROW($J$2:$J$24)+1),COLUMN($I$2:$I$24),4)))</f>
        <v>-----</v>
      </c>
      <c r="V21" s="214" t="str">
        <f t="array" aca="1" ref="V21" ca="1">IF(ROW()-ROW($K$2:$K$24)+1&gt;ROWS($J$2:$J$24)-COUNTBLANK($J$2:$J$24),"",INDIRECT(ADDRESS(SMALL((IF($J$2:$J$24&lt;&gt;"",ROW($J$2:$J$24),ROW()+ROWS($J$2:$J$24))),ROW()-ROW($K$2:$K$24)+1),COLUMN($J$2:$J$24),4)))</f>
        <v>n.d.</v>
      </c>
      <c r="W21" s="213" t="str">
        <f t="array" aca="1" ref="W21" ca="1">IF(ROW()-ROW($L$2:$L$24)+1&gt;ROWS($K$2:$K$24)-COUNTBLANK($K$2:$K$24),"",INDIRECT(ADDRESS(SMALL((IF($K$2:$K$24&lt;&gt;"",ROW($K$2:$K$24),ROW()+ROWS($K$2:$K$24))),ROW()-ROW($L$2:$L$24)+1),COLUMN($K$2:$K$24),4)))</f>
        <v>Unvollständig</v>
      </c>
      <c r="X21" s="233" t="str">
        <f t="array" aca="1" ref="X21" ca="1">IF(ROW()-ROW($M$2:$M$24)+1&gt;ROWS($L$2:$L$24)-COUNTBLANK($L$2:$L$24),"",INDIRECT(ADDRESS(SMALL((IF($L$2:$L$24&lt;&gt;"",ROW($L$2:$L$24),ROW()+ROWS($L$2:$L$24))),ROW()-ROW($M$2:$M$24)+1),COLUMN($L$2:$L$24),4)))</f>
        <v>-----</v>
      </c>
      <c r="Y21" s="233" t="str">
        <f t="array" aca="1" ref="Y21" ca="1">IF(ROW()-ROW($N$2:$N$24)+1&gt;ROWS($M$2:$M$24)-COUNTBLANK($M$2:$M$24),"",INDIRECT(ADDRESS(SMALL((IF($M$2:$M$24&lt;&gt;"",ROW($M$2:$M$24),ROW()+ROWS($M$2:$M$24))),ROW()-ROW($N$2:$N$24)+1),COLUMN($M$2:$M$24),4)))</f>
        <v>-----</v>
      </c>
    </row>
    <row r="22" spans="1:25" ht="34.5" customHeight="1" x14ac:dyDescent="0.3">
      <c r="A22" s="452" t="str">
        <f>IF('Kennzahlenbogen_(KB)'!P80=0,"",'Kennzahlenbogen_(KB)'!P80)</f>
        <v>Unvollständig</v>
      </c>
      <c r="B22" s="453"/>
      <c r="C22" s="629" t="str">
        <f>IF($A22="I.O.","",LEFT('Kennzahlenbogen_(KB)'!A80,2))</f>
        <v>22</v>
      </c>
      <c r="D22" s="454" t="str">
        <f>IF($A22="I.O.","",'Kennzahlenbogen_(KB)'!C80)</f>
        <v>Sentinel Lymphknoten Biopsie</v>
      </c>
      <c r="E22" s="456" t="str">
        <f>IF(AND('Kennzahlenbogen_(KB)'!J80="",$A22&lt;&gt;"I.O."),"-----",IF($A22="I.O.","",'Kennzahlenbogen_(KB)'!J80))</f>
        <v>-----</v>
      </c>
      <c r="F22" s="455" t="str">
        <f>IF($A22="I.O.","",'Kennzahlenbogen_(KB)'!K80)</f>
        <v>≥ 80%</v>
      </c>
      <c r="G22" s="456" t="str">
        <f>IF(AND('Kennzahlenbogen_(KB)'!M80="",$A22&lt;&gt;"I.O."),"-----",IF($A22="I.O.","",'Kennzahlenbogen_(KB)'!M80))</f>
        <v>-----</v>
      </c>
      <c r="H22" s="369" t="str">
        <f>IF($A22="I.O.","",IF('Kennzahlenbogen_(KB)'!O80="","-----",'Kennzahlenbogen_(KB)'!O80))</f>
        <v>-----</v>
      </c>
      <c r="I22" s="369" t="str">
        <f>IF($A22="I.O.","",IF('Kennzahlenbogen_(KB)'!O81="","-----",'Kennzahlenbogen_(KB)'!O81))</f>
        <v>-----</v>
      </c>
      <c r="J22" s="214" t="str">
        <f>IF($A22="I.O.","",IF('Kennzahlenbogen_(KB)'!O82="","-----",'Kennzahlenbogen_(KB)'!O82))</f>
        <v>n.d.</v>
      </c>
      <c r="K22" s="213" t="str">
        <f>IF($A22="I.O.","",'Kennzahlenbogen_(KB)'!P80)</f>
        <v>Unvollständig</v>
      </c>
      <c r="L22" s="233" t="str">
        <f>IF(AND('Kennzahlenbogen_(KB)'!Q80="",$A22&lt;&gt;"I.O."),"-----",IF($A22="I.O.","",'Kennzahlenbogen_(KB)'!Q80))</f>
        <v>-----</v>
      </c>
      <c r="M22" s="233" t="str">
        <f>IF(AND('Kennzahlenbogen_(KB)'!R80="",$A22&lt;&gt;"I.O."),"-----",IF($A22="I.O.","",'Kennzahlenbogen_(KB)'!R80))</f>
        <v>-----</v>
      </c>
      <c r="O22" s="232" t="str">
        <f t="array" aca="1" ref="O22" ca="1">IF(ROW()-ROW($D$2:$D$24)+1&gt;ROWS($C$2:$C$24)-COUNTBLANK($C$2:$C$24),"",INDIRECT(ADDRESS(SMALL((IF($C$2:$C$24&lt;&gt;"",ROW($C$2:$C$24),ROW()+ROWS($C$2:$C$24))),ROW()-ROW($D$2:$D$24)+1),COLUMN($C$2:$C$24),4)))</f>
        <v>22</v>
      </c>
      <c r="P22" s="212" t="str">
        <f t="array" aca="1" ref="P22" ca="1">IF(ROW()-ROW($E$2:$E$24)+1&gt;ROWS($D$2:$D$24)-COUNTBLANK($D$2:$D$24),"",INDIRECT(ADDRESS(SMALL((IF($D$2:$D$24&gt;"",ROW($D$2:$D$24),ROW()+ROWS($D$2:$D$24))),ROW()-ROW($E$2:$E$24)+1),COLUMN($D$2:$D$24),4)))</f>
        <v>Sentinel Lymphknoten Biopsie</v>
      </c>
      <c r="Q22" s="235" t="str">
        <f t="array" aca="1" ref="Q22" ca="1">IF(ROW()-ROW($F$2:$F$24)+1&gt;ROWS($E$2:$E$24)-COUNTBLANK($E$2:$E$24),"",INDIRECT(ADDRESS(SMALL((IF($E$2:$E$24&gt;"",ROW($E$2:$E$24),ROW()+ROWS($E$2:$E$24))),ROW()-ROW($F$2:$F$24)+1),COLUMN($E$2:$E$24),4)))</f>
        <v>-----</v>
      </c>
      <c r="R22" s="236" t="str">
        <f t="array" aca="1" ref="R22" ca="1">IF(ROW()-ROW($G$2:$G$24)+1&gt;ROWS($F$2:$F$24)-COUNTBLANK($F$2:$F$24),"",INDIRECT(ADDRESS(SMALL((IF($F$2:$F$24&gt;"",ROW($F$2:$F$24),ROW()+ROWS($F$2:$F$24))),ROW()-ROW($G$2:$G$24)+1),COLUMN($F$2:$F$24),4)))</f>
        <v>≥ 80%</v>
      </c>
      <c r="S22" s="235" t="str">
        <f t="array" aca="1" ref="S22" ca="1">IF(ROW()-ROW($H$2:$H$24)+1&gt;ROWS($G$2:$G$24)-COUNTBLANK($G$2:$G$24),"",INDIRECT(ADDRESS(SMALL((IF($G$2:$G$24&lt;&gt;"",ROW($G$2:$G$24),ROW()+ROWS($G$2:$G$24))),ROW()-ROW($H$2:$H$24)+1),COLUMN($G$2:$G$24),4)))</f>
        <v>-----</v>
      </c>
      <c r="T22" s="215" t="str">
        <f t="array" aca="1" ref="T22" ca="1">IF(ROW()-ROW($I$2:$I$24)+1&gt;ROWS($H$2:$H$24)-COUNTBLANK($H$2:$H$24),"",INDIRECT(ADDRESS(SMALL((IF($H$2:$H$24&lt;&gt;"",ROW($H$2:$H$24),ROW()+ROWS($H$2:$H$24))),ROW()-ROW($I$2:$I$24)+1),COLUMN($H$2:$H$24),4)))</f>
        <v>-----</v>
      </c>
      <c r="U22" s="215" t="str">
        <f t="array" aca="1" ref="U22" ca="1">IF(ROW()-ROW($J$2:$J$24)+1&gt;ROWS($I$2:$I$24)-COUNTBLANK($I$2:$I$24),"",INDIRECT(ADDRESS(SMALL((IF($I$2:$I$24&lt;&gt;"",ROW($I$2:$I$24),ROW()+ROWS($I$2:$I$24))),ROW()-ROW($J$2:$J$24)+1),COLUMN($I$2:$I$24),4)))</f>
        <v>-----</v>
      </c>
      <c r="V22" s="214" t="str">
        <f t="array" aca="1" ref="V22" ca="1">IF(ROW()-ROW($K$2:$K$24)+1&gt;ROWS($J$2:$J$24)-COUNTBLANK($J$2:$J$24),"",INDIRECT(ADDRESS(SMALL((IF($J$2:$J$24&lt;&gt;"",ROW($J$2:$J$24),ROW()+ROWS($J$2:$J$24))),ROW()-ROW($K$2:$K$24)+1),COLUMN($J$2:$J$24),4)))</f>
        <v>n.d.</v>
      </c>
      <c r="W22" s="213" t="str">
        <f t="array" aca="1" ref="W22" ca="1">IF(ROW()-ROW($L$2:$L$24)+1&gt;ROWS($K$2:$K$24)-COUNTBLANK($K$2:$K$24),"",INDIRECT(ADDRESS(SMALL((IF($K$2:$K$24&lt;&gt;"",ROW($K$2:$K$24),ROW()+ROWS($K$2:$K$24))),ROW()-ROW($L$2:$L$24)+1),COLUMN($K$2:$K$24),4)))</f>
        <v>Unvollständig</v>
      </c>
      <c r="X22" s="233" t="str">
        <f t="array" aca="1" ref="X22" ca="1">IF(ROW()-ROW($M$2:$M$24)+1&gt;ROWS($L$2:$L$24)-COUNTBLANK($L$2:$L$24),"",INDIRECT(ADDRESS(SMALL((IF($L$2:$L$24&lt;&gt;"",ROW($L$2:$L$24),ROW()+ROWS($L$2:$L$24))),ROW()-ROW($M$2:$M$24)+1),COLUMN($L$2:$L$24),4)))</f>
        <v>-----</v>
      </c>
      <c r="Y22" s="233" t="str">
        <f t="array" aca="1" ref="Y22" ca="1">IF(ROW()-ROW($N$2:$N$24)+1&gt;ROWS($M$2:$M$24)-COUNTBLANK($M$2:$M$24),"",INDIRECT(ADDRESS(SMALL((IF($M$2:$M$24&lt;&gt;"",ROW($M$2:$M$24),ROW()+ROWS($M$2:$M$24))),ROW()-ROW($N$2:$N$24)+1),COLUMN($M$2:$M$24),4)))</f>
        <v>-----</v>
      </c>
    </row>
    <row r="23" spans="1:25" ht="34.5" customHeight="1" x14ac:dyDescent="0.3">
      <c r="A23" s="452" t="str">
        <f>IF('Kennzahlenbogen_(KB)'!P83=0,"",'Kennzahlenbogen_(KB)'!P83)</f>
        <v>Unvollständig</v>
      </c>
      <c r="B23" s="453"/>
      <c r="C23" s="629" t="str">
        <f>IF($A23="I.O.","",LEFT('Kennzahlenbogen_(KB)'!A83,2))</f>
        <v>23</v>
      </c>
      <c r="D23" s="454" t="str">
        <f>IF($A23="I.O.","",'Kennzahlenbogen_(KB)'!C83)</f>
        <v>Systematische Lymphadenektomie bei Typ-I-Endometriumkarzinom</v>
      </c>
      <c r="E23" s="456" t="str">
        <f>IF(AND('Kennzahlenbogen_(KB)'!J83="",$A23&lt;&gt;"I.O."),"-----",IF($A23="I.O.","",'Kennzahlenbogen_(KB)'!J83))</f>
        <v>-----</v>
      </c>
      <c r="F23" s="455" t="str">
        <f>IF($A23="I.O.","",'Kennzahlenbogen_(KB)'!K83)</f>
        <v>≤ 5%</v>
      </c>
      <c r="G23" s="456" t="str">
        <f>IF(AND('Kennzahlenbogen_(KB)'!M83="",$A23&lt;&gt;"I.O."),"-----",IF($A23="I.O.","",'Kennzahlenbogen_(KB)'!M83))</f>
        <v>-----</v>
      </c>
      <c r="H23" s="369" t="str">
        <f>IF($A23="I.O.","",IF('Kennzahlenbogen_(KB)'!O83="","-----",'Kennzahlenbogen_(KB)'!O83))</f>
        <v>-----</v>
      </c>
      <c r="I23" s="369" t="str">
        <f>IF($A23="I.O.","",IF('Kennzahlenbogen_(KB)'!O84="","-----",'Kennzahlenbogen_(KB)'!O84))</f>
        <v>-----</v>
      </c>
      <c r="J23" s="214" t="str">
        <f>IF($A23="I.O.","",IF('Kennzahlenbogen_(KB)'!O85="","-----",'Kennzahlenbogen_(KB)'!O85))</f>
        <v>n.d.</v>
      </c>
      <c r="K23" s="213" t="str">
        <f>IF($A23="I.O.","",'Kennzahlenbogen_(KB)'!P83)</f>
        <v>Unvollständig</v>
      </c>
      <c r="L23" s="233" t="str">
        <f>IF(AND('Kennzahlenbogen_(KB)'!Q83="",$A23&lt;&gt;"I.O."),"-----",IF($A23="I.O.","",'Kennzahlenbogen_(KB)'!Q83))</f>
        <v>-----</v>
      </c>
      <c r="M23" s="233" t="str">
        <f>IF(AND('Kennzahlenbogen_(KB)'!R83="",$A23&lt;&gt;"I.O."),"-----",IF($A23="I.O.","",'Kennzahlenbogen_(KB)'!R83))</f>
        <v>-----</v>
      </c>
      <c r="O23" s="232" t="str">
        <f t="array" aca="1" ref="O23" ca="1">IF(ROW()-ROW($D$2:$D$24)+1&gt;ROWS($C$2:$C$24)-COUNTBLANK($C$2:$C$24),"",INDIRECT(ADDRESS(SMALL((IF($C$2:$C$24&lt;&gt;"",ROW($C$2:$C$24),ROW()+ROWS($C$2:$C$24))),ROW()-ROW($D$2:$D$24)+1),COLUMN($C$2:$C$24),4)))</f>
        <v>23</v>
      </c>
      <c r="P23" s="212" t="str">
        <f t="array" aca="1" ref="P23" ca="1">IF(ROW()-ROW($E$2:$E$24)+1&gt;ROWS($D$2:$D$24)-COUNTBLANK($D$2:$D$24),"",INDIRECT(ADDRESS(SMALL((IF($D$2:$D$24&gt;"",ROW($D$2:$D$24),ROW()+ROWS($D$2:$D$24))),ROW()-ROW($E$2:$E$24)+1),COLUMN($D$2:$D$24),4)))</f>
        <v>Systematische Lymphadenektomie bei Typ-I-Endometriumkarzinom</v>
      </c>
      <c r="Q23" s="235" t="str">
        <f t="array" aca="1" ref="Q23" ca="1">IF(ROW()-ROW($F$2:$F$24)+1&gt;ROWS($E$2:$E$24)-COUNTBLANK($E$2:$E$24),"",INDIRECT(ADDRESS(SMALL((IF($E$2:$E$24&gt;"",ROW($E$2:$E$24),ROW()+ROWS($E$2:$E$24))),ROW()-ROW($F$2:$F$24)+1),COLUMN($E$2:$E$24),4)))</f>
        <v>-----</v>
      </c>
      <c r="R23" s="236" t="str">
        <f t="array" aca="1" ref="R23" ca="1">IF(ROW()-ROW($G$2:$G$24)+1&gt;ROWS($F$2:$F$24)-COUNTBLANK($F$2:$F$24),"",INDIRECT(ADDRESS(SMALL((IF($F$2:$F$24&gt;"",ROW($F$2:$F$24),ROW()+ROWS($F$2:$F$24))),ROW()-ROW($G$2:$G$24)+1),COLUMN($F$2:$F$24),4)))</f>
        <v>≤ 5%</v>
      </c>
      <c r="S23" s="235" t="str">
        <f t="array" aca="1" ref="S23" ca="1">IF(ROW()-ROW($H$2:$H$24)+1&gt;ROWS($G$2:$G$24)-COUNTBLANK($G$2:$G$24),"",INDIRECT(ADDRESS(SMALL((IF($G$2:$G$24&lt;&gt;"",ROW($G$2:$G$24),ROW()+ROWS($G$2:$G$24))),ROW()-ROW($H$2:$H$24)+1),COLUMN($G$2:$G$24),4)))</f>
        <v>-----</v>
      </c>
      <c r="T23" s="215" t="str">
        <f t="array" aca="1" ref="T23" ca="1">IF(ROW()-ROW($I$2:$I$24)+1&gt;ROWS($H$2:$H$24)-COUNTBLANK($H$2:$H$24),"",INDIRECT(ADDRESS(SMALL((IF($H$2:$H$24&lt;&gt;"",ROW($H$2:$H$24),ROW()+ROWS($H$2:$H$24))),ROW()-ROW($I$2:$I$24)+1),COLUMN($H$2:$H$24),4)))</f>
        <v>-----</v>
      </c>
      <c r="U23" s="215" t="str">
        <f t="array" aca="1" ref="U23" ca="1">IF(ROW()-ROW($J$2:$J$24)+1&gt;ROWS($I$2:$I$24)-COUNTBLANK($I$2:$I$24),"",INDIRECT(ADDRESS(SMALL((IF($I$2:$I$24&lt;&gt;"",ROW($I$2:$I$24),ROW()+ROWS($I$2:$I$24))),ROW()-ROW($J$2:$J$24)+1),COLUMN($I$2:$I$24),4)))</f>
        <v>-----</v>
      </c>
      <c r="V23" s="214" t="str">
        <f t="array" aca="1" ref="V23" ca="1">IF(ROW()-ROW($K$2:$K$24)+1&gt;ROWS($J$2:$J$24)-COUNTBLANK($J$2:$J$24),"",INDIRECT(ADDRESS(SMALL((IF($J$2:$J$24&lt;&gt;"",ROW($J$2:$J$24),ROW()+ROWS($J$2:$J$24))),ROW()-ROW($K$2:$K$24)+1),COLUMN($J$2:$J$24),4)))</f>
        <v>n.d.</v>
      </c>
      <c r="W23" s="213" t="str">
        <f t="array" aca="1" ref="W23" ca="1">IF(ROW()-ROW($L$2:$L$24)+1&gt;ROWS($K$2:$K$24)-COUNTBLANK($K$2:$K$24),"",INDIRECT(ADDRESS(SMALL((IF($K$2:$K$24&lt;&gt;"",ROW($K$2:$K$24),ROW()+ROWS($K$2:$K$24))),ROW()-ROW($L$2:$L$24)+1),COLUMN($K$2:$K$24),4)))</f>
        <v>Unvollständig</v>
      </c>
      <c r="X23" s="233" t="str">
        <f t="array" aca="1" ref="X23" ca="1">IF(ROW()-ROW($M$2:$M$24)+1&gt;ROWS($L$2:$L$24)-COUNTBLANK($L$2:$L$24),"",INDIRECT(ADDRESS(SMALL((IF($L$2:$L$24&lt;&gt;"",ROW($L$2:$L$24),ROW()+ROWS($L$2:$L$24))),ROW()-ROW($M$2:$M$24)+1),COLUMN($L$2:$L$24),4)))</f>
        <v>-----</v>
      </c>
      <c r="Y23" s="233" t="str">
        <f t="array" aca="1" ref="Y23" ca="1">IF(ROW()-ROW($N$2:$N$24)+1&gt;ROWS($M$2:$M$24)-COUNTBLANK($M$2:$M$24),"",INDIRECT(ADDRESS(SMALL((IF($M$2:$M$24&lt;&gt;"",ROW($M$2:$M$24),ROW()+ROWS($M$2:$M$24))),ROW()-ROW($N$2:$N$24)+1),COLUMN($M$2:$M$24),4)))</f>
        <v>-----</v>
      </c>
    </row>
    <row r="24" spans="1:25" ht="34.5" customHeight="1" x14ac:dyDescent="0.3">
      <c r="A24" s="452" t="str">
        <f>IF('Kennzahlenbogen_(KB)'!P86=0,"",'Kennzahlenbogen_(KB)'!P86)</f>
        <v>Unvollständig</v>
      </c>
      <c r="B24" s="453"/>
      <c r="C24" s="629" t="str">
        <f>IF($A24="I.O.","",LEFT('Kennzahlenbogen_(KB)'!A86,2))</f>
        <v>24</v>
      </c>
      <c r="D24" s="454" t="str">
        <f>IF($A24="I.O.","",'Kennzahlenbogen_(KB)'!C86)</f>
        <v>Adjuvante Chemotherapie bei Typ-I-Endometriumkarzinom</v>
      </c>
      <c r="E24" s="456" t="str">
        <f>IF(AND('Kennzahlenbogen_(KB)'!J86="",$A24&lt;&gt;"I.O."),"-----",IF($A24="I.O.","",'Kennzahlenbogen_(KB)'!J86))</f>
        <v>-----</v>
      </c>
      <c r="F24" s="455" t="str">
        <f>IF($A24="I.O.","",'Kennzahlenbogen_(KB)'!K86)</f>
        <v>≤ 5%</v>
      </c>
      <c r="G24" s="456" t="str">
        <f>IF(AND('Kennzahlenbogen_(KB)'!M86="",$A24&lt;&gt;"I.O."),"-----",IF($A24="I.O.","",'Kennzahlenbogen_(KB)'!M86))</f>
        <v>-----</v>
      </c>
      <c r="H24" s="369" t="str">
        <f>IF($A24="I.O.","",IF('Kennzahlenbogen_(KB)'!O86="","-----",'Kennzahlenbogen_(KB)'!O86))</f>
        <v>-----</v>
      </c>
      <c r="I24" s="369" t="str">
        <f>IF($A24="I.O.","",IF('Kennzahlenbogen_(KB)'!O87="","-----",'Kennzahlenbogen_(KB)'!O87))</f>
        <v>-----</v>
      </c>
      <c r="J24" s="214" t="str">
        <f>IF($A24="I.O.","",IF('Kennzahlenbogen_(KB)'!O88="","-----",'Kennzahlenbogen_(KB)'!O88))</f>
        <v>n.d.</v>
      </c>
      <c r="K24" s="213" t="str">
        <f>IF($A24="I.O.","",'Kennzahlenbogen_(KB)'!P86)</f>
        <v>Unvollständig</v>
      </c>
      <c r="L24" s="233" t="str">
        <f>IF(AND('Kennzahlenbogen_(KB)'!Q86="",$A24&lt;&gt;"I.O."),"-----",IF($A24="I.O.","",'Kennzahlenbogen_(KB)'!Q86))</f>
        <v>-----</v>
      </c>
      <c r="M24" s="233" t="str">
        <f>IF(AND('Kennzahlenbogen_(KB)'!R86="",$A24&lt;&gt;"I.O."),"-----",IF($A24="I.O.","",'Kennzahlenbogen_(KB)'!R86))</f>
        <v>-----</v>
      </c>
      <c r="O24" s="232" t="str">
        <f t="array" aca="1" ref="O24" ca="1">IF(ROW()-ROW($D$2:$D$24)+1&gt;ROWS($C$2:$C$24)-COUNTBLANK($C$2:$C$24),"",INDIRECT(ADDRESS(SMALL((IF($C$2:$C$24&lt;&gt;"",ROW($C$2:$C$24),ROW()+ROWS($C$2:$C$24))),ROW()-ROW($D$2:$D$24)+1),COLUMN($C$2:$C$24),4)))</f>
        <v>24</v>
      </c>
      <c r="P24" s="212" t="str">
        <f t="array" aca="1" ref="P24" ca="1">IF(ROW()-ROW($E$2:$E$24)+1&gt;ROWS($D$2:$D$24)-COUNTBLANK($D$2:$D$24),"",INDIRECT(ADDRESS(SMALL((IF($D$2:$D$24&gt;"",ROW($D$2:$D$24),ROW()+ROWS($D$2:$D$24))),ROW()-ROW($E$2:$E$24)+1),COLUMN($D$2:$D$24),4)))</f>
        <v>Adjuvante Chemotherapie bei Typ-I-Endometriumkarzinom</v>
      </c>
      <c r="Q24" s="235" t="str">
        <f t="array" aca="1" ref="Q24" ca="1">IF(ROW()-ROW($F$2:$F$24)+1&gt;ROWS($E$2:$E$24)-COUNTBLANK($E$2:$E$24),"",INDIRECT(ADDRESS(SMALL((IF($E$2:$E$24&gt;"",ROW($E$2:$E$24),ROW()+ROWS($E$2:$E$24))),ROW()-ROW($F$2:$F$24)+1),COLUMN($E$2:$E$24),4)))</f>
        <v>-----</v>
      </c>
      <c r="R24" s="236" t="str">
        <f t="array" aca="1" ref="R24" ca="1">IF(ROW()-ROW($G$2:$G$24)+1&gt;ROWS($F$2:$F$24)-COUNTBLANK($F$2:$F$24),"",INDIRECT(ADDRESS(SMALL((IF($F$2:$F$24&gt;"",ROW($F$2:$F$24),ROW()+ROWS($F$2:$F$24))),ROW()-ROW($G$2:$G$24)+1),COLUMN($F$2:$F$24),4)))</f>
        <v>≤ 5%</v>
      </c>
      <c r="S24" s="235" t="str">
        <f t="array" aca="1" ref="S24" ca="1">IF(ROW()-ROW($H$2:$H$24)+1&gt;ROWS($G$2:$G$24)-COUNTBLANK($G$2:$G$24),"",INDIRECT(ADDRESS(SMALL((IF($G$2:$G$24&lt;&gt;"",ROW($G$2:$G$24),ROW()+ROWS($G$2:$G$24))),ROW()-ROW($H$2:$H$24)+1),COLUMN($G$2:$G$24),4)))</f>
        <v>-----</v>
      </c>
      <c r="T24" s="215" t="str">
        <f t="array" aca="1" ref="T24" ca="1">IF(ROW()-ROW($I$2:$I$24)+1&gt;ROWS($H$2:$H$24)-COUNTBLANK($H$2:$H$24),"",INDIRECT(ADDRESS(SMALL((IF($H$2:$H$24&lt;&gt;"",ROW($H$2:$H$24),ROW()+ROWS($H$2:$H$24))),ROW()-ROW($I$2:$I$24)+1),COLUMN($H$2:$H$24),4)))</f>
        <v>-----</v>
      </c>
      <c r="U24" s="215" t="str">
        <f t="array" aca="1" ref="U24" ca="1">IF(ROW()-ROW($J$2:$J$24)+1&gt;ROWS($I$2:$I$24)-COUNTBLANK($I$2:$I$24),"",INDIRECT(ADDRESS(SMALL((IF($I$2:$I$24&lt;&gt;"",ROW($I$2:$I$24),ROW()+ROWS($I$2:$I$24))),ROW()-ROW($J$2:$J$24)+1),COLUMN($I$2:$I$24),4)))</f>
        <v>-----</v>
      </c>
      <c r="V24" s="214" t="str">
        <f t="array" aca="1" ref="V24" ca="1">IF(ROW()-ROW($K$2:$K$24)+1&gt;ROWS($J$2:$J$24)-COUNTBLANK($J$2:$J$24),"",INDIRECT(ADDRESS(SMALL((IF($J$2:$J$24&lt;&gt;"",ROW($J$2:$J$24),ROW()+ROWS($J$2:$J$24))),ROW()-ROW($K$2:$K$24)+1),COLUMN($J$2:$J$24),4)))</f>
        <v>n.d.</v>
      </c>
      <c r="W24" s="213" t="str">
        <f t="array" aca="1" ref="W24" ca="1">IF(ROW()-ROW($L$2:$L$24)+1&gt;ROWS($K$2:$K$24)-COUNTBLANK($K$2:$K$24),"",INDIRECT(ADDRESS(SMALL((IF($K$2:$K$24&lt;&gt;"",ROW($K$2:$K$24),ROW()+ROWS($K$2:$K$24))),ROW()-ROW($L$2:$L$24)+1),COLUMN($K$2:$K$24),4)))</f>
        <v>Unvollständig</v>
      </c>
      <c r="X24" s="233" t="str">
        <f t="array" aca="1" ref="X24" ca="1">IF(ROW()-ROW($M$2:$M$24)+1&gt;ROWS($L$2:$L$24)-COUNTBLANK($L$2:$L$24),"",INDIRECT(ADDRESS(SMALL((IF($L$2:$L$24&lt;&gt;"",ROW($L$2:$L$24),ROW()+ROWS($L$2:$L$24))),ROW()-ROW($M$2:$M$24)+1),COLUMN($L$2:$L$24),4)))</f>
        <v>-----</v>
      </c>
      <c r="Y24" s="233" t="str">
        <f t="array" aca="1" ref="Y24" ca="1">IF(ROW()-ROW($N$2:$N$24)+1&gt;ROWS($M$2:$M$24)-COUNTBLANK($M$2:$M$24),"",INDIRECT(ADDRESS(SMALL((IF($M$2:$M$24&lt;&gt;"",ROW($M$2:$M$24),ROW()+ROWS($M$2:$M$24))),ROW()-ROW($N$2:$N$24)+1),COLUMN($M$2:$M$24),4)))</f>
        <v>-----</v>
      </c>
    </row>
  </sheetData>
  <phoneticPr fontId="36" type="noConversion"/>
  <pageMargins left="0.7" right="0.7" top="0.78740157499999996" bottom="0.78740157499999996"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1"/>
  <dimension ref="A1:AK118"/>
  <sheetViews>
    <sheetView showGridLines="0" showRuler="0" zoomScaleNormal="100" zoomScaleSheetLayoutView="100" workbookViewId="0">
      <selection activeCell="D23" sqref="D23"/>
    </sheetView>
  </sheetViews>
  <sheetFormatPr defaultColWidth="9" defaultRowHeight="13.8" x14ac:dyDescent="0.25"/>
  <cols>
    <col min="1" max="1" width="8" style="5" customWidth="1"/>
    <col min="2" max="2" width="5.44140625" style="5" customWidth="1"/>
    <col min="3" max="3" width="4.44140625" style="5" customWidth="1"/>
    <col min="4" max="13" width="3.6640625" style="5" customWidth="1"/>
    <col min="14" max="14" width="0.44140625" style="5" customWidth="1"/>
    <col min="15" max="18" width="4.6640625" style="5" customWidth="1"/>
    <col min="19" max="19" width="7.6640625" style="5" customWidth="1"/>
    <col min="20" max="20" width="0.44140625" style="5" customWidth="1"/>
    <col min="21" max="21" width="4.88671875" style="5" customWidth="1"/>
    <col min="22" max="22" width="5.6640625" style="5" hidden="1" customWidth="1"/>
    <col min="23" max="23" width="4.6640625" style="5" customWidth="1"/>
    <col min="24" max="28" width="3.6640625" style="5" customWidth="1"/>
    <col min="29" max="29" width="4.6640625" style="5" customWidth="1"/>
    <col min="30" max="30" width="0.5546875" style="5" customWidth="1"/>
    <col min="31" max="31" width="7.6640625" style="5" customWidth="1"/>
    <col min="32" max="32" width="8" style="5" customWidth="1"/>
    <col min="33" max="33" width="7.33203125" style="44" customWidth="1"/>
    <col min="34" max="34" width="8" style="5" customWidth="1"/>
    <col min="35" max="35" width="8.44140625" style="5" customWidth="1"/>
    <col min="36" max="226" width="11.44140625" style="5" customWidth="1"/>
    <col min="227" max="16384" width="9" style="5"/>
  </cols>
  <sheetData>
    <row r="1" spans="1:33" ht="4.5" customHeight="1" x14ac:dyDescent="0.25">
      <c r="C1" s="40"/>
      <c r="P1" s="26"/>
      <c r="Q1" s="26"/>
      <c r="R1" s="26"/>
      <c r="S1" s="26"/>
      <c r="T1" s="26"/>
      <c r="U1" s="26"/>
      <c r="V1" s="26"/>
      <c r="W1" s="26"/>
      <c r="X1" s="26"/>
    </row>
    <row r="2" spans="1:33" ht="12" customHeight="1" x14ac:dyDescent="0.25">
      <c r="A2" s="298" t="str">
        <f>Basisdaten!A2</f>
        <v>Anlage EB Version H1.3 (Auditjahr 2022 / Kennzahlenjahr 2021)</v>
      </c>
      <c r="B2" s="9"/>
      <c r="C2" s="9"/>
      <c r="H2" s="66"/>
      <c r="I2" s="66"/>
      <c r="J2" s="65"/>
      <c r="K2" s="65"/>
      <c r="L2" s="65"/>
      <c r="M2" s="65"/>
      <c r="P2" s="26"/>
      <c r="Q2" s="26"/>
      <c r="R2" s="26"/>
      <c r="S2" s="26"/>
      <c r="T2" s="26"/>
      <c r="U2" s="26"/>
      <c r="V2" s="26"/>
      <c r="W2" s="26"/>
      <c r="X2" s="26"/>
    </row>
    <row r="3" spans="1:33" ht="15.75" customHeight="1" x14ac:dyDescent="0.3">
      <c r="A3" s="87" t="s">
        <v>432</v>
      </c>
      <c r="B3" s="9"/>
      <c r="C3" s="9"/>
      <c r="D3" s="9"/>
      <c r="E3" s="9"/>
      <c r="F3" s="9"/>
      <c r="G3" s="9"/>
      <c r="H3" s="9"/>
      <c r="I3" s="9"/>
      <c r="J3" s="9"/>
      <c r="K3" s="9"/>
      <c r="L3" s="9"/>
      <c r="M3" s="9"/>
      <c r="N3" s="9"/>
      <c r="O3" s="9"/>
      <c r="P3" s="88"/>
      <c r="Q3" s="26"/>
      <c r="R3" s="26"/>
      <c r="S3" s="26"/>
      <c r="T3" s="26"/>
      <c r="U3" s="26"/>
      <c r="V3" s="26"/>
      <c r="W3" s="41"/>
      <c r="X3" s="27"/>
      <c r="Y3" s="27"/>
      <c r="Z3" s="27"/>
      <c r="AA3" s="27"/>
    </row>
    <row r="4" spans="1:33" ht="14.25" customHeight="1" x14ac:dyDescent="0.3">
      <c r="A4" s="29"/>
      <c r="P4" s="26"/>
      <c r="Q4" s="26"/>
      <c r="R4" s="26"/>
      <c r="S4" s="26"/>
      <c r="T4" s="26"/>
      <c r="U4" s="26"/>
      <c r="V4" s="26"/>
      <c r="W4" s="41"/>
      <c r="X4" s="27"/>
      <c r="Y4" s="27"/>
      <c r="Z4" s="27"/>
      <c r="AA4" s="27"/>
    </row>
    <row r="5" spans="1:33" ht="7.5" customHeight="1" x14ac:dyDescent="0.25">
      <c r="U5" s="26"/>
      <c r="V5" s="26"/>
      <c r="W5" s="41"/>
      <c r="X5" s="41"/>
      <c r="Y5" s="41"/>
      <c r="Z5" s="41"/>
      <c r="AA5" s="41"/>
    </row>
    <row r="6" spans="1:33" s="33" customFormat="1" ht="15" customHeight="1" x14ac:dyDescent="0.25">
      <c r="A6" s="36" t="s">
        <v>282</v>
      </c>
      <c r="C6" s="963" t="str">
        <f>IF(Basisdaten!C8=0,"",Basisdaten!C8)</f>
        <v/>
      </c>
      <c r="D6" s="964"/>
      <c r="E6" s="964"/>
      <c r="F6" s="964"/>
      <c r="G6" s="964"/>
      <c r="H6" s="964"/>
      <c r="I6" s="964"/>
      <c r="J6" s="964"/>
      <c r="K6" s="964"/>
      <c r="L6" s="964"/>
      <c r="M6" s="964"/>
      <c r="N6" s="964"/>
      <c r="O6" s="964"/>
      <c r="P6" s="964"/>
      <c r="Q6" s="964"/>
      <c r="R6" s="964"/>
      <c r="S6" s="964"/>
      <c r="T6" s="964"/>
      <c r="U6" s="964"/>
      <c r="V6" s="964"/>
      <c r="W6" s="964"/>
      <c r="X6" s="964"/>
      <c r="Y6" s="964"/>
      <c r="Z6" s="965"/>
      <c r="AG6" s="21"/>
    </row>
    <row r="7" spans="1:33" s="33" customFormat="1" ht="6.9" customHeight="1" x14ac:dyDescent="0.25">
      <c r="A7" s="8"/>
      <c r="C7" s="5"/>
      <c r="D7" s="5"/>
      <c r="E7" s="5"/>
      <c r="F7" s="5"/>
      <c r="H7" s="5"/>
      <c r="I7" s="5"/>
      <c r="K7" s="28"/>
      <c r="L7" s="28"/>
      <c r="M7" s="30"/>
      <c r="N7" s="30"/>
      <c r="O7" s="31"/>
      <c r="P7" s="31"/>
      <c r="Q7" s="42"/>
      <c r="AG7" s="21"/>
    </row>
    <row r="8" spans="1:33" s="33" customFormat="1" ht="15" customHeight="1" x14ac:dyDescent="0.25">
      <c r="A8" s="34" t="s">
        <v>210</v>
      </c>
      <c r="C8" s="1015" t="str">
        <f>IF(Basisdaten!C6=0,"",Basisdaten!C6)</f>
        <v/>
      </c>
      <c r="D8" s="1016"/>
      <c r="E8" s="1016"/>
      <c r="F8" s="1016"/>
      <c r="G8" s="1017"/>
      <c r="H8" s="290"/>
      <c r="I8" s="290"/>
      <c r="J8" s="290"/>
      <c r="K8" s="290"/>
      <c r="L8" s="290"/>
      <c r="N8" s="37"/>
      <c r="P8" s="31"/>
      <c r="R8" s="81" t="s">
        <v>207</v>
      </c>
      <c r="U8" s="878" t="str">
        <f>IF(Basisdaten!L12=0,"",Basisdaten!L12)</f>
        <v/>
      </c>
      <c r="V8" s="879"/>
      <c r="W8" s="879"/>
      <c r="X8" s="879"/>
      <c r="Y8" s="879"/>
      <c r="Z8" s="1018"/>
      <c r="AG8" s="21"/>
    </row>
    <row r="9" spans="1:33" s="33" customFormat="1" ht="3.9" customHeight="1" x14ac:dyDescent="0.25">
      <c r="B9" s="34"/>
      <c r="C9" s="35"/>
      <c r="D9" s="5"/>
      <c r="E9" s="5"/>
      <c r="G9" s="41"/>
      <c r="H9" s="41"/>
      <c r="I9" s="41"/>
      <c r="J9" s="41"/>
      <c r="K9" s="41"/>
      <c r="L9" s="41"/>
      <c r="N9" s="37"/>
      <c r="P9" s="31"/>
      <c r="Q9" s="39"/>
      <c r="R9" s="41"/>
      <c r="S9" s="41"/>
      <c r="AG9" s="21"/>
    </row>
    <row r="10" spans="1:33" ht="3.9" customHeight="1" x14ac:dyDescent="0.25">
      <c r="O10" s="33"/>
    </row>
    <row r="11" spans="1:33" ht="3.9" customHeight="1" x14ac:dyDescent="0.25">
      <c r="A11" s="971"/>
      <c r="B11" s="971"/>
      <c r="C11" s="971"/>
      <c r="D11" s="971"/>
      <c r="E11" s="971"/>
      <c r="F11" s="971"/>
      <c r="G11" s="971"/>
      <c r="H11" s="971"/>
      <c r="I11" s="971"/>
      <c r="J11" s="971"/>
      <c r="K11" s="971"/>
      <c r="L11" s="971"/>
      <c r="M11" s="971"/>
      <c r="N11" s="971"/>
      <c r="O11" s="971"/>
      <c r="P11" s="971"/>
      <c r="Q11" s="971"/>
      <c r="R11" s="971"/>
      <c r="S11" s="971"/>
      <c r="T11" s="971"/>
      <c r="U11" s="971"/>
      <c r="V11" s="971"/>
      <c r="W11" s="971"/>
      <c r="X11" s="971"/>
      <c r="Y11" s="971"/>
      <c r="Z11" s="971"/>
      <c r="AA11" s="971"/>
      <c r="AB11" s="971"/>
      <c r="AC11" s="971"/>
      <c r="AD11" s="971"/>
      <c r="AE11" s="971"/>
      <c r="AF11" s="971"/>
      <c r="AG11" s="971"/>
    </row>
    <row r="12" spans="1:33" s="245" customFormat="1" ht="24" customHeight="1" x14ac:dyDescent="0.3">
      <c r="A12" s="244" t="s">
        <v>237</v>
      </c>
      <c r="AG12" s="246"/>
    </row>
    <row r="13" spans="1:33" s="9" customFormat="1" ht="11.25" customHeight="1" x14ac:dyDescent="0.25">
      <c r="A13" s="1037" t="str">
        <f>IF(OR(A14="",A14="Matrix kann eingereicht werden"),"In Ordnung",IF(A14="die inkorrekten und unvollständigen Einträge beheben","Nicht in Ordnung"))</f>
        <v>In Ordnung</v>
      </c>
      <c r="B13" s="1038"/>
      <c r="C13" s="1038"/>
      <c r="D13" s="1038"/>
      <c r="E13" s="1038"/>
      <c r="F13" s="1038"/>
      <c r="G13" s="1039"/>
      <c r="H13" s="1027" t="s">
        <v>208</v>
      </c>
      <c r="I13" s="1028"/>
      <c r="J13" s="1029"/>
      <c r="K13" s="1029"/>
      <c r="L13" s="1029"/>
      <c r="M13" s="1029"/>
      <c r="N13" s="1030"/>
      <c r="O13" s="1031" t="s">
        <v>57</v>
      </c>
      <c r="P13" s="1032"/>
      <c r="Q13" s="1032"/>
      <c r="R13" s="1032"/>
      <c r="S13" s="1033"/>
      <c r="T13" s="975" t="s">
        <v>229</v>
      </c>
      <c r="U13" s="976"/>
      <c r="V13" s="976"/>
      <c r="W13" s="976"/>
      <c r="X13" s="976"/>
      <c r="Y13" s="976"/>
      <c r="Z13" s="976"/>
      <c r="AA13" s="976"/>
      <c r="AB13" s="977"/>
      <c r="AC13" s="975" t="s">
        <v>8</v>
      </c>
      <c r="AD13" s="976"/>
      <c r="AE13" s="976"/>
      <c r="AF13" s="976"/>
      <c r="AG13" s="977"/>
    </row>
    <row r="14" spans="1:33" s="9" customFormat="1" ht="21" customHeight="1" x14ac:dyDescent="0.25">
      <c r="A14" s="1040" t="str">
        <f>Berechnung2!$B$6</f>
        <v/>
      </c>
      <c r="B14" s="1041"/>
      <c r="C14" s="1041"/>
      <c r="D14" s="1041"/>
      <c r="E14" s="1041"/>
      <c r="F14" s="1041"/>
      <c r="G14" s="1042"/>
      <c r="H14" s="1034">
        <f>Berechnung2!$C$6</f>
        <v>0</v>
      </c>
      <c r="I14" s="1035"/>
      <c r="J14" s="1035"/>
      <c r="K14" s="1035"/>
      <c r="L14" s="1035"/>
      <c r="M14" s="1035"/>
      <c r="N14" s="1036"/>
      <c r="O14" s="990">
        <f>Berechnung2!$D$6</f>
        <v>0</v>
      </c>
      <c r="P14" s="991"/>
      <c r="Q14" s="991"/>
      <c r="R14" s="991"/>
      <c r="S14" s="992"/>
      <c r="T14" s="978">
        <f>Berechnung2!$E$6</f>
        <v>0</v>
      </c>
      <c r="U14" s="979"/>
      <c r="V14" s="979"/>
      <c r="W14" s="979"/>
      <c r="X14" s="979"/>
      <c r="Y14" s="979"/>
      <c r="Z14" s="979"/>
      <c r="AA14" s="979"/>
      <c r="AB14" s="980"/>
      <c r="AC14" s="978">
        <f>Berechnung2!$F$6</f>
        <v>0</v>
      </c>
      <c r="AD14" s="979"/>
      <c r="AE14" s="979"/>
      <c r="AF14" s="979"/>
      <c r="AG14" s="980"/>
    </row>
    <row r="15" spans="1:33" s="33" customFormat="1" ht="3.9" customHeight="1" x14ac:dyDescent="0.25">
      <c r="B15" s="8"/>
      <c r="C15" s="19"/>
      <c r="D15" s="19"/>
      <c r="E15" s="19"/>
      <c r="F15" s="19"/>
      <c r="G15" s="19"/>
      <c r="H15" s="19"/>
      <c r="I15" s="19"/>
      <c r="J15" s="30"/>
      <c r="K15" s="38"/>
      <c r="L15" s="30"/>
      <c r="M15" s="30"/>
      <c r="AG15" s="21"/>
    </row>
    <row r="16" spans="1:33" s="33" customFormat="1" ht="3.9" customHeight="1" x14ac:dyDescent="0.25">
      <c r="AG16" s="21"/>
    </row>
    <row r="17" spans="1:37" s="33" customFormat="1" ht="3.9" customHeight="1" thickBot="1" x14ac:dyDescent="0.3">
      <c r="B17" s="8"/>
      <c r="C17" s="19"/>
      <c r="D17" s="19"/>
      <c r="E17" s="19"/>
      <c r="F17" s="19"/>
      <c r="G17" s="19"/>
      <c r="H17" s="19"/>
      <c r="I17" s="19"/>
      <c r="J17" s="30"/>
      <c r="K17" s="38"/>
      <c r="L17" s="30"/>
      <c r="M17" s="30"/>
      <c r="AG17" s="21"/>
    </row>
    <row r="18" spans="1:37" ht="23.25" customHeight="1" thickBot="1" x14ac:dyDescent="0.3">
      <c r="A18" s="275"/>
      <c r="B18" s="286"/>
      <c r="C18" s="1073" t="s">
        <v>807</v>
      </c>
      <c r="D18" s="1074"/>
      <c r="E18" s="1074"/>
      <c r="F18" s="1074"/>
      <c r="G18" s="1074"/>
      <c r="H18" s="1074"/>
      <c r="I18" s="1074"/>
      <c r="J18" s="1074"/>
      <c r="K18" s="1074"/>
      <c r="L18" s="1074"/>
      <c r="M18" s="1075"/>
      <c r="N18" s="285"/>
      <c r="O18" s="984" t="s">
        <v>217</v>
      </c>
      <c r="P18" s="985"/>
      <c r="Q18" s="985"/>
      <c r="R18" s="985"/>
      <c r="S18" s="985"/>
      <c r="T18" s="985"/>
      <c r="U18" s="985"/>
      <c r="V18" s="985"/>
      <c r="W18" s="985"/>
      <c r="X18" s="985"/>
      <c r="Y18" s="985"/>
      <c r="Z18" s="985"/>
      <c r="AA18" s="985"/>
      <c r="AB18" s="985"/>
      <c r="AC18" s="986"/>
      <c r="AD18" s="1067">
        <v>1</v>
      </c>
      <c r="AE18" s="981" t="s">
        <v>340</v>
      </c>
      <c r="AF18" s="982"/>
      <c r="AG18" s="983"/>
    </row>
    <row r="19" spans="1:37" s="218" customFormat="1" ht="15.75" customHeight="1" thickBot="1" x14ac:dyDescent="0.35">
      <c r="A19" s="217" t="s">
        <v>278</v>
      </c>
      <c r="B19" s="92" t="s">
        <v>33</v>
      </c>
      <c r="C19" s="279" t="s">
        <v>58</v>
      </c>
      <c r="D19" s="277" t="s">
        <v>59</v>
      </c>
      <c r="E19" s="277" t="s">
        <v>60</v>
      </c>
      <c r="F19" s="277" t="s">
        <v>61</v>
      </c>
      <c r="G19" s="277" t="s">
        <v>62</v>
      </c>
      <c r="H19" s="277" t="s">
        <v>63</v>
      </c>
      <c r="I19" s="277" t="s">
        <v>64</v>
      </c>
      <c r="J19" s="277" t="s">
        <v>214</v>
      </c>
      <c r="K19" s="277" t="s">
        <v>330</v>
      </c>
      <c r="L19" s="277" t="s">
        <v>215</v>
      </c>
      <c r="M19" s="278" t="s">
        <v>331</v>
      </c>
      <c r="N19" s="271" t="s">
        <v>65</v>
      </c>
      <c r="O19" s="280" t="s">
        <v>593</v>
      </c>
      <c r="P19" s="277" t="s">
        <v>66</v>
      </c>
      <c r="Q19" s="277" t="s">
        <v>67</v>
      </c>
      <c r="R19" s="277" t="s">
        <v>161</v>
      </c>
      <c r="S19" s="278" t="s">
        <v>332</v>
      </c>
      <c r="T19" s="1070" t="s">
        <v>68</v>
      </c>
      <c r="U19" s="279" t="s">
        <v>600</v>
      </c>
      <c r="V19" s="277" t="s">
        <v>851</v>
      </c>
      <c r="W19" s="277" t="s">
        <v>69</v>
      </c>
      <c r="X19" s="277" t="s">
        <v>70</v>
      </c>
      <c r="Y19" s="277" t="s">
        <v>71</v>
      </c>
      <c r="Z19" s="277" t="s">
        <v>72</v>
      </c>
      <c r="AA19" s="277" t="s">
        <v>216</v>
      </c>
      <c r="AB19" s="277" t="s">
        <v>247</v>
      </c>
      <c r="AC19" s="278" t="s">
        <v>333</v>
      </c>
      <c r="AD19" s="1068"/>
      <c r="AE19" s="279" t="s">
        <v>607</v>
      </c>
      <c r="AF19" s="277" t="s">
        <v>334</v>
      </c>
      <c r="AG19" s="278" t="s">
        <v>335</v>
      </c>
    </row>
    <row r="20" spans="1:37" ht="14.4" x14ac:dyDescent="0.25">
      <c r="A20" s="276"/>
      <c r="B20" s="287"/>
      <c r="C20" s="282"/>
      <c r="D20" s="989" t="s">
        <v>336</v>
      </c>
      <c r="E20" s="989"/>
      <c r="F20" s="989" t="s">
        <v>337</v>
      </c>
      <c r="G20" s="989"/>
      <c r="H20" s="987" t="s">
        <v>572</v>
      </c>
      <c r="I20" s="988"/>
      <c r="J20" s="989" t="s">
        <v>338</v>
      </c>
      <c r="K20" s="989"/>
      <c r="L20" s="987" t="s">
        <v>339</v>
      </c>
      <c r="M20" s="1043"/>
      <c r="N20" s="270"/>
      <c r="O20" s="1024"/>
      <c r="P20" s="1025"/>
      <c r="Q20" s="1025"/>
      <c r="R20" s="1025"/>
      <c r="S20" s="1026"/>
      <c r="T20" s="1071"/>
      <c r="U20" s="993"/>
      <c r="V20" s="994"/>
      <c r="W20" s="994"/>
      <c r="X20" s="994"/>
      <c r="Y20" s="994"/>
      <c r="Z20" s="994"/>
      <c r="AA20" s="994"/>
      <c r="AB20" s="994"/>
      <c r="AC20" s="995"/>
      <c r="AD20" s="1068"/>
      <c r="AE20" s="282"/>
      <c r="AF20" s="973" t="s">
        <v>809</v>
      </c>
      <c r="AG20" s="974"/>
    </row>
    <row r="21" spans="1:37" ht="124.5" customHeight="1" x14ac:dyDescent="0.25">
      <c r="A21" s="1002" t="s">
        <v>147</v>
      </c>
      <c r="B21" s="1004" t="s">
        <v>73</v>
      </c>
      <c r="C21" s="1003" t="s">
        <v>1125</v>
      </c>
      <c r="D21" s="999" t="s">
        <v>954</v>
      </c>
      <c r="E21" s="999" t="s">
        <v>955</v>
      </c>
      <c r="F21" s="999" t="s">
        <v>956</v>
      </c>
      <c r="G21" s="999" t="s">
        <v>957</v>
      </c>
      <c r="H21" s="999" t="s">
        <v>958</v>
      </c>
      <c r="I21" s="1052" t="s">
        <v>959</v>
      </c>
      <c r="J21" s="999" t="s">
        <v>960</v>
      </c>
      <c r="K21" s="999" t="s">
        <v>961</v>
      </c>
      <c r="L21" s="999" t="s">
        <v>962</v>
      </c>
      <c r="M21" s="996" t="s">
        <v>963</v>
      </c>
      <c r="N21" s="270"/>
      <c r="O21" s="1062" t="s">
        <v>1126</v>
      </c>
      <c r="P21" s="999" t="s">
        <v>808</v>
      </c>
      <c r="Q21" s="999" t="s">
        <v>1133</v>
      </c>
      <c r="R21" s="999" t="s">
        <v>420</v>
      </c>
      <c r="S21" s="998" t="s">
        <v>608</v>
      </c>
      <c r="T21" s="1071"/>
      <c r="U21" s="1003" t="s">
        <v>1127</v>
      </c>
      <c r="V21" s="1019" t="s">
        <v>430</v>
      </c>
      <c r="W21" s="1006" t="s">
        <v>1128</v>
      </c>
      <c r="X21" s="268" t="s">
        <v>74</v>
      </c>
      <c r="Y21" s="268" t="s">
        <v>75</v>
      </c>
      <c r="Z21" s="268" t="s">
        <v>76</v>
      </c>
      <c r="AA21" s="1052" t="s">
        <v>1134</v>
      </c>
      <c r="AB21" s="999" t="s">
        <v>422</v>
      </c>
      <c r="AC21" s="1005" t="s">
        <v>421</v>
      </c>
      <c r="AD21" s="1068"/>
      <c r="AE21" s="1008" t="s">
        <v>609</v>
      </c>
      <c r="AF21" s="1045" t="s">
        <v>436</v>
      </c>
      <c r="AG21" s="1009" t="s">
        <v>437</v>
      </c>
    </row>
    <row r="22" spans="1:37" ht="25.5" customHeight="1" x14ac:dyDescent="0.25">
      <c r="A22" s="1002"/>
      <c r="B22" s="1004"/>
      <c r="C22" s="1003"/>
      <c r="D22" s="999"/>
      <c r="E22" s="999"/>
      <c r="F22" s="999"/>
      <c r="G22" s="999"/>
      <c r="H22" s="999"/>
      <c r="I22" s="1053"/>
      <c r="J22" s="999"/>
      <c r="K22" s="999"/>
      <c r="L22" s="999"/>
      <c r="M22" s="997"/>
      <c r="N22" s="270"/>
      <c r="O22" s="1062"/>
      <c r="P22" s="999"/>
      <c r="Q22" s="999"/>
      <c r="R22" s="999"/>
      <c r="S22" s="998"/>
      <c r="T22" s="1071"/>
      <c r="U22" s="1003"/>
      <c r="V22" s="1020"/>
      <c r="W22" s="1007"/>
      <c r="X22" s="1076" t="s">
        <v>77</v>
      </c>
      <c r="Y22" s="1076"/>
      <c r="Z22" s="1076"/>
      <c r="AA22" s="1053"/>
      <c r="AB22" s="999"/>
      <c r="AC22" s="1005"/>
      <c r="AD22" s="1068"/>
      <c r="AE22" s="1008"/>
      <c r="AF22" s="1045"/>
      <c r="AG22" s="1009"/>
    </row>
    <row r="23" spans="1:37" ht="20.100000000000001" customHeight="1" x14ac:dyDescent="0.25">
      <c r="A23" s="272" t="str">
        <f>IF(Datenquelle!$H$3&gt;6,IF(Datenquelle!$H$3=7,"EZ",IF(Datenquelle!$H$3&gt;7,"relevant","?")),"nicht relevant")</f>
        <v>nicht relevant</v>
      </c>
      <c r="B23" s="274">
        <v>2015</v>
      </c>
      <c r="C23" s="288">
        <f t="shared" ref="C23:C29" si="0">SUM(D23:M23)</f>
        <v>0</v>
      </c>
      <c r="D23" s="293"/>
      <c r="E23" s="293"/>
      <c r="F23" s="293"/>
      <c r="G23" s="293"/>
      <c r="H23" s="293"/>
      <c r="I23" s="293"/>
      <c r="J23" s="293"/>
      <c r="K23" s="293"/>
      <c r="L23" s="293"/>
      <c r="M23" s="294"/>
      <c r="N23" s="270"/>
      <c r="O23" s="281" t="str">
        <f>IF(SUM(P23:R23)=0,"",SUM(P23:R23))</f>
        <v/>
      </c>
      <c r="P23" s="293"/>
      <c r="Q23" s="293"/>
      <c r="R23" s="293"/>
      <c r="S23" s="284" t="str">
        <f>IF(O23="","",IF(O23&gt;0,SUM(P23:Q23) /O23,0))</f>
        <v/>
      </c>
      <c r="T23" s="1071"/>
      <c r="U23" s="281" t="str">
        <f>IF(COUNTA(W23:AC23)&lt;7,"",SUM(P23+Q23-W23-AB23-AC23-AA23))</f>
        <v/>
      </c>
      <c r="V23" s="269" t="str">
        <f>IF(AND(COUNTA(P23:Q23)&gt;0,U23&lt;&gt;"",SUM(P23:Q23)&gt;0),U23 /(P23+Q23),"")</f>
        <v/>
      </c>
      <c r="W23" s="293"/>
      <c r="X23" s="293"/>
      <c r="Y23" s="293"/>
      <c r="Z23" s="293"/>
      <c r="AA23" s="293"/>
      <c r="AB23" s="293"/>
      <c r="AC23" s="294"/>
      <c r="AD23" s="1068"/>
      <c r="AE23" s="283" t="str">
        <f>IF(SUM(P23+Q23)=0,"",IF(X23="","",X23 /(P23+Q23)))</f>
        <v/>
      </c>
      <c r="AF23" s="295"/>
      <c r="AG23" s="296"/>
    </row>
    <row r="24" spans="1:37" s="20" customFormat="1" ht="20.100000000000001" customHeight="1" x14ac:dyDescent="0.3">
      <c r="A24" s="272" t="str">
        <f>IF(Datenquelle!$H$3&gt;5,IF(Datenquelle!$H$3=6,"EZ",IF(Datenquelle!$H$3&gt;6,"relevant","?")),"nicht relevant")</f>
        <v>nicht relevant</v>
      </c>
      <c r="B24" s="274">
        <v>2016</v>
      </c>
      <c r="C24" s="288">
        <f t="shared" si="0"/>
        <v>0</v>
      </c>
      <c r="D24" s="293"/>
      <c r="E24" s="293"/>
      <c r="F24" s="293"/>
      <c r="G24" s="293"/>
      <c r="H24" s="293"/>
      <c r="I24" s="293"/>
      <c r="J24" s="293"/>
      <c r="K24" s="293"/>
      <c r="L24" s="293"/>
      <c r="M24" s="294"/>
      <c r="N24" s="270"/>
      <c r="O24" s="281" t="str">
        <f>IF(SUM(P24:R24)=0,"",SUM(P24:R24))</f>
        <v/>
      </c>
      <c r="P24" s="293"/>
      <c r="Q24" s="293"/>
      <c r="R24" s="293"/>
      <c r="S24" s="284" t="str">
        <f>IF(O24="","",IF(O24&gt;0,SUM(P24:Q24) /O24,0))</f>
        <v/>
      </c>
      <c r="T24" s="1071"/>
      <c r="U24" s="281" t="str">
        <f>IF(COUNTA(W24:AC24)&lt;7,"",SUM(P24+Q24-W24-AB24-AC24-AA24))</f>
        <v/>
      </c>
      <c r="V24" s="269" t="str">
        <f>IF(AND(COUNTA(P24:Q24)&gt;0,U24&lt;&gt;"",SUM(P24:Q24)&gt;0),U24 /(P24+Q24),"")</f>
        <v/>
      </c>
      <c r="W24" s="293"/>
      <c r="X24" s="293"/>
      <c r="Y24" s="293"/>
      <c r="Z24" s="293"/>
      <c r="AA24" s="293"/>
      <c r="AB24" s="293"/>
      <c r="AC24" s="294"/>
      <c r="AD24" s="1068"/>
      <c r="AE24" s="283" t="str">
        <f>IF(SUM(P24+Q24)=0,"",IF(X24="","",X24 /(P24+Q24)))</f>
        <v/>
      </c>
      <c r="AF24" s="295"/>
      <c r="AG24" s="296"/>
    </row>
    <row r="25" spans="1:37" s="20" customFormat="1" ht="20.100000000000001" customHeight="1" x14ac:dyDescent="0.3">
      <c r="A25" s="272" t="str">
        <f>IF(Datenquelle!$H$3&gt;4,IF(Datenquelle!$H$3=5,"EZ",IF(Datenquelle!$H$3&gt;5,"relevant","?")),"nicht relevant")</f>
        <v>nicht relevant</v>
      </c>
      <c r="B25" s="274">
        <v>2017</v>
      </c>
      <c r="C25" s="288">
        <f t="shared" si="0"/>
        <v>0</v>
      </c>
      <c r="D25" s="293"/>
      <c r="E25" s="293"/>
      <c r="F25" s="293"/>
      <c r="G25" s="293"/>
      <c r="H25" s="293"/>
      <c r="I25" s="293"/>
      <c r="J25" s="293"/>
      <c r="K25" s="293"/>
      <c r="L25" s="293"/>
      <c r="M25" s="294"/>
      <c r="N25" s="270"/>
      <c r="O25" s="281" t="str">
        <f>IF(SUM(P25:R25)=0,"",SUM(P25:R25))</f>
        <v/>
      </c>
      <c r="P25" s="293"/>
      <c r="Q25" s="293"/>
      <c r="R25" s="293"/>
      <c r="S25" s="284" t="str">
        <f>IF(O25="","",IF(O25&gt;0,SUM(P25:Q25) /O25,0))</f>
        <v/>
      </c>
      <c r="T25" s="1071"/>
      <c r="U25" s="281" t="str">
        <f>IF(COUNTA(W25:AC25)&lt;7,"",SUM(P25+Q25-W25-AB25-AC25-AA25))</f>
        <v/>
      </c>
      <c r="V25" s="269" t="str">
        <f>IF(AND(COUNTA(P25:Q25)&gt;0,U25&lt;&gt;"",SUM(P25:Q25)&gt;0),U25 /(P25+Q25),"")</f>
        <v/>
      </c>
      <c r="W25" s="293"/>
      <c r="X25" s="293"/>
      <c r="Y25" s="293"/>
      <c r="Z25" s="293"/>
      <c r="AA25" s="293"/>
      <c r="AB25" s="293"/>
      <c r="AC25" s="294"/>
      <c r="AD25" s="1068"/>
      <c r="AE25" s="283" t="str">
        <f>IF(SUM(P25+Q25)=0,"",IF(X25="","",X25 /(P25+Q25)))</f>
        <v/>
      </c>
      <c r="AF25" s="295"/>
      <c r="AG25" s="296"/>
    </row>
    <row r="26" spans="1:37" s="20" customFormat="1" ht="20.100000000000001" customHeight="1" x14ac:dyDescent="0.3">
      <c r="A26" s="272" t="str">
        <f>IF(Datenquelle!$H$3&gt;3,IF(Datenquelle!$H$3=4,"EZ",IF(Datenquelle!$H$3&gt;4,"relevant","?")),"nicht relevant")</f>
        <v>nicht relevant</v>
      </c>
      <c r="B26" s="274">
        <v>2018</v>
      </c>
      <c r="C26" s="288">
        <f t="shared" ref="C26" si="1">SUM(D26:M26)</f>
        <v>0</v>
      </c>
      <c r="D26" s="293"/>
      <c r="E26" s="293"/>
      <c r="F26" s="293"/>
      <c r="G26" s="293"/>
      <c r="H26" s="293"/>
      <c r="I26" s="293"/>
      <c r="J26" s="293"/>
      <c r="K26" s="293"/>
      <c r="L26" s="293"/>
      <c r="M26" s="294"/>
      <c r="N26" s="270"/>
      <c r="O26" s="281" t="str">
        <f>IF(SUM(P26:R26)=0,"",SUM(P26:R26))</f>
        <v/>
      </c>
      <c r="P26" s="293"/>
      <c r="Q26" s="293"/>
      <c r="R26" s="293"/>
      <c r="S26" s="284" t="str">
        <f>IF(O26="","",IF(O26&gt;0,SUM(P26:Q26) /O26,0))</f>
        <v/>
      </c>
      <c r="T26" s="1071"/>
      <c r="U26" s="281" t="str">
        <f>IF(COUNTA(W26:AC26)&lt;7,"",SUM(P26+Q26-W26-AB26-AC26-AA26))</f>
        <v/>
      </c>
      <c r="V26" s="269" t="str">
        <f>IF(AND(COUNTA(P26:Q26)&gt;0,U26&lt;&gt;"",SUM(P26:Q26)&gt;0),U26 /(P26+Q26),"")</f>
        <v/>
      </c>
      <c r="W26" s="293"/>
      <c r="X26" s="293"/>
      <c r="Y26" s="293"/>
      <c r="Z26" s="293"/>
      <c r="AA26" s="293"/>
      <c r="AB26" s="293"/>
      <c r="AC26" s="294"/>
      <c r="AD26" s="1068"/>
      <c r="AE26" s="283" t="str">
        <f>IF(SUM(P26+Q26)=0,"",IF(X26="","",X26 /(P26+Q26)))</f>
        <v/>
      </c>
      <c r="AF26" s="295"/>
      <c r="AG26" s="296"/>
    </row>
    <row r="27" spans="1:37" s="20" customFormat="1" ht="20.100000000000001" customHeight="1" thickBot="1" x14ac:dyDescent="0.35">
      <c r="A27" s="272" t="str">
        <f>IF(Datenquelle!$H$3&gt;2,IF(Datenquelle!$H$3=3,"EZ",IF(Datenquelle!$H$3&gt;3,"relevant","?")),"nicht relevant")</f>
        <v>nicht relevant</v>
      </c>
      <c r="B27" s="274">
        <v>2019</v>
      </c>
      <c r="C27" s="288">
        <f t="shared" si="0"/>
        <v>0</v>
      </c>
      <c r="D27" s="293"/>
      <c r="E27" s="293"/>
      <c r="F27" s="293"/>
      <c r="G27" s="293"/>
      <c r="H27" s="293"/>
      <c r="I27" s="293"/>
      <c r="J27" s="293"/>
      <c r="K27" s="293"/>
      <c r="L27" s="293"/>
      <c r="M27" s="294"/>
      <c r="N27" s="270"/>
      <c r="O27" s="281" t="str">
        <f>IF(SUM(P27:R27)=0,"",SUM(P27:R27))</f>
        <v/>
      </c>
      <c r="P27" s="293"/>
      <c r="Q27" s="293"/>
      <c r="R27" s="293"/>
      <c r="S27" s="284" t="str">
        <f>IF(O27="","",IF(O27&gt;0,SUM(P27:Q27) /O27,0))</f>
        <v/>
      </c>
      <c r="T27" s="1071"/>
      <c r="U27" s="281" t="str">
        <f>IF(COUNTA(W27:AC27)&lt;7,"",SUM(P27+Q27-W27-AB27-AC27-AA27))</f>
        <v/>
      </c>
      <c r="V27" s="269" t="str">
        <f>IF(AND(COUNTA(P27:Q27)&gt;0,U27&lt;&gt;"",SUM(P27:Q27)&gt;0),U27 /(P27+Q27),"")</f>
        <v/>
      </c>
      <c r="W27" s="293"/>
      <c r="X27" s="293"/>
      <c r="Y27" s="293"/>
      <c r="Z27" s="293"/>
      <c r="AA27" s="293"/>
      <c r="AB27" s="293"/>
      <c r="AC27" s="294"/>
      <c r="AD27" s="1068"/>
      <c r="AE27" s="283" t="str">
        <f>IF(SUM(P27+Q27)=0,"",IF(X27="","",X27 /(P27+Q27)))</f>
        <v/>
      </c>
      <c r="AF27" s="295"/>
      <c r="AG27" s="296"/>
      <c r="AI27" s="64"/>
      <c r="AK27" s="321"/>
    </row>
    <row r="28" spans="1:37" s="20" customFormat="1" ht="20.100000000000001" customHeight="1" thickBot="1" x14ac:dyDescent="0.35">
      <c r="A28" s="272" t="str">
        <f>IF(Datenquelle!$H$3&gt;1,IF(Datenquelle!$H$3=2,"EZ",IF(Datenquelle!$H$3&gt;2,"relevant","?")),"nicht relevant")</f>
        <v>nicht relevant</v>
      </c>
      <c r="B28" s="377" t="s">
        <v>1122</v>
      </c>
      <c r="C28" s="288">
        <f t="shared" si="0"/>
        <v>0</v>
      </c>
      <c r="D28" s="293"/>
      <c r="E28" s="293"/>
      <c r="F28" s="293"/>
      <c r="G28" s="293"/>
      <c r="H28" s="293"/>
      <c r="I28" s="293"/>
      <c r="J28" s="293"/>
      <c r="K28" s="293"/>
      <c r="L28" s="293"/>
      <c r="M28" s="294"/>
      <c r="N28" s="270"/>
      <c r="O28" s="1046"/>
      <c r="P28" s="1047"/>
      <c r="Q28" s="1047"/>
      <c r="R28" s="1047"/>
      <c r="S28" s="1048"/>
      <c r="T28" s="1071"/>
      <c r="U28" s="1063"/>
      <c r="V28" s="1064"/>
      <c r="W28" s="1064"/>
      <c r="X28" s="1064"/>
      <c r="Y28" s="1064"/>
      <c r="Z28" s="1064"/>
      <c r="AA28" s="1064"/>
      <c r="AB28" s="1064"/>
      <c r="AC28" s="1065"/>
      <c r="AD28" s="1068"/>
      <c r="AE28" s="1049"/>
      <c r="AF28" s="1050"/>
      <c r="AG28" s="1051"/>
    </row>
    <row r="29" spans="1:37" s="20" customFormat="1" ht="20.100000000000001" customHeight="1" thickBot="1" x14ac:dyDescent="0.35">
      <c r="A29" s="273" t="str">
        <f>IF(Datenquelle!$H$3&gt;0,IF(Datenquelle!$H$3=1,"EZ",IF(Datenquelle!$H$3&gt;1,"relevant","?")),"nicht relevant")</f>
        <v>nicht relevant</v>
      </c>
      <c r="B29" s="378" t="s">
        <v>1123</v>
      </c>
      <c r="C29" s="289">
        <f t="shared" si="0"/>
        <v>0</v>
      </c>
      <c r="D29" s="320" t="str">
        <f>IF(AND(Basisdaten!$G39="",Basisdaten!$H39="",Basisdaten!$I39=""),"",SUM(Basisdaten!$G39,Basisdaten!$H39,Basisdaten!$I39))</f>
        <v/>
      </c>
      <c r="E29" s="320" t="str">
        <f>IF(AND(Basisdaten!$G40="",Basisdaten!$H40="",Basisdaten!$I40=""),"",SUM(Basisdaten!$G40,Basisdaten!$H40,Basisdaten!$I40))</f>
        <v/>
      </c>
      <c r="F29" s="320" t="str">
        <f>IF(AND(Basisdaten!$G41="",Basisdaten!$H41="",Basisdaten!$I41=""),"",SUM(Basisdaten!$G41,Basisdaten!$H41,Basisdaten!$I41))</f>
        <v/>
      </c>
      <c r="G29" s="320" t="str">
        <f>IF(AND(Basisdaten!$G42="",Basisdaten!$H42="",Basisdaten!$I42=""),"",SUM(Basisdaten!$G42,Basisdaten!$H42,Basisdaten!$I42))</f>
        <v/>
      </c>
      <c r="H29" s="320" t="str">
        <f>IF(AND(Basisdaten!$G43="",Basisdaten!$H43="",Basisdaten!$I43=""),"",SUM(Basisdaten!$G43,Basisdaten!$H43,Basisdaten!$I43))</f>
        <v/>
      </c>
      <c r="I29" s="320" t="str">
        <f>IF(AND(Basisdaten!$G44="",Basisdaten!$H44="",Basisdaten!$I44=""),"",SUM(Basisdaten!$G44,Basisdaten!$H44,Basisdaten!$I44))</f>
        <v/>
      </c>
      <c r="J29" s="320" t="str">
        <f>IF(AND(Basisdaten!$G45="",Basisdaten!$H45="",Basisdaten!$I45=""),"",SUM(Basisdaten!$G45,Basisdaten!$H45,Basisdaten!$I45))</f>
        <v/>
      </c>
      <c r="K29" s="320" t="str">
        <f>IF(AND(Basisdaten!$G46="",Basisdaten!$H46="",Basisdaten!$I46=""),"",SUM(Basisdaten!$G46,Basisdaten!$H46,Basisdaten!$I46))</f>
        <v/>
      </c>
      <c r="L29" s="320" t="str">
        <f>IF(AND(Basisdaten!$G47="",Basisdaten!$H47="",Basisdaten!$I47=""),"",SUM(Basisdaten!$G47,Basisdaten!$H47,Basisdaten!$I47))</f>
        <v/>
      </c>
      <c r="M29" s="370" t="str">
        <f>IF(AND(Basisdaten!$G48="",Basisdaten!$H48="",Basisdaten!$I48=""),"",SUM(Basisdaten!$G48,Basisdaten!$H48,Basisdaten!$I48))</f>
        <v/>
      </c>
      <c r="N29" s="376"/>
      <c r="O29" s="1046"/>
      <c r="P29" s="1047"/>
      <c r="Q29" s="1047"/>
      <c r="R29" s="1047"/>
      <c r="S29" s="1048"/>
      <c r="T29" s="1072"/>
      <c r="U29" s="1046"/>
      <c r="V29" s="1047"/>
      <c r="W29" s="1047"/>
      <c r="X29" s="1047"/>
      <c r="Y29" s="1047"/>
      <c r="Z29" s="1047"/>
      <c r="AA29" s="1047"/>
      <c r="AB29" s="1047"/>
      <c r="AC29" s="1048"/>
      <c r="AD29" s="1069"/>
      <c r="AE29" s="1054"/>
      <c r="AF29" s="1055"/>
      <c r="AG29" s="1056"/>
      <c r="AI29" s="75"/>
    </row>
    <row r="30" spans="1:37" s="9" customFormat="1" ht="5.25" customHeight="1" x14ac:dyDescent="0.3">
      <c r="A30"/>
      <c r="B30"/>
      <c r="C30"/>
      <c r="D30" s="331"/>
      <c r="E30" s="331"/>
      <c r="F30" s="331"/>
      <c r="G30" s="331"/>
      <c r="H30" s="331"/>
      <c r="I30" s="331"/>
      <c r="J30" s="331"/>
      <c r="K30" s="331"/>
      <c r="L30" s="331"/>
      <c r="M30" s="331"/>
      <c r="N30"/>
      <c r="O30"/>
      <c r="P30"/>
      <c r="Q30"/>
      <c r="R30"/>
      <c r="S30" s="79"/>
      <c r="T30"/>
      <c r="U30"/>
      <c r="V30"/>
      <c r="W30"/>
      <c r="X30"/>
      <c r="Y30"/>
      <c r="Z30"/>
      <c r="AA30"/>
      <c r="AB30"/>
      <c r="AC30"/>
      <c r="AD30"/>
      <c r="AE30"/>
      <c r="AF30"/>
      <c r="AG30"/>
    </row>
    <row r="31" spans="1:37" s="9" customFormat="1" ht="14.4" x14ac:dyDescent="0.3">
      <c r="A31"/>
      <c r="B31"/>
      <c r="C31"/>
      <c r="D31"/>
      <c r="E31"/>
      <c r="F31"/>
      <c r="G31"/>
      <c r="H31"/>
      <c r="J31"/>
      <c r="K31" s="339" t="s">
        <v>1124</v>
      </c>
      <c r="L31"/>
      <c r="N31"/>
      <c r="O31"/>
      <c r="P31"/>
      <c r="Q31"/>
      <c r="R31"/>
      <c r="S31" s="202" t="str">
        <f>IF(A27="EZ","-----",IF(A27= "Nicht relevant","-----",IF(COUNTBLANK(S25:S27)=3,"",SUMIF(A25:A27,"relevant",S25:S27) /COUNTIF(A25:A27,"relevant"))))</f>
        <v>-----</v>
      </c>
      <c r="T31"/>
      <c r="U31"/>
      <c r="V31">
        <f>IF((SUM(P31:Q31)=0),0,U31 /(SUM(P31:Q31)))</f>
        <v>0</v>
      </c>
      <c r="W31"/>
      <c r="X31"/>
      <c r="Y31"/>
      <c r="Z31"/>
      <c r="AA31"/>
      <c r="AB31"/>
      <c r="AC31"/>
      <c r="AD31"/>
      <c r="AE31"/>
      <c r="AF31"/>
      <c r="AG31"/>
    </row>
    <row r="32" spans="1:37" s="9" customFormat="1" ht="12.9" customHeight="1" x14ac:dyDescent="0.25">
      <c r="A32" s="23"/>
      <c r="B32" s="46"/>
      <c r="C32" s="47"/>
      <c r="D32" s="47"/>
      <c r="E32" s="47"/>
      <c r="F32" s="47"/>
      <c r="G32" s="47"/>
      <c r="H32" s="47"/>
      <c r="I32" s="47"/>
      <c r="J32" s="47"/>
      <c r="L32" s="47"/>
      <c r="M32" s="47"/>
      <c r="N32" s="47"/>
      <c r="O32" s="47"/>
      <c r="P32" s="47"/>
      <c r="Q32" s="47"/>
      <c r="R32" s="47"/>
      <c r="S32" s="47"/>
      <c r="T32" s="47"/>
      <c r="U32" s="47"/>
      <c r="V32" s="47"/>
      <c r="W32" s="47"/>
      <c r="X32" s="47"/>
      <c r="Y32" s="47"/>
      <c r="Z32" s="47"/>
      <c r="AA32" s="46"/>
      <c r="AB32" s="46"/>
      <c r="AG32" s="22"/>
    </row>
    <row r="33" spans="1:33" s="9" customFormat="1" ht="12.9" customHeight="1" x14ac:dyDescent="0.25">
      <c r="A33" s="23"/>
      <c r="B33" s="46"/>
      <c r="C33" s="47"/>
      <c r="D33" s="47"/>
      <c r="E33" s="47"/>
      <c r="F33" s="47"/>
      <c r="G33" s="47"/>
      <c r="H33" s="47"/>
      <c r="I33" s="47"/>
      <c r="J33" s="47"/>
      <c r="K33" s="47"/>
      <c r="L33" s="47"/>
      <c r="M33" s="47"/>
      <c r="N33" s="47"/>
      <c r="O33" s="47"/>
      <c r="P33" s="47"/>
      <c r="Q33" s="47"/>
      <c r="R33" s="47"/>
      <c r="S33" s="47"/>
      <c r="T33" s="47"/>
      <c r="U33" s="47"/>
      <c r="V33" s="47"/>
      <c r="W33" s="47"/>
      <c r="X33" s="47"/>
      <c r="Y33" s="47"/>
      <c r="Z33" s="47"/>
      <c r="AA33" s="46"/>
      <c r="AB33" s="46"/>
      <c r="AG33" s="22"/>
    </row>
    <row r="34" spans="1:33" s="9" customFormat="1" ht="12.9" customHeight="1" x14ac:dyDescent="0.25">
      <c r="A34" s="256" t="s">
        <v>1129</v>
      </c>
      <c r="B34" s="257"/>
      <c r="C34" s="257"/>
      <c r="D34" s="257"/>
      <c r="E34" s="257"/>
      <c r="F34" s="257"/>
      <c r="G34" s="257"/>
      <c r="H34" s="257"/>
      <c r="I34" s="257"/>
      <c r="J34" s="257"/>
      <c r="K34" s="257"/>
      <c r="L34" s="257"/>
      <c r="M34" s="257"/>
      <c r="N34" s="257"/>
      <c r="O34" s="257"/>
      <c r="P34" s="257"/>
      <c r="Q34" s="257"/>
      <c r="R34" s="257"/>
      <c r="S34" s="257"/>
      <c r="T34" s="257"/>
      <c r="U34" s="257"/>
      <c r="V34" s="257"/>
      <c r="W34" s="257"/>
      <c r="X34" s="83"/>
      <c r="Y34" s="83"/>
      <c r="Z34" s="83"/>
      <c r="AA34" s="83"/>
      <c r="AB34" s="83"/>
      <c r="AC34" s="83"/>
      <c r="AD34" s="83"/>
      <c r="AE34" s="83"/>
      <c r="AF34" s="47"/>
      <c r="AG34" s="22"/>
    </row>
    <row r="35" spans="1:33" s="9" customFormat="1" ht="22.5" customHeight="1" x14ac:dyDescent="0.25">
      <c r="A35" s="972" t="s">
        <v>1221</v>
      </c>
      <c r="B35" s="972"/>
      <c r="C35" s="972"/>
      <c r="D35" s="972"/>
      <c r="E35" s="972"/>
      <c r="F35" s="972"/>
      <c r="G35" s="972"/>
      <c r="H35" s="972"/>
      <c r="I35" s="972"/>
      <c r="J35" s="972"/>
      <c r="K35" s="972"/>
      <c r="L35" s="972"/>
      <c r="M35" s="972"/>
      <c r="N35" s="972"/>
      <c r="O35" s="972"/>
      <c r="P35" s="972"/>
      <c r="Q35" s="972"/>
      <c r="R35" s="972"/>
      <c r="S35" s="972"/>
      <c r="T35" s="972"/>
      <c r="U35" s="972"/>
      <c r="V35" s="972"/>
      <c r="W35" s="972"/>
      <c r="X35" s="972"/>
      <c r="Y35" s="972"/>
      <c r="Z35" s="972"/>
      <c r="AA35" s="972"/>
      <c r="AB35" s="972"/>
      <c r="AC35" s="972"/>
      <c r="AD35" s="972"/>
      <c r="AE35" s="972"/>
      <c r="AF35" s="972"/>
      <c r="AG35" s="972"/>
    </row>
    <row r="36" spans="1:33" s="9" customFormat="1" ht="12.9" customHeight="1" x14ac:dyDescent="0.25">
      <c r="A36" s="256" t="s">
        <v>1222</v>
      </c>
      <c r="B36" s="258"/>
      <c r="C36" s="258"/>
      <c r="D36" s="258"/>
      <c r="E36" s="258"/>
      <c r="F36" s="258"/>
      <c r="G36" s="258"/>
      <c r="H36" s="258"/>
      <c r="I36" s="258"/>
      <c r="J36" s="258"/>
      <c r="K36" s="258"/>
      <c r="L36" s="258"/>
      <c r="M36" s="258"/>
      <c r="N36" s="258"/>
      <c r="O36" s="258"/>
      <c r="P36" s="258"/>
      <c r="Q36" s="258"/>
      <c r="R36" s="258"/>
      <c r="S36" s="258"/>
      <c r="T36" s="258"/>
      <c r="U36" s="258"/>
      <c r="V36" s="258"/>
      <c r="W36" s="258"/>
      <c r="X36" s="84"/>
      <c r="Y36" s="84"/>
      <c r="Z36" s="84"/>
      <c r="AA36" s="84"/>
      <c r="AB36" s="84"/>
      <c r="AC36" s="84"/>
      <c r="AD36" s="84"/>
      <c r="AE36" s="84"/>
      <c r="AF36" s="47"/>
      <c r="AG36" s="22"/>
    </row>
    <row r="37" spans="1:33" s="9" customFormat="1" ht="12.9" customHeight="1" x14ac:dyDescent="0.25">
      <c r="A37" s="256" t="s">
        <v>805</v>
      </c>
      <c r="B37" s="259"/>
      <c r="C37" s="259"/>
      <c r="D37" s="259"/>
      <c r="E37" s="259"/>
      <c r="F37" s="259"/>
      <c r="G37" s="259"/>
      <c r="H37" s="259"/>
      <c r="I37" s="259"/>
      <c r="J37" s="259"/>
      <c r="K37" s="259"/>
      <c r="L37" s="259"/>
      <c r="M37" s="259"/>
      <c r="N37" s="259"/>
      <c r="O37" s="259"/>
      <c r="P37" s="259"/>
      <c r="Q37" s="259"/>
      <c r="R37" s="259"/>
      <c r="S37" s="259"/>
      <c r="T37" s="259"/>
      <c r="U37" s="259"/>
      <c r="V37" s="259"/>
      <c r="W37" s="259"/>
      <c r="X37" s="85"/>
      <c r="Y37" s="85"/>
      <c r="Z37" s="85"/>
      <c r="AA37" s="85"/>
      <c r="AB37" s="85"/>
      <c r="AC37" s="85"/>
      <c r="AD37" s="85"/>
      <c r="AE37" s="85"/>
      <c r="AF37" s="47"/>
      <c r="AG37" s="22"/>
    </row>
    <row r="38" spans="1:33" s="9" customFormat="1" ht="12.9" customHeight="1" x14ac:dyDescent="0.25">
      <c r="A38" s="256" t="s">
        <v>1223</v>
      </c>
      <c r="B38" s="257"/>
      <c r="C38" s="257"/>
      <c r="D38" s="257"/>
      <c r="E38" s="257"/>
      <c r="F38" s="257"/>
      <c r="G38" s="257"/>
      <c r="H38" s="257"/>
      <c r="I38" s="257"/>
      <c r="J38" s="257"/>
      <c r="K38" s="257"/>
      <c r="L38" s="257"/>
      <c r="M38" s="257"/>
      <c r="N38" s="257"/>
      <c r="O38" s="257"/>
      <c r="P38" s="257"/>
      <c r="Q38" s="257"/>
      <c r="R38" s="257"/>
      <c r="S38" s="257"/>
      <c r="T38" s="257"/>
      <c r="U38" s="257"/>
      <c r="V38" s="257"/>
      <c r="W38" s="257"/>
      <c r="X38" s="83"/>
      <c r="Y38" s="83"/>
      <c r="Z38" s="83"/>
      <c r="AA38" s="83"/>
      <c r="AB38" s="83"/>
      <c r="AC38" s="83"/>
      <c r="AD38" s="83"/>
      <c r="AE38" s="83"/>
      <c r="AF38" s="47"/>
      <c r="AG38" s="22"/>
    </row>
    <row r="39" spans="1:33" s="9" customFormat="1" ht="12.9" customHeight="1" x14ac:dyDescent="0.25">
      <c r="A39" s="256" t="s">
        <v>806</v>
      </c>
      <c r="B39" s="260"/>
      <c r="C39" s="260"/>
      <c r="D39" s="260"/>
      <c r="E39" s="260"/>
      <c r="F39" s="260"/>
      <c r="G39" s="260"/>
      <c r="H39" s="260"/>
      <c r="I39" s="260"/>
      <c r="J39" s="260"/>
      <c r="K39" s="260"/>
      <c r="L39" s="260"/>
      <c r="M39" s="260"/>
      <c r="N39" s="260"/>
      <c r="O39" s="260"/>
      <c r="P39" s="260"/>
      <c r="Q39" s="260"/>
      <c r="R39" s="260"/>
      <c r="S39" s="260"/>
      <c r="T39" s="260"/>
      <c r="U39" s="260"/>
      <c r="V39" s="260"/>
      <c r="W39" s="260"/>
      <c r="X39" s="86"/>
      <c r="Y39" s="86"/>
      <c r="Z39" s="86"/>
      <c r="AA39" s="86"/>
      <c r="AB39" s="86"/>
      <c r="AC39" s="86"/>
      <c r="AD39" s="86"/>
      <c r="AE39" s="86"/>
      <c r="AF39" s="47"/>
      <c r="AG39" s="22"/>
    </row>
    <row r="40" spans="1:33" s="9" customFormat="1" ht="23.25" customHeight="1" x14ac:dyDescent="0.25">
      <c r="A40" s="970" t="s">
        <v>1220</v>
      </c>
      <c r="B40" s="970"/>
      <c r="C40" s="970"/>
      <c r="D40" s="970"/>
      <c r="E40" s="970"/>
      <c r="F40" s="970"/>
      <c r="G40" s="970"/>
      <c r="H40" s="970"/>
      <c r="I40" s="970"/>
      <c r="J40" s="970"/>
      <c r="K40" s="970"/>
      <c r="L40" s="970"/>
      <c r="M40" s="970"/>
      <c r="N40" s="970"/>
      <c r="O40" s="970"/>
      <c r="P40" s="970"/>
      <c r="Q40" s="970"/>
      <c r="R40" s="970"/>
      <c r="S40" s="970"/>
      <c r="T40" s="970"/>
      <c r="U40" s="970"/>
      <c r="V40" s="970"/>
      <c r="W40" s="970"/>
      <c r="X40" s="970"/>
      <c r="Y40" s="970"/>
      <c r="Z40" s="970"/>
      <c r="AA40" s="970"/>
      <c r="AB40" s="970"/>
      <c r="AC40" s="970"/>
      <c r="AD40" s="970"/>
      <c r="AE40" s="970"/>
      <c r="AF40" s="970"/>
      <c r="AG40" s="970"/>
    </row>
    <row r="41" spans="1:33" s="611" customFormat="1" ht="13.5" customHeight="1" x14ac:dyDescent="0.25">
      <c r="A41" s="969" t="s">
        <v>1132</v>
      </c>
      <c r="B41" s="970"/>
      <c r="C41" s="970"/>
      <c r="D41" s="970"/>
      <c r="E41" s="970"/>
      <c r="F41" s="970"/>
      <c r="G41" s="970"/>
      <c r="H41" s="970"/>
      <c r="I41" s="970"/>
      <c r="J41" s="970"/>
      <c r="K41" s="970"/>
      <c r="L41" s="970"/>
      <c r="M41" s="970"/>
      <c r="N41" s="970"/>
      <c r="O41" s="970"/>
      <c r="P41" s="970"/>
      <c r="Q41" s="970"/>
      <c r="R41" s="970"/>
      <c r="S41" s="970"/>
      <c r="T41" s="970"/>
      <c r="U41" s="970"/>
      <c r="V41" s="970"/>
      <c r="W41" s="970"/>
      <c r="X41" s="970"/>
      <c r="Y41" s="970"/>
      <c r="Z41" s="970"/>
      <c r="AA41" s="970"/>
      <c r="AB41" s="970"/>
      <c r="AC41" s="970"/>
      <c r="AD41" s="970"/>
      <c r="AE41" s="970"/>
      <c r="AF41" s="970"/>
      <c r="AG41" s="591"/>
    </row>
    <row r="42" spans="1:33" s="9" customFormat="1" ht="3.75" customHeight="1" x14ac:dyDescent="0.25">
      <c r="A42" s="261"/>
      <c r="B42" s="10"/>
      <c r="C42" s="10"/>
      <c r="D42" s="10"/>
      <c r="E42" s="10"/>
      <c r="F42" s="10"/>
      <c r="G42" s="10"/>
      <c r="H42" s="10"/>
      <c r="I42" s="10"/>
      <c r="J42" s="10"/>
      <c r="K42" s="10"/>
      <c r="L42" s="10"/>
      <c r="M42" s="10"/>
      <c r="N42" s="10"/>
      <c r="O42" s="10"/>
      <c r="P42" s="10"/>
      <c r="Q42" s="10"/>
      <c r="R42" s="10"/>
      <c r="S42" s="10"/>
      <c r="T42" s="10"/>
      <c r="U42" s="10"/>
      <c r="V42" s="10"/>
      <c r="W42" s="10"/>
      <c r="X42" s="47"/>
      <c r="Y42" s="47"/>
      <c r="Z42" s="47"/>
      <c r="AA42" s="47"/>
      <c r="AB42" s="47"/>
      <c r="AC42" s="47"/>
      <c r="AD42" s="47"/>
      <c r="AE42" s="47"/>
      <c r="AF42" s="47"/>
      <c r="AG42" s="22"/>
    </row>
    <row r="43" spans="1:33" s="13" customFormat="1" ht="18" customHeight="1" x14ac:dyDescent="0.2">
      <c r="A43" s="292" t="s">
        <v>205</v>
      </c>
      <c r="B43" s="10"/>
      <c r="C43" s="10"/>
      <c r="D43" s="10"/>
      <c r="E43" s="10"/>
      <c r="F43" s="10"/>
      <c r="G43" s="10"/>
      <c r="H43" s="10"/>
      <c r="I43" s="10"/>
      <c r="J43" s="10"/>
      <c r="K43" s="10"/>
      <c r="L43" s="10"/>
      <c r="M43" s="10"/>
      <c r="N43" s="10"/>
      <c r="O43" s="10"/>
      <c r="P43" s="10"/>
      <c r="Q43" s="10"/>
      <c r="R43" s="10"/>
      <c r="S43" s="10"/>
      <c r="T43" s="10"/>
      <c r="U43" s="10"/>
      <c r="V43" s="10"/>
      <c r="W43" s="10"/>
      <c r="X43" s="47"/>
      <c r="Y43" s="47"/>
      <c r="Z43" s="47"/>
      <c r="AA43" s="47"/>
      <c r="AB43" s="47"/>
      <c r="AC43" s="47"/>
      <c r="AD43" s="47"/>
      <c r="AE43" s="47"/>
      <c r="AF43" s="47"/>
      <c r="AG43" s="48"/>
    </row>
    <row r="44" spans="1:33" s="13" customFormat="1" ht="11.4" x14ac:dyDescent="0.2">
      <c r="A44" s="262" t="s">
        <v>345</v>
      </c>
      <c r="B44" s="10"/>
      <c r="C44" s="10"/>
      <c r="D44" s="10"/>
      <c r="E44" s="10"/>
      <c r="F44" s="10"/>
      <c r="G44" s="10"/>
      <c r="H44" s="10"/>
      <c r="I44" s="10"/>
      <c r="J44" s="10"/>
      <c r="K44" s="10"/>
      <c r="L44" s="10"/>
      <c r="M44" s="10"/>
      <c r="N44" s="10"/>
      <c r="O44" s="10"/>
      <c r="P44" s="10"/>
      <c r="Q44" s="10"/>
      <c r="R44" s="10"/>
      <c r="S44" s="10"/>
      <c r="T44" s="10"/>
      <c r="U44" s="10"/>
      <c r="V44" s="10"/>
      <c r="W44" s="10"/>
      <c r="X44" s="47"/>
      <c r="Y44" s="47"/>
      <c r="Z44" s="47"/>
      <c r="AA44" s="47"/>
      <c r="AB44" s="47"/>
      <c r="AC44" s="47"/>
      <c r="AD44" s="47"/>
      <c r="AE44" s="47"/>
      <c r="AF44" s="47"/>
      <c r="AG44" s="48"/>
    </row>
    <row r="45" spans="1:33" s="49" customFormat="1" ht="11.4" x14ac:dyDescent="0.3">
      <c r="A45" s="262" t="s">
        <v>341</v>
      </c>
      <c r="B45" s="262"/>
      <c r="C45" s="262"/>
      <c r="D45" s="262"/>
      <c r="E45" s="262"/>
      <c r="F45" s="262"/>
      <c r="G45" s="262"/>
      <c r="H45" s="262"/>
      <c r="I45" s="262"/>
      <c r="J45" s="262"/>
      <c r="K45" s="262"/>
      <c r="L45" s="262"/>
      <c r="M45" s="262"/>
      <c r="N45" s="262"/>
      <c r="O45" s="262"/>
      <c r="P45" s="262"/>
      <c r="Q45" s="262"/>
      <c r="R45" s="262"/>
      <c r="S45" s="262"/>
      <c r="T45" s="262"/>
      <c r="U45" s="262"/>
      <c r="V45" s="262"/>
      <c r="W45" s="262"/>
      <c r="X45" s="80"/>
      <c r="Y45" s="80"/>
      <c r="Z45" s="80"/>
      <c r="AA45" s="80"/>
      <c r="AB45" s="80"/>
      <c r="AC45" s="80"/>
      <c r="AD45" s="80"/>
      <c r="AE45" s="80"/>
      <c r="AF45" s="80"/>
    </row>
    <row r="46" spans="1:33" s="13" customFormat="1" ht="11.4" x14ac:dyDescent="0.2">
      <c r="A46" s="263" t="s">
        <v>284</v>
      </c>
      <c r="B46" s="262" t="s">
        <v>1224</v>
      </c>
      <c r="C46" s="10"/>
      <c r="D46" s="10"/>
      <c r="E46" s="10"/>
      <c r="F46" s="10"/>
      <c r="G46" s="10"/>
      <c r="H46" s="10"/>
      <c r="I46" s="10"/>
      <c r="J46" s="10"/>
      <c r="K46" s="10"/>
      <c r="L46" s="10"/>
      <c r="M46" s="10"/>
      <c r="N46" s="10"/>
      <c r="O46" s="10"/>
      <c r="P46" s="10"/>
      <c r="Q46" s="10"/>
      <c r="R46" s="10"/>
      <c r="S46" s="10"/>
      <c r="T46" s="10"/>
      <c r="U46" s="10"/>
      <c r="V46" s="10"/>
      <c r="W46" s="10"/>
      <c r="X46" s="47"/>
      <c r="Y46" s="47"/>
      <c r="Z46" s="47"/>
      <c r="AA46" s="47"/>
      <c r="AB46" s="47"/>
      <c r="AC46" s="47"/>
      <c r="AD46" s="47"/>
      <c r="AE46" s="47"/>
      <c r="AF46" s="47"/>
      <c r="AG46" s="48"/>
    </row>
    <row r="47" spans="1:33" s="13" customFormat="1" ht="11.4" x14ac:dyDescent="0.2">
      <c r="A47" s="263" t="s">
        <v>285</v>
      </c>
      <c r="B47" s="262" t="s">
        <v>427</v>
      </c>
      <c r="C47" s="10"/>
      <c r="D47" s="10"/>
      <c r="E47" s="10"/>
      <c r="F47" s="10"/>
      <c r="G47" s="10"/>
      <c r="H47" s="10"/>
      <c r="I47" s="10"/>
      <c r="J47" s="10"/>
      <c r="K47" s="10"/>
      <c r="L47" s="10"/>
      <c r="M47" s="10"/>
      <c r="N47" s="10"/>
      <c r="O47" s="10"/>
      <c r="P47" s="10"/>
      <c r="Q47" s="10"/>
      <c r="R47" s="10"/>
      <c r="S47" s="10"/>
      <c r="T47" s="10"/>
      <c r="U47" s="10"/>
      <c r="V47" s="10"/>
      <c r="W47" s="10"/>
      <c r="X47" s="47"/>
      <c r="Y47" s="47"/>
      <c r="Z47" s="47"/>
      <c r="AA47" s="47"/>
      <c r="AB47" s="47"/>
      <c r="AC47" s="47"/>
      <c r="AD47" s="47"/>
      <c r="AE47" s="47"/>
      <c r="AF47" s="47"/>
      <c r="AG47" s="48"/>
    </row>
    <row r="48" spans="1:33" s="13" customFormat="1" ht="11.4" x14ac:dyDescent="0.2">
      <c r="A48" s="263" t="s">
        <v>286</v>
      </c>
      <c r="B48" s="262" t="s">
        <v>585</v>
      </c>
      <c r="C48" s="10"/>
      <c r="D48" s="10"/>
      <c r="E48" s="10"/>
      <c r="F48" s="264"/>
      <c r="G48" s="10"/>
      <c r="H48" s="10"/>
      <c r="I48" s="10"/>
      <c r="J48" s="10"/>
      <c r="K48" s="10"/>
      <c r="L48" s="10"/>
      <c r="M48" s="10"/>
      <c r="N48" s="10"/>
      <c r="O48" s="10"/>
      <c r="P48" s="10"/>
      <c r="Q48" s="10"/>
      <c r="R48" s="10"/>
      <c r="S48" s="10"/>
      <c r="T48" s="10"/>
      <c r="U48" s="10"/>
      <c r="V48" s="10"/>
      <c r="W48" s="10"/>
      <c r="X48" s="47"/>
      <c r="Y48" s="47"/>
      <c r="Z48" s="47"/>
      <c r="AA48" s="47"/>
      <c r="AB48" s="47"/>
      <c r="AC48" s="47"/>
      <c r="AD48" s="47"/>
      <c r="AE48" s="47"/>
      <c r="AF48" s="47"/>
      <c r="AG48" s="48"/>
    </row>
    <row r="49" spans="1:33" s="13" customFormat="1" ht="11.4" x14ac:dyDescent="0.2">
      <c r="A49" s="263" t="s">
        <v>287</v>
      </c>
      <c r="B49" s="262" t="s">
        <v>32</v>
      </c>
      <c r="C49" s="10"/>
      <c r="D49" s="10"/>
      <c r="E49" s="10"/>
      <c r="F49" s="10"/>
      <c r="G49" s="10"/>
      <c r="H49" s="10"/>
      <c r="I49" s="10"/>
      <c r="J49" s="10"/>
      <c r="K49" s="10"/>
      <c r="L49" s="10"/>
      <c r="M49" s="10"/>
      <c r="N49" s="10"/>
      <c r="O49" s="10"/>
      <c r="P49" s="10"/>
      <c r="Q49" s="10"/>
      <c r="R49" s="10"/>
      <c r="S49" s="10"/>
      <c r="T49" s="10"/>
      <c r="U49" s="10"/>
      <c r="V49" s="10"/>
      <c r="W49" s="10"/>
      <c r="X49" s="47"/>
      <c r="Y49" s="47"/>
      <c r="Z49" s="47"/>
      <c r="AA49" s="47"/>
      <c r="AB49" s="47"/>
      <c r="AC49" s="47"/>
      <c r="AD49" s="47"/>
      <c r="AE49" s="47"/>
      <c r="AF49" s="47"/>
      <c r="AG49" s="48"/>
    </row>
    <row r="50" spans="1:33" s="13" customFormat="1" ht="11.4" x14ac:dyDescent="0.2">
      <c r="A50" s="265" t="s">
        <v>288</v>
      </c>
      <c r="B50" s="262" t="s">
        <v>37</v>
      </c>
      <c r="C50" s="10"/>
      <c r="D50" s="10"/>
      <c r="E50" s="10"/>
      <c r="F50" s="10"/>
      <c r="G50" s="10"/>
      <c r="H50" s="10"/>
      <c r="I50" s="10"/>
      <c r="J50" s="10"/>
      <c r="K50" s="10"/>
      <c r="L50" s="10"/>
      <c r="M50" s="10"/>
      <c r="N50" s="10"/>
      <c r="O50" s="10"/>
      <c r="P50" s="10"/>
      <c r="Q50" s="10"/>
      <c r="R50" s="10"/>
      <c r="S50" s="10"/>
      <c r="T50" s="10"/>
      <c r="U50" s="10"/>
      <c r="V50" s="10"/>
      <c r="W50" s="10"/>
      <c r="X50" s="47"/>
      <c r="Y50" s="47"/>
      <c r="Z50" s="47"/>
      <c r="AA50" s="47"/>
      <c r="AB50" s="47"/>
      <c r="AC50" s="47"/>
      <c r="AD50" s="47"/>
      <c r="AE50" s="47"/>
      <c r="AF50" s="47"/>
      <c r="AG50" s="48"/>
    </row>
    <row r="51" spans="1:33" s="13" customFormat="1" ht="11.4" x14ac:dyDescent="0.2">
      <c r="A51" s="263" t="s">
        <v>293</v>
      </c>
      <c r="B51" s="262" t="s">
        <v>458</v>
      </c>
      <c r="C51" s="10"/>
      <c r="D51" s="10"/>
      <c r="E51" s="10"/>
      <c r="F51" s="10"/>
      <c r="G51" s="10"/>
      <c r="H51" s="10"/>
      <c r="I51" s="10"/>
      <c r="J51" s="10"/>
      <c r="K51" s="10"/>
      <c r="L51" s="10"/>
      <c r="M51" s="10"/>
      <c r="N51" s="10"/>
      <c r="O51" s="10"/>
      <c r="P51" s="10"/>
      <c r="Q51" s="10"/>
      <c r="R51" s="10"/>
      <c r="S51" s="10"/>
      <c r="T51" s="10"/>
      <c r="U51" s="10"/>
      <c r="V51" s="10"/>
      <c r="W51" s="10"/>
      <c r="X51" s="47"/>
      <c r="Y51" s="47"/>
      <c r="Z51" s="47"/>
      <c r="AA51" s="47"/>
      <c r="AB51" s="47"/>
      <c r="AC51" s="47"/>
      <c r="AD51" s="47"/>
      <c r="AE51" s="47"/>
      <c r="AF51" s="47"/>
      <c r="AG51" s="48"/>
    </row>
    <row r="52" spans="1:33" s="13" customFormat="1" ht="8.25" customHeight="1" x14ac:dyDescent="0.2">
      <c r="A52" s="265"/>
      <c r="B52" s="262"/>
      <c r="C52" s="10"/>
      <c r="D52" s="10"/>
      <c r="E52" s="10"/>
      <c r="F52" s="10"/>
      <c r="G52" s="10"/>
      <c r="H52" s="10"/>
      <c r="I52" s="10"/>
      <c r="J52" s="10"/>
      <c r="K52" s="10"/>
      <c r="L52" s="10"/>
      <c r="M52" s="10"/>
      <c r="N52" s="10"/>
      <c r="O52" s="10"/>
      <c r="P52" s="10"/>
      <c r="Q52" s="10"/>
      <c r="R52" s="10"/>
      <c r="S52" s="10"/>
      <c r="T52" s="10"/>
      <c r="U52" s="10"/>
      <c r="V52" s="10"/>
      <c r="W52" s="10"/>
      <c r="X52" s="47"/>
      <c r="Y52" s="47"/>
      <c r="Z52" s="47"/>
      <c r="AA52" s="47"/>
      <c r="AB52" s="47"/>
      <c r="AC52" s="47"/>
      <c r="AD52" s="47"/>
      <c r="AE52" s="47"/>
      <c r="AF52" s="47"/>
      <c r="AG52" s="48"/>
    </row>
    <row r="53" spans="1:33" s="13" customFormat="1" ht="5.25" customHeight="1" x14ac:dyDescent="0.2">
      <c r="A53" s="266"/>
      <c r="B53" s="262"/>
      <c r="C53" s="10"/>
      <c r="D53" s="10"/>
      <c r="E53" s="10"/>
      <c r="F53" s="10"/>
      <c r="G53" s="10"/>
      <c r="H53" s="10"/>
      <c r="I53" s="10"/>
      <c r="J53" s="10"/>
      <c r="K53" s="10"/>
      <c r="L53" s="10"/>
      <c r="M53" s="10"/>
      <c r="N53" s="10"/>
      <c r="O53" s="10"/>
      <c r="P53" s="10"/>
      <c r="Q53" s="10"/>
      <c r="R53" s="10"/>
      <c r="S53" s="10"/>
      <c r="T53" s="10"/>
      <c r="U53" s="10"/>
      <c r="V53" s="10"/>
      <c r="W53" s="10"/>
      <c r="X53" s="47"/>
      <c r="Y53" s="47"/>
      <c r="Z53" s="47"/>
      <c r="AA53" s="47"/>
      <c r="AB53" s="47"/>
      <c r="AC53" s="47"/>
      <c r="AD53" s="47"/>
      <c r="AE53" s="47"/>
      <c r="AF53" s="47"/>
      <c r="AG53" s="48"/>
    </row>
    <row r="54" spans="1:33" s="6" customFormat="1" ht="16.5" customHeight="1" x14ac:dyDescent="0.2">
      <c r="A54" s="1022" t="s">
        <v>11</v>
      </c>
      <c r="B54" s="1022"/>
      <c r="C54" s="1022"/>
      <c r="D54" s="1022"/>
      <c r="E54" s="11"/>
      <c r="F54" s="11"/>
      <c r="G54" s="11"/>
      <c r="H54" s="11"/>
      <c r="I54" s="11"/>
      <c r="J54" s="264"/>
      <c r="K54" s="11"/>
      <c r="L54" s="11"/>
      <c r="M54" s="11"/>
      <c r="N54" s="11"/>
      <c r="O54" s="11"/>
      <c r="P54" s="11"/>
      <c r="Q54" s="11"/>
      <c r="R54" s="11"/>
      <c r="S54" s="11"/>
      <c r="T54" s="11"/>
      <c r="U54" s="11"/>
      <c r="V54" s="11"/>
      <c r="W54" s="11"/>
      <c r="X54" s="46"/>
      <c r="Y54" s="46"/>
      <c r="Z54" s="46"/>
      <c r="AA54" s="46"/>
      <c r="AB54" s="46"/>
      <c r="AC54" s="46"/>
      <c r="AD54" s="46"/>
      <c r="AE54" s="46"/>
      <c r="AF54" s="46"/>
    </row>
    <row r="55" spans="1:33" s="6" customFormat="1" ht="11.25" customHeight="1" x14ac:dyDescent="0.2">
      <c r="A55" s="267" t="s">
        <v>273</v>
      </c>
      <c r="B55" s="11"/>
      <c r="C55" s="11"/>
      <c r="D55" s="11"/>
      <c r="E55" s="11"/>
      <c r="F55" s="11"/>
      <c r="G55" s="11"/>
      <c r="H55" s="11"/>
      <c r="I55" s="11"/>
      <c r="J55" s="264"/>
      <c r="K55" s="11"/>
      <c r="L55" s="11"/>
      <c r="M55" s="11"/>
      <c r="N55" s="11"/>
      <c r="O55" s="11"/>
      <c r="P55" s="11"/>
      <c r="Q55" s="11"/>
      <c r="R55" s="11"/>
      <c r="S55" s="11"/>
      <c r="T55" s="11"/>
      <c r="U55" s="11"/>
      <c r="V55" s="11"/>
      <c r="W55" s="11"/>
      <c r="X55" s="46"/>
      <c r="Y55" s="46"/>
      <c r="Z55" s="46"/>
      <c r="AA55" s="46"/>
      <c r="AB55" s="46"/>
      <c r="AC55" s="46"/>
      <c r="AD55" s="46"/>
      <c r="AE55" s="46"/>
      <c r="AF55" s="46"/>
    </row>
    <row r="56" spans="1:33" s="6" customFormat="1" ht="11.25" customHeight="1" x14ac:dyDescent="0.2">
      <c r="A56" s="267" t="s">
        <v>274</v>
      </c>
      <c r="B56" s="11"/>
      <c r="C56" s="11"/>
      <c r="D56" s="11"/>
      <c r="E56" s="11"/>
      <c r="F56" s="11"/>
      <c r="G56" s="11"/>
      <c r="H56" s="11"/>
      <c r="I56" s="11"/>
      <c r="J56" s="264"/>
      <c r="K56" s="11"/>
      <c r="L56" s="11"/>
      <c r="M56" s="11"/>
      <c r="N56" s="11"/>
      <c r="O56" s="11"/>
      <c r="P56" s="11"/>
      <c r="Q56" s="11"/>
      <c r="R56" s="11"/>
      <c r="S56" s="11"/>
      <c r="T56" s="11"/>
      <c r="U56" s="11"/>
      <c r="V56" s="11"/>
      <c r="W56" s="11"/>
      <c r="X56" s="46"/>
      <c r="Y56" s="46"/>
      <c r="Z56" s="46"/>
      <c r="AA56" s="46"/>
      <c r="AB56" s="46"/>
      <c r="AC56" s="46"/>
      <c r="AD56" s="46"/>
      <c r="AE56" s="46"/>
      <c r="AF56" s="46"/>
    </row>
    <row r="57" spans="1:33" s="6" customFormat="1" ht="11.25" customHeight="1" x14ac:dyDescent="0.2">
      <c r="A57" s="267" t="s">
        <v>457</v>
      </c>
      <c r="B57" s="11"/>
      <c r="C57" s="11"/>
      <c r="D57" s="11"/>
      <c r="E57" s="11"/>
      <c r="F57" s="11"/>
      <c r="G57" s="11"/>
      <c r="H57" s="11"/>
      <c r="I57" s="11"/>
      <c r="J57" s="264"/>
      <c r="K57" s="11"/>
      <c r="L57" s="11"/>
      <c r="M57" s="11"/>
      <c r="N57" s="11"/>
      <c r="O57" s="11"/>
      <c r="P57" s="11"/>
      <c r="Q57" s="11"/>
      <c r="R57" s="11"/>
      <c r="S57" s="11"/>
      <c r="T57" s="11"/>
      <c r="U57" s="11"/>
      <c r="V57" s="11"/>
      <c r="W57" s="11"/>
      <c r="X57" s="46"/>
      <c r="Y57" s="46"/>
      <c r="Z57" s="46"/>
      <c r="AA57" s="46"/>
      <c r="AB57" s="46"/>
      <c r="AC57" s="46"/>
      <c r="AD57" s="46"/>
      <c r="AE57" s="46"/>
      <c r="AF57" s="46"/>
    </row>
    <row r="58" spans="1:33" s="6" customFormat="1" ht="3" customHeight="1" x14ac:dyDescent="0.2">
      <c r="A58" s="51"/>
      <c r="J58" s="50"/>
    </row>
    <row r="59" spans="1:33" s="6" customFormat="1" ht="18" customHeight="1" x14ac:dyDescent="0.2">
      <c r="A59" s="1023" t="s">
        <v>199</v>
      </c>
      <c r="B59" s="1023"/>
      <c r="C59" s="1023"/>
      <c r="D59" s="1023"/>
      <c r="E59" s="1023"/>
      <c r="J59" s="50"/>
    </row>
    <row r="60" spans="1:33" ht="23.25" customHeight="1" x14ac:dyDescent="0.25">
      <c r="A60" s="247" t="s">
        <v>463</v>
      </c>
      <c r="B60" s="1066" t="s">
        <v>38</v>
      </c>
      <c r="C60" s="1066"/>
      <c r="D60" s="1066"/>
      <c r="E60" s="1066"/>
      <c r="F60" s="1021" t="s">
        <v>150</v>
      </c>
      <c r="G60" s="1021"/>
      <c r="H60" s="1021"/>
      <c r="I60" s="1021"/>
      <c r="J60" s="1044" t="s">
        <v>586</v>
      </c>
      <c r="K60" s="1044"/>
      <c r="L60" s="1044"/>
      <c r="M60" s="1044"/>
      <c r="N60" s="1044"/>
      <c r="O60" s="1044"/>
      <c r="P60" s="1044"/>
      <c r="Q60" s="1044"/>
      <c r="R60" s="1044"/>
      <c r="S60" s="1044"/>
      <c r="T60" s="1044"/>
      <c r="U60" s="1044"/>
      <c r="V60" s="1044"/>
      <c r="W60" s="1044"/>
      <c r="X60" s="1044"/>
      <c r="Y60" s="1044"/>
      <c r="Z60" s="1044"/>
      <c r="AA60" s="1044"/>
      <c r="AB60" s="1044"/>
      <c r="AC60" s="1044"/>
      <c r="AD60" s="1044"/>
      <c r="AE60" s="1044"/>
      <c r="AF60" s="1044"/>
      <c r="AG60" s="1044"/>
    </row>
    <row r="61" spans="1:33" ht="12" customHeight="1" x14ac:dyDescent="0.25">
      <c r="A61" s="248" t="s">
        <v>246</v>
      </c>
      <c r="B61" s="1011" t="s">
        <v>22</v>
      </c>
      <c r="C61" s="1011"/>
      <c r="D61" s="1011"/>
      <c r="E61" s="1011"/>
      <c r="F61" s="1058"/>
      <c r="G61" s="1058"/>
      <c r="H61" s="1058"/>
      <c r="I61" s="1058"/>
      <c r="J61" s="1059" t="s">
        <v>587</v>
      </c>
      <c r="K61" s="1061"/>
      <c r="L61" s="1061"/>
      <c r="M61" s="1061"/>
      <c r="N61" s="1061"/>
      <c r="O61" s="1061"/>
      <c r="P61" s="1061"/>
      <c r="Q61" s="1061"/>
      <c r="R61" s="1061"/>
      <c r="S61" s="1061"/>
      <c r="T61" s="1061"/>
      <c r="U61" s="1061"/>
      <c r="V61" s="1061"/>
      <c r="W61" s="1061"/>
      <c r="X61" s="1061"/>
      <c r="Y61" s="1061"/>
      <c r="Z61" s="1061"/>
      <c r="AA61" s="1061"/>
      <c r="AB61" s="1061"/>
      <c r="AC61" s="1061"/>
      <c r="AD61" s="1061"/>
      <c r="AE61" s="1061"/>
      <c r="AF61" s="1061"/>
      <c r="AG61" s="1061"/>
    </row>
    <row r="62" spans="1:33" ht="12" customHeight="1" x14ac:dyDescent="0.25">
      <c r="A62" s="248" t="s">
        <v>246</v>
      </c>
      <c r="B62" s="1011" t="s">
        <v>279</v>
      </c>
      <c r="C62" s="1011"/>
      <c r="D62" s="1011"/>
      <c r="E62" s="1011"/>
      <c r="F62" s="1013"/>
      <c r="G62" s="1013"/>
      <c r="H62" s="1013"/>
      <c r="I62" s="1013"/>
      <c r="J62" s="1059" t="s">
        <v>588</v>
      </c>
      <c r="K62" s="1061"/>
      <c r="L62" s="1061"/>
      <c r="M62" s="1061"/>
      <c r="N62" s="1061"/>
      <c r="O62" s="1061"/>
      <c r="P62" s="1061"/>
      <c r="Q62" s="1061"/>
      <c r="R62" s="1061"/>
      <c r="S62" s="1061"/>
      <c r="T62" s="1061"/>
      <c r="U62" s="1061"/>
      <c r="V62" s="1061"/>
      <c r="W62" s="1061"/>
      <c r="X62" s="1061"/>
      <c r="Y62" s="1061"/>
      <c r="Z62" s="1061"/>
      <c r="AA62" s="1061"/>
      <c r="AB62" s="1061"/>
      <c r="AC62" s="1061"/>
      <c r="AD62" s="1061"/>
      <c r="AE62" s="1061"/>
      <c r="AF62" s="1061"/>
      <c r="AG62" s="1061"/>
    </row>
    <row r="63" spans="1:33" ht="22.5" customHeight="1" x14ac:dyDescent="0.25">
      <c r="A63" s="248" t="s">
        <v>278</v>
      </c>
      <c r="B63" s="1011" t="s">
        <v>39</v>
      </c>
      <c r="C63" s="1011"/>
      <c r="D63" s="1011"/>
      <c r="E63" s="1011"/>
      <c r="F63" s="1014" t="s">
        <v>8</v>
      </c>
      <c r="G63" s="1014"/>
      <c r="H63" s="1014"/>
      <c r="I63" s="1014"/>
      <c r="J63" s="1059" t="s">
        <v>756</v>
      </c>
      <c r="K63" s="1061"/>
      <c r="L63" s="1061"/>
      <c r="M63" s="1061"/>
      <c r="N63" s="1061"/>
      <c r="O63" s="1061"/>
      <c r="P63" s="1061"/>
      <c r="Q63" s="1061"/>
      <c r="R63" s="1061"/>
      <c r="S63" s="1061"/>
      <c r="T63" s="1061"/>
      <c r="U63" s="1061"/>
      <c r="V63" s="1061"/>
      <c r="W63" s="1061"/>
      <c r="X63" s="1061"/>
      <c r="Y63" s="1061"/>
      <c r="Z63" s="1061"/>
      <c r="AA63" s="1061"/>
      <c r="AB63" s="1061"/>
      <c r="AC63" s="1061"/>
      <c r="AD63" s="1061"/>
      <c r="AE63" s="1061"/>
      <c r="AF63" s="1061"/>
      <c r="AG63" s="1061"/>
    </row>
    <row r="64" spans="1:33" ht="12" customHeight="1" x14ac:dyDescent="0.25">
      <c r="A64" s="248" t="s">
        <v>593</v>
      </c>
      <c r="B64" s="1011" t="s">
        <v>594</v>
      </c>
      <c r="C64" s="1011"/>
      <c r="D64" s="1011"/>
      <c r="E64" s="1011"/>
      <c r="F64" s="1014" t="s">
        <v>229</v>
      </c>
      <c r="G64" s="1014"/>
      <c r="H64" s="1014"/>
      <c r="I64" s="1014"/>
      <c r="J64" s="1059" t="s">
        <v>1130</v>
      </c>
      <c r="K64" s="1060"/>
      <c r="L64" s="1060"/>
      <c r="M64" s="1060"/>
      <c r="N64" s="1060"/>
      <c r="O64" s="1060"/>
      <c r="P64" s="1060"/>
      <c r="Q64" s="1060"/>
      <c r="R64" s="1060"/>
      <c r="S64" s="1060"/>
      <c r="T64" s="1060"/>
      <c r="U64" s="1060"/>
      <c r="V64" s="1060"/>
      <c r="W64" s="1060"/>
      <c r="X64" s="1060"/>
      <c r="Y64" s="1060"/>
      <c r="Z64" s="1060"/>
      <c r="AA64" s="1060"/>
      <c r="AB64" s="1060"/>
      <c r="AC64" s="1060"/>
      <c r="AD64" s="1060"/>
      <c r="AE64" s="1060"/>
      <c r="AF64" s="1060"/>
      <c r="AG64" s="1060"/>
    </row>
    <row r="65" spans="1:33" ht="12" customHeight="1" x14ac:dyDescent="0.25">
      <c r="A65" s="248" t="s">
        <v>600</v>
      </c>
      <c r="B65" s="1011" t="s">
        <v>601</v>
      </c>
      <c r="C65" s="1011"/>
      <c r="D65" s="1011"/>
      <c r="E65" s="1011"/>
      <c r="F65" s="1014" t="s">
        <v>229</v>
      </c>
      <c r="G65" s="1014"/>
      <c r="H65" s="1014"/>
      <c r="I65" s="1014"/>
      <c r="J65" s="1059" t="s">
        <v>602</v>
      </c>
      <c r="K65" s="1060"/>
      <c r="L65" s="1060"/>
      <c r="M65" s="1060"/>
      <c r="N65" s="1060"/>
      <c r="O65" s="1060"/>
      <c r="P65" s="1060"/>
      <c r="Q65" s="1060"/>
      <c r="R65" s="1060"/>
      <c r="S65" s="1060"/>
      <c r="T65" s="1060"/>
      <c r="U65" s="1060"/>
      <c r="V65" s="1060"/>
      <c r="W65" s="1060"/>
      <c r="X65" s="1060"/>
      <c r="Y65" s="1060"/>
      <c r="Z65" s="1060"/>
      <c r="AA65" s="1060"/>
      <c r="AB65" s="1060"/>
      <c r="AC65" s="1060"/>
      <c r="AD65" s="1060"/>
      <c r="AE65" s="1060"/>
      <c r="AF65" s="1060"/>
      <c r="AG65" s="1060"/>
    </row>
    <row r="66" spans="1:33" ht="14.1" customHeight="1" x14ac:dyDescent="0.25">
      <c r="A66" s="248" t="s">
        <v>595</v>
      </c>
      <c r="B66" s="1011" t="s">
        <v>610</v>
      </c>
      <c r="C66" s="1011"/>
      <c r="D66" s="1011"/>
      <c r="E66" s="1011"/>
      <c r="F66" s="1014" t="s">
        <v>229</v>
      </c>
      <c r="G66" s="1014"/>
      <c r="H66" s="1014"/>
      <c r="I66" s="1014"/>
      <c r="J66" s="1059" t="s">
        <v>596</v>
      </c>
      <c r="K66" s="1060"/>
      <c r="L66" s="1060"/>
      <c r="M66" s="1060"/>
      <c r="N66" s="1060"/>
      <c r="O66" s="1060"/>
      <c r="P66" s="1060"/>
      <c r="Q66" s="1060"/>
      <c r="R66" s="1060"/>
      <c r="S66" s="1060"/>
      <c r="T66" s="1060"/>
      <c r="U66" s="1060"/>
      <c r="V66" s="1060"/>
      <c r="W66" s="1060"/>
      <c r="X66" s="1060"/>
      <c r="Y66" s="1060"/>
      <c r="Z66" s="1060"/>
      <c r="AA66" s="1060"/>
      <c r="AB66" s="1060"/>
      <c r="AC66" s="1060"/>
      <c r="AD66" s="1060"/>
      <c r="AE66" s="1060"/>
      <c r="AF66" s="1060"/>
      <c r="AG66" s="1060"/>
    </row>
    <row r="67" spans="1:33" ht="21" customHeight="1" x14ac:dyDescent="0.25">
      <c r="A67" s="248" t="s">
        <v>964</v>
      </c>
      <c r="B67" s="1011" t="s">
        <v>965</v>
      </c>
      <c r="C67" s="1011"/>
      <c r="D67" s="1011"/>
      <c r="E67" s="1011"/>
      <c r="F67" s="1077" t="s">
        <v>57</v>
      </c>
      <c r="G67" s="1077"/>
      <c r="H67" s="1077"/>
      <c r="I67" s="1077"/>
      <c r="J67" s="1059" t="s">
        <v>1135</v>
      </c>
      <c r="K67" s="1060"/>
      <c r="L67" s="1060"/>
      <c r="M67" s="1060"/>
      <c r="N67" s="1060"/>
      <c r="O67" s="1060"/>
      <c r="P67" s="1060"/>
      <c r="Q67" s="1060"/>
      <c r="R67" s="1060"/>
      <c r="S67" s="1060"/>
      <c r="T67" s="1060"/>
      <c r="U67" s="1060"/>
      <c r="V67" s="1060"/>
      <c r="W67" s="1060"/>
      <c r="X67" s="1060"/>
      <c r="Y67" s="1060"/>
      <c r="Z67" s="1060"/>
      <c r="AA67" s="1060"/>
      <c r="AB67" s="1060"/>
      <c r="AC67" s="1060"/>
      <c r="AD67" s="1060"/>
      <c r="AE67" s="1060"/>
      <c r="AF67" s="1060"/>
      <c r="AG67" s="1060"/>
    </row>
    <row r="68" spans="1:33" ht="21" customHeight="1" x14ac:dyDescent="0.25">
      <c r="A68" s="373" t="s">
        <v>966</v>
      </c>
      <c r="B68" s="1057" t="s">
        <v>597</v>
      </c>
      <c r="C68" s="1057"/>
      <c r="D68" s="1057"/>
      <c r="E68" s="1057"/>
      <c r="F68" s="1012" t="s">
        <v>208</v>
      </c>
      <c r="G68" s="1012"/>
      <c r="H68" s="1012"/>
      <c r="I68" s="1012"/>
      <c r="J68" s="1059" t="s">
        <v>589</v>
      </c>
      <c r="K68" s="1061"/>
      <c r="L68" s="1061"/>
      <c r="M68" s="1061"/>
      <c r="N68" s="1061"/>
      <c r="O68" s="1061"/>
      <c r="P68" s="1061"/>
      <c r="Q68" s="1061"/>
      <c r="R68" s="1061"/>
      <c r="S68" s="1061"/>
      <c r="T68" s="1061"/>
      <c r="U68" s="1061"/>
      <c r="V68" s="1061"/>
      <c r="W68" s="1061"/>
      <c r="X68" s="1061"/>
      <c r="Y68" s="1061"/>
      <c r="Z68" s="1061"/>
      <c r="AA68" s="1061"/>
      <c r="AB68" s="1061"/>
      <c r="AC68" s="1061"/>
      <c r="AD68" s="1061"/>
      <c r="AE68" s="1061"/>
      <c r="AF68" s="1061"/>
      <c r="AG68" s="1061"/>
    </row>
    <row r="69" spans="1:33" ht="21" customHeight="1" x14ac:dyDescent="0.25">
      <c r="A69" s="248" t="s">
        <v>964</v>
      </c>
      <c r="B69" s="1011" t="s">
        <v>967</v>
      </c>
      <c r="C69" s="1011"/>
      <c r="D69" s="1011"/>
      <c r="E69" s="1011"/>
      <c r="F69" s="1012" t="s">
        <v>208</v>
      </c>
      <c r="G69" s="1012"/>
      <c r="H69" s="1012"/>
      <c r="I69" s="1012"/>
      <c r="J69" s="1059" t="s">
        <v>1136</v>
      </c>
      <c r="K69" s="1060"/>
      <c r="L69" s="1060"/>
      <c r="M69" s="1060"/>
      <c r="N69" s="1060"/>
      <c r="O69" s="1060"/>
      <c r="P69" s="1060"/>
      <c r="Q69" s="1060"/>
      <c r="R69" s="1060"/>
      <c r="S69" s="1060"/>
      <c r="T69" s="1060"/>
      <c r="U69" s="1060"/>
      <c r="V69" s="1060"/>
      <c r="W69" s="1060"/>
      <c r="X69" s="1060"/>
      <c r="Y69" s="1060"/>
      <c r="Z69" s="1060"/>
      <c r="AA69" s="1060"/>
      <c r="AB69" s="1060"/>
      <c r="AC69" s="1060"/>
      <c r="AD69" s="1060"/>
      <c r="AE69" s="1060"/>
      <c r="AF69" s="1060"/>
      <c r="AG69" s="1060"/>
    </row>
    <row r="70" spans="1:33" ht="14.1" hidden="1" customHeight="1" x14ac:dyDescent="0.25">
      <c r="A70" s="248" t="s">
        <v>69</v>
      </c>
      <c r="B70" s="249" t="s">
        <v>342</v>
      </c>
      <c r="C70" s="250"/>
      <c r="D70" s="250"/>
      <c r="E70" s="316"/>
      <c r="F70" s="252" t="s">
        <v>208</v>
      </c>
      <c r="G70" s="253"/>
      <c r="H70" s="251"/>
      <c r="I70" s="254"/>
      <c r="J70" s="309" t="s">
        <v>590</v>
      </c>
      <c r="K70" s="310"/>
      <c r="L70" s="310"/>
      <c r="M70" s="310"/>
      <c r="N70" s="310"/>
      <c r="O70" s="310"/>
      <c r="P70" s="310"/>
      <c r="Q70" s="310"/>
      <c r="R70" s="310"/>
      <c r="S70" s="310"/>
      <c r="T70" s="310"/>
      <c r="U70" s="310"/>
      <c r="V70" s="310"/>
      <c r="W70" s="310"/>
      <c r="X70" s="310"/>
      <c r="Y70" s="310"/>
      <c r="Z70" s="310"/>
      <c r="AA70" s="310"/>
      <c r="AB70" s="310"/>
      <c r="AC70" s="310"/>
      <c r="AD70" s="310"/>
      <c r="AE70" s="310"/>
      <c r="AF70" s="310"/>
      <c r="AG70" s="251"/>
    </row>
    <row r="71" spans="1:33" ht="14.1" hidden="1" customHeight="1" x14ac:dyDescent="0.25">
      <c r="A71" s="248" t="s">
        <v>423</v>
      </c>
      <c r="B71" s="143" t="s">
        <v>302</v>
      </c>
      <c r="C71" s="250"/>
      <c r="D71" s="250"/>
      <c r="E71" s="316"/>
      <c r="F71" s="252" t="s">
        <v>208</v>
      </c>
      <c r="G71" s="253"/>
      <c r="H71" s="251"/>
      <c r="I71" s="254"/>
      <c r="J71" s="309" t="s">
        <v>591</v>
      </c>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251"/>
    </row>
    <row r="72" spans="1:33" ht="14.1" hidden="1" customHeight="1" x14ac:dyDescent="0.25">
      <c r="A72" s="248" t="s">
        <v>424</v>
      </c>
      <c r="B72" s="143" t="s">
        <v>303</v>
      </c>
      <c r="C72" s="250"/>
      <c r="D72" s="250"/>
      <c r="E72" s="316"/>
      <c r="F72" s="252" t="s">
        <v>208</v>
      </c>
      <c r="G72" s="253"/>
      <c r="H72" s="251"/>
      <c r="I72" s="254"/>
      <c r="J72" s="309" t="s">
        <v>592</v>
      </c>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251"/>
    </row>
    <row r="73" spans="1:33" ht="14.1" customHeight="1" x14ac:dyDescent="0.25">
      <c r="A73" s="248" t="s">
        <v>334</v>
      </c>
      <c r="B73" s="1010" t="s">
        <v>315</v>
      </c>
      <c r="C73" s="1010"/>
      <c r="D73" s="1010"/>
      <c r="E73" s="1010"/>
      <c r="F73" s="1010" t="s">
        <v>315</v>
      </c>
      <c r="G73" s="1010"/>
      <c r="H73" s="1010"/>
      <c r="I73" s="1010"/>
      <c r="J73" s="1000" t="s">
        <v>1131</v>
      </c>
      <c r="K73" s="1001"/>
      <c r="L73" s="1001"/>
      <c r="M73" s="1001"/>
      <c r="N73" s="1001"/>
      <c r="O73" s="1001"/>
      <c r="P73" s="1001"/>
      <c r="Q73" s="1001"/>
      <c r="R73" s="1001"/>
      <c r="S73" s="1001"/>
      <c r="T73" s="1001"/>
      <c r="U73" s="1001"/>
      <c r="V73" s="1001"/>
      <c r="W73" s="1001"/>
      <c r="X73" s="1001"/>
      <c r="Y73" s="1001"/>
      <c r="Z73" s="1001"/>
      <c r="AA73" s="1001"/>
      <c r="AB73" s="1001"/>
      <c r="AC73" s="1001"/>
      <c r="AD73" s="1001"/>
      <c r="AE73" s="1001"/>
      <c r="AF73" s="1001"/>
      <c r="AG73" s="1001"/>
    </row>
    <row r="74" spans="1:33" ht="14.1" hidden="1" customHeight="1" x14ac:dyDescent="0.25">
      <c r="A74" s="248" t="s">
        <v>425</v>
      </c>
      <c r="B74" s="317" t="s">
        <v>208</v>
      </c>
      <c r="C74" s="318"/>
      <c r="D74" s="318"/>
      <c r="E74" s="316"/>
      <c r="F74" s="252" t="s">
        <v>208</v>
      </c>
      <c r="G74" s="253"/>
      <c r="H74" s="251"/>
      <c r="I74" s="255"/>
      <c r="J74" s="1001"/>
      <c r="K74" s="1001"/>
      <c r="L74" s="1001"/>
      <c r="M74" s="1001"/>
      <c r="N74" s="1001"/>
      <c r="O74" s="1001"/>
      <c r="P74" s="1001"/>
      <c r="Q74" s="1001"/>
      <c r="R74" s="1001"/>
      <c r="S74" s="1001"/>
      <c r="T74" s="1001"/>
      <c r="U74" s="1001"/>
      <c r="V74" s="1001"/>
      <c r="W74" s="1001"/>
      <c r="X74" s="1001"/>
      <c r="Y74" s="1001"/>
      <c r="Z74" s="1001"/>
      <c r="AA74" s="1001"/>
      <c r="AB74" s="1001"/>
      <c r="AC74" s="1001"/>
      <c r="AD74" s="1001"/>
      <c r="AE74" s="1001"/>
      <c r="AF74" s="1001"/>
      <c r="AG74" s="1001"/>
    </row>
    <row r="75" spans="1:33" ht="14.1" hidden="1" customHeight="1" x14ac:dyDescent="0.25">
      <c r="A75" s="248" t="s">
        <v>426</v>
      </c>
      <c r="B75" s="317" t="s">
        <v>208</v>
      </c>
      <c r="C75" s="318"/>
      <c r="D75" s="318"/>
      <c r="E75" s="316"/>
      <c r="F75" s="252" t="s">
        <v>208</v>
      </c>
      <c r="G75" s="253"/>
      <c r="H75" s="251"/>
      <c r="I75" s="255"/>
      <c r="J75" s="1001"/>
      <c r="K75" s="1001"/>
      <c r="L75" s="1001"/>
      <c r="M75" s="1001"/>
      <c r="N75" s="1001"/>
      <c r="O75" s="1001"/>
      <c r="P75" s="1001"/>
      <c r="Q75" s="1001"/>
      <c r="R75" s="1001"/>
      <c r="S75" s="1001"/>
      <c r="T75" s="1001"/>
      <c r="U75" s="1001"/>
      <c r="V75" s="1001"/>
      <c r="W75" s="1001"/>
      <c r="X75" s="1001"/>
      <c r="Y75" s="1001"/>
      <c r="Z75" s="1001"/>
      <c r="AA75" s="1001"/>
      <c r="AB75" s="1001"/>
      <c r="AC75" s="1001"/>
      <c r="AD75" s="1001"/>
      <c r="AE75" s="1001"/>
      <c r="AF75" s="1001"/>
      <c r="AG75" s="1001"/>
    </row>
    <row r="76" spans="1:33" ht="14.1" customHeight="1" x14ac:dyDescent="0.25">
      <c r="A76" s="248" t="s">
        <v>335</v>
      </c>
      <c r="B76" s="1010" t="s">
        <v>315</v>
      </c>
      <c r="C76" s="1010"/>
      <c r="D76" s="1010"/>
      <c r="E76" s="1010"/>
      <c r="F76" s="1010" t="s">
        <v>315</v>
      </c>
      <c r="G76" s="1010"/>
      <c r="H76" s="1010"/>
      <c r="I76" s="1010"/>
      <c r="J76" s="1001"/>
      <c r="K76" s="1001"/>
      <c r="L76" s="1001"/>
      <c r="M76" s="1001"/>
      <c r="N76" s="1001"/>
      <c r="O76" s="1001"/>
      <c r="P76" s="1001"/>
      <c r="Q76" s="1001"/>
      <c r="R76" s="1001"/>
      <c r="S76" s="1001"/>
      <c r="T76" s="1001"/>
      <c r="U76" s="1001"/>
      <c r="V76" s="1001"/>
      <c r="W76" s="1001"/>
      <c r="X76" s="1001"/>
      <c r="Y76" s="1001"/>
      <c r="Z76" s="1001"/>
      <c r="AA76" s="1001"/>
      <c r="AB76" s="1001"/>
      <c r="AC76" s="1001"/>
      <c r="AD76" s="1001"/>
      <c r="AE76" s="1001"/>
      <c r="AF76" s="1001"/>
      <c r="AG76" s="1001"/>
    </row>
    <row r="82" spans="1:33" ht="17.25" customHeight="1" x14ac:dyDescent="0.25"/>
    <row r="86" spans="1:33" ht="14.25" hidden="1" customHeight="1" x14ac:dyDescent="0.25">
      <c r="B86" s="67" t="str">
        <f>Berechnung2!B51</f>
        <v>Matrix</v>
      </c>
      <c r="C86" s="67"/>
      <c r="D86" s="67"/>
      <c r="E86" s="67"/>
      <c r="F86" s="68"/>
      <c r="G86" s="68"/>
      <c r="H86" s="68"/>
      <c r="I86" s="68"/>
      <c r="J86" s="68"/>
      <c r="K86" s="68"/>
      <c r="L86" s="68"/>
      <c r="M86" s="68"/>
      <c r="N86" s="68"/>
      <c r="O86" s="68"/>
      <c r="P86" s="67"/>
      <c r="Q86" s="67"/>
      <c r="R86" s="67"/>
      <c r="S86" s="67"/>
      <c r="T86" s="67"/>
      <c r="U86" s="67"/>
      <c r="AG86" s="5"/>
    </row>
    <row r="87" spans="1:33" ht="14.25" hidden="1" customHeight="1" x14ac:dyDescent="0.25">
      <c r="A87" s="67" t="str">
        <f>Berechnung2!B52</f>
        <v>ART</v>
      </c>
      <c r="C87" s="67">
        <f>Berechnung2!C52</f>
        <v>0</v>
      </c>
      <c r="D87" s="67">
        <f>Berechnung2!D52</f>
        <v>0</v>
      </c>
      <c r="E87" s="67"/>
      <c r="F87" s="68">
        <f>Berechnung2!E52</f>
        <v>0</v>
      </c>
      <c r="G87" s="68" t="str">
        <f>Berechnung2!F52</f>
        <v>Werte</v>
      </c>
      <c r="H87" s="68">
        <f>Berechnung2!G52</f>
        <v>0</v>
      </c>
      <c r="I87" s="68">
        <f>Berechnung2!H52</f>
        <v>0</v>
      </c>
      <c r="J87" s="68">
        <f>Berechnung2!I52</f>
        <v>0</v>
      </c>
      <c r="K87" s="68">
        <f>Berechnung2!J52</f>
        <v>0</v>
      </c>
      <c r="L87" s="68">
        <f>Berechnung2!K52</f>
        <v>0</v>
      </c>
      <c r="M87" s="68" t="str">
        <f>Berechnung2!L52</f>
        <v>Texte Matrix Datenquali</v>
      </c>
      <c r="N87" s="68">
        <f>Berechnung2!M52</f>
        <v>0</v>
      </c>
      <c r="O87" s="68" t="str">
        <f>Berechnung2!N52</f>
        <v>Fehlermeldungen Matrix</v>
      </c>
      <c r="P87" s="67"/>
      <c r="Q87" s="67"/>
      <c r="R87" s="67"/>
      <c r="S87" s="67"/>
      <c r="T87" s="67"/>
      <c r="U87" s="67"/>
      <c r="AG87" s="5"/>
    </row>
    <row r="88" spans="1:33" ht="14.25" hidden="1" customHeight="1" x14ac:dyDescent="0.25">
      <c r="A88" s="67" t="str">
        <f>Berechnung2!B53</f>
        <v>Anzahl Primärpatientinnen größer als im KB</v>
      </c>
      <c r="C88" s="67">
        <f>Berechnung2!C53</f>
        <v>0</v>
      </c>
      <c r="D88" s="67" t="str">
        <f>Berechnung2!D53</f>
        <v>plausi</v>
      </c>
      <c r="E88" s="67"/>
      <c r="F88" s="68">
        <f>Berechnung2!E53</f>
        <v>0</v>
      </c>
      <c r="G88" s="68">
        <f>Berechnung2!F53</f>
        <v>0</v>
      </c>
      <c r="H88" s="68">
        <f>Berechnung2!G53</f>
        <v>0</v>
      </c>
      <c r="I88" s="68">
        <f>Berechnung2!H53</f>
        <v>0</v>
      </c>
      <c r="J88" s="68" t="str">
        <f>Berechnung2!I53</f>
        <v>Aus KB übertragen</v>
      </c>
      <c r="K88" s="68">
        <f>Berechnung2!J53</f>
        <v>0</v>
      </c>
      <c r="L88" s="68">
        <f>Berechnung2!K53</f>
        <v>0</v>
      </c>
      <c r="M88" s="68" t="str">
        <f>Berechnung2!L53</f>
        <v>Anzahl Primärpatientinnen Matrix größer als  Primärfälle Zervix-Ca im Kennzahlenbogen</v>
      </c>
      <c r="N88" s="68">
        <f>Berechnung2!M53</f>
        <v>0</v>
      </c>
      <c r="O88" s="68"/>
      <c r="P88" s="68"/>
      <c r="Q88" s="68"/>
      <c r="R88" s="68"/>
      <c r="S88" s="68"/>
      <c r="T88" s="68"/>
      <c r="U88" s="68"/>
      <c r="V88" s="68"/>
      <c r="W88" s="68"/>
      <c r="X88" s="68"/>
      <c r="AG88" s="5"/>
    </row>
    <row r="89" spans="1:33" ht="14.25" hidden="1" customHeight="1" x14ac:dyDescent="0.25">
      <c r="A89" s="67" t="str">
        <f>Berechnung2!B54</f>
        <v>Ganze Zahl</v>
      </c>
      <c r="C89" s="67">
        <f>Berechnung2!C54</f>
        <v>0</v>
      </c>
      <c r="D89" s="67">
        <f>Berechnung2!D54</f>
        <v>0</v>
      </c>
      <c r="E89" s="67"/>
      <c r="F89" s="69">
        <f>Berechnung2!E54</f>
        <v>0</v>
      </c>
      <c r="G89" s="69">
        <f>Berechnung2!F54</f>
        <v>0</v>
      </c>
      <c r="H89" s="69">
        <f>Berechnung2!G54</f>
        <v>0</v>
      </c>
      <c r="I89" s="68">
        <f>Berechnung2!H54</f>
        <v>0</v>
      </c>
      <c r="J89" s="69">
        <f>Berechnung2!I54</f>
        <v>0</v>
      </c>
      <c r="K89" s="69">
        <f>Berechnung2!J54</f>
        <v>0</v>
      </c>
      <c r="L89" s="68">
        <f>Berechnung2!K54</f>
        <v>0</v>
      </c>
      <c r="M89" s="68">
        <f>Berechnung2!L54</f>
        <v>0</v>
      </c>
      <c r="N89" s="68">
        <f>Berechnung2!M54</f>
        <v>0</v>
      </c>
      <c r="O89" s="68" t="str">
        <f>Berechnung2!N54</f>
        <v>Ganze Zahl zwischen 0 und 5000 eingeben.</v>
      </c>
      <c r="P89" s="67"/>
      <c r="Q89" s="67"/>
      <c r="R89" s="67"/>
      <c r="S89" s="67"/>
      <c r="T89" s="67"/>
      <c r="U89" s="67"/>
      <c r="AG89" s="5"/>
    </row>
    <row r="90" spans="1:33" ht="14.25" hidden="1" customHeight="1" x14ac:dyDescent="0.25">
      <c r="A90" s="67" t="str">
        <f>Berechnung2!B55</f>
        <v>relevante Nachsorgejahre nicht/unvollständig bearbeitet</v>
      </c>
      <c r="C90" s="67">
        <f>Berechnung2!C55</f>
        <v>0</v>
      </c>
      <c r="D90" s="67" t="str">
        <f>Berechnung2!D55</f>
        <v>unvollständig</v>
      </c>
      <c r="E90" s="67"/>
      <c r="F90" s="69">
        <f>Berechnung2!E55</f>
        <v>0</v>
      </c>
      <c r="G90" s="69">
        <f>Berechnung2!F55</f>
        <v>0</v>
      </c>
      <c r="H90" s="69">
        <f>Berechnung2!G55</f>
        <v>0</v>
      </c>
      <c r="I90" s="68">
        <f>Berechnung2!H55</f>
        <v>0</v>
      </c>
      <c r="J90" s="69">
        <f>Berechnung2!I55</f>
        <v>0</v>
      </c>
      <c r="K90" s="69">
        <f>Berechnung2!J55</f>
        <v>0</v>
      </c>
      <c r="L90" s="68">
        <f>Berechnung2!K55</f>
        <v>0</v>
      </c>
      <c r="M90" s="68" t="str">
        <f>Berechnung2!L55</f>
        <v>relevante Nachsorgejahre nicht/unvollständig bearbeitet</v>
      </c>
      <c r="N90" s="68">
        <f>Berechnung2!M55</f>
        <v>0</v>
      </c>
      <c r="O90" s="68">
        <f>Berechnung2!N55</f>
        <v>0</v>
      </c>
      <c r="P90" s="67"/>
      <c r="Q90" s="67"/>
      <c r="R90" s="67"/>
      <c r="S90" s="67"/>
      <c r="T90" s="67"/>
      <c r="U90" s="67"/>
      <c r="AG90" s="5"/>
    </row>
    <row r="91" spans="1:33" ht="14.25" hidden="1" customHeight="1" x14ac:dyDescent="0.25">
      <c r="A91" s="67" t="str">
        <f>Berechnung2!B56</f>
        <v>Relative Quote tumorfrei</v>
      </c>
      <c r="C91" s="67">
        <f>Berechnung2!C56</f>
        <v>0</v>
      </c>
      <c r="D91" s="67" t="str">
        <f>Berechnung2!D56</f>
        <v>plausi</v>
      </c>
      <c r="E91" s="67"/>
      <c r="F91" s="69" t="str">
        <f>Berechnung2!E56</f>
        <v>nicht geprüft</v>
      </c>
      <c r="G91" s="69">
        <f>Berechnung2!F56</f>
        <v>-1</v>
      </c>
      <c r="H91" s="69">
        <f>Berechnung2!G56</f>
        <v>-1</v>
      </c>
      <c r="I91" s="68">
        <f>Berechnung2!H56</f>
        <v>-1</v>
      </c>
      <c r="J91" s="69">
        <f>Berechnung2!I56</f>
        <v>-1</v>
      </c>
      <c r="K91" s="69">
        <f>Berechnung2!J56</f>
        <v>-1</v>
      </c>
      <c r="L91" s="68">
        <f>Berechnung2!K56</f>
        <v>0</v>
      </c>
      <c r="M91" s="68" t="str">
        <f>Berechnung2!L56</f>
        <v>auffällig niedrige Quote tumorfreier Patienten</v>
      </c>
      <c r="N91" s="68">
        <f>Berechnung2!M56</f>
        <v>0</v>
      </c>
      <c r="O91" s="68">
        <f>Berechnung2!N56</f>
        <v>0</v>
      </c>
      <c r="P91" s="67"/>
      <c r="Q91" s="67"/>
      <c r="R91" s="67"/>
      <c r="S91" s="67"/>
      <c r="T91" s="67"/>
      <c r="U91" s="67"/>
      <c r="AG91" s="5"/>
    </row>
    <row r="92" spans="1:33" ht="14.25" hidden="1" customHeight="1" x14ac:dyDescent="0.25">
      <c r="A92" s="67" t="str">
        <f>Berechnung2!B57</f>
        <v xml:space="preserve">nur Prozentwerte können eingegeben werden </v>
      </c>
      <c r="C92" s="67">
        <f>Berechnung2!C57</f>
        <v>0</v>
      </c>
      <c r="D92" s="67" t="str">
        <f>Berechnung2!D57</f>
        <v>inkorrekt</v>
      </c>
      <c r="E92" s="67"/>
      <c r="F92" s="69" t="str">
        <f>Berechnung2!E57</f>
        <v>&gt;</v>
      </c>
      <c r="G92" s="69">
        <f>Berechnung2!F57</f>
        <v>0</v>
      </c>
      <c r="H92" s="69">
        <f>Berechnung2!G57</f>
        <v>0</v>
      </c>
      <c r="I92" s="68">
        <f>Berechnung2!H57</f>
        <v>0</v>
      </c>
      <c r="J92" s="69">
        <f>Berechnung2!I57</f>
        <v>0</v>
      </c>
      <c r="K92" s="69">
        <f>Berechnung2!J57</f>
        <v>1</v>
      </c>
      <c r="L92" s="68">
        <f>Berechnung2!K57</f>
        <v>0</v>
      </c>
      <c r="M92" s="68">
        <f>Berechnung2!L57</f>
        <v>0</v>
      </c>
      <c r="N92" s="68">
        <f>Berechnung2!M57</f>
        <v>0</v>
      </c>
      <c r="O92" s="68">
        <f>Berechnung2!N57</f>
        <v>0</v>
      </c>
      <c r="P92" s="67"/>
      <c r="Q92" s="67"/>
      <c r="R92" s="67"/>
      <c r="S92" s="67"/>
      <c r="T92" s="67"/>
      <c r="U92" s="67"/>
      <c r="AG92" s="5"/>
    </row>
    <row r="93" spans="1:33" ht="14.25" hidden="1" customHeight="1" x14ac:dyDescent="0.25">
      <c r="A93" s="67" t="str">
        <f>Berechnung2!B58</f>
        <v>zu geringe Anzahl der Primärfälle</v>
      </c>
      <c r="C93" s="67">
        <f>Berechnung2!C58</f>
        <v>0</v>
      </c>
      <c r="D93" s="67" t="str">
        <f>Berechnung2!D58</f>
        <v>plausi</v>
      </c>
      <c r="E93" s="67"/>
      <c r="F93" s="68" t="str">
        <f>Berechnung2!E58</f>
        <v>&lt;</v>
      </c>
      <c r="G93" s="68">
        <f>Berechnung2!F58</f>
        <v>0</v>
      </c>
      <c r="H93" s="68">
        <f>Berechnung2!G58</f>
        <v>-1</v>
      </c>
      <c r="I93" s="68">
        <f>Berechnung2!H58</f>
        <v>0</v>
      </c>
      <c r="J93" s="68">
        <f>Berechnung2!I58</f>
        <v>0</v>
      </c>
      <c r="K93" s="68">
        <f>Berechnung2!J58</f>
        <v>0</v>
      </c>
      <c r="L93" s="68">
        <f>Berechnung2!K58</f>
        <v>0</v>
      </c>
      <c r="M93" s="68" t="str">
        <f>Berechnung2!L58</f>
        <v>zu wenig Primärfälle angegeben</v>
      </c>
      <c r="N93" s="68">
        <f>Berechnung2!M58</f>
        <v>0</v>
      </c>
      <c r="O93" s="68">
        <f>Berechnung2!N58</f>
        <v>0</v>
      </c>
      <c r="P93" s="67"/>
      <c r="Q93" s="67"/>
      <c r="R93" s="67"/>
      <c r="S93" s="67"/>
      <c r="T93" s="67"/>
      <c r="U93" s="67"/>
      <c r="AG93" s="5"/>
    </row>
    <row r="94" spans="1:33" ht="14.25" hidden="1" customHeight="1" x14ac:dyDescent="0.25">
      <c r="A94" s="67" t="str">
        <f>Berechnung2!B59</f>
        <v>zu viele Patientinnen im Follow-Up</v>
      </c>
      <c r="C94" s="67">
        <f>Berechnung2!C59</f>
        <v>0</v>
      </c>
      <c r="D94" s="67" t="str">
        <f>Berechnung2!D59</f>
        <v>inkorrekt</v>
      </c>
      <c r="E94" s="67"/>
      <c r="F94" s="70">
        <f>Berechnung2!E59</f>
        <v>0</v>
      </c>
      <c r="G94" s="70">
        <f>Berechnung2!F59</f>
        <v>0</v>
      </c>
      <c r="H94" s="70">
        <f>Berechnung2!G59</f>
        <v>0</v>
      </c>
      <c r="I94" s="68">
        <f>Berechnung2!H59</f>
        <v>0</v>
      </c>
      <c r="J94" s="70">
        <f>Berechnung2!I59</f>
        <v>0</v>
      </c>
      <c r="K94" s="70">
        <f>Berechnung2!J59</f>
        <v>0</v>
      </c>
      <c r="L94" s="68">
        <f>Berechnung2!K59</f>
        <v>0</v>
      </c>
      <c r="M94" s="68" t="str">
        <f>Berechnung2!L59</f>
        <v>zu viele Pat im Follow-Up (Primärpat - Pat. FIGO IV)</v>
      </c>
      <c r="N94" s="68">
        <f>Berechnung2!M59</f>
        <v>0</v>
      </c>
      <c r="O94" s="68" t="str">
        <f>Berechnung2!N59</f>
        <v>Anzahl Pat. Im Follow-Up zu hoch.</v>
      </c>
      <c r="P94" s="67"/>
      <c r="Q94" s="67"/>
      <c r="R94" s="67"/>
      <c r="S94" s="67"/>
      <c r="T94" s="67"/>
      <c r="U94" s="67"/>
      <c r="AG94" s="5"/>
    </row>
    <row r="95" spans="1:33" ht="14.25" hidden="1" customHeight="1" x14ac:dyDescent="0.25">
      <c r="A95" s="67" t="str">
        <f>Berechnung2!B60</f>
        <v>geringe Follow-Up Quote</v>
      </c>
      <c r="C95" s="67">
        <f>Berechnung2!C60</f>
        <v>0</v>
      </c>
      <c r="D95" s="67" t="str">
        <f>Berechnung2!D60</f>
        <v>plausi</v>
      </c>
      <c r="E95" s="67"/>
      <c r="F95" s="70" t="str">
        <f>Berechnung2!E60</f>
        <v>&lt;</v>
      </c>
      <c r="G95" s="70">
        <f>Berechnung2!F60</f>
        <v>0</v>
      </c>
      <c r="H95" s="70">
        <f>Berechnung2!G60</f>
        <v>0</v>
      </c>
      <c r="I95" s="68">
        <f>Berechnung2!H60</f>
        <v>0</v>
      </c>
      <c r="J95" s="70">
        <f>Berechnung2!I60</f>
        <v>0.69999</v>
      </c>
      <c r="K95" s="70">
        <f>Berechnung2!J60</f>
        <v>0.69999</v>
      </c>
      <c r="L95" s="68">
        <f>Berechnung2!K60</f>
        <v>0</v>
      </c>
      <c r="M95" s="68" t="str">
        <f>Berechnung2!L60</f>
        <v>geringe Follow-Up Quote der Nachsorgejahre</v>
      </c>
      <c r="N95" s="68">
        <f>Berechnung2!M60</f>
        <v>0</v>
      </c>
      <c r="O95" s="68">
        <f>Berechnung2!N60</f>
        <v>0</v>
      </c>
      <c r="P95" s="67"/>
      <c r="Q95" s="67"/>
      <c r="R95" s="67"/>
      <c r="S95" s="67"/>
      <c r="T95" s="67"/>
      <c r="U95" s="67"/>
      <c r="AG95" s="5"/>
    </row>
    <row r="96" spans="1:33" ht="14.25" hidden="1" customHeight="1" x14ac:dyDescent="0.25">
      <c r="A96" s="67" t="str">
        <f>Berechnung2!B61</f>
        <v>geringe Follow-Up Quote der Jahre 2016-2018</v>
      </c>
      <c r="C96" s="67">
        <f>Berechnung2!C61</f>
        <v>0</v>
      </c>
      <c r="D96" s="67" t="str">
        <f>Berechnung2!D61</f>
        <v>sollvorgabe</v>
      </c>
      <c r="E96" s="67"/>
      <c r="F96" s="70" t="str">
        <f>Berechnung2!E61</f>
        <v>&lt;</v>
      </c>
      <c r="G96" s="70">
        <f>Berechnung2!F61</f>
        <v>0</v>
      </c>
      <c r="H96" s="70">
        <f>Berechnung2!G61</f>
        <v>0</v>
      </c>
      <c r="I96" s="68">
        <f>Berechnung2!H61</f>
        <v>0</v>
      </c>
      <c r="J96" s="70">
        <f>Berechnung2!I61</f>
        <v>0.79998999999999998</v>
      </c>
      <c r="K96" s="70">
        <f>Berechnung2!J61</f>
        <v>0.79998999999999998</v>
      </c>
      <c r="L96" s="68">
        <f>Berechnung2!K61</f>
        <v>0</v>
      </c>
      <c r="M96" s="68" t="str">
        <f>Berechnung2!L61</f>
        <v>durchschnittliche Follow-Up Quote &lt; 80%</v>
      </c>
      <c r="N96" s="68">
        <f>Berechnung2!M61</f>
        <v>0</v>
      </c>
      <c r="O96" s="68">
        <f>Berechnung2!N61</f>
        <v>0</v>
      </c>
      <c r="P96" s="67"/>
      <c r="Q96" s="67"/>
      <c r="R96" s="67"/>
      <c r="S96" s="67"/>
      <c r="T96" s="67"/>
      <c r="U96" s="67"/>
      <c r="AG96" s="5"/>
    </row>
    <row r="97" spans="1:33" ht="14.25" hidden="1" customHeight="1" x14ac:dyDescent="0.25">
      <c r="A97" s="67" t="str">
        <f>Berechnung2!B62</f>
        <v>zu hohe Follow-Up Quote der Jahre 2016-2018</v>
      </c>
      <c r="C97" s="67">
        <f>Berechnung2!C62</f>
        <v>0</v>
      </c>
      <c r="D97" s="67" t="str">
        <f>Berechnung2!D62</f>
        <v>plausi</v>
      </c>
      <c r="E97" s="67"/>
      <c r="F97" s="70" t="str">
        <f>Berechnung2!E62</f>
        <v>&gt;</v>
      </c>
      <c r="G97" s="70">
        <f>Berechnung2!F62</f>
        <v>0</v>
      </c>
      <c r="H97" s="70">
        <f>Berechnung2!G62</f>
        <v>0</v>
      </c>
      <c r="I97" s="68">
        <f>Berechnung2!H62</f>
        <v>0.95001000000000002</v>
      </c>
      <c r="J97" s="70">
        <f>Berechnung2!I62</f>
        <v>1</v>
      </c>
      <c r="K97" s="70">
        <f>Berechnung2!J62</f>
        <v>0.95001000000000002</v>
      </c>
      <c r="L97" s="68">
        <f>Berechnung2!K62</f>
        <v>0</v>
      </c>
      <c r="M97" s="68" t="str">
        <f>Berechnung2!L62</f>
        <v>durchschnittliche Follow-Up Quote &gt; 95%</v>
      </c>
      <c r="N97" s="68">
        <f>Berechnung2!M62</f>
        <v>0</v>
      </c>
      <c r="O97" s="68">
        <f>Berechnung2!N62</f>
        <v>0</v>
      </c>
      <c r="P97" s="67"/>
      <c r="Q97" s="67"/>
      <c r="R97" s="67"/>
      <c r="S97" s="67"/>
      <c r="T97" s="67"/>
      <c r="U97" s="67"/>
      <c r="AG97" s="5"/>
    </row>
    <row r="98" spans="1:33" ht="14.25" hidden="1" customHeight="1" x14ac:dyDescent="0.25">
      <c r="A98" s="67" t="str">
        <f>Berechnung2!B63</f>
        <v xml:space="preserve">Fehler bei Ereignisse </v>
      </c>
      <c r="C98" s="67">
        <f>Berechnung2!C63</f>
        <v>0</v>
      </c>
      <c r="D98" s="67" t="str">
        <f>Berechnung2!D63</f>
        <v>inkorrekt</v>
      </c>
      <c r="E98" s="67"/>
      <c r="F98" s="70">
        <f>Berechnung2!E63</f>
        <v>0</v>
      </c>
      <c r="G98" s="70">
        <f>Berechnung2!F63</f>
        <v>0</v>
      </c>
      <c r="H98" s="70">
        <f>Berechnung2!G63</f>
        <v>0</v>
      </c>
      <c r="I98" s="68">
        <f>Berechnung2!H63</f>
        <v>0</v>
      </c>
      <c r="J98" s="70">
        <f>Berechnung2!I63</f>
        <v>0</v>
      </c>
      <c r="K98" s="70">
        <f>Berechnung2!J63</f>
        <v>0</v>
      </c>
      <c r="L98" s="68">
        <f>Berechnung2!K63</f>
        <v>0</v>
      </c>
      <c r="M98" s="68" t="str">
        <f>Berechnung2!L63</f>
        <v>Werte in Spalte X,Y,Z dürfen den Wert Spalte W nicht übersteigen</v>
      </c>
      <c r="N98" s="68">
        <f>Berechnung2!M63</f>
        <v>0</v>
      </c>
      <c r="O98" s="68" t="str">
        <f>Berechnung2!N63</f>
        <v>Eingabe kann nicht größer sein als Ereignisse Spalte W.</v>
      </c>
      <c r="P98" s="67"/>
      <c r="Q98" s="67"/>
      <c r="R98" s="67"/>
      <c r="S98" s="67"/>
      <c r="T98" s="67"/>
      <c r="U98" s="67"/>
      <c r="AG98" s="5"/>
    </row>
    <row r="99" spans="1:33" ht="14.25" hidden="1" customHeight="1" x14ac:dyDescent="0.25">
      <c r="A99" s="67">
        <f>Berechnung2!B64</f>
        <v>0</v>
      </c>
      <c r="C99" s="67">
        <f>Berechnung2!C64</f>
        <v>0</v>
      </c>
      <c r="D99" s="67">
        <f>Berechnung2!D64</f>
        <v>0</v>
      </c>
      <c r="E99" s="67"/>
      <c r="F99" s="70">
        <f>Berechnung2!E64</f>
        <v>0</v>
      </c>
      <c r="G99" s="70">
        <f>Berechnung2!F64</f>
        <v>0</v>
      </c>
      <c r="H99" s="70">
        <f>Berechnung2!G64</f>
        <v>0</v>
      </c>
      <c r="I99" s="68">
        <f>Berechnung2!H64</f>
        <v>0</v>
      </c>
      <c r="J99" s="70">
        <f>Berechnung2!I64</f>
        <v>0</v>
      </c>
      <c r="K99" s="70">
        <f>Berechnung2!J64</f>
        <v>0</v>
      </c>
      <c r="L99" s="68">
        <f>Berechnung2!K64</f>
        <v>0</v>
      </c>
      <c r="M99" s="68">
        <f>Berechnung2!L64</f>
        <v>0</v>
      </c>
      <c r="N99" s="68">
        <f>Berechnung2!M64</f>
        <v>0</v>
      </c>
      <c r="O99" s="68">
        <f>Berechnung2!N64</f>
        <v>0</v>
      </c>
      <c r="P99" s="67"/>
      <c r="Q99" s="67"/>
      <c r="R99" s="67"/>
      <c r="S99" s="67"/>
      <c r="T99" s="67"/>
      <c r="U99" s="67"/>
      <c r="AG99" s="5"/>
    </row>
    <row r="100" spans="1:33" ht="14.25" hidden="1" customHeight="1" x14ac:dyDescent="0.25">
      <c r="A100" s="67" t="str">
        <f>Berechnung2!B65</f>
        <v>wenn sich Minuswerte berechnen</v>
      </c>
      <c r="C100" s="67">
        <f>Berechnung2!C65</f>
        <v>0</v>
      </c>
      <c r="D100" s="67" t="str">
        <f>Berechnung2!D65</f>
        <v>inkorrekt</v>
      </c>
      <c r="E100" s="67"/>
      <c r="F100" s="70" t="str">
        <f>Berechnung2!E65</f>
        <v>&lt;</v>
      </c>
      <c r="G100" s="70">
        <f>Berechnung2!F65</f>
        <v>0</v>
      </c>
      <c r="H100" s="70">
        <f>Berechnung2!G65</f>
        <v>0</v>
      </c>
      <c r="I100" s="68">
        <f>Berechnung2!H65</f>
        <v>0</v>
      </c>
      <c r="J100" s="70">
        <f>Berechnung2!I65</f>
        <v>0</v>
      </c>
      <c r="K100" s="70">
        <f>Berechnung2!J65</f>
        <v>0</v>
      </c>
      <c r="L100" s="68">
        <f>Berechnung2!K65</f>
        <v>0</v>
      </c>
      <c r="M100" s="68" t="str">
        <f>Berechnung2!L65</f>
        <v>Zahlen in Spalte U dürfen keine negativen Werte annehmen</v>
      </c>
      <c r="N100" s="68">
        <f>Berechnung2!M65</f>
        <v>0</v>
      </c>
      <c r="O100" s="68" t="str">
        <f>Berechnung2!N63</f>
        <v>Eingabe kann nicht größer sein als Ereignisse Spalte W.</v>
      </c>
      <c r="P100" s="67"/>
      <c r="Q100" s="67"/>
      <c r="R100" s="67"/>
      <c r="S100" s="67"/>
      <c r="T100" s="67"/>
      <c r="U100" s="67"/>
      <c r="AG100" s="5"/>
    </row>
    <row r="101" spans="1:33" ht="14.25" hidden="1" customHeight="1" x14ac:dyDescent="0.25">
      <c r="A101" s="67">
        <f>Berechnung2!B66</f>
        <v>0</v>
      </c>
      <c r="C101" s="67">
        <f>Berechnung2!C66</f>
        <v>0</v>
      </c>
      <c r="D101" s="67">
        <f>Berechnung2!D66</f>
        <v>0</v>
      </c>
      <c r="E101" s="67"/>
      <c r="F101" s="70">
        <f>Berechnung2!E66</f>
        <v>0</v>
      </c>
      <c r="G101" s="70">
        <f>Berechnung2!F66</f>
        <v>0</v>
      </c>
      <c r="H101" s="70">
        <f>Berechnung2!G66</f>
        <v>0</v>
      </c>
      <c r="I101" s="68">
        <f>Berechnung2!H66</f>
        <v>0</v>
      </c>
      <c r="J101" s="70">
        <f>Berechnung2!I66</f>
        <v>0</v>
      </c>
      <c r="K101" s="70">
        <f>Berechnung2!J66</f>
        <v>0</v>
      </c>
      <c r="L101" s="68">
        <f>Berechnung2!K66</f>
        <v>0</v>
      </c>
      <c r="M101" s="68">
        <f>Berechnung2!L66</f>
        <v>0</v>
      </c>
      <c r="N101" s="68">
        <f>Berechnung2!M66</f>
        <v>0</v>
      </c>
      <c r="O101" s="68">
        <f>Berechnung2!N66</f>
        <v>0</v>
      </c>
      <c r="P101" s="67"/>
      <c r="Q101" s="67"/>
      <c r="R101" s="67"/>
      <c r="S101" s="67"/>
      <c r="T101" s="67"/>
      <c r="U101" s="67"/>
      <c r="AG101" s="5"/>
    </row>
    <row r="102" spans="1:33" ht="14.25" hidden="1" customHeight="1" x14ac:dyDescent="0.25">
      <c r="A102" s="67" t="str">
        <f>Berechnung2!B67</f>
        <v>DFS</v>
      </c>
      <c r="C102" s="67">
        <f>Berechnung2!C67</f>
        <v>0</v>
      </c>
      <c r="D102" s="67">
        <f>Berechnung2!D67</f>
        <v>0</v>
      </c>
      <c r="E102" s="67"/>
      <c r="F102" s="67" t="str">
        <f>Berechnung2!E67</f>
        <v>von</v>
      </c>
      <c r="G102" s="67">
        <f>Berechnung2!F67</f>
        <v>0</v>
      </c>
      <c r="H102" s="67" t="str">
        <f>Berechnung2!G67</f>
        <v>untere Grenze</v>
      </c>
      <c r="I102" s="68">
        <f>Berechnung2!H67</f>
        <v>0</v>
      </c>
      <c r="J102" s="67">
        <f>Berechnung2!I67</f>
        <v>0</v>
      </c>
      <c r="K102" s="67" t="str">
        <f>Berechnung2!J67</f>
        <v>obere Grenze</v>
      </c>
      <c r="L102" s="67">
        <f>Berechnung2!K67</f>
        <v>0</v>
      </c>
      <c r="M102" s="67">
        <f>Berechnung2!L67</f>
        <v>0</v>
      </c>
      <c r="N102" s="67" t="e">
        <f>Berechnung2!#REF!</f>
        <v>#REF!</v>
      </c>
      <c r="O102" s="67">
        <f>Berechnung2!M67</f>
        <v>0</v>
      </c>
      <c r="P102" s="67"/>
      <c r="Q102" s="67"/>
      <c r="R102" s="67"/>
      <c r="S102" s="67"/>
      <c r="T102" s="67"/>
      <c r="U102" s="67"/>
      <c r="AG102" s="5"/>
    </row>
    <row r="103" spans="1:33" ht="14.25" hidden="1" customHeight="1" x14ac:dyDescent="0.25">
      <c r="A103" s="93">
        <f>Berechnung2!B68</f>
        <v>0</v>
      </c>
      <c r="B103" s="94"/>
      <c r="C103" s="93">
        <f>Berechnung2!C68</f>
        <v>0</v>
      </c>
      <c r="D103" s="93">
        <f>Berechnung2!D68</f>
        <v>0</v>
      </c>
      <c r="E103" s="93"/>
      <c r="F103" s="93">
        <f>Berechnung2!E68</f>
        <v>10.01</v>
      </c>
      <c r="G103" s="93">
        <f>Berechnung2!F68</f>
        <v>10.01</v>
      </c>
      <c r="H103" s="93">
        <f>Berechnung2!G68</f>
        <v>1.01</v>
      </c>
      <c r="I103" s="68">
        <f>Berechnung2!H68</f>
        <v>0</v>
      </c>
      <c r="J103" s="93">
        <f>Berechnung2!I68</f>
        <v>1.01</v>
      </c>
      <c r="K103" s="93">
        <f>Berechnung2!J68</f>
        <v>1.01</v>
      </c>
      <c r="L103" s="93">
        <f>Berechnung2!K68</f>
        <v>0</v>
      </c>
      <c r="M103" s="67" t="str">
        <f>Berechnung2!L68</f>
        <v>DFS auffällig niedrig oder hoch</v>
      </c>
      <c r="N103" s="67" t="e">
        <f>Berechnung2!#REF!</f>
        <v>#REF!</v>
      </c>
      <c r="O103" s="67" t="str">
        <f>Berechnung2!M68</f>
        <v>DFS auffällig niedrig oder hoch</v>
      </c>
      <c r="P103" s="67"/>
      <c r="Q103" s="67"/>
      <c r="R103" s="67"/>
      <c r="S103" s="67"/>
      <c r="T103" s="67"/>
      <c r="U103" s="67"/>
      <c r="AG103" s="5"/>
    </row>
    <row r="104" spans="1:33" ht="14.25" hidden="1" customHeight="1" x14ac:dyDescent="0.25">
      <c r="A104" s="93">
        <f>Berechnung2!B69</f>
        <v>0</v>
      </c>
      <c r="B104" s="94"/>
      <c r="C104" s="93">
        <f>Berechnung2!C69</f>
        <v>0</v>
      </c>
      <c r="D104" s="93">
        <f>Berechnung2!D69</f>
        <v>0</v>
      </c>
      <c r="E104" s="93"/>
      <c r="F104" s="93">
        <f>Berechnung2!E69</f>
        <v>10.01</v>
      </c>
      <c r="G104" s="93">
        <f>Berechnung2!F69</f>
        <v>10.01</v>
      </c>
      <c r="H104" s="93">
        <f>Berechnung2!G69</f>
        <v>1.01</v>
      </c>
      <c r="I104" s="68">
        <f>Berechnung2!H69</f>
        <v>0</v>
      </c>
      <c r="J104" s="93">
        <f>Berechnung2!I69</f>
        <v>1.01</v>
      </c>
      <c r="K104" s="93">
        <f>Berechnung2!J69</f>
        <v>1.01</v>
      </c>
      <c r="L104" s="93">
        <f>Berechnung2!K69</f>
        <v>0</v>
      </c>
      <c r="M104" s="67" t="str">
        <f>Berechnung2!L69</f>
        <v>DFS auffällig niedrig oder hoch</v>
      </c>
      <c r="N104" s="67" t="e">
        <f>Berechnung2!#REF!</f>
        <v>#REF!</v>
      </c>
      <c r="O104" s="67" t="str">
        <f>Berechnung2!M69</f>
        <v>DFS auffällig niedrig oder hoch</v>
      </c>
      <c r="P104" s="67"/>
      <c r="Q104" s="67"/>
      <c r="R104" s="67"/>
      <c r="S104" s="67"/>
      <c r="T104" s="67"/>
      <c r="U104" s="67"/>
      <c r="AG104" s="5"/>
    </row>
    <row r="105" spans="1:33" ht="14.25" hidden="1" customHeight="1" x14ac:dyDescent="0.25">
      <c r="A105" s="93">
        <f>Berechnung2!B70</f>
        <v>0</v>
      </c>
      <c r="B105" s="94"/>
      <c r="C105" s="93">
        <f>Berechnung2!C70</f>
        <v>0</v>
      </c>
      <c r="D105" s="93">
        <f>Berechnung2!D70</f>
        <v>0</v>
      </c>
      <c r="E105" s="93"/>
      <c r="F105" s="93">
        <f>Berechnung2!E70</f>
        <v>10.01</v>
      </c>
      <c r="G105" s="93">
        <f>Berechnung2!F70</f>
        <v>10.01</v>
      </c>
      <c r="H105" s="93">
        <f>Berechnung2!G70</f>
        <v>1.01</v>
      </c>
      <c r="I105" s="68">
        <f>Berechnung2!H70</f>
        <v>0</v>
      </c>
      <c r="J105" s="93">
        <f>Berechnung2!I70</f>
        <v>1.01</v>
      </c>
      <c r="K105" s="93">
        <f>Berechnung2!J70</f>
        <v>1.01</v>
      </c>
      <c r="L105" s="93">
        <f>Berechnung2!K70</f>
        <v>0</v>
      </c>
      <c r="M105" s="67" t="str">
        <f>Berechnung2!L70</f>
        <v>DFS auffällig niedrig oder hoch</v>
      </c>
      <c r="N105" s="67" t="e">
        <f>Berechnung2!#REF!</f>
        <v>#REF!</v>
      </c>
      <c r="O105" s="67" t="str">
        <f>Berechnung2!M70</f>
        <v>DFS auffällig niedrig oder hoch</v>
      </c>
      <c r="P105" s="67"/>
      <c r="Q105" s="67"/>
      <c r="R105" s="67"/>
      <c r="S105" s="67"/>
      <c r="T105" s="67"/>
      <c r="U105" s="67"/>
      <c r="AG105" s="5"/>
    </row>
    <row r="106" spans="1:33" ht="14.25" hidden="1" customHeight="1" x14ac:dyDescent="0.25">
      <c r="A106" s="93">
        <f>Berechnung2!B71</f>
        <v>0</v>
      </c>
      <c r="B106" s="94"/>
      <c r="C106" s="93">
        <f>Berechnung2!C71</f>
        <v>0</v>
      </c>
      <c r="D106" s="93">
        <f>Berechnung2!D71</f>
        <v>0</v>
      </c>
      <c r="E106" s="93"/>
      <c r="F106" s="93">
        <f>Berechnung2!E71</f>
        <v>10.01</v>
      </c>
      <c r="G106" s="93">
        <f>Berechnung2!F71</f>
        <v>10.01</v>
      </c>
      <c r="H106" s="93">
        <f>Berechnung2!G71</f>
        <v>1.01</v>
      </c>
      <c r="I106" s="68">
        <f>Berechnung2!H71</f>
        <v>0</v>
      </c>
      <c r="J106" s="93">
        <f>Berechnung2!I71</f>
        <v>1.01</v>
      </c>
      <c r="K106" s="93">
        <f>Berechnung2!J71</f>
        <v>1.01</v>
      </c>
      <c r="L106" s="93">
        <f>Berechnung2!K71</f>
        <v>0</v>
      </c>
      <c r="M106" s="67" t="str">
        <f>Berechnung2!L71</f>
        <v>DFS auffällig niedrig oder hoch</v>
      </c>
      <c r="N106" s="67" t="e">
        <f>Berechnung2!#REF!</f>
        <v>#REF!</v>
      </c>
      <c r="O106" s="67" t="str">
        <f>Berechnung2!M71</f>
        <v>DFS auffällig niedrig oder hoch</v>
      </c>
      <c r="P106" s="67"/>
      <c r="Q106" s="67"/>
      <c r="R106" s="67"/>
      <c r="S106" s="67"/>
      <c r="T106" s="67"/>
      <c r="U106" s="67"/>
      <c r="AG106" s="5"/>
    </row>
    <row r="107" spans="1:33" ht="14.25" hidden="1" customHeight="1" x14ac:dyDescent="0.25">
      <c r="A107" s="93">
        <f>Berechnung2!B72</f>
        <v>0</v>
      </c>
      <c r="B107" s="94"/>
      <c r="C107" s="93">
        <f>Berechnung2!C72</f>
        <v>0</v>
      </c>
      <c r="D107" s="93">
        <f>Berechnung2!D72</f>
        <v>0</v>
      </c>
      <c r="E107" s="93"/>
      <c r="F107" s="93">
        <f>Berechnung2!E72</f>
        <v>10.01</v>
      </c>
      <c r="G107" s="93">
        <f>Berechnung2!F72</f>
        <v>10.01</v>
      </c>
      <c r="H107" s="93">
        <f>Berechnung2!G72</f>
        <v>1.01</v>
      </c>
      <c r="I107" s="68">
        <f>Berechnung2!H72</f>
        <v>0</v>
      </c>
      <c r="J107" s="93">
        <f>Berechnung2!I72</f>
        <v>1.01</v>
      </c>
      <c r="K107" s="93">
        <f>Berechnung2!J72</f>
        <v>1.01</v>
      </c>
      <c r="L107" s="93">
        <f>Berechnung2!K72</f>
        <v>0</v>
      </c>
      <c r="M107" s="67" t="str">
        <f>Berechnung2!L72</f>
        <v>DFS auffällig niedrig oder hoch</v>
      </c>
      <c r="N107" s="67" t="e">
        <f>Berechnung2!#REF!</f>
        <v>#REF!</v>
      </c>
      <c r="O107" s="67" t="str">
        <f>Berechnung2!M72</f>
        <v>DFS auffällig niedrig oder hoch</v>
      </c>
      <c r="P107" s="67"/>
      <c r="Q107" s="67"/>
      <c r="R107" s="67"/>
      <c r="S107" s="67"/>
      <c r="T107" s="67"/>
      <c r="U107" s="67"/>
      <c r="AG107" s="5"/>
    </row>
    <row r="108" spans="1:33" ht="14.25" hidden="1" customHeight="1" x14ac:dyDescent="0.25">
      <c r="A108" s="93">
        <f>Berechnung2!B73</f>
        <v>0</v>
      </c>
      <c r="B108" s="94"/>
      <c r="C108" s="93">
        <f>Berechnung2!C73</f>
        <v>0</v>
      </c>
      <c r="D108" s="93">
        <f>Berechnung2!D73</f>
        <v>0</v>
      </c>
      <c r="E108" s="93"/>
      <c r="F108" s="93">
        <f>Berechnung2!E73</f>
        <v>10.01</v>
      </c>
      <c r="G108" s="93">
        <f>Berechnung2!F73</f>
        <v>10.01</v>
      </c>
      <c r="H108" s="93">
        <f>Berechnung2!G73</f>
        <v>1.01</v>
      </c>
      <c r="I108" s="68">
        <f>Berechnung2!H73</f>
        <v>0</v>
      </c>
      <c r="J108" s="93">
        <f>Berechnung2!I73</f>
        <v>1.01</v>
      </c>
      <c r="K108" s="93">
        <f>Berechnung2!J73</f>
        <v>1.01</v>
      </c>
      <c r="L108" s="93">
        <f>Berechnung2!K73</f>
        <v>0</v>
      </c>
      <c r="M108" s="67" t="str">
        <f>Berechnung2!L73</f>
        <v>DFS auffällig niedrig oder hoch</v>
      </c>
      <c r="N108" s="67" t="e">
        <f>Berechnung2!#REF!</f>
        <v>#REF!</v>
      </c>
      <c r="O108" s="67" t="str">
        <f>Berechnung2!M73</f>
        <v>DFS auffällig niedrig oder hoch</v>
      </c>
      <c r="P108" s="67"/>
      <c r="Q108" s="67"/>
      <c r="R108" s="67"/>
      <c r="S108" s="67"/>
      <c r="T108" s="67"/>
      <c r="U108" s="67"/>
      <c r="AG108" s="5"/>
    </row>
    <row r="109" spans="1:33" ht="14.25" hidden="1" customHeight="1" x14ac:dyDescent="0.25">
      <c r="A109" s="93">
        <f>Berechnung2!B74</f>
        <v>0</v>
      </c>
      <c r="B109" s="94"/>
      <c r="C109" s="93">
        <f>Berechnung2!C74</f>
        <v>0</v>
      </c>
      <c r="D109" s="93">
        <f>Berechnung2!D74</f>
        <v>0</v>
      </c>
      <c r="E109" s="93"/>
      <c r="F109" s="93">
        <f>Berechnung2!E74</f>
        <v>10.01</v>
      </c>
      <c r="G109" s="93">
        <f>Berechnung2!F74</f>
        <v>10.01</v>
      </c>
      <c r="H109" s="93">
        <f>Berechnung2!G74</f>
        <v>1.01</v>
      </c>
      <c r="I109" s="68">
        <f>Berechnung2!H74</f>
        <v>0</v>
      </c>
      <c r="J109" s="93">
        <f>Berechnung2!I74</f>
        <v>1.01</v>
      </c>
      <c r="K109" s="93">
        <f>Berechnung2!J74</f>
        <v>1.01</v>
      </c>
      <c r="L109" s="93">
        <f>Berechnung2!K74</f>
        <v>0</v>
      </c>
      <c r="M109" s="67" t="str">
        <f>Berechnung2!L74</f>
        <v>DFS auffällig niedrig oder hoch</v>
      </c>
      <c r="N109" s="67" t="e">
        <f>Berechnung2!#REF!</f>
        <v>#REF!</v>
      </c>
      <c r="O109" s="67" t="str">
        <f>Berechnung2!M74</f>
        <v>DFS auffällig niedrig oder hoch</v>
      </c>
      <c r="P109" s="67"/>
      <c r="Q109" s="67"/>
      <c r="R109" s="67"/>
      <c r="S109" s="67"/>
      <c r="T109" s="67"/>
      <c r="U109" s="67"/>
      <c r="AG109" s="5"/>
    </row>
    <row r="110" spans="1:33" ht="14.25" hidden="1" customHeight="1" x14ac:dyDescent="0.25">
      <c r="A110" s="93">
        <f>Berechnung2!B75</f>
        <v>0</v>
      </c>
      <c r="B110" s="94"/>
      <c r="C110" s="93">
        <f>Berechnung2!C75</f>
        <v>0</v>
      </c>
      <c r="D110" s="93">
        <f>Berechnung2!D75</f>
        <v>0</v>
      </c>
      <c r="E110" s="93"/>
      <c r="F110" s="93">
        <f>Berechnung2!E75</f>
        <v>0</v>
      </c>
      <c r="G110" s="93">
        <f>Berechnung2!F75</f>
        <v>0</v>
      </c>
      <c r="H110" s="93">
        <f>Berechnung2!G75</f>
        <v>0</v>
      </c>
      <c r="I110" s="68">
        <f>Berechnung2!H75</f>
        <v>0</v>
      </c>
      <c r="J110" s="93">
        <f>Berechnung2!I75</f>
        <v>0</v>
      </c>
      <c r="K110" s="93">
        <f>Berechnung2!J75</f>
        <v>0</v>
      </c>
      <c r="L110" s="93">
        <f>Berechnung2!K75</f>
        <v>0</v>
      </c>
      <c r="M110" s="67">
        <f>Berechnung2!L75</f>
        <v>0</v>
      </c>
      <c r="N110" s="67" t="e">
        <f>Berechnung2!#REF!</f>
        <v>#REF!</v>
      </c>
      <c r="O110" s="67">
        <f>Berechnung2!M75</f>
        <v>0</v>
      </c>
      <c r="P110" s="67"/>
      <c r="Q110" s="67"/>
      <c r="R110" s="67"/>
      <c r="S110" s="67"/>
      <c r="T110" s="67"/>
      <c r="U110" s="67"/>
      <c r="AG110" s="5"/>
    </row>
    <row r="111" spans="1:33" ht="14.25" hidden="1" customHeight="1" x14ac:dyDescent="0.25">
      <c r="A111" s="93" t="str">
        <f>Berechnung2!B76</f>
        <v>OAS</v>
      </c>
      <c r="B111" s="94"/>
      <c r="C111" s="93">
        <f>Berechnung2!C76</f>
        <v>0</v>
      </c>
      <c r="D111" s="93">
        <f>Berechnung2!D76</f>
        <v>0</v>
      </c>
      <c r="E111" s="93"/>
      <c r="F111" s="93">
        <f>Berechnung2!E76</f>
        <v>0</v>
      </c>
      <c r="G111" s="93">
        <f>Berechnung2!F76</f>
        <v>0</v>
      </c>
      <c r="H111" s="93" t="str">
        <f>Berechnung2!G76</f>
        <v>untere Grenze</v>
      </c>
      <c r="I111" s="68">
        <f>Berechnung2!H76</f>
        <v>0</v>
      </c>
      <c r="J111" s="93">
        <f>Berechnung2!I76</f>
        <v>0</v>
      </c>
      <c r="K111" s="93" t="str">
        <f>Berechnung2!J76</f>
        <v>obere Grenze</v>
      </c>
      <c r="L111" s="93">
        <f>Berechnung2!K76</f>
        <v>0</v>
      </c>
      <c r="M111" s="67">
        <f>Berechnung2!L76</f>
        <v>0</v>
      </c>
      <c r="N111" s="67" t="e">
        <f>Berechnung2!#REF!</f>
        <v>#REF!</v>
      </c>
      <c r="O111" s="67">
        <f>Berechnung2!M76</f>
        <v>0</v>
      </c>
      <c r="P111" s="67"/>
      <c r="Q111" s="67"/>
      <c r="R111" s="67"/>
      <c r="S111" s="67"/>
      <c r="T111" s="67"/>
      <c r="U111" s="67"/>
      <c r="AG111" s="5"/>
    </row>
    <row r="112" spans="1:33" ht="14.25" hidden="1" customHeight="1" x14ac:dyDescent="0.25">
      <c r="A112" s="93">
        <f>Berechnung2!B77</f>
        <v>0</v>
      </c>
      <c r="B112" s="94"/>
      <c r="C112" s="93">
        <f>Berechnung2!C77</f>
        <v>0</v>
      </c>
      <c r="D112" s="93">
        <f>Berechnung2!D77</f>
        <v>0</v>
      </c>
      <c r="E112" s="93"/>
      <c r="F112" s="93">
        <f>Berechnung2!E77</f>
        <v>10.01</v>
      </c>
      <c r="G112" s="93">
        <f>Berechnung2!F77</f>
        <v>10.01</v>
      </c>
      <c r="H112" s="93">
        <f>Berechnung2!G77</f>
        <v>1.01</v>
      </c>
      <c r="I112" s="68">
        <f>Berechnung2!H77</f>
        <v>0</v>
      </c>
      <c r="J112" s="93">
        <f>Berechnung2!I77</f>
        <v>1.01</v>
      </c>
      <c r="K112" s="93">
        <f>Berechnung2!J77</f>
        <v>1.01</v>
      </c>
      <c r="L112" s="93">
        <f>Berechnung2!K77</f>
        <v>0</v>
      </c>
      <c r="M112" s="67" t="str">
        <f>Berechnung2!L77</f>
        <v>OAS auffällig niedrig oder hoch</v>
      </c>
      <c r="N112" s="67" t="e">
        <f>Berechnung2!#REF!</f>
        <v>#REF!</v>
      </c>
      <c r="O112" s="67" t="str">
        <f>Berechnung2!M77</f>
        <v>OAS auffällig niedrig oder hoch</v>
      </c>
      <c r="P112" s="67"/>
      <c r="Q112" s="67"/>
      <c r="R112" s="67"/>
      <c r="S112" s="67"/>
      <c r="T112" s="67"/>
      <c r="U112" s="67"/>
      <c r="AG112" s="5"/>
    </row>
    <row r="113" spans="1:33" ht="14.25" hidden="1" customHeight="1" x14ac:dyDescent="0.25">
      <c r="A113" s="93">
        <f>Berechnung2!B78</f>
        <v>0</v>
      </c>
      <c r="B113" s="94"/>
      <c r="C113" s="93">
        <f>Berechnung2!C78</f>
        <v>0</v>
      </c>
      <c r="D113" s="93">
        <f>Berechnung2!D78</f>
        <v>0</v>
      </c>
      <c r="E113" s="93"/>
      <c r="F113" s="93">
        <f>Berechnung2!E78</f>
        <v>10.01</v>
      </c>
      <c r="G113" s="93">
        <f>Berechnung2!F78</f>
        <v>10.01</v>
      </c>
      <c r="H113" s="93">
        <f>Berechnung2!G78</f>
        <v>1.01</v>
      </c>
      <c r="I113" s="68">
        <f>Berechnung2!H78</f>
        <v>0</v>
      </c>
      <c r="J113" s="93">
        <f>Berechnung2!I78</f>
        <v>1.01</v>
      </c>
      <c r="K113" s="93">
        <f>Berechnung2!J78</f>
        <v>1.01</v>
      </c>
      <c r="L113" s="93">
        <f>Berechnung2!K78</f>
        <v>0</v>
      </c>
      <c r="M113" s="67" t="str">
        <f>Berechnung2!L78</f>
        <v>OAS auffällig niedrig oder hoch</v>
      </c>
      <c r="N113" s="67" t="e">
        <f>Berechnung2!#REF!</f>
        <v>#REF!</v>
      </c>
      <c r="O113" s="67" t="str">
        <f>Berechnung2!M78</f>
        <v>OAS auffällig niedrig oder hoch</v>
      </c>
      <c r="P113" s="67"/>
      <c r="Q113" s="67"/>
      <c r="R113" s="67"/>
      <c r="S113" s="67"/>
      <c r="T113" s="67"/>
      <c r="U113" s="67"/>
      <c r="AG113" s="5"/>
    </row>
    <row r="114" spans="1:33" ht="14.25" hidden="1" customHeight="1" x14ac:dyDescent="0.25">
      <c r="A114" s="93">
        <f>Berechnung2!B79</f>
        <v>0</v>
      </c>
      <c r="B114" s="94"/>
      <c r="C114" s="93">
        <f>Berechnung2!C79</f>
        <v>0</v>
      </c>
      <c r="D114" s="93">
        <f>Berechnung2!D79</f>
        <v>0</v>
      </c>
      <c r="E114" s="93"/>
      <c r="F114" s="93">
        <f>Berechnung2!E79</f>
        <v>10.01</v>
      </c>
      <c r="G114" s="93">
        <f>Berechnung2!F79</f>
        <v>10.01</v>
      </c>
      <c r="H114" s="93">
        <f>Berechnung2!G79</f>
        <v>1.01</v>
      </c>
      <c r="I114" s="68">
        <f>Berechnung2!H79</f>
        <v>0</v>
      </c>
      <c r="J114" s="93">
        <f>Berechnung2!I79</f>
        <v>1.01</v>
      </c>
      <c r="K114" s="93">
        <f>Berechnung2!J79</f>
        <v>1.01</v>
      </c>
      <c r="L114" s="93">
        <f>Berechnung2!K79</f>
        <v>0</v>
      </c>
      <c r="M114" s="67" t="str">
        <f>Berechnung2!L79</f>
        <v>OAS auffällig niedrig oder hoch</v>
      </c>
      <c r="N114" s="67" t="e">
        <f>Berechnung2!#REF!</f>
        <v>#REF!</v>
      </c>
      <c r="O114" s="67" t="str">
        <f>Berechnung2!M79</f>
        <v>OAS auffällig niedrig oder hoch</v>
      </c>
      <c r="P114" s="67"/>
      <c r="Q114" s="67"/>
      <c r="R114" s="67"/>
      <c r="S114" s="67"/>
      <c r="T114" s="67"/>
      <c r="U114" s="67"/>
      <c r="AG114" s="5"/>
    </row>
    <row r="115" spans="1:33" ht="14.25" hidden="1" customHeight="1" x14ac:dyDescent="0.25">
      <c r="A115" s="93">
        <f>Berechnung2!B80</f>
        <v>0</v>
      </c>
      <c r="B115" s="94"/>
      <c r="C115" s="93">
        <f>Berechnung2!C80</f>
        <v>0</v>
      </c>
      <c r="D115" s="93">
        <f>Berechnung2!D80</f>
        <v>0</v>
      </c>
      <c r="E115" s="93"/>
      <c r="F115" s="93">
        <f>Berechnung2!E80</f>
        <v>10.01</v>
      </c>
      <c r="G115" s="93">
        <f>Berechnung2!F80</f>
        <v>10.01</v>
      </c>
      <c r="H115" s="93">
        <f>Berechnung2!G80</f>
        <v>1.01</v>
      </c>
      <c r="I115" s="68">
        <f>Berechnung2!H80</f>
        <v>0</v>
      </c>
      <c r="J115" s="93">
        <f>Berechnung2!I80</f>
        <v>1.01</v>
      </c>
      <c r="K115" s="93">
        <f>Berechnung2!J80</f>
        <v>1.01</v>
      </c>
      <c r="L115" s="93">
        <f>Berechnung2!K80</f>
        <v>0</v>
      </c>
      <c r="M115" s="67" t="str">
        <f>Berechnung2!L80</f>
        <v>OAS auffällig niedrig oder hoch</v>
      </c>
      <c r="N115" s="67" t="e">
        <f>Berechnung2!#REF!</f>
        <v>#REF!</v>
      </c>
      <c r="O115" s="67" t="str">
        <f>Berechnung2!M80</f>
        <v>OAS auffällig niedrig oder hoch</v>
      </c>
      <c r="P115" s="67"/>
      <c r="Q115" s="67"/>
      <c r="R115" s="67"/>
      <c r="S115" s="67"/>
      <c r="T115" s="67"/>
      <c r="U115" s="67"/>
      <c r="AG115" s="5"/>
    </row>
    <row r="116" spans="1:33" ht="14.25" hidden="1" customHeight="1" x14ac:dyDescent="0.25">
      <c r="A116" s="93">
        <f>Berechnung2!B81</f>
        <v>0</v>
      </c>
      <c r="B116" s="94"/>
      <c r="C116" s="93">
        <f>Berechnung2!C81</f>
        <v>0</v>
      </c>
      <c r="D116" s="93">
        <f>Berechnung2!D81</f>
        <v>0</v>
      </c>
      <c r="E116" s="93"/>
      <c r="F116" s="93">
        <f>Berechnung2!E81</f>
        <v>10.01</v>
      </c>
      <c r="G116" s="93">
        <f>Berechnung2!F81</f>
        <v>10.01</v>
      </c>
      <c r="H116" s="93">
        <f>Berechnung2!G81</f>
        <v>1.01</v>
      </c>
      <c r="I116" s="68">
        <f>Berechnung2!H81</f>
        <v>0</v>
      </c>
      <c r="J116" s="93">
        <f>Berechnung2!I81</f>
        <v>1.01</v>
      </c>
      <c r="K116" s="93">
        <f>Berechnung2!J81</f>
        <v>1.01</v>
      </c>
      <c r="L116" s="93">
        <f>Berechnung2!K81</f>
        <v>0</v>
      </c>
      <c r="M116" s="67" t="str">
        <f>Berechnung2!L81</f>
        <v>OAS auffällig niedrig oder hoch</v>
      </c>
      <c r="N116" s="67" t="e">
        <f>Berechnung2!#REF!</f>
        <v>#REF!</v>
      </c>
      <c r="O116" s="67" t="str">
        <f>Berechnung2!M81</f>
        <v>OAS auffällig niedrig oder hoch</v>
      </c>
      <c r="P116" s="67"/>
      <c r="Q116" s="67"/>
      <c r="R116" s="67"/>
      <c r="S116" s="67"/>
      <c r="T116" s="67"/>
      <c r="U116" s="67"/>
      <c r="AG116" s="5"/>
    </row>
    <row r="117" spans="1:33" ht="14.25" hidden="1" customHeight="1" x14ac:dyDescent="0.25">
      <c r="A117" s="93">
        <f>Berechnung2!B82</f>
        <v>0</v>
      </c>
      <c r="B117" s="94"/>
      <c r="C117" s="93">
        <f>Berechnung2!C82</f>
        <v>0</v>
      </c>
      <c r="D117" s="93">
        <f>Berechnung2!D82</f>
        <v>0</v>
      </c>
      <c r="E117" s="93"/>
      <c r="F117" s="93">
        <f>Berechnung2!E82</f>
        <v>10.01</v>
      </c>
      <c r="G117" s="93">
        <f>Berechnung2!F82</f>
        <v>10.01</v>
      </c>
      <c r="H117" s="93">
        <f>Berechnung2!G82</f>
        <v>1.01</v>
      </c>
      <c r="I117" s="68">
        <f>Berechnung2!H82</f>
        <v>0</v>
      </c>
      <c r="J117" s="93">
        <f>Berechnung2!I82</f>
        <v>1.01</v>
      </c>
      <c r="K117" s="93">
        <f>Berechnung2!J82</f>
        <v>1.01</v>
      </c>
      <c r="L117" s="93">
        <f>Berechnung2!K82</f>
        <v>0</v>
      </c>
      <c r="M117" s="67" t="str">
        <f>Berechnung2!L82</f>
        <v>OAS auffällig niedrig oder hoch</v>
      </c>
      <c r="N117" s="67" t="e">
        <f>Berechnung2!#REF!</f>
        <v>#REF!</v>
      </c>
      <c r="O117" s="67" t="str">
        <f>Berechnung2!M82</f>
        <v>OAS auffällig niedrig oder hoch</v>
      </c>
      <c r="P117" s="67"/>
      <c r="Q117" s="67"/>
      <c r="R117" s="67"/>
      <c r="S117" s="67"/>
      <c r="T117" s="67"/>
      <c r="U117" s="67"/>
      <c r="AG117" s="5"/>
    </row>
    <row r="118" spans="1:33" ht="14.25" hidden="1" customHeight="1" x14ac:dyDescent="0.25">
      <c r="A118" s="93">
        <f>Berechnung2!B83</f>
        <v>0</v>
      </c>
      <c r="B118" s="94"/>
      <c r="C118" s="93">
        <f>Berechnung2!C83</f>
        <v>0</v>
      </c>
      <c r="D118" s="93">
        <f>Berechnung2!D83</f>
        <v>0</v>
      </c>
      <c r="E118" s="93"/>
      <c r="F118" s="93">
        <f>Berechnung2!E83</f>
        <v>10.01</v>
      </c>
      <c r="G118" s="93">
        <f>Berechnung2!F83</f>
        <v>10.01</v>
      </c>
      <c r="H118" s="93">
        <f>Berechnung2!G83</f>
        <v>1.01</v>
      </c>
      <c r="I118" s="68">
        <f>Berechnung2!H83</f>
        <v>0</v>
      </c>
      <c r="J118" s="93">
        <f>Berechnung2!I83</f>
        <v>1.01</v>
      </c>
      <c r="K118" s="93">
        <f>Berechnung2!J83</f>
        <v>1.01</v>
      </c>
      <c r="L118" s="93">
        <f>Berechnung2!K83</f>
        <v>0</v>
      </c>
      <c r="M118" s="67" t="str">
        <f>Berechnung2!L83</f>
        <v>OAS auffällig niedrig oder hoch</v>
      </c>
      <c r="N118" s="67" t="e">
        <f>Berechnung2!#REF!</f>
        <v>#REF!</v>
      </c>
      <c r="O118" s="67" t="str">
        <f>Berechnung2!M83</f>
        <v>OAS auffällig niedrig oder hoch</v>
      </c>
      <c r="P118" s="67"/>
      <c r="Q118" s="67"/>
      <c r="R118" s="67"/>
      <c r="S118" s="67"/>
      <c r="T118" s="67"/>
      <c r="U118" s="67"/>
      <c r="AG118" s="5"/>
    </row>
  </sheetData>
  <sheetProtection algorithmName="SHA-512" hashValue="bjnem4FfjWUseslx7RJWlIxXlTVG6vhoBqo78fpAjNO+3KV3W7XkNl263QcVJN1sCWdetTqokB+rnH9i5ZVGtQ==" saltValue="gxXRMqLdPJQYTRmAVFPdYA==" spinCount="100000" sheet="1" objects="1" scenarios="1" selectLockedCells="1"/>
  <dataConsolidate/>
  <mergeCells count="101">
    <mergeCell ref="J69:AG69"/>
    <mergeCell ref="J68:AG68"/>
    <mergeCell ref="J67:AG67"/>
    <mergeCell ref="J63:AG63"/>
    <mergeCell ref="J66:AG66"/>
    <mergeCell ref="J64:AG64"/>
    <mergeCell ref="J65:AG65"/>
    <mergeCell ref="J62:AG62"/>
    <mergeCell ref="O21:O22"/>
    <mergeCell ref="J61:AG61"/>
    <mergeCell ref="O28:S28"/>
    <mergeCell ref="U28:AC28"/>
    <mergeCell ref="A40:AG40"/>
    <mergeCell ref="I21:I22"/>
    <mergeCell ref="G21:G22"/>
    <mergeCell ref="B60:E60"/>
    <mergeCell ref="AD18:AD29"/>
    <mergeCell ref="T19:T29"/>
    <mergeCell ref="C18:M18"/>
    <mergeCell ref="J21:J22"/>
    <mergeCell ref="X22:Z22"/>
    <mergeCell ref="L21:L22"/>
    <mergeCell ref="B65:E65"/>
    <mergeCell ref="F67:I67"/>
    <mergeCell ref="F73:I73"/>
    <mergeCell ref="B61:E61"/>
    <mergeCell ref="B62:E62"/>
    <mergeCell ref="F66:I66"/>
    <mergeCell ref="F65:I65"/>
    <mergeCell ref="B66:E66"/>
    <mergeCell ref="B68:E68"/>
    <mergeCell ref="F64:I64"/>
    <mergeCell ref="F61:I61"/>
    <mergeCell ref="B73:E73"/>
    <mergeCell ref="B67:E67"/>
    <mergeCell ref="C6:Z6"/>
    <mergeCell ref="C8:G8"/>
    <mergeCell ref="U8:Z8"/>
    <mergeCell ref="V21:V22"/>
    <mergeCell ref="F60:I60"/>
    <mergeCell ref="A54:D54"/>
    <mergeCell ref="A59:E59"/>
    <mergeCell ref="O20:S20"/>
    <mergeCell ref="R21:R22"/>
    <mergeCell ref="H13:N13"/>
    <mergeCell ref="O13:S13"/>
    <mergeCell ref="H14:N14"/>
    <mergeCell ref="A13:G13"/>
    <mergeCell ref="A14:G14"/>
    <mergeCell ref="J20:K20"/>
    <mergeCell ref="L20:M20"/>
    <mergeCell ref="J60:AG60"/>
    <mergeCell ref="K21:K22"/>
    <mergeCell ref="AF21:AF22"/>
    <mergeCell ref="O29:S29"/>
    <mergeCell ref="AE28:AG28"/>
    <mergeCell ref="AA21:AA22"/>
    <mergeCell ref="AE29:AG29"/>
    <mergeCell ref="U29:AC29"/>
    <mergeCell ref="J73:AG76"/>
    <mergeCell ref="A21:A22"/>
    <mergeCell ref="C21:C22"/>
    <mergeCell ref="D21:D22"/>
    <mergeCell ref="E21:E22"/>
    <mergeCell ref="B21:B22"/>
    <mergeCell ref="F21:F22"/>
    <mergeCell ref="AC21:AC22"/>
    <mergeCell ref="U21:U22"/>
    <mergeCell ref="W21:W22"/>
    <mergeCell ref="AE21:AE22"/>
    <mergeCell ref="AB21:AB22"/>
    <mergeCell ref="AG21:AG22"/>
    <mergeCell ref="P21:P22"/>
    <mergeCell ref="Q21:Q22"/>
    <mergeCell ref="F76:I76"/>
    <mergeCell ref="B69:E69"/>
    <mergeCell ref="F69:I69"/>
    <mergeCell ref="B63:E63"/>
    <mergeCell ref="F62:I62"/>
    <mergeCell ref="F68:I68"/>
    <mergeCell ref="F63:I63"/>
    <mergeCell ref="B76:E76"/>
    <mergeCell ref="B64:E64"/>
    <mergeCell ref="A41:AF41"/>
    <mergeCell ref="A11:AG11"/>
    <mergeCell ref="A35:AG35"/>
    <mergeCell ref="AF20:AG20"/>
    <mergeCell ref="T13:AB13"/>
    <mergeCell ref="T14:AB14"/>
    <mergeCell ref="AC13:AG13"/>
    <mergeCell ref="AC14:AG14"/>
    <mergeCell ref="AE18:AG18"/>
    <mergeCell ref="O18:AC18"/>
    <mergeCell ref="H20:I20"/>
    <mergeCell ref="F20:G20"/>
    <mergeCell ref="D20:E20"/>
    <mergeCell ref="O14:S14"/>
    <mergeCell ref="U20:AC20"/>
    <mergeCell ref="M21:M22"/>
    <mergeCell ref="S21:S22"/>
    <mergeCell ref="H21:H22"/>
  </mergeCells>
  <phoneticPr fontId="36" type="noConversion"/>
  <conditionalFormatting sqref="B23:B29">
    <cfRule type="expression" dxfId="76" priority="3091" stopIfTrue="1">
      <formula>OR(A23="nicht relevant",A23="EZ")</formula>
    </cfRule>
  </conditionalFormatting>
  <conditionalFormatting sqref="N23:N28">
    <cfRule type="expression" dxfId="75" priority="3095" stopIfTrue="1">
      <formula>OR($A23="nicht relevant",$A23="EZ")</formula>
    </cfRule>
  </conditionalFormatting>
  <conditionalFormatting sqref="AA23:AC23 W23 D23:M29 P23:R27">
    <cfRule type="expression" dxfId="74" priority="3011" stopIfTrue="1">
      <formula>OR($A23="nicht relevant",$A23="EZ")</formula>
    </cfRule>
    <cfRule type="expression" dxfId="73" priority="3143" stopIfTrue="1">
      <formula>LEN(TRIM(D23))=0</formula>
    </cfRule>
  </conditionalFormatting>
  <conditionalFormatting sqref="U23:U27">
    <cfRule type="expression" dxfId="72" priority="3140" stopIfTrue="1">
      <formula>OR($A23="nicht relevant",$A23="EZ")</formula>
    </cfRule>
    <cfRule type="cellIs" dxfId="71" priority="3149" stopIfTrue="1" operator="lessThan">
      <formula>0</formula>
    </cfRule>
  </conditionalFormatting>
  <conditionalFormatting sqref="S31">
    <cfRule type="cellIs" priority="3386" stopIfTrue="1" operator="equal">
      <formula>"---"</formula>
    </cfRule>
    <cfRule type="cellIs" dxfId="70" priority="3387" stopIfTrue="1" operator="between">
      <formula>$I$97</formula>
      <formula>$J$97</formula>
    </cfRule>
    <cfRule type="cellIs" dxfId="69" priority="3388" stopIfTrue="1" operator="between">
      <formula>$H$96</formula>
      <formula>$J$96</formula>
    </cfRule>
  </conditionalFormatting>
  <conditionalFormatting sqref="AA24:AC24 W24">
    <cfRule type="expression" dxfId="68" priority="36" stopIfTrue="1">
      <formula>OR($A24="nicht relevant",$A24="EZ")</formula>
    </cfRule>
    <cfRule type="expression" dxfId="67" priority="37" stopIfTrue="1">
      <formula>LEN(TRIM(W24))=0</formula>
    </cfRule>
  </conditionalFormatting>
  <conditionalFormatting sqref="AA25:AC26 W25:W26">
    <cfRule type="expression" dxfId="66" priority="31" stopIfTrue="1">
      <formula>OR($A25="nicht relevant",$A25="EZ")</formula>
    </cfRule>
    <cfRule type="expression" dxfId="65" priority="32" stopIfTrue="1">
      <formula>LEN(TRIM(W25))=0</formula>
    </cfRule>
  </conditionalFormatting>
  <conditionalFormatting sqref="AA27:AC27 W27">
    <cfRule type="expression" dxfId="64" priority="26" stopIfTrue="1">
      <formula>OR($A27="nicht relevant",$A27="EZ")</formula>
    </cfRule>
    <cfRule type="expression" dxfId="63" priority="27" stopIfTrue="1">
      <formula>LEN(TRIM(W27))=0</formula>
    </cfRule>
  </conditionalFormatting>
  <conditionalFormatting sqref="A14">
    <cfRule type="expression" dxfId="62" priority="3576" stopIfTrue="1">
      <formula>$A$14="die inkorrekten und unvollständigen Einträge beheben"</formula>
    </cfRule>
  </conditionalFormatting>
  <conditionalFormatting sqref="A13">
    <cfRule type="expression" dxfId="61" priority="3578" stopIfTrue="1">
      <formula>$A$13="Nicht in Ordnung"</formula>
    </cfRule>
  </conditionalFormatting>
  <conditionalFormatting sqref="S24">
    <cfRule type="expression" dxfId="60" priority="13" stopIfTrue="1">
      <formula>OR($A24="nicht relevant",$A24="EZ")</formula>
    </cfRule>
    <cfRule type="expression" dxfId="59" priority="14" stopIfTrue="1">
      <formula>LEN(TRIM(S24))=0</formula>
    </cfRule>
  </conditionalFormatting>
  <conditionalFormatting sqref="S23">
    <cfRule type="expression" dxfId="58" priority="3629" stopIfTrue="1">
      <formula>OR($A23="nicht relevant",$A23="EZ")</formula>
    </cfRule>
    <cfRule type="expression" dxfId="57" priority="3630" stopIfTrue="1">
      <formula>LEN(TRIM(S23))=0</formula>
    </cfRule>
  </conditionalFormatting>
  <conditionalFormatting sqref="O23:O27">
    <cfRule type="expression" dxfId="56" priority="3647" stopIfTrue="1">
      <formula>OR($A23="nicht relevant",$A23="EZ")</formula>
    </cfRule>
    <cfRule type="expression" dxfId="55" priority="3648" stopIfTrue="1">
      <formula>LEN(TRIM(O23))=0</formula>
    </cfRule>
    <cfRule type="cellIs" dxfId="54" priority="3649" stopIfTrue="1" operator="greaterThan">
      <formula>$C23-$M23-$L23</formula>
    </cfRule>
  </conditionalFormatting>
  <conditionalFormatting sqref="X23:Z27">
    <cfRule type="expression" dxfId="53" priority="3650" stopIfTrue="1">
      <formula>OR($A23="nicht relevant",$A23="EZ")</formula>
    </cfRule>
    <cfRule type="expression" dxfId="52" priority="3651" stopIfTrue="1">
      <formula>LEN(TRIM(X23))=0</formula>
    </cfRule>
    <cfRule type="cellIs" dxfId="51" priority="3652" stopIfTrue="1" operator="greaterThan">
      <formula>$W23</formula>
    </cfRule>
  </conditionalFormatting>
  <conditionalFormatting sqref="V23:V27 AE23:AE27">
    <cfRule type="expression" dxfId="50" priority="3653" stopIfTrue="1">
      <formula>OR($A23="nicht relevant",$A23="EZ")</formula>
    </cfRule>
    <cfRule type="cellIs" dxfId="49" priority="3654" stopIfTrue="1" operator="between">
      <formula>$H$91</formula>
      <formula>$J$91</formula>
    </cfRule>
  </conditionalFormatting>
  <conditionalFormatting sqref="C23:C29">
    <cfRule type="expression" dxfId="48" priority="3657" stopIfTrue="1">
      <formula>OR($A23="nicht relevant",$A23="EZ")</formula>
    </cfRule>
    <cfRule type="cellIs" dxfId="47" priority="3658" stopIfTrue="1" operator="lessThan">
      <formula>$H$93</formula>
    </cfRule>
  </conditionalFormatting>
  <conditionalFormatting sqref="S25:S27">
    <cfRule type="expression" dxfId="46" priority="3659" stopIfTrue="1">
      <formula>OR($A25="nicht relevant",$A25="EZ")</formula>
    </cfRule>
    <cfRule type="expression" dxfId="45" priority="3660" stopIfTrue="1">
      <formula>LEN(TRIM(S25))=0</formula>
    </cfRule>
    <cfRule type="cellIs" dxfId="44" priority="3661" stopIfTrue="1" operator="between">
      <formula>$H$95</formula>
      <formula>$J$95</formula>
    </cfRule>
  </conditionalFormatting>
  <conditionalFormatting sqref="N29">
    <cfRule type="expression" dxfId="43" priority="1" stopIfTrue="1">
      <formula>OR($A29="nicht relevant",$A29="EZ")</formula>
    </cfRule>
  </conditionalFormatting>
  <dataValidations count="12">
    <dataValidation type="whole" allowBlank="1" showInputMessage="1" showErrorMessage="1" errorTitle="Eingabefehler" error="Ganze Zahl zwischen 0 und 5000 eingeben." sqref="D23:M28" xr:uid="{00000000-0002-0000-0900-000000000000}">
      <formula1>0</formula1>
      <formula2>5000</formula2>
    </dataValidation>
    <dataValidation type="whole" operator="greaterThanOrEqual" allowBlank="1" showInputMessage="1" showErrorMessage="1" errorTitle="Error" error="Minuszahlen..." sqref="C23:C29" xr:uid="{00000000-0002-0000-0900-000001000000}">
      <formula1>0</formula1>
    </dataValidation>
    <dataValidation type="whole" errorStyle="information" allowBlank="1" showInputMessage="1" showErrorMessage="1" errorTitle="Ausfüllhinweis" error="Nur postive ganze Zahlen verwenden." sqref="N23:N29" xr:uid="{00000000-0002-0000-0900-000002000000}">
      <formula1>0</formula1>
      <formula2>5000</formula2>
    </dataValidation>
    <dataValidation type="decimal" allowBlank="1" showInputMessage="1" showErrorMessage="1" errorTitle="Aufüllhinweis" error="Nur Prozentwerte zwischen 0% und 100% können verwendet werden." sqref="AF23:AG27" xr:uid="{00000000-0002-0000-0900-000003000000}">
      <formula1>0</formula1>
      <formula2>1</formula2>
    </dataValidation>
    <dataValidation type="whole" showInputMessage="1" showErrorMessage="1" errorTitle="Eingabefehler" error="Eingabe kann nicht größer sein als Ereignisse Spalte W." sqref="X23:Z27" xr:uid="{00000000-0002-0000-0900-000004000000}">
      <formula1>0</formula1>
      <formula2>$W23</formula2>
    </dataValidation>
    <dataValidation type="whole" showInputMessage="1" showErrorMessage="1" errorTitle="Eingabefehler" error="Summe Spalten W+AA+AB+AC (Patienten mit Ereignisse) darf nicht größer als Summe Spalten P+Q (Patientenrückmeldungen) sein._x000a__x000a_" sqref="W23:W27" xr:uid="{00000000-0002-0000-0900-000005000000}">
      <formula1>0</formula1>
      <formula2>SUM($P23:$Q23)-$AA23-$AB23-$AC23</formula2>
    </dataValidation>
    <dataValidation type="whole" showInputMessage="1" showErrorMessage="1" errorTitle="Eingabefehler" error="Summe Spalten W+AA+AB+AC (Patienten mit Ereignisse) darf nicht größer als Summe Spalten P+Q (Patientenrückmeldungen) sein." sqref="AA23:AA27" xr:uid="{00000000-0002-0000-0900-000006000000}">
      <formula1>0</formula1>
      <formula2>SUM($P23:$Q23)-$W23-$AB23-$AC23</formula2>
    </dataValidation>
    <dataValidation type="whole" showInputMessage="1" showErrorMessage="1" errorTitle="Eingabefehler" error="Summe Spalten W+AA+AB+AC (Patienten mit Ereignisse) darf nicht größer als Summe Spalten P+Q (Patientenrückmeldungen) sein." sqref="AB23:AB27" xr:uid="{00000000-0002-0000-0900-000007000000}">
      <formula1>0</formula1>
      <formula2>SUM($P23:$Q23)-$AA23-$W23-$AC23</formula2>
    </dataValidation>
    <dataValidation type="whole" showInputMessage="1" showErrorMessage="1" errorTitle="Eingabefehler" error="Summe Spalten W+AA+AB+AC (Patienten mit Ereignisse) darf nicht größer als Summe Spalten P+Q (Patientenrückmeldungen) sein." sqref="AC23:AC27" xr:uid="{00000000-0002-0000-0900-000008000000}">
      <formula1>0</formula1>
      <formula2>SUM($P23:$Q23)-$AA23-$AB23-$W23</formula2>
    </dataValidation>
    <dataValidation type="whole" showInputMessage="1" showErrorMessage="1" errorTitle="Eingabefehler" error="Anzahl Pat. im Follow-Up zu hoch." sqref="P23:P27" xr:uid="{00000000-0002-0000-0900-000009000000}">
      <formula1>0</formula1>
      <formula2>$C23-$M23-$L23-Q23-R23</formula2>
    </dataValidation>
    <dataValidation type="whole" showInputMessage="1" showErrorMessage="1" errorTitle="Eingabefehler" error="Anzahl Pat. im Follow-Up zu hoch." sqref="Q23:Q27" xr:uid="{00000000-0002-0000-0900-00000A000000}">
      <formula1>0</formula1>
      <formula2>$C23-$L23-$M23-P23-R23</formula2>
    </dataValidation>
    <dataValidation type="whole" showInputMessage="1" showErrorMessage="1" errorTitle="Eingabefehler" error="Anzahl Pat. im Follow-Up zu hoch." sqref="R23:R27" xr:uid="{00000000-0002-0000-0900-00000B000000}">
      <formula1>0</formula1>
      <formula2>$C23-$L23-$M23-P23-Q23</formula2>
    </dataValidation>
  </dataValidations>
  <pageMargins left="0.39370078740157483" right="0.19685039370078741" top="0.59055118110236227" bottom="0.39370078740157483" header="0.11811023622047245" footer="0.11811023622047245"/>
  <pageSetup paperSize="9" scale="98" orientation="landscape" r:id="rId1"/>
  <headerFooter>
    <oddFooter xml:space="preserve">&amp;L&amp;"Arial,Standard"&amp;7&amp;F&amp;C&amp;"Arial,Standard"&amp;7 © DKG  Alle Rechte vorbehalten&amp;R&amp;"Arial,Standard"&amp;7&amp;P       </oddFooter>
  </headerFooter>
  <rowBreaks count="1" manualBreakCount="1">
    <brk id="32" max="16383"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6"/>
  <dimension ref="A1:N25"/>
  <sheetViews>
    <sheetView showGridLines="0" zoomScaleNormal="100" zoomScaleSheetLayoutView="100" workbookViewId="0">
      <selection activeCell="C17" sqref="C17:G17"/>
    </sheetView>
  </sheetViews>
  <sheetFormatPr defaultColWidth="9" defaultRowHeight="13.8" x14ac:dyDescent="0.25"/>
  <cols>
    <col min="1" max="1" width="14.109375" style="5" customWidth="1"/>
    <col min="2" max="2" width="26.5546875" style="5" customWidth="1"/>
    <col min="3" max="3" width="23" style="5" customWidth="1"/>
    <col min="4" max="4" width="21.44140625" style="5" customWidth="1"/>
    <col min="5" max="5" width="19.88671875" style="5" customWidth="1"/>
    <col min="6" max="6" width="19.109375" style="5" customWidth="1"/>
    <col min="7" max="7" width="12.6640625" style="5" customWidth="1"/>
    <col min="8" max="182" width="11.44140625" style="5" customWidth="1"/>
    <col min="183" max="16384" width="9" style="5"/>
  </cols>
  <sheetData>
    <row r="1" spans="1:14" ht="6.9" customHeight="1" x14ac:dyDescent="0.25">
      <c r="B1" s="40"/>
      <c r="E1" s="26"/>
    </row>
    <row r="2" spans="1:14" ht="15.9" customHeight="1" x14ac:dyDescent="0.25">
      <c r="A2" s="374" t="s">
        <v>1087</v>
      </c>
      <c r="B2" s="9"/>
      <c r="C2" s="9"/>
      <c r="E2" s="26"/>
    </row>
    <row r="3" spans="1:14" ht="16.8" x14ac:dyDescent="0.3">
      <c r="A3" s="29" t="s">
        <v>435</v>
      </c>
      <c r="E3" s="26"/>
      <c r="F3" s="27"/>
    </row>
    <row r="4" spans="1:14" ht="16.8" x14ac:dyDescent="0.3">
      <c r="A4" s="29"/>
      <c r="J4" s="30"/>
    </row>
    <row r="5" spans="1:14" ht="15" customHeight="1" x14ac:dyDescent="0.25">
      <c r="D5" s="18"/>
      <c r="E5" s="18"/>
      <c r="F5" s="18"/>
      <c r="G5" s="18"/>
      <c r="H5" s="18"/>
      <c r="I5" s="18"/>
      <c r="J5" s="30"/>
    </row>
    <row r="6" spans="1:14" s="33" customFormat="1" ht="15" customHeight="1" x14ac:dyDescent="0.25">
      <c r="A6" s="36" t="s">
        <v>282</v>
      </c>
      <c r="B6" s="963" t="str">
        <f>IF(Basisdaten!C8=0,"",Basisdaten!C8)</f>
        <v/>
      </c>
      <c r="C6" s="964"/>
      <c r="D6" s="964"/>
      <c r="E6" s="964"/>
      <c r="F6" s="965"/>
      <c r="G6" s="18"/>
      <c r="H6" s="18"/>
      <c r="J6" s="30"/>
      <c r="K6" s="30"/>
      <c r="L6" s="28"/>
      <c r="M6" s="30"/>
      <c r="N6" s="30"/>
    </row>
    <row r="7" spans="1:14" s="33" customFormat="1" ht="6.9" customHeight="1" x14ac:dyDescent="0.25">
      <c r="A7" s="8"/>
      <c r="C7" s="18"/>
      <c r="D7" s="18"/>
      <c r="E7" s="18"/>
      <c r="F7" s="18"/>
      <c r="G7" s="18"/>
      <c r="H7" s="18"/>
      <c r="J7" s="30"/>
      <c r="K7" s="30"/>
      <c r="L7" s="28"/>
      <c r="M7" s="30"/>
      <c r="N7" s="30"/>
    </row>
    <row r="8" spans="1:14" s="33" customFormat="1" ht="15" customHeight="1" x14ac:dyDescent="0.25">
      <c r="A8" s="36" t="s">
        <v>210</v>
      </c>
      <c r="B8" s="61" t="str">
        <f>IF(Basisdaten!C6=0,"",Basisdaten!C6)</f>
        <v/>
      </c>
      <c r="D8" s="30"/>
      <c r="E8" s="240" t="s">
        <v>207</v>
      </c>
      <c r="F8" s="60" t="str">
        <f>IF(Basisdaten!L12=0,"",Basisdaten!L12)</f>
        <v/>
      </c>
      <c r="H8" s="9"/>
      <c r="J8" s="30"/>
      <c r="K8" s="30"/>
      <c r="L8" s="28"/>
      <c r="M8" s="30"/>
      <c r="N8" s="30"/>
    </row>
    <row r="9" spans="1:14" s="33" customFormat="1" ht="8.25" customHeight="1" x14ac:dyDescent="0.25">
      <c r="B9" s="35"/>
      <c r="C9" s="41"/>
      <c r="E9" s="41"/>
      <c r="I9" s="21"/>
      <c r="J9" s="42"/>
      <c r="K9" s="42"/>
      <c r="L9" s="42"/>
      <c r="M9" s="42"/>
      <c r="N9" s="42"/>
    </row>
    <row r="10" spans="1:14" ht="6.75" customHeight="1" x14ac:dyDescent="0.25">
      <c r="I10" s="44"/>
      <c r="J10" s="43"/>
      <c r="K10" s="43"/>
      <c r="L10" s="43"/>
      <c r="M10" s="43"/>
      <c r="N10" s="43"/>
    </row>
    <row r="11" spans="1:14" s="239" customFormat="1" ht="17.25" customHeight="1" x14ac:dyDescent="0.3">
      <c r="A11" s="238" t="s">
        <v>237</v>
      </c>
    </row>
    <row r="12" spans="1:14" s="9" customFormat="1" ht="13.5" customHeight="1" x14ac:dyDescent="0.25">
      <c r="A12" s="1078" t="str">
        <f>IF(OR(A13="",A13="Matrix kann eingereicht werden"),"In Ordnung",IF(A13="die inkorrekten und unvollständigen Einträge beheben","Nicht in Ordnung"))</f>
        <v>In Ordnung</v>
      </c>
      <c r="B12" s="1079"/>
      <c r="C12" s="62" t="s">
        <v>208</v>
      </c>
      <c r="D12" s="63" t="s">
        <v>57</v>
      </c>
      <c r="E12" s="71" t="s">
        <v>229</v>
      </c>
      <c r="F12" s="72" t="s">
        <v>8</v>
      </c>
    </row>
    <row r="13" spans="1:14" s="9" customFormat="1" ht="21" customHeight="1" x14ac:dyDescent="0.25">
      <c r="A13" s="1040" t="str">
        <f>Berechnung2!B6</f>
        <v/>
      </c>
      <c r="B13" s="1042"/>
      <c r="C13" s="77">
        <f>Berechnung2!C6</f>
        <v>0</v>
      </c>
      <c r="D13" s="78">
        <f>Berechnung2!D6</f>
        <v>0</v>
      </c>
      <c r="E13" s="110">
        <f>Berechnung2!E6</f>
        <v>0</v>
      </c>
      <c r="F13" s="111">
        <f>Berechnung2!F6</f>
        <v>0</v>
      </c>
    </row>
    <row r="14" spans="1:14" s="33" customFormat="1" ht="10.5" customHeight="1" x14ac:dyDescent="0.25">
      <c r="B14" s="19"/>
      <c r="C14" s="19"/>
    </row>
    <row r="15" spans="1:14" ht="12.75" customHeight="1" x14ac:dyDescent="0.25">
      <c r="A15" s="1083" t="s">
        <v>264</v>
      </c>
      <c r="B15" s="1085" t="s">
        <v>150</v>
      </c>
      <c r="C15" s="1086" t="s">
        <v>464</v>
      </c>
      <c r="D15" s="1087"/>
      <c r="E15" s="1087"/>
      <c r="F15" s="1087"/>
      <c r="G15" s="1088"/>
    </row>
    <row r="16" spans="1:14" s="25" customFormat="1" ht="11.25" customHeight="1" x14ac:dyDescent="0.25">
      <c r="A16" s="1084"/>
      <c r="B16" s="1084"/>
      <c r="C16" s="1087"/>
      <c r="D16" s="1087"/>
      <c r="E16" s="1087"/>
      <c r="F16" s="1087"/>
      <c r="G16" s="1088"/>
    </row>
    <row r="17" spans="1:7" ht="66" customHeight="1" x14ac:dyDescent="0.3">
      <c r="A17" s="45" t="str">
        <f>IF(ISERROR(Berechnung2!G15),"",Berechnung2!G15)</f>
        <v/>
      </c>
      <c r="B17" s="45" t="str">
        <f>IF(ISERROR(Berechnung2!H15),"",Berechnung2!H15)</f>
        <v/>
      </c>
      <c r="C17" s="1080"/>
      <c r="D17" s="1081"/>
      <c r="E17" s="1081"/>
      <c r="F17" s="1081"/>
      <c r="G17" s="1082"/>
    </row>
    <row r="18" spans="1:7" ht="66" customHeight="1" x14ac:dyDescent="0.3">
      <c r="A18" s="45" t="str">
        <f>IF(ISERROR(Berechnung2!G16),"",Berechnung2!G16)</f>
        <v/>
      </c>
      <c r="B18" s="45" t="str">
        <f>IF(ISERROR(Berechnung2!H16),"",Berechnung2!H16)</f>
        <v/>
      </c>
      <c r="C18" s="1080"/>
      <c r="D18" s="1081"/>
      <c r="E18" s="1081"/>
      <c r="F18" s="1081"/>
      <c r="G18" s="1082"/>
    </row>
    <row r="19" spans="1:7" ht="66" customHeight="1" x14ac:dyDescent="0.3">
      <c r="A19" s="45" t="str">
        <f>IF(ISERROR(Berechnung2!G17),"",Berechnung2!G17)</f>
        <v/>
      </c>
      <c r="B19" s="45" t="str">
        <f>IF(ISERROR(Berechnung2!H17),"",Berechnung2!H17)</f>
        <v/>
      </c>
      <c r="C19" s="1080"/>
      <c r="D19" s="1081"/>
      <c r="E19" s="1081"/>
      <c r="F19" s="1081"/>
      <c r="G19" s="1082"/>
    </row>
    <row r="20" spans="1:7" ht="66" customHeight="1" x14ac:dyDescent="0.3">
      <c r="A20" s="45" t="str">
        <f>IF(ISERROR(Berechnung2!G18),"",Berechnung2!G18)</f>
        <v/>
      </c>
      <c r="B20" s="45" t="str">
        <f>IF(ISERROR(Berechnung2!H18),"",Berechnung2!H18)</f>
        <v/>
      </c>
      <c r="C20" s="1080"/>
      <c r="D20" s="1081"/>
      <c r="E20" s="1081"/>
      <c r="F20" s="1081"/>
      <c r="G20" s="1082"/>
    </row>
    <row r="21" spans="1:7" ht="66" customHeight="1" x14ac:dyDescent="0.3">
      <c r="A21" s="45" t="str">
        <f>IF(ISERROR(Berechnung2!G19),"",Berechnung2!G19)</f>
        <v/>
      </c>
      <c r="B21" s="45" t="str">
        <f>IF(ISERROR(Berechnung2!H19),"",Berechnung2!H19)</f>
        <v/>
      </c>
      <c r="C21" s="1080"/>
      <c r="D21" s="1081"/>
      <c r="E21" s="1081"/>
      <c r="F21" s="1081"/>
      <c r="G21" s="1082"/>
    </row>
    <row r="22" spans="1:7" s="73" customFormat="1" ht="66" customHeight="1" x14ac:dyDescent="0.3">
      <c r="A22" s="45" t="str">
        <f>IF(ISERROR(Berechnung2!G20),"",Berechnung2!G20)</f>
        <v/>
      </c>
      <c r="B22" s="45" t="str">
        <f>IF(ISERROR(Berechnung2!H20),"",Berechnung2!H20)</f>
        <v/>
      </c>
      <c r="C22" s="1080"/>
      <c r="D22" s="1081"/>
      <c r="E22" s="1081"/>
      <c r="F22" s="1081"/>
      <c r="G22" s="1082"/>
    </row>
    <row r="23" spans="1:7" s="73" customFormat="1" ht="66" customHeight="1" x14ac:dyDescent="0.3">
      <c r="A23" s="45" t="str">
        <f>IF(ISERROR(Berechnung2!G21),"",Berechnung2!G21)</f>
        <v/>
      </c>
      <c r="B23" s="45" t="str">
        <f>IF(ISERROR(Berechnung2!H21),"",Berechnung2!H21)</f>
        <v/>
      </c>
      <c r="C23" s="1080"/>
      <c r="D23" s="1081"/>
      <c r="E23" s="1081"/>
      <c r="F23" s="1081"/>
      <c r="G23" s="1082"/>
    </row>
    <row r="24" spans="1:7" ht="66" customHeight="1" x14ac:dyDescent="0.3">
      <c r="A24" s="45" t="str">
        <f>IF(ISERROR(Berechnung2!G22),"",Berechnung2!G22)</f>
        <v/>
      </c>
      <c r="B24" s="45" t="str">
        <f>IF(ISERROR(Berechnung2!H22),"",Berechnung2!H22)</f>
        <v/>
      </c>
      <c r="C24" s="1080"/>
      <c r="D24" s="1081"/>
      <c r="E24" s="1081"/>
      <c r="F24" s="1081"/>
      <c r="G24" s="1082"/>
    </row>
    <row r="25" spans="1:7" ht="66" customHeight="1" x14ac:dyDescent="0.3">
      <c r="A25" s="45" t="str">
        <f>IF(ISERROR(Berechnung2!G23),"",Berechnung2!G23)</f>
        <v/>
      </c>
      <c r="B25" s="45" t="str">
        <f>IF(ISERROR(Berechnung2!H23),"",Berechnung2!H23)</f>
        <v/>
      </c>
      <c r="C25" s="1080"/>
      <c r="D25" s="1081"/>
      <c r="E25" s="1081"/>
      <c r="F25" s="1081"/>
      <c r="G25" s="1082"/>
    </row>
  </sheetData>
  <sheetProtection algorithmName="SHA-512" hashValue="44Wb9bkHuoqoCaMAqbbZjsR8mvi2RP2ak/PDp7W1jM3e76felofqVOijBDBY2JU4i103W/EUl5sdWOqYqC5K0w==" saltValue="iwJPwjf8lewtgvc1BzxZ/Q==" spinCount="100000" sheet="1" objects="1" scenarios="1" selectLockedCells="1"/>
  <mergeCells count="15">
    <mergeCell ref="C25:G25"/>
    <mergeCell ref="C20:G20"/>
    <mergeCell ref="A15:A16"/>
    <mergeCell ref="B15:B16"/>
    <mergeCell ref="C15:G16"/>
    <mergeCell ref="C17:G17"/>
    <mergeCell ref="C18:G18"/>
    <mergeCell ref="C19:G19"/>
    <mergeCell ref="C22:G22"/>
    <mergeCell ref="C23:G23"/>
    <mergeCell ref="A12:B12"/>
    <mergeCell ref="A13:B13"/>
    <mergeCell ref="B6:F6"/>
    <mergeCell ref="C21:G21"/>
    <mergeCell ref="C24:G24"/>
  </mergeCells>
  <phoneticPr fontId="36" type="noConversion"/>
  <conditionalFormatting sqref="C17">
    <cfRule type="notContainsBlanks" dxfId="42" priority="159" stopIfTrue="1">
      <formula>LEN(TRIM(C17))&gt;0</formula>
    </cfRule>
    <cfRule type="expression" dxfId="41" priority="2517" stopIfTrue="1">
      <formula>A17&lt;&gt;""</formula>
    </cfRule>
  </conditionalFormatting>
  <conditionalFormatting sqref="B17:B25">
    <cfRule type="expression" dxfId="40" priority="2504" stopIfTrue="1">
      <formula>SEARCH("Unvollständig",$B17,1)</formula>
    </cfRule>
    <cfRule type="expression" dxfId="39" priority="2514" stopIfTrue="1">
      <formula>SEARCH($D$12,$B17,1)</formula>
    </cfRule>
    <cfRule type="expression" dxfId="38" priority="2515" stopIfTrue="1">
      <formula>SEARCH($C$12,$B17,1)</formula>
    </cfRule>
    <cfRule type="expression" dxfId="37" priority="2516" stopIfTrue="1">
      <formula>SEARCH($E$12,$B17,1)</formula>
    </cfRule>
  </conditionalFormatting>
  <conditionalFormatting sqref="C18">
    <cfRule type="notContainsBlanks" dxfId="36" priority="21" stopIfTrue="1">
      <formula>LEN(TRIM(C18))&gt;0</formula>
    </cfRule>
    <cfRule type="expression" dxfId="35" priority="22" stopIfTrue="1">
      <formula>A18&lt;&gt;""</formula>
    </cfRule>
  </conditionalFormatting>
  <conditionalFormatting sqref="C19">
    <cfRule type="notContainsBlanks" dxfId="34" priority="19" stopIfTrue="1">
      <formula>LEN(TRIM(C19))&gt;0</formula>
    </cfRule>
    <cfRule type="expression" dxfId="33" priority="20" stopIfTrue="1">
      <formula>A19&lt;&gt;""</formula>
    </cfRule>
  </conditionalFormatting>
  <conditionalFormatting sqref="C20">
    <cfRule type="notContainsBlanks" dxfId="32" priority="17" stopIfTrue="1">
      <formula>LEN(TRIM(C20))&gt;0</formula>
    </cfRule>
    <cfRule type="expression" dxfId="31" priority="18" stopIfTrue="1">
      <formula>A20&lt;&gt;""</formula>
    </cfRule>
  </conditionalFormatting>
  <conditionalFormatting sqref="C21">
    <cfRule type="notContainsBlanks" dxfId="30" priority="15" stopIfTrue="1">
      <formula>LEN(TRIM(C21))&gt;0</formula>
    </cfRule>
    <cfRule type="expression" dxfId="29" priority="16" stopIfTrue="1">
      <formula>A21&lt;&gt;""</formula>
    </cfRule>
  </conditionalFormatting>
  <conditionalFormatting sqref="C22">
    <cfRule type="notContainsBlanks" dxfId="28" priority="13" stopIfTrue="1">
      <formula>LEN(TRIM(C22))&gt;0</formula>
    </cfRule>
    <cfRule type="expression" dxfId="27" priority="14" stopIfTrue="1">
      <formula>A22&lt;&gt;""</formula>
    </cfRule>
  </conditionalFormatting>
  <conditionalFormatting sqref="C23">
    <cfRule type="notContainsBlanks" dxfId="26" priority="11" stopIfTrue="1">
      <formula>LEN(TRIM(C23))&gt;0</formula>
    </cfRule>
    <cfRule type="expression" dxfId="25" priority="12" stopIfTrue="1">
      <formula>A23&lt;&gt;""</formula>
    </cfRule>
  </conditionalFormatting>
  <conditionalFormatting sqref="C24">
    <cfRule type="notContainsBlanks" dxfId="24" priority="9" stopIfTrue="1">
      <formula>LEN(TRIM(C24))&gt;0</formula>
    </cfRule>
    <cfRule type="expression" dxfId="23" priority="10" stopIfTrue="1">
      <formula>A24&lt;&gt;""</formula>
    </cfRule>
  </conditionalFormatting>
  <conditionalFormatting sqref="C25">
    <cfRule type="notContainsBlanks" dxfId="22" priority="7" stopIfTrue="1">
      <formula>LEN(TRIM(C25))&gt;0</formula>
    </cfRule>
    <cfRule type="expression" dxfId="21" priority="8" stopIfTrue="1">
      <formula>A25&lt;&gt;""</formula>
    </cfRule>
  </conditionalFormatting>
  <conditionalFormatting sqref="A12">
    <cfRule type="expression" dxfId="20" priority="2" stopIfTrue="1">
      <formula>$A$12="Nicht in Ordnung"</formula>
    </cfRule>
  </conditionalFormatting>
  <conditionalFormatting sqref="A13">
    <cfRule type="expression" dxfId="19" priority="1" stopIfTrue="1">
      <formula>$A$13="die inkorrekten und unvollständigen Einträge beheben"</formula>
    </cfRule>
  </conditionalFormatting>
  <dataValidations count="1">
    <dataValidation type="textLength" allowBlank="1" showErrorMessage="1" errorTitle="Zeichenlänge" error="Minimal 30 Zeichen und max. 450 Zeichen." sqref="C17:G25" xr:uid="{00000000-0002-0000-0A00-000000000000}">
      <formula1>30</formula1>
      <formula2>450</formula2>
    </dataValidation>
  </dataValidations>
  <pageMargins left="0.39370078740157483" right="0.19685039370078741" top="0.59055118110236227" bottom="0.39370078740157483" header="0.11811023622047245" footer="0.11811023622047245"/>
  <pageSetup paperSize="9" orientation="landscape" r:id="rId1"/>
  <headerFooter>
    <oddFooter xml:space="preserve">&amp;L&amp;"Arial,Standard"&amp;7&amp;F&amp;C&amp;"Arial,Standard"&amp;7 © DKG  Alle Rechte vorbehalten&amp;R&amp;"Arial,Standard"&amp;7&amp;P       </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9"/>
  <dimension ref="A1:BK84"/>
  <sheetViews>
    <sheetView zoomScaleNormal="100" workbookViewId="0">
      <selection activeCell="B22" sqref="B22"/>
    </sheetView>
  </sheetViews>
  <sheetFormatPr defaultColWidth="9" defaultRowHeight="10.199999999999999" x14ac:dyDescent="0.3"/>
  <cols>
    <col min="1" max="1" width="20.6640625" style="118" customWidth="1"/>
    <col min="2" max="2" width="25.109375" style="118" customWidth="1"/>
    <col min="3" max="3" width="21.109375" style="118" customWidth="1"/>
    <col min="4" max="4" width="26.33203125" style="118" customWidth="1"/>
    <col min="5" max="5" width="23.44140625" style="118" customWidth="1"/>
    <col min="6" max="6" width="18.44140625" style="118" customWidth="1"/>
    <col min="7" max="7" width="27.109375" style="133" customWidth="1"/>
    <col min="8" max="8" width="26.6640625" style="124" customWidth="1"/>
    <col min="9" max="9" width="16.6640625" style="124" customWidth="1"/>
    <col min="10" max="10" width="43" style="118" customWidth="1"/>
    <col min="11" max="11" width="29.88671875" style="118" customWidth="1"/>
    <col min="12" max="12" width="32.88671875" style="118" customWidth="1"/>
    <col min="13" max="13" width="30.33203125" style="118" customWidth="1"/>
    <col min="14" max="14" width="24.44140625" style="118" customWidth="1"/>
    <col min="15" max="15" width="14.6640625" style="118" customWidth="1"/>
    <col min="16" max="16" width="11.44140625" style="118" customWidth="1"/>
    <col min="17" max="17" width="27.109375" style="118" customWidth="1"/>
    <col min="18" max="18" width="27.5546875" style="118" customWidth="1"/>
    <col min="19" max="19" width="21.6640625" style="118" customWidth="1"/>
    <col min="20" max="20" width="19.6640625" style="118" customWidth="1"/>
    <col min="21" max="21" width="18.6640625" style="118" customWidth="1"/>
    <col min="22" max="160" width="11.44140625" style="118" customWidth="1"/>
    <col min="161" max="16384" width="9" style="118"/>
  </cols>
  <sheetData>
    <row r="1" spans="1:63" s="129" customFormat="1" x14ac:dyDescent="0.3"/>
    <row r="2" spans="1:63" ht="12.75" customHeight="1" x14ac:dyDescent="0.3">
      <c r="A2" s="130" t="s">
        <v>237</v>
      </c>
      <c r="G2" s="118"/>
      <c r="H2" s="118"/>
      <c r="I2" s="118"/>
      <c r="AI2" s="131"/>
      <c r="BI2" s="129"/>
      <c r="BJ2" s="132"/>
    </row>
    <row r="3" spans="1:63" ht="14.25" customHeight="1" x14ac:dyDescent="0.3">
      <c r="AI3" s="131"/>
      <c r="BH3" s="129"/>
      <c r="BJ3" s="132"/>
    </row>
    <row r="4" spans="1:63" x14ac:dyDescent="0.3">
      <c r="G4" s="118"/>
      <c r="H4" s="118"/>
      <c r="I4" s="118"/>
      <c r="AI4" s="131"/>
      <c r="BH4" s="129"/>
      <c r="BJ4" s="132"/>
    </row>
    <row r="5" spans="1:63" ht="15" customHeight="1" x14ac:dyDescent="0.3">
      <c r="B5" s="119" t="s">
        <v>227</v>
      </c>
      <c r="C5" s="120" t="s">
        <v>208</v>
      </c>
      <c r="D5" s="121" t="s">
        <v>57</v>
      </c>
      <c r="E5" s="122" t="s">
        <v>229</v>
      </c>
      <c r="F5" s="123" t="s">
        <v>231</v>
      </c>
      <c r="G5" s="118"/>
      <c r="H5" s="118"/>
      <c r="I5" s="118"/>
      <c r="AI5" s="124"/>
      <c r="BI5" s="97"/>
    </row>
    <row r="6" spans="1:63" x14ac:dyDescent="0.3">
      <c r="B6" s="183" t="str">
        <f>IF(AND(E6=0,F6=0,Berechnung3!A7="relevant"),B8,IF(OR(Berechnung3!A7="nicht relevant",Berechnung3!A7="EZ"),"",B9))</f>
        <v/>
      </c>
      <c r="C6" s="125">
        <f>Berechnung3!J56</f>
        <v>0</v>
      </c>
      <c r="D6" s="126">
        <f>Berechnung3!J57</f>
        <v>0</v>
      </c>
      <c r="E6" s="127">
        <f>Berechnung3!J55</f>
        <v>0</v>
      </c>
      <c r="F6" s="128">
        <f>Berechnung3!J54</f>
        <v>0</v>
      </c>
      <c r="G6" s="118"/>
      <c r="H6" s="118"/>
      <c r="I6" s="118"/>
      <c r="AI6" s="124"/>
    </row>
    <row r="7" spans="1:63" x14ac:dyDescent="0.3">
      <c r="G7" s="118"/>
      <c r="H7" s="118"/>
      <c r="I7" s="118"/>
      <c r="AI7" s="124"/>
    </row>
    <row r="8" spans="1:63" x14ac:dyDescent="0.3">
      <c r="A8" s="134" t="s">
        <v>311</v>
      </c>
      <c r="B8" s="118" t="s">
        <v>289</v>
      </c>
      <c r="G8" s="118"/>
      <c r="H8" s="118"/>
      <c r="I8" s="118"/>
      <c r="AI8" s="124"/>
    </row>
    <row r="9" spans="1:63" x14ac:dyDescent="0.3">
      <c r="B9" s="118" t="s">
        <v>44</v>
      </c>
      <c r="G9" s="118"/>
      <c r="H9" s="118"/>
      <c r="I9" s="118"/>
      <c r="AI9" s="124"/>
    </row>
    <row r="10" spans="1:63" x14ac:dyDescent="0.3">
      <c r="G10" s="118"/>
      <c r="H10" s="118"/>
      <c r="I10" s="118"/>
      <c r="AI10" s="124"/>
    </row>
    <row r="11" spans="1:63" x14ac:dyDescent="0.3">
      <c r="A11" s="131"/>
      <c r="B11" s="134" t="s">
        <v>263</v>
      </c>
      <c r="E11" s="129"/>
      <c r="F11" s="129"/>
      <c r="G11" s="129"/>
      <c r="H11" s="129"/>
      <c r="I11" s="129"/>
      <c r="AI11" s="124"/>
    </row>
    <row r="12" spans="1:63" x14ac:dyDescent="0.3">
      <c r="A12" s="131"/>
      <c r="E12" s="129"/>
      <c r="F12" s="129"/>
      <c r="G12" s="129"/>
      <c r="H12" s="129"/>
      <c r="I12" s="129"/>
      <c r="AI12" s="124"/>
    </row>
    <row r="13" spans="1:63" x14ac:dyDescent="0.3">
      <c r="A13" s="131"/>
      <c r="B13" s="1091" t="s">
        <v>249</v>
      </c>
      <c r="C13" s="1093" t="s">
        <v>265</v>
      </c>
      <c r="D13" s="1089" t="s">
        <v>248</v>
      </c>
      <c r="E13" s="1089" t="s">
        <v>492</v>
      </c>
      <c r="F13" s="129"/>
      <c r="G13" s="129"/>
      <c r="H13" s="129"/>
      <c r="I13" s="129"/>
      <c r="J13" s="129"/>
      <c r="AJ13" s="124"/>
    </row>
    <row r="14" spans="1:63" x14ac:dyDescent="0.3">
      <c r="A14" s="124"/>
      <c r="B14" s="1092"/>
      <c r="C14" s="1094"/>
      <c r="D14" s="1090"/>
      <c r="E14" s="1089"/>
      <c r="G14" s="137"/>
      <c r="H14" s="137"/>
      <c r="I14" s="140" t="s">
        <v>492</v>
      </c>
      <c r="J14" s="140" t="s">
        <v>493</v>
      </c>
      <c r="AJ14" s="124"/>
    </row>
    <row r="15" spans="1:63" ht="50.1" customHeight="1" x14ac:dyDescent="0.3">
      <c r="A15" s="99" t="s">
        <v>262</v>
      </c>
      <c r="B15" s="100" t="str">
        <f>CONCATENATE(IF(Berechnung3!$H$2=Berechnung2!$L$55,Berechnung3!$B$2,""),IF(Berechnung3!$H$3=Berechnung2!$L$55,Berechnung3!$B$3,""),IF(Berechnung3!$H$4=Berechnung2!$L$55,Berechnung3!$B$4,""),IF(Berechnung3!$H$5=Berechnung2!$L$55,Berechnung3!$B$5,""),IF(Berechnung3!$H$6=Berechnung2!$L$55,Berechnung3!$B$6,""),IF(Berechnung3!$H$7=Berechnung2!$L$55,Berechnung3!$B$7,""),IF(Berechnung3!$H$8=Berechnung2!$L$55,Berechnung3!$B$8,""))</f>
        <v/>
      </c>
      <c r="C15" s="100">
        <f>IF(LEN(B15)&gt;0,"X",0)</f>
        <v>0</v>
      </c>
      <c r="D15" s="45" t="str">
        <f>IF(COUNTIF(Berechnung3!$H$2:$H$8,Berechnung2!$L$55)&gt;0,CONCATENATE(Berechnung1!$F$5,"                                                  ",Berechnung2!$L$55),"")</f>
        <v/>
      </c>
      <c r="E15" s="45" t="str">
        <f>IF(COUNTIF(Berechnung3!$H$2:$H$7,Berechnung2!$L$55)&gt;0,"a","")</f>
        <v/>
      </c>
      <c r="G15" s="138" t="e">
        <f t="array" ref="G15">INDEX(B:B,SMALL(IF($C$15:$C$25="X",ROW($15:$25)),1))</f>
        <v>#NUM!</v>
      </c>
      <c r="H15" s="184" t="e">
        <f t="array" ref="H15">INDEX(D:D,SMALL(IF($C$15:$C$25="X",ROW($15:$25)),1))</f>
        <v>#NUM!</v>
      </c>
      <c r="I15" s="145" t="e">
        <f t="array" ref="I15">INDEX(E:E,SMALL(IF($C$15:$C$25="X",ROW($15:$25)),1))</f>
        <v>#NUM!</v>
      </c>
      <c r="J15" s="156" t="e">
        <f>IF(AND(Datendefizite_Matrix!C17="",I15&lt;&gt;""),"Anmerkung OnkoZert : Keine Erläuterung vorhanden",Datendefizite_Matrix!C17)</f>
        <v>#NUM!</v>
      </c>
      <c r="AJ15" s="124"/>
    </row>
    <row r="16" spans="1:63" ht="50.1" customHeight="1" x14ac:dyDescent="0.3">
      <c r="A16" s="99" t="s">
        <v>267</v>
      </c>
      <c r="B16" s="100" t="str">
        <f>CONCATENATE(IF(Berechnung3!$H$9=Berechnung2!$L$59,Berechnung3!$B$2,""),IF(Berechnung3!$H$10=Berechnung2!$L$59,Berechnung3!$B$3,""),IF(Berechnung3!$H$11=Berechnung2!$L$59,Berechnung3!$B$4,""),IF(Berechnung3!$H$12=Berechnung2!$L$59,Berechnung3!$B$5,""),IF(Berechnung3!$H$13=Berechnung2!$L$59,Berechnung3!$B$6,""))</f>
        <v/>
      </c>
      <c r="C16" s="100">
        <f>IF(LEN(B16)&gt;0,"X",0)</f>
        <v>0</v>
      </c>
      <c r="D16" s="45" t="str">
        <f>IF(COUNTIF(Berechnung3!$H$9:$H$13,Berechnung2!$L$59)&gt;0,CONCATENATE(Berechnung1!$G$5,"                                                                      ",Berechnung2!$L$59),"")</f>
        <v/>
      </c>
      <c r="E16" s="45" t="str">
        <f>IF(COUNTIF(Berechnung3!$H$9:$H$13,Berechnung2!$L$59)&gt;0,"b","")</f>
        <v/>
      </c>
      <c r="G16" s="138" t="e">
        <f t="array" ref="G16">INDEX(B:B,SMALL(IF($C$15:$C$25="X",ROW($15:$25)),2))</f>
        <v>#NUM!</v>
      </c>
      <c r="H16" s="184" t="e">
        <f t="array" ref="H16">INDEX(D:D,SMALL(IF($C$15:$C$25="X",ROW($15:$25)),2))</f>
        <v>#NUM!</v>
      </c>
      <c r="I16" s="145" t="e">
        <f t="array" ref="I16">INDEX(E:E,SMALL(IF($C$15:$C$25="X",ROW($15:$25)),2))</f>
        <v>#NUM!</v>
      </c>
      <c r="J16" s="156" t="e">
        <f>IF(AND(Datendefizite_Matrix!C18="",I16&lt;&gt;""),"Anmerkung OnkoZert : Keine Erläuterung vorhanden",Datendefizite_Matrix!C18)</f>
        <v>#NUM!</v>
      </c>
      <c r="AJ16" s="135"/>
      <c r="BK16" s="136"/>
    </row>
    <row r="17" spans="1:63" ht="50.1" customHeight="1" x14ac:dyDescent="0.3">
      <c r="A17" s="99" t="s">
        <v>268</v>
      </c>
      <c r="B17" s="100" t="str">
        <f>CONCATENATE(IF(Berechnung3!$H$14=Berechnung2!$L$65,Berechnung3!$B$2,""),IF(Berechnung3!$H$15=Berechnung2!$L$65,Berechnung3!$B$3,""),IF(Berechnung3!$H$16=Berechnung2!$L$65,Berechnung3!$B$4,""),IF(Berechnung3!$H$17=Berechnung2!$L$65,Berechnung3!$B$5,""),IF(Berechnung3!$H$18=Berechnung2!$L$65,Berechnung3!$B$6,""))</f>
        <v/>
      </c>
      <c r="C17" s="100">
        <f>IF(LEN(B17)&gt;0,"X",0)</f>
        <v>0</v>
      </c>
      <c r="D17" s="45" t="str">
        <f>IF(COUNTIF(Berechnung3!$H$14:$H$18,Berechnung2!$L$65)&gt;0,CONCATENATE(Berechnung1!$G$5,"                                                                ",Berechnung2!$L$65),"")</f>
        <v/>
      </c>
      <c r="E17" s="45" t="str">
        <f>IF(COUNTIF(Berechnung3!$H$14:$H$18,Berechnung2!$L$65)&gt;0,"c","")</f>
        <v/>
      </c>
      <c r="G17" s="138" t="e">
        <f t="array" ref="G17">INDEX(B:B,SMALL(IF($C$15:$C$25="X",ROW($15:$25)),3))</f>
        <v>#NUM!</v>
      </c>
      <c r="H17" s="184" t="e">
        <f t="array" ref="H17">INDEX(D:D,SMALL(IF($C$15:$C$25="X",ROW($15:$25)),3))</f>
        <v>#NUM!</v>
      </c>
      <c r="I17" s="145" t="e">
        <f t="array" ref="I17">INDEX(E:E,SMALL(IF($C$15:$C$25="X",ROW($15:$25)),3))</f>
        <v>#NUM!</v>
      </c>
      <c r="J17" s="156" t="e">
        <f>IF(AND(Datendefizite_Matrix!C19="",I17&lt;&gt;""),"Anmerkung OnkoZert : Keine Erläuterung vorhanden",Datendefizite_Matrix!C19)</f>
        <v>#NUM!</v>
      </c>
      <c r="AJ17" s="124"/>
    </row>
    <row r="18" spans="1:63" ht="50.1" customHeight="1" x14ac:dyDescent="0.3">
      <c r="A18" s="101" t="s">
        <v>266</v>
      </c>
      <c r="B18" s="155" t="str">
        <f>CONCATENATE(IF(Berechnung3!$H$19=Berechnung2!$L$63,Berechnung3!$B$2,""),IF(Berechnung3!$H$20=Berechnung2!$L$63,Berechnung3!$B$3,""),IF(Berechnung3!$H$21=Berechnung2!$L$63,Berechnung3!$B$4,""),IF(Berechnung3!$H$22=Berechnung2!$L$63,Berechnung3!$B$5,""),IF(Berechnung3!$H$23=Berechnung2!$L$63,Berechnung3!$B$6,""))</f>
        <v/>
      </c>
      <c r="C18" s="100">
        <f>IF(LEN(B18)&gt;0,"X",0)</f>
        <v>0</v>
      </c>
      <c r="D18" s="45" t="str">
        <f>IF(COUNTIF(Berechnung3!$H$19:$H$23,Berechnung2!$L$63)&gt;0,CONCATENATE(Berechnung1!$G$5,"                                                                  ",Berechnung2!$L$63),"")</f>
        <v/>
      </c>
      <c r="E18" s="45" t="str">
        <f>IF(COUNTIF(Berechnung3!$H$19:$H$23,Berechnung2!$L$63)&gt;0,"d","")</f>
        <v/>
      </c>
      <c r="G18" s="138" t="e">
        <f t="array" ref="G18">INDEX(B:B,SMALL(IF($C$15:$C$25="X",ROW($15:$25)),4))</f>
        <v>#NUM!</v>
      </c>
      <c r="H18" s="184" t="e">
        <f t="array" ref="H18">INDEX(D:D,SMALL(IF($C$15:$C$25="X",ROW($15:$25)),4))</f>
        <v>#NUM!</v>
      </c>
      <c r="I18" s="145" t="e">
        <f t="array" ref="I18">INDEX(E:E,SMALL(IF($C$15:$C$25="X",ROW($15:$25)),4))</f>
        <v>#NUM!</v>
      </c>
      <c r="J18" s="156" t="e">
        <f>IF(AND(Datendefizite_Matrix!C20="",I18&lt;&gt;""),"Anmerkung OnkoZert : Keine Erläuterung vorhanden",Datendefizite_Matrix!C20)</f>
        <v>#NUM!</v>
      </c>
      <c r="AJ18" s="124"/>
      <c r="BK18" s="133"/>
    </row>
    <row r="19" spans="1:63" ht="49.5" customHeight="1" x14ac:dyDescent="0.3">
      <c r="A19" s="101" t="s">
        <v>49</v>
      </c>
      <c r="B19" s="155" t="s">
        <v>1137</v>
      </c>
      <c r="C19" s="100">
        <f>IF(LEN(D19)&gt;0,"X",0)</f>
        <v>0</v>
      </c>
      <c r="D19" s="45" t="str">
        <f>IF(COUNTIF(Berechnung3!$H$24,Berechnung2!$L$61)&gt;0,CONCATENATE(Berechnung1!$E$5,"                                     ",Berechnung2!$L$61),"")</f>
        <v/>
      </c>
      <c r="E19" s="45" t="str">
        <f>IF(COUNTIF(Berechnung3!$H$24,Berechnung2!$L$61)&gt;0,"e","")</f>
        <v/>
      </c>
      <c r="G19" s="138" t="e">
        <f t="array" ref="G19">INDEX(B:B,SMALL(IF($C$15:$C$25="X",ROW($15:$25)),5))</f>
        <v>#NUM!</v>
      </c>
      <c r="H19" s="184" t="e">
        <f t="array" ref="H19">INDEX(D:D,SMALL(IF($C$15:$C$25="X",ROW($15:$25)),5))</f>
        <v>#NUM!</v>
      </c>
      <c r="I19" s="145" t="e">
        <f t="array" ref="I19">INDEX(E:E,SMALL(IF($C$15:$C$25="X",ROW($15:$25)),5))</f>
        <v>#NUM!</v>
      </c>
      <c r="J19" s="156" t="e">
        <f>IF(AND(Datendefizite_Matrix!C21="",I19&lt;&gt;""),"Anmerkung OnkoZert : Keine Erläuterung vorhanden",Datendefizite_Matrix!C21)</f>
        <v>#NUM!</v>
      </c>
    </row>
    <row r="20" spans="1:63" ht="50.1" customHeight="1" x14ac:dyDescent="0.3">
      <c r="A20" s="99" t="s">
        <v>269</v>
      </c>
      <c r="B20" s="100" t="str">
        <f>CONCATENATE(IF(Berechnung3!$H$25=Berechnung2!$L$58,Berechnung3!$B$2,""),IF(Berechnung3!$H$26=Berechnung2!$L$58,Berechnung3!$B$3,""),IF(Berechnung3!$H$27=Berechnung2!$L$58,Berechnung3!$B$4,""),IF(Berechnung3!$H$28=Berechnung2!$L$58,Berechnung3!$B$5,""),IF(Berechnung3!$H$29=Berechnung2!$L$58,Berechnung3!$B$6,""),IF(Berechnung3!$H$31=Berechnung2!$L$58,Berechnung3!$B$7,""))</f>
        <v/>
      </c>
      <c r="C20" s="100">
        <f>IF(LEN(B20)&gt;0,"X",0)</f>
        <v>0</v>
      </c>
      <c r="D20" s="45" t="str">
        <f>IF(COUNTIF(Berechnung3!$H$25:$H$31,Berechnung2!$L$58)&gt;0,CONCATENATE(Berechnung1!$D$4,"                                     ",Berechnung2!$L$58),"")</f>
        <v/>
      </c>
      <c r="E20" s="45" t="str">
        <f>IF(COUNTIF(Berechnung3!$H$25:$H$31,Berechnung2!$L$58)&gt;0,"f","")</f>
        <v/>
      </c>
      <c r="G20" s="138" t="e">
        <f t="array" ref="G20">INDEX(B:B,SMALL(IF($C$15:$C$25="X",ROW($15:$25)),6))</f>
        <v>#NUM!</v>
      </c>
      <c r="H20" s="184" t="e">
        <f t="array" ref="H20">INDEX(D:D,SMALL(IF($C$15:$C$25="X",ROW($15:$25)),6))</f>
        <v>#NUM!</v>
      </c>
      <c r="I20" s="145" t="e">
        <f t="array" ref="I20">INDEX(E:E,SMALL(IF($C$15:$C$25="X",ROW($15:$25)),6))</f>
        <v>#NUM!</v>
      </c>
      <c r="J20" s="156" t="e">
        <f>IF(AND(Datendefizite_Matrix!C22="",I20&lt;&gt;""),"Anmerkung OnkoZert : Keine Erläuterung vorhanden",Datendefizite_Matrix!C22)</f>
        <v>#NUM!</v>
      </c>
    </row>
    <row r="21" spans="1:63" ht="50.1" customHeight="1" x14ac:dyDescent="0.3">
      <c r="A21" s="99" t="s">
        <v>267</v>
      </c>
      <c r="B21" s="155" t="s">
        <v>1137</v>
      </c>
      <c r="C21" s="100">
        <f>IF(LEN(D21)&gt;0,"X",0)</f>
        <v>0</v>
      </c>
      <c r="D21" s="45" t="str">
        <f>IF(COUNTIF(Berechnung3!$H$32,Berechnung2!$L$62)&gt;0,CONCATENATE(Berechnung2!$C$5,"                                     ",Berechnung2!$L$62),"")</f>
        <v/>
      </c>
      <c r="E21" s="45" t="str">
        <f>IF(COUNTIF(Berechnung3!$H$32,Berechnung2!$L$62)&gt;0,"g","")</f>
        <v/>
      </c>
      <c r="G21" s="138" t="e">
        <f t="array" ref="G21">INDEX(B:B,SMALL(IF($C$15:$C$25="X",ROW($15:$25)),7))</f>
        <v>#NUM!</v>
      </c>
      <c r="H21" s="184" t="e">
        <f t="array" ref="H21">INDEX(D:D,SMALL(IF($C$15:$C$25="X",ROW($15:$25)),7))</f>
        <v>#NUM!</v>
      </c>
      <c r="I21" s="145" t="e">
        <f t="array" ref="I21">INDEX(E:E,SMALL(IF($C$15:$C$25="X",ROW($15:$25)),7))</f>
        <v>#NUM!</v>
      </c>
      <c r="J21" s="156" t="e">
        <f>IF(AND(Datendefizite_Matrix!C23="",I21&lt;&gt;""),"Anmerkung OnkoZert : Keine Erläuterung vorhanden",Datendefizite_Matrix!C23)</f>
        <v>#NUM!</v>
      </c>
    </row>
    <row r="22" spans="1:63" ht="50.1" customHeight="1" x14ac:dyDescent="0.3">
      <c r="A22" s="99" t="s">
        <v>270</v>
      </c>
      <c r="B22" s="100" t="str">
        <f>CONCATENATE(IF(Berechnung3!$H$33=Berechnung2!$L$60,Berechnung3!$B$2,""),IF(Berechnung3!$H$34=Berechnung2!$L$60,Berechnung3!$B$3,""),IF(Berechnung3!$H$35=Berechnung2!$L$60,Berechnung3!$B$4,""),IF(Berechnung3!$H$36=Berechnung2!$L$60,Berechnung3!$B$5,""),IF(Berechnung3!$H$37=Berechnung2!$L$60,Berechnung3!$B$6,""))</f>
        <v/>
      </c>
      <c r="C22" s="100">
        <f>IF(LEN(B22)&gt;0,"X",0)</f>
        <v>0</v>
      </c>
      <c r="D22" s="45" t="str">
        <f>IF(COUNTIF(Berechnung3!H33:H37,Berechnung2!$L$60)&gt;0,CONCATENATE(Berechnung1!$D$4,"                                     ",Berechnung2!$L$60),"")</f>
        <v/>
      </c>
      <c r="E22" s="45" t="str">
        <f>IF(COUNTIF(Berechnung3!H33:H37,Berechnung2!$L$60)&gt;0,"h","")</f>
        <v/>
      </c>
      <c r="G22" s="138" t="e">
        <f t="array" ref="G22">INDEX(B:B,SMALL(IF($C$15:$C$25="X",ROW($15:$25)),8))</f>
        <v>#NUM!</v>
      </c>
      <c r="H22" s="184" t="e">
        <f t="array" ref="H22">INDEX(D:D,SMALL(IF($C$15:$C$25="X",ROW($15:$25)),8))</f>
        <v>#NUM!</v>
      </c>
      <c r="I22" s="145" t="e">
        <f t="array" ref="I22">INDEX(E:E,SMALL(IF($C$15:$C$25="X",ROW($15:$25)),8))</f>
        <v>#NUM!</v>
      </c>
      <c r="J22" s="156" t="e">
        <f>IF(AND(Datendefizite_Matrix!C24="",I22&lt;&gt;""),"Anmerkung OnkoZert : Keine Erläuterung vorhanden",Datendefizite_Matrix!C24)</f>
        <v>#NUM!</v>
      </c>
    </row>
    <row r="23" spans="1:63" ht="50.1" customHeight="1" x14ac:dyDescent="0.3">
      <c r="A23" s="99" t="s">
        <v>271</v>
      </c>
      <c r="B23" s="100" t="str">
        <f>CONCATENATE(IF(Berechnung3!$H$38=Berechnung2!$L$56,Berechnung3!$B$2,""),IF(Berechnung3!$H$39=Berechnung2!$L$56,Berechnung3!$B$3,""),IF(Berechnung3!$H$40=Berechnung2!$L$56,Berechnung3!$B$4,""),IF(Berechnung3!$H$41=Berechnung2!$L$56,Berechnung3!$B$5,""),IF(Berechnung3!$H$42=Berechnung2!$L$56,Berechnung3!$B$6,""))</f>
        <v/>
      </c>
      <c r="C23" s="100">
        <f>IF(LEN(B23)&gt;0,"X",0)</f>
        <v>0</v>
      </c>
      <c r="D23" s="45" t="str">
        <f>IF(COUNTIF(Berechnung3!$H$38:$H$42,Berechnung2!$L$56)&gt;0,CONCATENATE(Berechnung1!$D$4,"                                     ",Berechnung2!$L$56),"")</f>
        <v/>
      </c>
      <c r="E23" s="45" t="str">
        <f>IF(COUNTIF(Berechnung3!$H$38:$H$42,Berechnung2!$L$56)&gt;0,"i","")</f>
        <v/>
      </c>
      <c r="G23" s="138" t="e">
        <f t="array" ref="G23">INDEX(B:B,SMALL(IF($C$15:$C$25="X",ROW($15:$25)),9))</f>
        <v>#NUM!</v>
      </c>
      <c r="H23" s="184" t="e">
        <f t="array" ref="H23">INDEX(D:D,SMALL(IF($C$15:$C$25="X",ROW($15:$25)),9))</f>
        <v>#NUM!</v>
      </c>
      <c r="I23" s="145" t="e">
        <f t="array" ref="I23">INDEX(E:E,SMALL(IF($C$15:$C$25="X",ROW($15:$25)),9))</f>
        <v>#NUM!</v>
      </c>
      <c r="J23" s="156" t="e">
        <f>IF(AND(Datendefizite_Matrix!C25="",I23&lt;&gt;""),"Anmerkung OnkoZert : Keine Erläuterung vorhanden",Datendefizite_Matrix!C25)</f>
        <v>#NUM!</v>
      </c>
    </row>
    <row r="24" spans="1:63" ht="50.1" customHeight="1" x14ac:dyDescent="0.3">
      <c r="A24" s="99" t="s">
        <v>235</v>
      </c>
      <c r="B24" s="100" t="str">
        <f>CONCATENATE(IF(Berechnung3!$H$43=Berechnung2!$L$68,Berechnung3!$B$2,""),IF(Berechnung3!$H$44=Berechnung2!$L$68,Berechnung3!$B$3,""),IF(Berechnung3!$H$45=Berechnung2!$L$68,Berechnung3!$B$4,""),IF(Berechnung3!$H$46=Berechnung2!$L$68,Berechnung3!$B$5,""),IF(Berechnung3!$H$47=Berechnung2!$L$68,Berechnung3!$B$6,""))</f>
        <v/>
      </c>
      <c r="C24" s="100">
        <f>IF(LEN(B24)&gt;0,"X",0)</f>
        <v>0</v>
      </c>
      <c r="D24" s="45" t="str">
        <f>IF(COUNTIF(Berechnung3!$H$43:$H$47,Berechnung2!$L$67)&gt;0,CONCATENATE(Berechnung1!$D$4,"                       ",Berechnung2!$L$68),"")</f>
        <v/>
      </c>
      <c r="E24" s="45" t="str">
        <f>IF(COUNTIF(Berechnung3!$H$43:$H$47,Berechnung2!$L$67)&gt;0,"j","")</f>
        <v/>
      </c>
      <c r="G24" s="138" t="e">
        <f t="array" ref="G24">INDEX(B:B,SMALL(IF($C$15:$C$25="X",ROW($15:$25)),10))</f>
        <v>#NUM!</v>
      </c>
      <c r="H24" s="184" t="e">
        <f t="array" ref="H24">INDEX(D:D,SMALL(IF($C$15:$C$25="X",ROW($15:$25)),10))</f>
        <v>#NUM!</v>
      </c>
      <c r="I24" s="145" t="e">
        <f t="array" ref="I24">INDEX(E:E,SMALL(IF($C$15:$C$25="X",ROW($15:$25)),10))</f>
        <v>#NUM!</v>
      </c>
      <c r="J24" s="156" t="e">
        <f>IF(AND(Datendefizite_Matrix!C26="",I24&lt;&gt;""),"Anmerkung OnkoZert : Keine Erläuterung vorhanden",Datendefizite_Matrix!C26)</f>
        <v>#NUM!</v>
      </c>
    </row>
    <row r="25" spans="1:63" ht="50.1" customHeight="1" x14ac:dyDescent="0.3">
      <c r="A25" s="99" t="s">
        <v>149</v>
      </c>
      <c r="B25" s="100" t="str">
        <f>CONCATENATE(IF(Berechnung3!$H$48=Berechnung2!$L$77,Berechnung3!$B$2,""),IF(Berechnung3!$H$49=Berechnung2!$L$77,Berechnung3!$B$3,""),IF(Berechnung3!$H$50=Berechnung2!$L$77,Berechnung3!$B$4,""),IF(Berechnung3!$H$51=Berechnung2!$L$77,Berechnung3!$B$5,""),IF(Berechnung3!$H$52=Berechnung2!$L$77,Berechnung3!$B$6,""))</f>
        <v/>
      </c>
      <c r="C25" s="100">
        <f>IF(LEN(B25)&gt;0,"X",0)</f>
        <v>0</v>
      </c>
      <c r="D25" s="45" t="str">
        <f>IF(COUNTIF(Berechnung3!$H$48:$H$52,Berechnung2!$L$76)&gt;0,CONCATENATE(Berechnung1!$D$4,"                       ",Berechnung2!$L$76),"")</f>
        <v/>
      </c>
      <c r="E25" s="45" t="str">
        <f>IF(COUNTIF(Berechnung3!$H$48:$H$52,Berechnung2!$L$76)&gt;0,"k","")</f>
        <v/>
      </c>
      <c r="G25" s="138" t="e">
        <f t="array" ref="G25">INDEX(B:B,SMALL(IF($C$15:$C$25="X",ROW($15:$25)),11))</f>
        <v>#NUM!</v>
      </c>
      <c r="H25" s="184" t="e">
        <f t="array" ref="H25">INDEX(D:D,SMALL(IF($C$15:$C$25="X",ROW($15:$25)),11))</f>
        <v>#NUM!</v>
      </c>
      <c r="I25" s="145" t="e">
        <f t="array" ref="I25">INDEX(E:E,SMALL(IF($C$15:$C$25="X",ROW($15:$25)),11))</f>
        <v>#NUM!</v>
      </c>
      <c r="J25" s="156" t="e">
        <f>IF(AND(Datendefizite_Matrix!C27="",I25&lt;&gt;""),"Anmerkung OnkoZert : Keine Erläuterung vorhanden",Datendefizite_Matrix!C27)</f>
        <v>#NUM!</v>
      </c>
    </row>
    <row r="26" spans="1:63" x14ac:dyDescent="0.3">
      <c r="G26" s="118"/>
      <c r="H26" s="118"/>
    </row>
    <row r="51" spans="1:16" s="139" customFormat="1" x14ac:dyDescent="0.3">
      <c r="B51" s="134" t="s">
        <v>246</v>
      </c>
    </row>
    <row r="52" spans="1:16" x14ac:dyDescent="0.3">
      <c r="A52" s="139"/>
      <c r="B52" s="140" t="s">
        <v>259</v>
      </c>
      <c r="C52" s="140"/>
      <c r="D52" s="140"/>
      <c r="E52" s="98"/>
      <c r="F52" s="102" t="s">
        <v>257</v>
      </c>
      <c r="G52" s="98"/>
      <c r="H52" s="98"/>
      <c r="I52" s="98"/>
      <c r="J52" s="103"/>
      <c r="K52" s="140"/>
      <c r="L52" s="141" t="s">
        <v>15</v>
      </c>
      <c r="M52" s="141"/>
      <c r="N52" s="141" t="s">
        <v>16</v>
      </c>
      <c r="O52" s="141"/>
      <c r="P52" s="139"/>
    </row>
    <row r="53" spans="1:16" x14ac:dyDescent="0.3">
      <c r="A53" s="139"/>
      <c r="B53" s="137" t="s">
        <v>449</v>
      </c>
      <c r="C53" s="140"/>
      <c r="D53" s="142" t="s">
        <v>260</v>
      </c>
      <c r="E53" s="98"/>
      <c r="F53" s="102"/>
      <c r="G53" s="98"/>
      <c r="H53" s="98"/>
      <c r="I53" s="98" t="s">
        <v>451</v>
      </c>
      <c r="J53" s="209">
        <f>SUM(Basisdaten!D39:I39)</f>
        <v>0</v>
      </c>
      <c r="K53" s="140"/>
      <c r="L53" s="311" t="s">
        <v>452</v>
      </c>
      <c r="M53" s="311"/>
      <c r="N53" s="143"/>
      <c r="O53" s="143"/>
      <c r="P53" s="139"/>
    </row>
    <row r="54" spans="1:16" x14ac:dyDescent="0.3">
      <c r="A54" s="139"/>
      <c r="B54" s="137" t="s">
        <v>450</v>
      </c>
      <c r="C54" s="140"/>
      <c r="D54" s="140"/>
      <c r="E54" s="98"/>
      <c r="F54" s="102"/>
      <c r="G54" s="98"/>
      <c r="H54" s="98"/>
      <c r="I54" s="98"/>
      <c r="J54" s="103"/>
      <c r="K54" s="140"/>
      <c r="L54" s="143"/>
      <c r="M54" s="143"/>
      <c r="N54" s="143" t="s">
        <v>308</v>
      </c>
      <c r="O54" s="143"/>
      <c r="P54" s="139"/>
    </row>
    <row r="55" spans="1:16" x14ac:dyDescent="0.3">
      <c r="B55" s="144" t="s">
        <v>444</v>
      </c>
      <c r="C55" s="144"/>
      <c r="D55" s="144" t="s">
        <v>262</v>
      </c>
      <c r="E55" s="104"/>
      <c r="F55" s="105"/>
      <c r="G55" s="104"/>
      <c r="H55" s="104"/>
      <c r="I55" s="104"/>
      <c r="J55" s="106"/>
      <c r="K55" s="104"/>
      <c r="L55" s="143" t="s">
        <v>444</v>
      </c>
      <c r="M55" s="143"/>
      <c r="N55" s="143"/>
      <c r="O55" s="143"/>
      <c r="P55" s="139"/>
    </row>
    <row r="56" spans="1:16" x14ac:dyDescent="0.3">
      <c r="B56" s="322" t="s">
        <v>245</v>
      </c>
      <c r="C56" s="323"/>
      <c r="D56" s="142" t="s">
        <v>260</v>
      </c>
      <c r="E56" s="324" t="s">
        <v>453</v>
      </c>
      <c r="F56" s="325">
        <v>-1</v>
      </c>
      <c r="G56" s="326">
        <v>-1</v>
      </c>
      <c r="H56" s="326">
        <v>-1</v>
      </c>
      <c r="I56" s="109">
        <v>-1</v>
      </c>
      <c r="J56" s="109">
        <v>-1</v>
      </c>
      <c r="K56" s="327"/>
      <c r="L56" s="328" t="s">
        <v>276</v>
      </c>
      <c r="M56" s="328"/>
      <c r="N56" s="329"/>
      <c r="O56" s="330"/>
      <c r="P56" s="139"/>
    </row>
    <row r="57" spans="1:16" x14ac:dyDescent="0.3">
      <c r="B57" s="144" t="s">
        <v>250</v>
      </c>
      <c r="C57" s="144"/>
      <c r="D57" s="144" t="s">
        <v>236</v>
      </c>
      <c r="E57" s="104" t="s">
        <v>241</v>
      </c>
      <c r="F57" s="107">
        <v>0</v>
      </c>
      <c r="G57" s="107">
        <v>0</v>
      </c>
      <c r="H57" s="107"/>
      <c r="I57" s="106"/>
      <c r="J57" s="106">
        <v>1</v>
      </c>
      <c r="K57" s="104"/>
      <c r="L57" s="143"/>
      <c r="M57" s="143"/>
      <c r="N57" s="143"/>
      <c r="O57" s="143"/>
      <c r="P57" s="139"/>
    </row>
    <row r="58" spans="1:16" x14ac:dyDescent="0.3">
      <c r="B58" s="144" t="s">
        <v>251</v>
      </c>
      <c r="C58" s="144"/>
      <c r="D58" s="144" t="s">
        <v>260</v>
      </c>
      <c r="E58" s="104" t="s">
        <v>242</v>
      </c>
      <c r="F58" s="106"/>
      <c r="G58" s="210">
        <v>-1</v>
      </c>
      <c r="H58" s="106"/>
      <c r="I58" s="106"/>
      <c r="J58" s="106"/>
      <c r="K58" s="104"/>
      <c r="L58" s="143" t="s">
        <v>277</v>
      </c>
      <c r="M58" s="143"/>
      <c r="N58" s="143"/>
      <c r="O58" s="143"/>
      <c r="P58" s="139"/>
    </row>
    <row r="59" spans="1:16" x14ac:dyDescent="0.3">
      <c r="B59" s="144" t="s">
        <v>252</v>
      </c>
      <c r="C59" s="144"/>
      <c r="D59" s="142" t="s">
        <v>236</v>
      </c>
      <c r="E59" s="104"/>
      <c r="F59" s="106"/>
      <c r="G59" s="106"/>
      <c r="H59" s="106"/>
      <c r="I59" s="106"/>
      <c r="J59" s="106"/>
      <c r="K59" s="104"/>
      <c r="L59" s="143" t="s">
        <v>448</v>
      </c>
      <c r="M59" s="143"/>
      <c r="N59" s="143" t="s">
        <v>36</v>
      </c>
      <c r="O59" s="143"/>
      <c r="P59" s="139"/>
    </row>
    <row r="60" spans="1:16" x14ac:dyDescent="0.3">
      <c r="B60" s="144" t="s">
        <v>454</v>
      </c>
      <c r="C60" s="144"/>
      <c r="D60" s="142" t="s">
        <v>260</v>
      </c>
      <c r="E60" s="104" t="s">
        <v>242</v>
      </c>
      <c r="F60" s="107">
        <v>0</v>
      </c>
      <c r="G60" s="107">
        <v>0</v>
      </c>
      <c r="H60" s="107"/>
      <c r="I60" s="106">
        <v>0.69999</v>
      </c>
      <c r="J60" s="106">
        <v>0.69999</v>
      </c>
      <c r="K60" s="104"/>
      <c r="L60" s="143" t="s">
        <v>446</v>
      </c>
      <c r="M60" s="143"/>
      <c r="O60" s="143"/>
      <c r="P60" s="139"/>
    </row>
    <row r="61" spans="1:16" x14ac:dyDescent="0.3">
      <c r="B61" s="137" t="s">
        <v>1062</v>
      </c>
      <c r="C61" s="144"/>
      <c r="D61" s="142" t="s">
        <v>261</v>
      </c>
      <c r="E61" s="104" t="s">
        <v>242</v>
      </c>
      <c r="F61" s="107">
        <v>0</v>
      </c>
      <c r="G61" s="107">
        <v>0</v>
      </c>
      <c r="H61" s="107"/>
      <c r="I61" s="106">
        <v>0.79998999999999998</v>
      </c>
      <c r="J61" s="106">
        <v>0.79998999999999998</v>
      </c>
      <c r="K61" s="104"/>
      <c r="L61" s="143" t="s">
        <v>455</v>
      </c>
      <c r="M61" s="143"/>
      <c r="N61" s="143"/>
      <c r="O61" s="143"/>
      <c r="P61" s="139"/>
    </row>
    <row r="62" spans="1:16" x14ac:dyDescent="0.3">
      <c r="B62" s="143" t="s">
        <v>1063</v>
      </c>
      <c r="C62" s="144"/>
      <c r="D62" s="142" t="s">
        <v>260</v>
      </c>
      <c r="E62" s="108" t="s">
        <v>241</v>
      </c>
      <c r="F62" s="106"/>
      <c r="G62" s="107">
        <v>0</v>
      </c>
      <c r="H62" s="107">
        <v>0.95001000000000002</v>
      </c>
      <c r="I62" s="106">
        <v>1</v>
      </c>
      <c r="J62" s="109">
        <v>0.95001000000000002</v>
      </c>
      <c r="K62" s="104"/>
      <c r="L62" s="143" t="s">
        <v>456</v>
      </c>
      <c r="M62" s="143"/>
      <c r="N62" s="143"/>
      <c r="O62" s="143"/>
      <c r="P62" s="139"/>
    </row>
    <row r="63" spans="1:16" x14ac:dyDescent="0.3">
      <c r="B63" s="144" t="s">
        <v>253</v>
      </c>
      <c r="C63" s="144"/>
      <c r="D63" s="142" t="s">
        <v>236</v>
      </c>
      <c r="E63" s="104"/>
      <c r="F63" s="104"/>
      <c r="G63" s="104"/>
      <c r="H63" s="104"/>
      <c r="I63" s="104"/>
      <c r="J63" s="106"/>
      <c r="K63" s="104"/>
      <c r="L63" s="312" t="s">
        <v>598</v>
      </c>
      <c r="M63" s="143"/>
      <c r="N63" s="312" t="s">
        <v>603</v>
      </c>
      <c r="O63" s="312"/>
      <c r="P63" s="139"/>
    </row>
    <row r="64" spans="1:16" x14ac:dyDescent="0.3">
      <c r="B64" s="144"/>
      <c r="C64" s="144"/>
      <c r="D64" s="142"/>
      <c r="E64" s="104"/>
      <c r="F64" s="104"/>
      <c r="G64" s="104"/>
      <c r="H64" s="104"/>
      <c r="I64" s="104"/>
      <c r="J64" s="106"/>
      <c r="K64" s="104"/>
      <c r="L64" s="143"/>
      <c r="M64" s="143"/>
      <c r="N64" s="143"/>
      <c r="O64" s="143"/>
      <c r="P64" s="139"/>
    </row>
    <row r="65" spans="1:18" x14ac:dyDescent="0.3">
      <c r="B65" s="144" t="s">
        <v>254</v>
      </c>
      <c r="C65" s="144"/>
      <c r="D65" s="142" t="s">
        <v>236</v>
      </c>
      <c r="E65" s="104" t="s">
        <v>242</v>
      </c>
      <c r="F65" s="104"/>
      <c r="G65" s="104">
        <v>0</v>
      </c>
      <c r="H65" s="104"/>
      <c r="I65" s="104"/>
      <c r="J65" s="106"/>
      <c r="K65" s="104"/>
      <c r="L65" s="312" t="s">
        <v>599</v>
      </c>
      <c r="M65" s="143"/>
      <c r="N65" s="313" t="s">
        <v>604</v>
      </c>
      <c r="O65" s="312"/>
      <c r="P65" s="314"/>
      <c r="Q65" s="313"/>
      <c r="R65" s="313"/>
    </row>
    <row r="66" spans="1:18" x14ac:dyDescent="0.3">
      <c r="A66" s="139"/>
      <c r="B66" s="144"/>
      <c r="C66" s="144"/>
      <c r="D66" s="144"/>
      <c r="E66" s="104"/>
      <c r="F66" s="104"/>
      <c r="G66" s="104"/>
      <c r="H66" s="104"/>
      <c r="I66" s="104"/>
      <c r="J66" s="104"/>
      <c r="K66" s="144"/>
      <c r="L66" s="143"/>
      <c r="M66" s="143"/>
      <c r="N66" s="143"/>
      <c r="O66" s="143"/>
      <c r="P66" s="139"/>
    </row>
    <row r="67" spans="1:18" x14ac:dyDescent="0.3">
      <c r="A67" s="139"/>
      <c r="B67" s="144" t="s">
        <v>235</v>
      </c>
      <c r="C67" s="144"/>
      <c r="D67" s="144"/>
      <c r="E67" s="203" t="s">
        <v>258</v>
      </c>
      <c r="F67" s="203"/>
      <c r="G67" s="203" t="s">
        <v>255</v>
      </c>
      <c r="H67" s="203"/>
      <c r="I67" s="203"/>
      <c r="J67" s="203" t="s">
        <v>256</v>
      </c>
      <c r="K67" s="144"/>
      <c r="L67" s="143"/>
      <c r="M67" s="143"/>
      <c r="N67" s="143" t="s">
        <v>445</v>
      </c>
      <c r="O67" s="143"/>
      <c r="P67" s="139"/>
    </row>
    <row r="68" spans="1:18" x14ac:dyDescent="0.3">
      <c r="A68" s="139"/>
      <c r="B68" s="144"/>
      <c r="C68" s="107"/>
      <c r="D68" s="107"/>
      <c r="E68" s="204">
        <v>10.01</v>
      </c>
      <c r="F68" s="204">
        <v>10.01</v>
      </c>
      <c r="G68" s="205">
        <v>1.01</v>
      </c>
      <c r="H68" s="206"/>
      <c r="I68" s="207">
        <f t="shared" ref="I68:I74" si="0">J68-$D$68</f>
        <v>1.01</v>
      </c>
      <c r="J68" s="205">
        <v>1.01</v>
      </c>
      <c r="K68" s="144"/>
      <c r="L68" s="143" t="s">
        <v>280</v>
      </c>
      <c r="M68" s="143" t="s">
        <v>280</v>
      </c>
      <c r="N68" s="143"/>
      <c r="O68" s="143"/>
      <c r="P68" s="139"/>
    </row>
    <row r="69" spans="1:18" x14ac:dyDescent="0.3">
      <c r="A69" s="139"/>
      <c r="B69" s="144"/>
      <c r="C69" s="107"/>
      <c r="D69" s="107"/>
      <c r="E69" s="204">
        <v>10.01</v>
      </c>
      <c r="F69" s="204">
        <v>10.01</v>
      </c>
      <c r="G69" s="205">
        <v>1.01</v>
      </c>
      <c r="H69" s="206"/>
      <c r="I69" s="207">
        <f t="shared" si="0"/>
        <v>1.01</v>
      </c>
      <c r="J69" s="205">
        <v>1.01</v>
      </c>
      <c r="K69" s="144"/>
      <c r="L69" s="143" t="s">
        <v>280</v>
      </c>
      <c r="M69" s="143" t="s">
        <v>280</v>
      </c>
      <c r="N69" s="143"/>
      <c r="O69" s="143"/>
      <c r="P69" s="139"/>
    </row>
    <row r="70" spans="1:18" x14ac:dyDescent="0.3">
      <c r="A70" s="139"/>
      <c r="B70" s="144"/>
      <c r="C70" s="107"/>
      <c r="D70" s="107"/>
      <c r="E70" s="204">
        <v>10.01</v>
      </c>
      <c r="F70" s="204">
        <v>10.01</v>
      </c>
      <c r="G70" s="205">
        <v>1.01</v>
      </c>
      <c r="H70" s="206"/>
      <c r="I70" s="207">
        <f t="shared" si="0"/>
        <v>1.01</v>
      </c>
      <c r="J70" s="205">
        <v>1.01</v>
      </c>
      <c r="K70" s="144"/>
      <c r="L70" s="143" t="s">
        <v>280</v>
      </c>
      <c r="M70" s="143" t="s">
        <v>280</v>
      </c>
      <c r="N70" s="143"/>
      <c r="O70" s="143"/>
      <c r="P70" s="139"/>
    </row>
    <row r="71" spans="1:18" x14ac:dyDescent="0.3">
      <c r="A71" s="139"/>
      <c r="B71" s="144"/>
      <c r="C71" s="107"/>
      <c r="D71" s="107"/>
      <c r="E71" s="204">
        <v>10.01</v>
      </c>
      <c r="F71" s="204">
        <v>10.01</v>
      </c>
      <c r="G71" s="205">
        <v>1.01</v>
      </c>
      <c r="H71" s="206"/>
      <c r="I71" s="207">
        <f t="shared" si="0"/>
        <v>1.01</v>
      </c>
      <c r="J71" s="205">
        <v>1.01</v>
      </c>
      <c r="K71" s="144"/>
      <c r="L71" s="143" t="s">
        <v>280</v>
      </c>
      <c r="M71" s="143" t="s">
        <v>280</v>
      </c>
      <c r="N71" s="143"/>
      <c r="O71" s="143"/>
      <c r="P71" s="139"/>
    </row>
    <row r="72" spans="1:18" x14ac:dyDescent="0.3">
      <c r="A72" s="139"/>
      <c r="B72" s="144"/>
      <c r="C72" s="107"/>
      <c r="D72" s="107"/>
      <c r="E72" s="204">
        <v>10.01</v>
      </c>
      <c r="F72" s="204">
        <v>10.01</v>
      </c>
      <c r="G72" s="205">
        <v>1.01</v>
      </c>
      <c r="H72" s="206"/>
      <c r="I72" s="207">
        <f t="shared" si="0"/>
        <v>1.01</v>
      </c>
      <c r="J72" s="205">
        <v>1.01</v>
      </c>
      <c r="K72" s="144"/>
      <c r="L72" s="143" t="s">
        <v>280</v>
      </c>
      <c r="M72" s="143" t="s">
        <v>280</v>
      </c>
      <c r="N72" s="143"/>
      <c r="O72" s="143"/>
      <c r="P72" s="139"/>
    </row>
    <row r="73" spans="1:18" x14ac:dyDescent="0.3">
      <c r="A73" s="139"/>
      <c r="B73" s="144"/>
      <c r="C73" s="107"/>
      <c r="D73" s="107"/>
      <c r="E73" s="204">
        <v>10.01</v>
      </c>
      <c r="F73" s="204">
        <v>10.01</v>
      </c>
      <c r="G73" s="205">
        <v>1.01</v>
      </c>
      <c r="H73" s="206"/>
      <c r="I73" s="207">
        <f t="shared" si="0"/>
        <v>1.01</v>
      </c>
      <c r="J73" s="205">
        <v>1.01</v>
      </c>
      <c r="K73" s="144"/>
      <c r="L73" s="143" t="s">
        <v>280</v>
      </c>
      <c r="M73" s="143" t="s">
        <v>280</v>
      </c>
      <c r="N73" s="143"/>
      <c r="O73" s="143"/>
      <c r="P73" s="139"/>
    </row>
    <row r="74" spans="1:18" x14ac:dyDescent="0.3">
      <c r="A74" s="139"/>
      <c r="B74" s="144"/>
      <c r="C74" s="107"/>
      <c r="D74" s="107"/>
      <c r="E74" s="204">
        <v>10.01</v>
      </c>
      <c r="F74" s="204">
        <v>10.01</v>
      </c>
      <c r="G74" s="205">
        <v>1.01</v>
      </c>
      <c r="H74" s="206"/>
      <c r="I74" s="207">
        <f t="shared" si="0"/>
        <v>1.01</v>
      </c>
      <c r="J74" s="205">
        <v>1.01</v>
      </c>
      <c r="K74" s="144"/>
      <c r="L74" s="143" t="s">
        <v>280</v>
      </c>
      <c r="M74" s="143" t="s">
        <v>280</v>
      </c>
      <c r="N74" s="143"/>
      <c r="O74" s="143"/>
      <c r="P74" s="139"/>
    </row>
    <row r="75" spans="1:18" x14ac:dyDescent="0.3">
      <c r="A75" s="139"/>
      <c r="B75" s="144"/>
      <c r="C75" s="104"/>
      <c r="D75" s="104"/>
      <c r="E75" s="203"/>
      <c r="F75" s="203"/>
      <c r="G75" s="203"/>
      <c r="H75" s="203"/>
      <c r="I75" s="203"/>
      <c r="J75" s="208"/>
      <c r="K75" s="144"/>
      <c r="L75" s="143"/>
      <c r="M75" s="143"/>
      <c r="N75" s="143"/>
      <c r="O75" s="143"/>
      <c r="P75" s="139"/>
    </row>
    <row r="76" spans="1:18" x14ac:dyDescent="0.3">
      <c r="A76" s="139"/>
      <c r="B76" s="144" t="s">
        <v>149</v>
      </c>
      <c r="C76" s="104"/>
      <c r="D76" s="104"/>
      <c r="E76" s="203"/>
      <c r="F76" s="203"/>
      <c r="G76" s="203" t="s">
        <v>255</v>
      </c>
      <c r="H76" s="203"/>
      <c r="I76" s="203"/>
      <c r="J76" s="203" t="s">
        <v>256</v>
      </c>
      <c r="K76" s="144"/>
      <c r="L76" s="143"/>
      <c r="M76" s="143"/>
      <c r="N76" s="143"/>
      <c r="O76" s="143"/>
      <c r="P76" s="139"/>
    </row>
    <row r="77" spans="1:18" x14ac:dyDescent="0.3">
      <c r="A77" s="139"/>
      <c r="B77" s="144"/>
      <c r="C77" s="107"/>
      <c r="D77" s="107"/>
      <c r="E77" s="204">
        <v>10.01</v>
      </c>
      <c r="F77" s="204">
        <v>10.01</v>
      </c>
      <c r="G77" s="205">
        <v>1.01</v>
      </c>
      <c r="H77" s="206"/>
      <c r="I77" s="207">
        <f t="shared" ref="I77:I83" si="1">J77-$D$68</f>
        <v>1.01</v>
      </c>
      <c r="J77" s="205">
        <v>1.01</v>
      </c>
      <c r="K77" s="144"/>
      <c r="L77" s="143" t="s">
        <v>281</v>
      </c>
      <c r="M77" s="143" t="s">
        <v>281</v>
      </c>
      <c r="N77" s="143"/>
      <c r="O77" s="143"/>
      <c r="P77" s="139"/>
    </row>
    <row r="78" spans="1:18" x14ac:dyDescent="0.3">
      <c r="A78" s="139"/>
      <c r="B78" s="144"/>
      <c r="C78" s="107"/>
      <c r="D78" s="107"/>
      <c r="E78" s="204">
        <v>10.01</v>
      </c>
      <c r="F78" s="204">
        <v>10.01</v>
      </c>
      <c r="G78" s="205">
        <v>1.01</v>
      </c>
      <c r="H78" s="206"/>
      <c r="I78" s="207">
        <f t="shared" si="1"/>
        <v>1.01</v>
      </c>
      <c r="J78" s="205">
        <v>1.01</v>
      </c>
      <c r="K78" s="144"/>
      <c r="L78" s="143" t="s">
        <v>281</v>
      </c>
      <c r="M78" s="143" t="s">
        <v>281</v>
      </c>
      <c r="N78" s="143"/>
      <c r="O78" s="143"/>
      <c r="P78" s="139"/>
    </row>
    <row r="79" spans="1:18" x14ac:dyDescent="0.3">
      <c r="A79" s="139"/>
      <c r="B79" s="144"/>
      <c r="C79" s="107"/>
      <c r="D79" s="107"/>
      <c r="E79" s="204">
        <v>10.01</v>
      </c>
      <c r="F79" s="204">
        <v>10.01</v>
      </c>
      <c r="G79" s="205">
        <v>1.01</v>
      </c>
      <c r="H79" s="206"/>
      <c r="I79" s="207">
        <f t="shared" si="1"/>
        <v>1.01</v>
      </c>
      <c r="J79" s="205">
        <v>1.01</v>
      </c>
      <c r="K79" s="144"/>
      <c r="L79" s="143" t="s">
        <v>281</v>
      </c>
      <c r="M79" s="143" t="s">
        <v>281</v>
      </c>
      <c r="N79" s="143"/>
      <c r="O79" s="143"/>
      <c r="P79" s="139"/>
    </row>
    <row r="80" spans="1:18" x14ac:dyDescent="0.3">
      <c r="A80" s="139"/>
      <c r="B80" s="144"/>
      <c r="C80" s="107"/>
      <c r="D80" s="107"/>
      <c r="E80" s="204">
        <v>10.01</v>
      </c>
      <c r="F80" s="204">
        <v>10.01</v>
      </c>
      <c r="G80" s="205">
        <v>1.01</v>
      </c>
      <c r="H80" s="206"/>
      <c r="I80" s="207">
        <f t="shared" si="1"/>
        <v>1.01</v>
      </c>
      <c r="J80" s="205">
        <v>1.01</v>
      </c>
      <c r="K80" s="144"/>
      <c r="L80" s="143" t="s">
        <v>281</v>
      </c>
      <c r="M80" s="143" t="s">
        <v>281</v>
      </c>
      <c r="N80" s="143"/>
      <c r="O80" s="143"/>
      <c r="P80" s="139"/>
    </row>
    <row r="81" spans="1:16" x14ac:dyDescent="0.3">
      <c r="A81" s="139"/>
      <c r="B81" s="144"/>
      <c r="C81" s="107"/>
      <c r="D81" s="107"/>
      <c r="E81" s="204">
        <v>10.01</v>
      </c>
      <c r="F81" s="204">
        <v>10.01</v>
      </c>
      <c r="G81" s="205">
        <v>1.01</v>
      </c>
      <c r="H81" s="206"/>
      <c r="I81" s="207">
        <f t="shared" si="1"/>
        <v>1.01</v>
      </c>
      <c r="J81" s="205">
        <v>1.01</v>
      </c>
      <c r="K81" s="144"/>
      <c r="L81" s="143" t="s">
        <v>281</v>
      </c>
      <c r="M81" s="143" t="s">
        <v>281</v>
      </c>
      <c r="N81" s="143"/>
      <c r="O81" s="142"/>
      <c r="P81" s="139"/>
    </row>
    <row r="82" spans="1:16" x14ac:dyDescent="0.3">
      <c r="A82" s="139"/>
      <c r="B82" s="144"/>
      <c r="C82" s="107"/>
      <c r="D82" s="107"/>
      <c r="E82" s="204">
        <v>10.01</v>
      </c>
      <c r="F82" s="204">
        <v>10.01</v>
      </c>
      <c r="G82" s="205">
        <v>1.01</v>
      </c>
      <c r="H82" s="206"/>
      <c r="I82" s="207">
        <f t="shared" si="1"/>
        <v>1.01</v>
      </c>
      <c r="J82" s="205">
        <v>1.01</v>
      </c>
      <c r="K82" s="144"/>
      <c r="L82" s="143" t="s">
        <v>281</v>
      </c>
      <c r="M82" s="143" t="s">
        <v>281</v>
      </c>
      <c r="N82" s="143"/>
      <c r="O82" s="142"/>
      <c r="P82" s="139"/>
    </row>
    <row r="83" spans="1:16" x14ac:dyDescent="0.3">
      <c r="A83" s="139"/>
      <c r="B83" s="144"/>
      <c r="C83" s="107"/>
      <c r="D83" s="107"/>
      <c r="E83" s="204">
        <v>10.01</v>
      </c>
      <c r="F83" s="204">
        <v>10.01</v>
      </c>
      <c r="G83" s="205">
        <v>1.01</v>
      </c>
      <c r="H83" s="206"/>
      <c r="I83" s="207">
        <f t="shared" si="1"/>
        <v>1.01</v>
      </c>
      <c r="J83" s="205">
        <v>1.01</v>
      </c>
      <c r="K83" s="144"/>
      <c r="L83" s="143" t="s">
        <v>281</v>
      </c>
      <c r="M83" s="143" t="s">
        <v>281</v>
      </c>
      <c r="N83" s="143"/>
      <c r="O83" s="142"/>
      <c r="P83" s="139"/>
    </row>
    <row r="84" spans="1:16" x14ac:dyDescent="0.3">
      <c r="F84" s="133"/>
      <c r="G84" s="124"/>
      <c r="I84" s="118"/>
    </row>
  </sheetData>
  <mergeCells count="4">
    <mergeCell ref="D13:D14"/>
    <mergeCell ref="B13:B14"/>
    <mergeCell ref="C13:C14"/>
    <mergeCell ref="E13:E14"/>
  </mergeCells>
  <phoneticPr fontId="36" type="noConversion"/>
  <pageMargins left="0.31496062992125984" right="0.11811023622047245" top="0.39370078740157483" bottom="0.39370078740157483" header="0.31496062992125984" footer="0.31496062992125984"/>
  <pageSetup paperSize="9" orientation="landscape" r:id="rId1"/>
  <ignoredErrors>
    <ignoredError sqref="C19:C21" formula="1"/>
    <ignoredError sqref="C15"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4"/>
  <dimension ref="A1:V57"/>
  <sheetViews>
    <sheetView zoomScaleNormal="100" workbookViewId="0">
      <selection activeCell="E4" sqref="E4"/>
    </sheetView>
  </sheetViews>
  <sheetFormatPr defaultColWidth="11.44140625" defaultRowHeight="11.4" x14ac:dyDescent="0.3"/>
  <cols>
    <col min="1" max="1" width="15.33203125" style="462" customWidth="1"/>
    <col min="2" max="2" width="9.109375" style="462" customWidth="1"/>
    <col min="3" max="3" width="5" style="483" customWidth="1"/>
    <col min="4" max="4" width="29.5546875" style="494" customWidth="1"/>
    <col min="5" max="5" width="17.33203125" style="495" customWidth="1"/>
    <col min="6" max="7" width="7.88671875" style="495" customWidth="1"/>
    <col min="8" max="8" width="50.109375" style="462" customWidth="1"/>
    <col min="9" max="9" width="51.6640625" style="462" customWidth="1"/>
    <col min="10" max="10" width="6.6640625" style="463" customWidth="1"/>
    <col min="11" max="11" width="9.109375" style="462" customWidth="1"/>
    <col min="12" max="12" width="28" style="463" customWidth="1"/>
    <col min="13" max="13" width="26.5546875" style="463" customWidth="1"/>
    <col min="14" max="14" width="27.5546875" style="463" customWidth="1"/>
    <col min="15" max="15" width="46.44140625" style="462" customWidth="1"/>
    <col min="16" max="16" width="60.5546875" style="462" customWidth="1"/>
    <col min="17" max="16384" width="11.44140625" style="462"/>
  </cols>
  <sheetData>
    <row r="1" spans="1:22" s="466" customFormat="1" ht="24.6" thickBot="1" x14ac:dyDescent="0.35">
      <c r="A1" s="458"/>
      <c r="B1" s="459"/>
      <c r="C1" s="459"/>
      <c r="D1" s="460"/>
      <c r="E1" s="461"/>
      <c r="F1" s="461"/>
      <c r="G1" s="461"/>
      <c r="H1" s="462"/>
      <c r="I1" s="462"/>
      <c r="J1" s="463"/>
      <c r="K1" s="462"/>
      <c r="L1" s="464" t="s">
        <v>264</v>
      </c>
      <c r="M1" s="465" t="s">
        <v>492</v>
      </c>
      <c r="N1" s="465" t="s">
        <v>505</v>
      </c>
      <c r="O1" s="464" t="s">
        <v>150</v>
      </c>
      <c r="P1" s="464" t="s">
        <v>464</v>
      </c>
    </row>
    <row r="2" spans="1:22" s="466" customFormat="1" x14ac:dyDescent="0.3">
      <c r="A2" s="467" t="str">
        <f>IF(Datenquelle!$H$3&gt;6,IF(Datenquelle!$H$3=7,"EZ",IF(Datenquelle!$H$3&gt;7,"relevant","?")),"nicht relevant")</f>
        <v>nicht relevant</v>
      </c>
      <c r="B2" s="552" t="s">
        <v>623</v>
      </c>
      <c r="C2" s="459"/>
      <c r="D2" s="468" t="s">
        <v>231</v>
      </c>
      <c r="E2" s="469" t="str">
        <f>IF(H2="","","2015")</f>
        <v/>
      </c>
      <c r="F2" s="469" t="str">
        <f t="shared" ref="F2:F7" si="0">IF(H2="","","a")</f>
        <v/>
      </c>
      <c r="G2" s="469" t="str">
        <f>IF(H2="","","1")</f>
        <v/>
      </c>
      <c r="H2" s="470" t="str">
        <f>IF(A2="relevant",IF(COUNTIF(Matrix!C23:AC23,"")&gt;2,Berechnung2!$L$55,""),"")</f>
        <v/>
      </c>
      <c r="I2" s="471" t="str">
        <f>IF(H2="","",VLOOKUP(F2,Berechnung2!$I$15:$J$25,2,FALSE))</f>
        <v/>
      </c>
      <c r="J2" s="472" t="str">
        <f>IF(H2&lt;&gt;"",1,"")</f>
        <v/>
      </c>
      <c r="L2" s="473" t="str">
        <f t="array" aca="1" ref="L2" ca="1">IF(ROW()-ROW($F$2:$F$52)+1&gt;ROWS($E$2:$E$52)-COUNTBLANK($E$2:$E$52),"",INDIRECT(ADDRESS(SMALL((IF($E$2:$E$52&lt;&gt;"",ROW($E$2:$E$52),ROW()+ROWS($E$2:$E$52))),ROW()-ROW($F$2:$F$52)+1),COLUMN($E$2:$E$52),4)))</f>
        <v/>
      </c>
      <c r="M2" s="473" t="str">
        <f t="array" aca="1" ref="M2" ca="1">IF(ROW()-ROW($G$2:$G$52)+1&gt;ROWS($F$2:$F$52)-COUNTBLANK($F$2:$F$52),"",INDIRECT(ADDRESS(SMALL((IF($F$2:$F$52&lt;&gt;"",ROW($F$2:$F$52),ROW()+ROWS($F$2:$F$52))),ROW()-ROW($G$2:$G$52)+1),COLUMN($F$2:$F$52),4)))</f>
        <v/>
      </c>
      <c r="N2" s="473" t="str">
        <f t="array" aca="1" ref="N2" ca="1">IF(ROW()-ROW($H$2:$H$52)+1&gt;ROWS($G$2:$G$52)-COUNTBLANK($G$2:$G$52),"",INDIRECT(ADDRESS(SMALL((IF($G$2:$G$52&lt;&gt;"",ROW($G$2:$G$52),ROW()+ROWS($G$2:$G$52))),ROW()-ROW($H$2:$H$52)+1),COLUMN($G$2:$G$52),4)))</f>
        <v/>
      </c>
      <c r="O2" s="467" t="str">
        <f t="array" aca="1" ref="O2" ca="1">IF(ROW()-ROW($I$2:$I$52)+1&gt;ROWS($H$2:$H$52)-COUNTBLANK($H$2:$H$52),"",INDIRECT(ADDRESS(SMALL((IF($H$2:$H$52&lt;&gt;"",ROW($H$2:$H$52),ROW()+ROWS($H$2:$H$52))),ROW()-ROW($I$2:$I$52)+1),COLUMN($H$2:$H$52),4)))</f>
        <v/>
      </c>
      <c r="P2" s="467" t="str">
        <f t="array" aca="1" ref="P2" ca="1">IF(ROW()-ROW($J$2:$J$52)+1&gt;ROWS($I$2:$I$52)-COUNTBLANK($I$2:$I$52),"",INDIRECT(ADDRESS(SMALL((IF($I$2:$I$52&lt;&gt;"",ROW($I$2:$I$52),ROW()+ROWS($I$2:$I$52))),ROW()-ROW($J$2:$J$52)+1),COLUMN($I$2:$I$52),4)))</f>
        <v/>
      </c>
    </row>
    <row r="3" spans="1:22" s="466" customFormat="1" ht="12" customHeight="1" x14ac:dyDescent="0.3">
      <c r="A3" s="467" t="str">
        <f>IF(Datenquelle!$H$3&gt;5,IF(Datenquelle!$H$3=6,"EZ",IF(Datenquelle!$H$3&gt;6,"relevant","?")),"nicht relevant")</f>
        <v>nicht relevant</v>
      </c>
      <c r="B3" s="552" t="s">
        <v>758</v>
      </c>
      <c r="C3" s="459"/>
      <c r="D3" s="1100" t="s">
        <v>444</v>
      </c>
      <c r="E3" s="474" t="str">
        <f>IF(H3="","","2016")</f>
        <v/>
      </c>
      <c r="F3" s="474" t="str">
        <f t="shared" si="0"/>
        <v/>
      </c>
      <c r="G3" s="474" t="str">
        <f t="shared" ref="G3:G23" si="1">IF(H3="","","1")</f>
        <v/>
      </c>
      <c r="H3" s="475" t="str">
        <f>IF(A3="relevant",IF(COUNTIF(Matrix!C24:AC24,"")&gt;2,Berechnung2!$L$55,""),"")</f>
        <v/>
      </c>
      <c r="I3" s="476" t="str">
        <f>IF(H3="","",VLOOKUP(F3,Berechnung2!$I$15:$J$25,2,FALSE))</f>
        <v/>
      </c>
      <c r="J3" s="477" t="str">
        <f t="shared" ref="J3:J52" si="2">IF(H3&lt;&gt;"",1,"")</f>
        <v/>
      </c>
      <c r="L3" s="473" t="str">
        <f t="array" aca="1" ref="L3" ca="1">IF(ROW()-ROW($F$2:$F$52)+1&gt;ROWS($E$2:$E$52)-COUNTBLANK($E$2:$E$52),"",INDIRECT(ADDRESS(SMALL((IF($E$2:$E$52&lt;&gt;"",ROW($E$2:$E$52),ROW()+ROWS($E$2:$E$52))),ROW()-ROW($F$2:$F$52)+1),COLUMN($E$2:$E$52),4)))</f>
        <v/>
      </c>
      <c r="M3" s="473" t="str">
        <f t="array" aca="1" ref="M3" ca="1">IF(ROW()-ROW($G$2:$G$52)+1&gt;ROWS($F$2:$F$52)-COUNTBLANK($F$2:$F$52),"",INDIRECT(ADDRESS(SMALL((IF($F$2:$F$52&lt;&gt;"",ROW($F$2:$F$52),ROW()+ROWS($F$2:$F$52))),ROW()-ROW($G$2:$G$52)+1),COLUMN($F$2:$F$52),4)))</f>
        <v/>
      </c>
      <c r="N3" s="473" t="str">
        <f t="array" aca="1" ref="N3" ca="1">IF(ROW()-ROW($H$2:$H$52)+1&gt;ROWS($G$2:$G$52)-COUNTBLANK($G$2:$G$52),"",INDIRECT(ADDRESS(SMALL((IF($G$2:$G$52&lt;&gt;"",ROW($G$2:$G$52),ROW()+ROWS($G$2:$G$52))),ROW()-ROW($H$2:$H$52)+1),COLUMN($G$2:$G$52),4)))</f>
        <v/>
      </c>
      <c r="O3" s="467" t="str">
        <f t="array" aca="1" ref="O3" ca="1">IF(ROW()-ROW($I$2:$I$52)+1&gt;ROWS($H$2:$H$52)-COUNTBLANK($H$2:$H$52),"",INDIRECT(ADDRESS(SMALL((IF($H$2:$H$52&lt;&gt;"",ROW($H$2:$H$52),ROW()+ROWS($H$2:$H$52))),ROW()-ROW($I$2:$I$52)+1),COLUMN($H$2:$H$52),4)))</f>
        <v/>
      </c>
      <c r="P3" s="467" t="str">
        <f t="array" aca="1" ref="P3" ca="1">IF(ROW()-ROW($J$2:$J$52)+1&gt;ROWS($I$2:$I$52)-COUNTBLANK($I$2:$I$52),"",INDIRECT(ADDRESS(SMALL((IF($I$2:$I$52&lt;&gt;"",ROW($I$2:$I$52),ROW()+ROWS($I$2:$I$52))),ROW()-ROW($J$2:$J$52)+1),COLUMN($I$2:$I$52),4)))</f>
        <v/>
      </c>
    </row>
    <row r="4" spans="1:22" s="466" customFormat="1" ht="15" customHeight="1" x14ac:dyDescent="0.3">
      <c r="A4" s="467" t="str">
        <f>IF(Datenquelle!$H$3&gt;4,IF(Datenquelle!$H$3=5,"EZ",IF(Datenquelle!$H$3&gt;5,"relevant","?")),"nicht relevant")</f>
        <v>nicht relevant</v>
      </c>
      <c r="B4" s="552" t="s">
        <v>845</v>
      </c>
      <c r="C4" s="459"/>
      <c r="D4" s="1100"/>
      <c r="E4" s="474" t="str">
        <f>IF(H4="","","2017")</f>
        <v/>
      </c>
      <c r="F4" s="474" t="str">
        <f t="shared" si="0"/>
        <v/>
      </c>
      <c r="G4" s="474" t="str">
        <f t="shared" si="1"/>
        <v/>
      </c>
      <c r="H4" s="475" t="str">
        <f>IF(A4="relevant",IF(COUNTIF(Matrix!C25:AC25,"")&gt;2,Berechnung2!$L$55,""),"")</f>
        <v/>
      </c>
      <c r="I4" s="476" t="str">
        <f>IF(H4="","",VLOOKUP(F4,Berechnung2!$I$15:$J$25,2,FALSE))</f>
        <v/>
      </c>
      <c r="J4" s="477" t="str">
        <f t="shared" si="2"/>
        <v/>
      </c>
      <c r="L4" s="473" t="str">
        <f t="array" aca="1" ref="L4" ca="1">IF(ROW()-ROW($F$2:$F$52)+1&gt;ROWS($E$2:$E$52)-COUNTBLANK($E$2:$E$52),"",INDIRECT(ADDRESS(SMALL((IF($E$2:$E$52&lt;&gt;"",ROW($E$2:$E$52),ROW()+ROWS($E$2:$E$52))),ROW()-ROW($F$2:$F$52)+1),COLUMN($E$2:$E$52),4)))</f>
        <v/>
      </c>
      <c r="M4" s="473" t="str">
        <f t="array" aca="1" ref="M4" ca="1">IF(ROW()-ROW($G$2:$G$52)+1&gt;ROWS($F$2:$F$52)-COUNTBLANK($F$2:$F$52),"",INDIRECT(ADDRESS(SMALL((IF($F$2:$F$52&lt;&gt;"",ROW($F$2:$F$52),ROW()+ROWS($F$2:$F$52))),ROW()-ROW($G$2:$G$52)+1),COLUMN($F$2:$F$52),4)))</f>
        <v/>
      </c>
      <c r="N4" s="473" t="str">
        <f t="array" aca="1" ref="N4" ca="1">IF(ROW()-ROW($H$2:$H$52)+1&gt;ROWS($G$2:$G$52)-COUNTBLANK($G$2:$G$52),"",INDIRECT(ADDRESS(SMALL((IF($G$2:$G$52&lt;&gt;"",ROW($G$2:$G$52),ROW()+ROWS($G$2:$G$52))),ROW()-ROW($H$2:$H$52)+1),COLUMN($G$2:$G$52),4)))</f>
        <v/>
      </c>
      <c r="O4" s="467" t="str">
        <f t="array" aca="1" ref="O4" ca="1">IF(ROW()-ROW($I$2:$I$52)+1&gt;ROWS($H$2:$H$52)-COUNTBLANK($H$2:$H$52),"",INDIRECT(ADDRESS(SMALL((IF($H$2:$H$52&lt;&gt;"",ROW($H$2:$H$52),ROW()+ROWS($H$2:$H$52))),ROW()-ROW($I$2:$I$52)+1),COLUMN($H$2:$H$52),4)))</f>
        <v/>
      </c>
      <c r="P4" s="467" t="str">
        <f t="array" aca="1" ref="P4" ca="1">IF(ROW()-ROW($J$2:$J$52)+1&gt;ROWS($I$2:$I$52)-COUNTBLANK($I$2:$I$52),"",INDIRECT(ADDRESS(SMALL((IF($I$2:$I$52&lt;&gt;"",ROW($I$2:$I$52),ROW()+ROWS($I$2:$I$52))),ROW()-ROW($J$2:$J$52)+1),COLUMN($I$2:$I$52),4)))</f>
        <v/>
      </c>
    </row>
    <row r="5" spans="1:22" s="466" customFormat="1" ht="15" customHeight="1" x14ac:dyDescent="0.3">
      <c r="A5" s="467" t="str">
        <f>IF(Datenquelle!$H$3&gt;3,IF(Datenquelle!$H$3=4,"EZ",IF(Datenquelle!$H$3&gt;4,"relevant","?")),"nicht relevant")</f>
        <v>nicht relevant</v>
      </c>
      <c r="B5" s="552" t="s">
        <v>862</v>
      </c>
      <c r="C5" s="459"/>
      <c r="D5" s="1100"/>
      <c r="E5" s="474" t="str">
        <f>IF(H5="","","2018")</f>
        <v/>
      </c>
      <c r="F5" s="474" t="str">
        <f t="shared" si="0"/>
        <v/>
      </c>
      <c r="G5" s="474" t="str">
        <f t="shared" si="1"/>
        <v/>
      </c>
      <c r="H5" s="475" t="str">
        <f>IF(A5="relevant",IF(COUNTIF(Matrix!C26:AC26,"")&gt;2,Berechnung2!$L$55,""),"")</f>
        <v/>
      </c>
      <c r="I5" s="476" t="str">
        <f>IF(H5="","",VLOOKUP(F5,Berechnung2!$I$15:$J$25,2,FALSE))</f>
        <v/>
      </c>
      <c r="J5" s="477" t="str">
        <f t="shared" si="2"/>
        <v/>
      </c>
      <c r="L5" s="473" t="str">
        <f t="array" aca="1" ref="L5" ca="1">IF(ROW()-ROW($F$2:$F$52)+1&gt;ROWS($E$2:$E$52)-COUNTBLANK($E$2:$E$52),"",INDIRECT(ADDRESS(SMALL((IF($E$2:$E$52&lt;&gt;"",ROW($E$2:$E$52),ROW()+ROWS($E$2:$E$52))),ROW()-ROW($F$2:$F$52)+1),COLUMN($E$2:$E$52),4)))</f>
        <v/>
      </c>
      <c r="M5" s="473" t="str">
        <f t="array" aca="1" ref="M5" ca="1">IF(ROW()-ROW($G$2:$G$52)+1&gt;ROWS($F$2:$F$52)-COUNTBLANK($F$2:$F$52),"",INDIRECT(ADDRESS(SMALL((IF($F$2:$F$52&lt;&gt;"",ROW($F$2:$F$52),ROW()+ROWS($F$2:$F$52))),ROW()-ROW($G$2:$G$52)+1),COLUMN($F$2:$F$52),4)))</f>
        <v/>
      </c>
      <c r="N5" s="473" t="str">
        <f t="array" aca="1" ref="N5" ca="1">IF(ROW()-ROW($H$2:$H$52)+1&gt;ROWS($G$2:$G$52)-COUNTBLANK($G$2:$G$52),"",INDIRECT(ADDRESS(SMALL((IF($G$2:$G$52&lt;&gt;"",ROW($G$2:$G$52),ROW()+ROWS($G$2:$G$52))),ROW()-ROW($H$2:$H$52)+1),COLUMN($G$2:$G$52),4)))</f>
        <v/>
      </c>
      <c r="O5" s="467" t="str">
        <f t="array" aca="1" ref="O5" ca="1">IF(ROW()-ROW($I$2:$I$52)+1&gt;ROWS($H$2:$H$52)-COUNTBLANK($H$2:$H$52),"",INDIRECT(ADDRESS(SMALL((IF($H$2:$H$52&lt;&gt;"",ROW($H$2:$H$52),ROW()+ROWS($H$2:$H$52))),ROW()-ROW($I$2:$I$52)+1),COLUMN($H$2:$H$52),4)))</f>
        <v/>
      </c>
      <c r="P5" s="467" t="str">
        <f t="array" aca="1" ref="P5" ca="1">IF(ROW()-ROW($J$2:$J$52)+1&gt;ROWS($I$2:$I$52)-COUNTBLANK($I$2:$I$52),"",INDIRECT(ADDRESS(SMALL((IF($I$2:$I$52&lt;&gt;"",ROW($I$2:$I$52),ROW()+ROWS($I$2:$I$52))),ROW()-ROW($J$2:$J$52)+1),COLUMN($I$2:$I$52),4)))</f>
        <v/>
      </c>
    </row>
    <row r="6" spans="1:22" s="466" customFormat="1" ht="15" customHeight="1" x14ac:dyDescent="0.3">
      <c r="A6" s="467" t="str">
        <f>IF(Datenquelle!$H$3&gt;2,IF(Datenquelle!$H$3=3,"EZ",IF(Datenquelle!$H$3&gt;3,"relevant","?")),"nicht relevant")</f>
        <v>nicht relevant</v>
      </c>
      <c r="B6" s="552" t="s">
        <v>968</v>
      </c>
      <c r="C6" s="459"/>
      <c r="D6" s="1100"/>
      <c r="E6" s="474" t="str">
        <f>IF(H6="","","2019")</f>
        <v/>
      </c>
      <c r="F6" s="474" t="str">
        <f t="shared" si="0"/>
        <v/>
      </c>
      <c r="G6" s="474" t="str">
        <f t="shared" si="1"/>
        <v/>
      </c>
      <c r="H6" s="475" t="str">
        <f>IF(A6="relevant",IF(COUNTIF(Matrix!C27:AC27,"")&gt;2,Berechnung2!$L$55,""),"")</f>
        <v/>
      </c>
      <c r="I6" s="476" t="str">
        <f>IF(H6="","",VLOOKUP(F6,Berechnung2!$I$15:$J$25,2,FALSE))</f>
        <v/>
      </c>
      <c r="J6" s="477" t="str">
        <f t="shared" si="2"/>
        <v/>
      </c>
      <c r="L6" s="473" t="str">
        <f t="array" aca="1" ref="L6" ca="1">IF(ROW()-ROW($F$2:$F$52)+1&gt;ROWS($E$2:$E$52)-COUNTBLANK($E$2:$E$52),"",INDIRECT(ADDRESS(SMALL((IF($E$2:$E$52&lt;&gt;"",ROW($E$2:$E$52),ROW()+ROWS($E$2:$E$52))),ROW()-ROW($F$2:$F$52)+1),COLUMN($E$2:$E$52),4)))</f>
        <v/>
      </c>
      <c r="M6" s="473" t="str">
        <f t="array" aca="1" ref="M6" ca="1">IF(ROW()-ROW($G$2:$G$52)+1&gt;ROWS($F$2:$F$52)-COUNTBLANK($F$2:$F$52),"",INDIRECT(ADDRESS(SMALL((IF($F$2:$F$52&lt;&gt;"",ROW($F$2:$F$52),ROW()+ROWS($F$2:$F$52))),ROW()-ROW($G$2:$G$52)+1),COLUMN($F$2:$F$52),4)))</f>
        <v/>
      </c>
      <c r="N6" s="473" t="str">
        <f t="array" aca="1" ref="N6" ca="1">IF(ROW()-ROW($H$2:$H$52)+1&gt;ROWS($G$2:$G$52)-COUNTBLANK($G$2:$G$52),"",INDIRECT(ADDRESS(SMALL((IF($G$2:$G$52&lt;&gt;"",ROW($G$2:$G$52),ROW()+ROWS($G$2:$G$52))),ROW()-ROW($H$2:$H$52)+1),COLUMN($G$2:$G$52),4)))</f>
        <v/>
      </c>
      <c r="O6" s="467" t="str">
        <f t="array" aca="1" ref="O6" ca="1">IF(ROW()-ROW($I$2:$I$52)+1&gt;ROWS($H$2:$H$52)-COUNTBLANK($H$2:$H$52),"",INDIRECT(ADDRESS(SMALL((IF($H$2:$H$52&lt;&gt;"",ROW($H$2:$H$52),ROW()+ROWS($H$2:$H$52))),ROW()-ROW($I$2:$I$52)+1),COLUMN($H$2:$H$52),4)))</f>
        <v/>
      </c>
      <c r="P6" s="467" t="str">
        <f t="array" aca="1" ref="P6" ca="1">IF(ROW()-ROW($J$2:$J$52)+1&gt;ROWS($I$2:$I$52)-COUNTBLANK($I$2:$I$52),"",INDIRECT(ADDRESS(SMALL((IF($I$2:$I$52&lt;&gt;"",ROW($I$2:$I$52),ROW()+ROWS($I$2:$I$52))),ROW()-ROW($J$2:$J$52)+1),COLUMN($I$2:$I$52),4)))</f>
        <v/>
      </c>
    </row>
    <row r="7" spans="1:22" s="466" customFormat="1" ht="15.75" customHeight="1" x14ac:dyDescent="0.3">
      <c r="A7" s="467" t="str">
        <f>IF(Datenquelle!$H$3&gt;1,IF(Datenquelle!$H$3=2,"EZ",IF(Datenquelle!$H$3&gt;2,"relevant","?")),"nicht relevant")</f>
        <v>nicht relevant</v>
      </c>
      <c r="B7" s="552" t="s">
        <v>1064</v>
      </c>
      <c r="C7" s="459"/>
      <c r="D7" s="1100" t="s">
        <v>494</v>
      </c>
      <c r="E7" s="474" t="str">
        <f>IF(H7="","","2020")</f>
        <v/>
      </c>
      <c r="F7" s="474" t="str">
        <f t="shared" si="0"/>
        <v/>
      </c>
      <c r="G7" s="474" t="str">
        <f t="shared" si="1"/>
        <v/>
      </c>
      <c r="H7" s="581" t="str">
        <f>IF(A7="relevant",IF(COUNTIF(Matrix!C28:M28,"")&gt;0,Berechnung2!$L$55,""),"")</f>
        <v/>
      </c>
      <c r="I7" s="476" t="str">
        <f>IF(H7="","",VLOOKUP(F7,Berechnung2!$I$15:$J$25,2,FALSE))</f>
        <v/>
      </c>
      <c r="J7" s="477" t="str">
        <f t="shared" si="2"/>
        <v/>
      </c>
      <c r="L7" s="473" t="str">
        <f t="array" aca="1" ref="L7" ca="1">IF(ROW()-ROW($F$2:$F$52)+1&gt;ROWS($E$2:$E$52)-COUNTBLANK($E$2:$E$52),"",INDIRECT(ADDRESS(SMALL((IF($E$2:$E$52&lt;&gt;"",ROW($E$2:$E$52),ROW()+ROWS($E$2:$E$52))),ROW()-ROW($F$2:$F$52)+1),COLUMN($E$2:$E$52),4)))</f>
        <v/>
      </c>
      <c r="M7" s="473" t="str">
        <f t="array" aca="1" ref="M7" ca="1">IF(ROW()-ROW($G$2:$G$52)+1&gt;ROWS($F$2:$F$52)-COUNTBLANK($F$2:$F$52),"",INDIRECT(ADDRESS(SMALL((IF($F$2:$F$52&lt;&gt;"",ROW($F$2:$F$52),ROW()+ROWS($F$2:$F$52))),ROW()-ROW($G$2:$G$52)+1),COLUMN($F$2:$F$52),4)))</f>
        <v/>
      </c>
      <c r="N7" s="473" t="str">
        <f t="array" aca="1" ref="N7" ca="1">IF(ROW()-ROW($H$2:$H$52)+1&gt;ROWS($G$2:$G$52)-COUNTBLANK($G$2:$G$52),"",INDIRECT(ADDRESS(SMALL((IF($G$2:$G$52&lt;&gt;"",ROW($G$2:$G$52),ROW()+ROWS($G$2:$G$52))),ROW()-ROW($H$2:$H$52)+1),COLUMN($G$2:$G$52),4)))</f>
        <v/>
      </c>
      <c r="O7" s="467" t="str">
        <f t="array" aca="1" ref="O7" ca="1">IF(ROW()-ROW($I$2:$I$52)+1&gt;ROWS($H$2:$H$52)-COUNTBLANK($H$2:$H$52),"",INDIRECT(ADDRESS(SMALL((IF($H$2:$H$52&lt;&gt;"",ROW($H$2:$H$52),ROW()+ROWS($H$2:$H$52))),ROW()-ROW($I$2:$I$52)+1),COLUMN($H$2:$H$52),4)))</f>
        <v/>
      </c>
      <c r="P7" s="467" t="str">
        <f t="array" aca="1" ref="P7" ca="1">IF(ROW()-ROW($J$2:$J$52)+1&gt;ROWS($I$2:$I$52)-COUNTBLANK($I$2:$I$52),"",INDIRECT(ADDRESS(SMALL((IF($I$2:$I$52&lt;&gt;"",ROW($I$2:$I$52),ROW()+ROWS($I$2:$I$52))),ROW()-ROW($J$2:$J$52)+1),COLUMN($I$2:$I$52),4)))</f>
        <v/>
      </c>
      <c r="Q7" s="462"/>
      <c r="R7" s="462"/>
      <c r="S7" s="462"/>
      <c r="T7" s="462"/>
      <c r="U7" s="462"/>
      <c r="V7" s="462"/>
    </row>
    <row r="8" spans="1:22" s="466" customFormat="1" ht="15.75" customHeight="1" thickBot="1" x14ac:dyDescent="0.35">
      <c r="A8" s="467" t="str">
        <f>IF(Datenquelle!$H$3&gt;0,IF(Datenquelle!$H$3=1,"EZ",IF(Datenquelle!$H$3&gt;1,"relevant","?")),"nicht relevant")</f>
        <v>nicht relevant</v>
      </c>
      <c r="B8" s="552" t="s">
        <v>1138</v>
      </c>
      <c r="C8" s="482"/>
      <c r="D8" s="1102"/>
      <c r="E8" s="474" t="str">
        <f>IF(H8="","","2021")</f>
        <v/>
      </c>
      <c r="F8" s="474" t="str">
        <f t="shared" ref="F8" si="3">IF(H8="","","a")</f>
        <v/>
      </c>
      <c r="G8" s="474" t="str">
        <f t="shared" ref="G8" si="4">IF(H8="","","1")</f>
        <v/>
      </c>
      <c r="H8" s="581" t="str">
        <f>IF(A8="relevant",IF(COUNTIF(Matrix!C29:M29,"")&gt;0,Berechnung2!$L$55,""),"")</f>
        <v/>
      </c>
      <c r="I8" s="476" t="str">
        <f>IF(H8="","",VLOOKUP(F8,Berechnung2!$I$15:$J$25,2,FALSE))</f>
        <v/>
      </c>
      <c r="J8" s="477" t="str">
        <f t="shared" ref="J8" si="5">IF(H8&lt;&gt;"",1,"")</f>
        <v/>
      </c>
      <c r="L8" s="473" t="str">
        <f t="array" aca="1" ref="L8" ca="1">IF(ROW()-ROW($F$2:$F$52)+1&gt;ROWS($E$2:$E$52)-COUNTBLANK($E$2:$E$52),"",INDIRECT(ADDRESS(SMALL((IF($E$2:$E$52&lt;&gt;"",ROW($E$2:$E$52),ROW()+ROWS($E$2:$E$52))),ROW()-ROW($F$2:$F$52)+1),COLUMN($E$2:$E$52),4)))</f>
        <v/>
      </c>
      <c r="M8" s="473" t="str">
        <f t="array" aca="1" ref="M8" ca="1">IF(ROW()-ROW($G$2:$G$52)+1&gt;ROWS($F$2:$F$52)-COUNTBLANK($F$2:$F$52),"",INDIRECT(ADDRESS(SMALL((IF($F$2:$F$52&lt;&gt;"",ROW($F$2:$F$52),ROW()+ROWS($F$2:$F$52))),ROW()-ROW($G$2:$G$52)+1),COLUMN($F$2:$F$52),4)))</f>
        <v/>
      </c>
      <c r="N8" s="473" t="str">
        <f t="array" aca="1" ref="N8" ca="1">IF(ROW()-ROW($H$2:$H$52)+1&gt;ROWS($G$2:$G$52)-COUNTBLANK($G$2:$G$52),"",INDIRECT(ADDRESS(SMALL((IF($G$2:$G$52&lt;&gt;"",ROW($G$2:$G$52),ROW()+ROWS($G$2:$G$52))),ROW()-ROW($H$2:$H$52)+1),COLUMN($G$2:$G$52),4)))</f>
        <v/>
      </c>
      <c r="O8" s="467" t="str">
        <f t="array" aca="1" ref="O8" ca="1">IF(ROW()-ROW($I$2:$I$52)+1&gt;ROWS($H$2:$H$52)-COUNTBLANK($H$2:$H$52),"",INDIRECT(ADDRESS(SMALL((IF($H$2:$H$52&lt;&gt;"",ROW($H$2:$H$52),ROW()+ROWS($H$2:$H$52))),ROW()-ROW($I$2:$I$52)+1),COLUMN($H$2:$H$52),4)))</f>
        <v/>
      </c>
      <c r="P8" s="467" t="str">
        <f t="array" aca="1" ref="P8" ca="1">IF(ROW()-ROW($J$2:$J$52)+1&gt;ROWS($I$2:$I$52)-COUNTBLANK($I$2:$I$52),"",INDIRECT(ADDRESS(SMALL((IF($I$2:$I$52&lt;&gt;"",ROW($I$2:$I$52),ROW()+ROWS($I$2:$I$52))),ROW()-ROW($J$2:$J$52)+1),COLUMN($I$2:$I$52),4)))</f>
        <v/>
      </c>
      <c r="Q8" s="462"/>
      <c r="R8" s="462"/>
      <c r="S8" s="462"/>
      <c r="T8" s="462"/>
      <c r="U8" s="462"/>
      <c r="V8" s="462"/>
    </row>
    <row r="9" spans="1:22" s="466" customFormat="1" x14ac:dyDescent="0.3">
      <c r="C9" s="458"/>
      <c r="D9" s="468" t="s">
        <v>229</v>
      </c>
      <c r="E9" s="469" t="str">
        <f>IF(H9="","","2015")</f>
        <v/>
      </c>
      <c r="F9" s="469" t="str">
        <f>IF(H9="","","b")</f>
        <v/>
      </c>
      <c r="G9" s="469" t="str">
        <f t="shared" si="1"/>
        <v/>
      </c>
      <c r="H9" s="470" t="str">
        <f>IF(A2="relevant",IF(Matrix!O23="","",IF(Matrix!O23&gt;(Matrix!C23-Matrix!M23),Berechnung2!$L$59,"")),"")</f>
        <v/>
      </c>
      <c r="I9" s="471" t="str">
        <f>IF(H9="","",VLOOKUP(F9,Berechnung2!$I$15:$J$25,2,FALSE))</f>
        <v/>
      </c>
      <c r="J9" s="472" t="str">
        <f t="shared" si="2"/>
        <v/>
      </c>
      <c r="L9" s="473" t="str">
        <f t="array" aca="1" ref="L9" ca="1">IF(ROW()-ROW($F$2:$F$52)+1&gt;ROWS($E$2:$E$52)-COUNTBLANK($E$2:$E$52),"",INDIRECT(ADDRESS(SMALL((IF($E$2:$E$52&lt;&gt;"",ROW($E$2:$E$52),ROW()+ROWS($E$2:$E$52))),ROW()-ROW($F$2:$F$52)+1),COLUMN($E$2:$E$52),4)))</f>
        <v/>
      </c>
      <c r="M9" s="473" t="str">
        <f t="array" aca="1" ref="M9" ca="1">IF(ROW()-ROW($G$2:$G$52)+1&gt;ROWS($F$2:$F$52)-COUNTBLANK($F$2:$F$52),"",INDIRECT(ADDRESS(SMALL((IF($F$2:$F$52&lt;&gt;"",ROW($F$2:$F$52),ROW()+ROWS($F$2:$F$52))),ROW()-ROW($G$2:$G$52)+1),COLUMN($F$2:$F$52),4)))</f>
        <v/>
      </c>
      <c r="N9" s="473" t="str">
        <f t="array" aca="1" ref="N9" ca="1">IF(ROW()-ROW($H$2:$H$52)+1&gt;ROWS($G$2:$G$52)-COUNTBLANK($G$2:$G$52),"",INDIRECT(ADDRESS(SMALL((IF($G$2:$G$52&lt;&gt;"",ROW($G$2:$G$52),ROW()+ROWS($G$2:$G$52))),ROW()-ROW($H$2:$H$52)+1),COLUMN($G$2:$G$52),4)))</f>
        <v/>
      </c>
      <c r="O9" s="467" t="str">
        <f t="array" aca="1" ref="O9" ca="1">IF(ROW()-ROW($I$2:$I$52)+1&gt;ROWS($H$2:$H$52)-COUNTBLANK($H$2:$H$52),"",INDIRECT(ADDRESS(SMALL((IF($H$2:$H$52&lt;&gt;"",ROW($H$2:$H$52),ROW()+ROWS($H$2:$H$52))),ROW()-ROW($I$2:$I$52)+1),COLUMN($H$2:$H$52),4)))</f>
        <v/>
      </c>
      <c r="P9" s="467" t="str">
        <f t="array" aca="1" ref="P9" ca="1">IF(ROW()-ROW($J$2:$J$52)+1&gt;ROWS($I$2:$I$52)-COUNTBLANK($I$2:$I$52),"",INDIRECT(ADDRESS(SMALL((IF($I$2:$I$52&lt;&gt;"",ROW($I$2:$I$52),ROW()+ROWS($I$2:$I$52))),ROW()-ROW($J$2:$J$52)+1),COLUMN($I$2:$I$52),4)))</f>
        <v/>
      </c>
    </row>
    <row r="10" spans="1:22" s="466" customFormat="1" x14ac:dyDescent="0.3">
      <c r="C10" s="458"/>
      <c r="D10" s="1101" t="s">
        <v>448</v>
      </c>
      <c r="E10" s="474" t="str">
        <f>IF(H10="","","2016")</f>
        <v/>
      </c>
      <c r="F10" s="474" t="str">
        <f>IF(H10="","","b")</f>
        <v/>
      </c>
      <c r="G10" s="474" t="str">
        <f t="shared" si="1"/>
        <v/>
      </c>
      <c r="H10" s="475" t="str">
        <f>IF(A3="relevant",IF(Matrix!O24="","",IF(Matrix!O24&gt;(Matrix!C24-Matrix!M24),Berechnung2!$L$59,"")),"")</f>
        <v/>
      </c>
      <c r="I10" s="476" t="str">
        <f>IF(H10="","",VLOOKUP(F10,Berechnung2!$I$15:$J$25,2,FALSE))</f>
        <v/>
      </c>
      <c r="J10" s="477" t="str">
        <f t="shared" si="2"/>
        <v/>
      </c>
      <c r="L10" s="473" t="str">
        <f t="array" aca="1" ref="L10" ca="1">IF(ROW()-ROW($F$2:$F$52)+1&gt;ROWS($E$2:$E$52)-COUNTBLANK($E$2:$E$52),"",INDIRECT(ADDRESS(SMALL((IF($E$2:$E$52&lt;&gt;"",ROW($E$2:$E$52),ROW()+ROWS($E$2:$E$52))),ROW()-ROW($F$2:$F$52)+1),COLUMN($E$2:$E$52),4)))</f>
        <v/>
      </c>
      <c r="M10" s="473" t="str">
        <f t="array" aca="1" ref="M10" ca="1">IF(ROW()-ROW($G$2:$G$52)+1&gt;ROWS($F$2:$F$52)-COUNTBLANK($F$2:$F$52),"",INDIRECT(ADDRESS(SMALL((IF($F$2:$F$52&lt;&gt;"",ROW($F$2:$F$52),ROW()+ROWS($F$2:$F$52))),ROW()-ROW($G$2:$G$52)+1),COLUMN($F$2:$F$52),4)))</f>
        <v/>
      </c>
      <c r="N10" s="473" t="str">
        <f t="array" aca="1" ref="N10" ca="1">IF(ROW()-ROW($H$2:$H$52)+1&gt;ROWS($G$2:$G$52)-COUNTBLANK($G$2:$G$52),"",INDIRECT(ADDRESS(SMALL((IF($G$2:$G$52&lt;&gt;"",ROW($G$2:$G$52),ROW()+ROWS($G$2:$G$52))),ROW()-ROW($H$2:$H$52)+1),COLUMN($G$2:$G$52),4)))</f>
        <v/>
      </c>
      <c r="O10" s="467" t="str">
        <f t="array" aca="1" ref="O10" ca="1">IF(ROW()-ROW($I$2:$I$52)+1&gt;ROWS($H$2:$H$52)-COUNTBLANK($H$2:$H$52),"",INDIRECT(ADDRESS(SMALL((IF($H$2:$H$52&lt;&gt;"",ROW($H$2:$H$52),ROW()+ROWS($H$2:$H$52))),ROW()-ROW($I$2:$I$52)+1),COLUMN($H$2:$H$52),4)))</f>
        <v/>
      </c>
      <c r="P10" s="467" t="str">
        <f t="array" aca="1" ref="P10" ca="1">IF(ROW()-ROW($J$2:$J$52)+1&gt;ROWS($I$2:$I$52)-COUNTBLANK($I$2:$I$52),"",INDIRECT(ADDRESS(SMALL((IF($I$2:$I$52&lt;&gt;"",ROW($I$2:$I$52),ROW()+ROWS($I$2:$I$52))),ROW()-ROW($J$2:$J$52)+1),COLUMN($I$2:$I$52),4)))</f>
        <v/>
      </c>
    </row>
    <row r="11" spans="1:22" s="466" customFormat="1" x14ac:dyDescent="0.3">
      <c r="C11" s="458"/>
      <c r="D11" s="1101"/>
      <c r="E11" s="474" t="str">
        <f>IF(H11="","","2017")</f>
        <v/>
      </c>
      <c r="F11" s="474" t="str">
        <f>IF(H11="","","b")</f>
        <v/>
      </c>
      <c r="G11" s="474" t="str">
        <f t="shared" si="1"/>
        <v/>
      </c>
      <c r="H11" s="475" t="str">
        <f>IF(A4="relevant",IF(Matrix!O25="","",IF(Matrix!O25&gt;(Matrix!C25-Matrix!M25),Berechnung2!$L$59,"")),"")</f>
        <v/>
      </c>
      <c r="I11" s="476" t="str">
        <f>IF(H11="","",VLOOKUP(F11,Berechnung2!$I$15:$J$25,2,FALSE))</f>
        <v/>
      </c>
      <c r="J11" s="477" t="str">
        <f t="shared" si="2"/>
        <v/>
      </c>
      <c r="K11" s="483"/>
      <c r="L11" s="473" t="str">
        <f t="array" aca="1" ref="L11" ca="1">IF(ROW()-ROW($F$2:$F$52)+1&gt;ROWS($E$2:$E$52)-COUNTBLANK($E$2:$E$52),"",INDIRECT(ADDRESS(SMALL((IF($E$2:$E$52&lt;&gt;"",ROW($E$2:$E$52),ROW()+ROWS($E$2:$E$52))),ROW()-ROW($F$2:$F$52)+1),COLUMN($E$2:$E$52),4)))</f>
        <v/>
      </c>
      <c r="M11" s="473" t="str">
        <f t="array" aca="1" ref="M11" ca="1">IF(ROW()-ROW($G$2:$G$52)+1&gt;ROWS($F$2:$F$52)-COUNTBLANK($F$2:$F$52),"",INDIRECT(ADDRESS(SMALL((IF($F$2:$F$52&lt;&gt;"",ROW($F$2:$F$52),ROW()+ROWS($F$2:$F$52))),ROW()-ROW($G$2:$G$52)+1),COLUMN($F$2:$F$52),4)))</f>
        <v/>
      </c>
      <c r="N11" s="473" t="str">
        <f t="array" aca="1" ref="N11" ca="1">IF(ROW()-ROW($H$2:$H$52)+1&gt;ROWS($G$2:$G$52)-COUNTBLANK($G$2:$G$52),"",INDIRECT(ADDRESS(SMALL((IF($G$2:$G$52&lt;&gt;"",ROW($G$2:$G$52),ROW()+ROWS($G$2:$G$52))),ROW()-ROW($H$2:$H$52)+1),COLUMN($G$2:$G$52),4)))</f>
        <v/>
      </c>
      <c r="O11" s="467" t="str">
        <f t="array" aca="1" ref="O11" ca="1">IF(ROW()-ROW($I$2:$I$52)+1&gt;ROWS($H$2:$H$52)-COUNTBLANK($H$2:$H$52),"",INDIRECT(ADDRESS(SMALL((IF($H$2:$H$52&lt;&gt;"",ROW($H$2:$H$52),ROW()+ROWS($H$2:$H$52))),ROW()-ROW($I$2:$I$52)+1),COLUMN($H$2:$H$52),4)))</f>
        <v/>
      </c>
      <c r="P11" s="467" t="str">
        <f t="array" aca="1" ref="P11" ca="1">IF(ROW()-ROW($J$2:$J$52)+1&gt;ROWS($I$2:$I$52)-COUNTBLANK($I$2:$I$52),"",INDIRECT(ADDRESS(SMALL((IF($I$2:$I$52&lt;&gt;"",ROW($I$2:$I$52),ROW()+ROWS($I$2:$I$52))),ROW()-ROW($J$2:$J$52)+1),COLUMN($I$2:$I$52),4)))</f>
        <v/>
      </c>
    </row>
    <row r="12" spans="1:22" s="466" customFormat="1" x14ac:dyDescent="0.3">
      <c r="C12" s="458"/>
      <c r="D12" s="1101"/>
      <c r="E12" s="474" t="str">
        <f>IF(H12="","","2018")</f>
        <v/>
      </c>
      <c r="F12" s="474" t="str">
        <f>IF(H12="","","b")</f>
        <v/>
      </c>
      <c r="G12" s="474" t="str">
        <f t="shared" si="1"/>
        <v/>
      </c>
      <c r="H12" s="475" t="str">
        <f>IF(A5="relevant",IF(Matrix!O26="","",IF(Matrix!O26&gt;(Matrix!C26-Matrix!M26),Berechnung2!$L$59,"")),"")</f>
        <v/>
      </c>
      <c r="I12" s="476" t="str">
        <f>IF(H12="","",VLOOKUP(F12,Berechnung2!$I$15:$J$25,2,FALSE))</f>
        <v/>
      </c>
      <c r="J12" s="477" t="str">
        <f>IF(H12&lt;&gt;"",1,"")</f>
        <v/>
      </c>
      <c r="L12" s="473" t="str">
        <f t="array" aca="1" ref="L12" ca="1">IF(ROW()-ROW($F$2:$F$52)+1&gt;ROWS($E$2:$E$52)-COUNTBLANK($E$2:$E$52),"",INDIRECT(ADDRESS(SMALL((IF($E$2:$E$52&lt;&gt;"",ROW($E$2:$E$52),ROW()+ROWS($E$2:$E$52))),ROW()-ROW($F$2:$F$52)+1),COLUMN($E$2:$E$52),4)))</f>
        <v/>
      </c>
      <c r="M12" s="473" t="str">
        <f t="array" aca="1" ref="M12" ca="1">IF(ROW()-ROW($G$2:$G$52)+1&gt;ROWS($F$2:$F$52)-COUNTBLANK($F$2:$F$52),"",INDIRECT(ADDRESS(SMALL((IF($F$2:$F$52&lt;&gt;"",ROW($F$2:$F$52),ROW()+ROWS($F$2:$F$52))),ROW()-ROW($G$2:$G$52)+1),COLUMN($F$2:$F$52),4)))</f>
        <v/>
      </c>
      <c r="N12" s="473" t="str">
        <f t="array" aca="1" ref="N12" ca="1">IF(ROW()-ROW($H$2:$H$52)+1&gt;ROWS($G$2:$G$52)-COUNTBLANK($G$2:$G$52),"",INDIRECT(ADDRESS(SMALL((IF($G$2:$G$52&lt;&gt;"",ROW($G$2:$G$52),ROW()+ROWS($G$2:$G$52))),ROW()-ROW($H$2:$H$52)+1),COLUMN($G$2:$G$52),4)))</f>
        <v/>
      </c>
      <c r="O12" s="467" t="str">
        <f t="array" aca="1" ref="O12" ca="1">IF(ROW()-ROW($I$2:$I$52)+1&gt;ROWS($H$2:$H$52)-COUNTBLANK($H$2:$H$52),"",INDIRECT(ADDRESS(SMALL((IF($H$2:$H$52&lt;&gt;"",ROW($H$2:$H$52),ROW()+ROWS($H$2:$H$52))),ROW()-ROW($I$2:$I$52)+1),COLUMN($H$2:$H$52),4)))</f>
        <v/>
      </c>
      <c r="P12" s="467" t="str">
        <f t="array" aca="1" ref="P12" ca="1">IF(ROW()-ROW($J$2:$J$52)+1&gt;ROWS($I$2:$I$52)-COUNTBLANK($I$2:$I$52),"",INDIRECT(ADDRESS(SMALL((IF($I$2:$I$52&lt;&gt;"",ROW($I$2:$I$52),ROW()+ROWS($I$2:$I$52))),ROW()-ROW($J$2:$J$52)+1),COLUMN($I$2:$I$52),4)))</f>
        <v/>
      </c>
    </row>
    <row r="13" spans="1:22" s="466" customFormat="1" ht="12" thickBot="1" x14ac:dyDescent="0.35">
      <c r="C13" s="458"/>
      <c r="D13" s="484" t="s">
        <v>495</v>
      </c>
      <c r="E13" s="474" t="str">
        <f>IF(H13="","","2019")</f>
        <v/>
      </c>
      <c r="F13" s="478" t="str">
        <f>IF(H13="","","b")</f>
        <v/>
      </c>
      <c r="G13" s="478" t="str">
        <f t="shared" si="1"/>
        <v/>
      </c>
      <c r="H13" s="485" t="str">
        <f>IF(A5="relevant",IF(Matrix!O27="","",IF(Matrix!O27&gt;(Matrix!C27-Matrix!M27),Berechnung2!$L$59,"")),"")</f>
        <v/>
      </c>
      <c r="I13" s="480" t="str">
        <f>IF(H13="","",VLOOKUP(F13,Berechnung2!$I$15:$J$25,2,FALSE))</f>
        <v/>
      </c>
      <c r="J13" s="481" t="str">
        <f>IF(H13&lt;&gt;"",1,"")</f>
        <v/>
      </c>
      <c r="L13" s="473" t="str">
        <f t="array" aca="1" ref="L13" ca="1">IF(ROW()-ROW($F$2:$F$52)+1&gt;ROWS($E$2:$E$52)-COUNTBLANK($E$2:$E$52),"",INDIRECT(ADDRESS(SMALL((IF($E$2:$E$52&lt;&gt;"",ROW($E$2:$E$52),ROW()+ROWS($E$2:$E$52))),ROW()-ROW($F$2:$F$52)+1),COLUMN($E$2:$E$52),4)))</f>
        <v/>
      </c>
      <c r="M13" s="473" t="str">
        <f t="array" aca="1" ref="M13" ca="1">IF(ROW()-ROW($G$2:$G$52)+1&gt;ROWS($F$2:$F$52)-COUNTBLANK($F$2:$F$52),"",INDIRECT(ADDRESS(SMALL((IF($F$2:$F$52&lt;&gt;"",ROW($F$2:$F$52),ROW()+ROWS($F$2:$F$52))),ROW()-ROW($G$2:$G$52)+1),COLUMN($F$2:$F$52),4)))</f>
        <v/>
      </c>
      <c r="N13" s="473" t="str">
        <f t="array" aca="1" ref="N13" ca="1">IF(ROW()-ROW($H$2:$H$52)+1&gt;ROWS($G$2:$G$52)-COUNTBLANK($G$2:$G$52),"",INDIRECT(ADDRESS(SMALL((IF($G$2:$G$52&lt;&gt;"",ROW($G$2:$G$52),ROW()+ROWS($G$2:$G$52))),ROW()-ROW($H$2:$H$52)+1),COLUMN($G$2:$G$52),4)))</f>
        <v/>
      </c>
      <c r="O13" s="467" t="str">
        <f t="array" aca="1" ref="O13" ca="1">IF(ROW()-ROW($I$2:$I$52)+1&gt;ROWS($H$2:$H$52)-COUNTBLANK($H$2:$H$52),"",INDIRECT(ADDRESS(SMALL((IF($H$2:$H$52&lt;&gt;"",ROW($H$2:$H$52),ROW()+ROWS($H$2:$H$52))),ROW()-ROW($I$2:$I$52)+1),COLUMN($H$2:$H$52),4)))</f>
        <v/>
      </c>
      <c r="P13" s="467" t="str">
        <f t="array" aca="1" ref="P13" ca="1">IF(ROW()-ROW($J$2:$J$52)+1&gt;ROWS($I$2:$I$52)-COUNTBLANK($I$2:$I$52),"",INDIRECT(ADDRESS(SMALL((IF($I$2:$I$52&lt;&gt;"",ROW($I$2:$I$52),ROW()+ROWS($I$2:$I$52))),ROW()-ROW($J$2:$J$52)+1),COLUMN($I$2:$I$52),4)))</f>
        <v/>
      </c>
    </row>
    <row r="14" spans="1:22" s="466" customFormat="1" x14ac:dyDescent="0.3">
      <c r="C14" s="458"/>
      <c r="D14" s="468" t="s">
        <v>229</v>
      </c>
      <c r="E14" s="469" t="str">
        <f>IF(H14="","","2015")</f>
        <v/>
      </c>
      <c r="F14" s="469" t="str">
        <f>IF(H14="","","c")</f>
        <v/>
      </c>
      <c r="G14" s="469" t="str">
        <f t="shared" si="1"/>
        <v/>
      </c>
      <c r="H14" s="470" t="str">
        <f>IF(A2="relevant",IF(Matrix!U23&lt;Berechnung2!$G$65,Berechnung2!$L$65,""),"")</f>
        <v/>
      </c>
      <c r="I14" s="471" t="str">
        <f>IF(H14="","",VLOOKUP(F14,Berechnung2!$I$15:$J$25,2,FALSE))</f>
        <v/>
      </c>
      <c r="J14" s="472" t="str">
        <f t="shared" si="2"/>
        <v/>
      </c>
      <c r="L14" s="473" t="str">
        <f t="array" aca="1" ref="L14" ca="1">IF(ROW()-ROW($F$2:$F$52)+1&gt;ROWS($E$2:$E$52)-COUNTBLANK($E$2:$E$52),"",INDIRECT(ADDRESS(SMALL((IF($E$2:$E$52&lt;&gt;"",ROW($E$2:$E$52),ROW()+ROWS($E$2:$E$52))),ROW()-ROW($F$2:$F$52)+1),COLUMN($E$2:$E$52),4)))</f>
        <v/>
      </c>
      <c r="M14" s="473" t="str">
        <f t="array" aca="1" ref="M14" ca="1">IF(ROW()-ROW($G$2:$G$52)+1&gt;ROWS($F$2:$F$52)-COUNTBLANK($F$2:$F$52),"",INDIRECT(ADDRESS(SMALL((IF($F$2:$F$52&lt;&gt;"",ROW($F$2:$F$52),ROW()+ROWS($F$2:$F$52))),ROW()-ROW($G$2:$G$52)+1),COLUMN($F$2:$F$52),4)))</f>
        <v/>
      </c>
      <c r="N14" s="473" t="str">
        <f t="array" aca="1" ref="N14" ca="1">IF(ROW()-ROW($H$2:$H$52)+1&gt;ROWS($G$2:$G$52)-COUNTBLANK($G$2:$G$52),"",INDIRECT(ADDRESS(SMALL((IF($G$2:$G$52&lt;&gt;"",ROW($G$2:$G$52),ROW()+ROWS($G$2:$G$52))),ROW()-ROW($H$2:$H$52)+1),COLUMN($G$2:$G$52),4)))</f>
        <v/>
      </c>
      <c r="O14" s="467" t="str">
        <f t="array" aca="1" ref="O14" ca="1">IF(ROW()-ROW($I$2:$I$52)+1&gt;ROWS($H$2:$H$52)-COUNTBLANK($H$2:$H$52),"",INDIRECT(ADDRESS(SMALL((IF($H$2:$H$52&lt;&gt;"",ROW($H$2:$H$52),ROW()+ROWS($H$2:$H$52))),ROW()-ROW($I$2:$I$52)+1),COLUMN($H$2:$H$52),4)))</f>
        <v/>
      </c>
      <c r="P14" s="467" t="str">
        <f t="array" aca="1" ref="P14" ca="1">IF(ROW()-ROW($J$2:$J$52)+1&gt;ROWS($I$2:$I$52)-COUNTBLANK($I$2:$I$52),"",INDIRECT(ADDRESS(SMALL((IF($I$2:$I$52&lt;&gt;"",ROW($I$2:$I$52),ROW()+ROWS($I$2:$I$52))),ROW()-ROW($J$2:$J$52)+1),COLUMN($I$2:$I$52),4)))</f>
        <v/>
      </c>
    </row>
    <row r="15" spans="1:22" s="466" customFormat="1" x14ac:dyDescent="0.3">
      <c r="C15" s="458"/>
      <c r="D15" s="1101" t="s">
        <v>599</v>
      </c>
      <c r="E15" s="474" t="str">
        <f>IF(H15="","","2016")</f>
        <v/>
      </c>
      <c r="F15" s="474" t="str">
        <f>IF(H15="","","c")</f>
        <v/>
      </c>
      <c r="G15" s="474" t="str">
        <f t="shared" si="1"/>
        <v/>
      </c>
      <c r="H15" s="475" t="str">
        <f>IF(A3="relevant",IF(Matrix!U24&lt;Berechnung2!$G$65,Berechnung2!$L$65,""),"")</f>
        <v/>
      </c>
      <c r="I15" s="476" t="str">
        <f>IF(H15="","",VLOOKUP(F15,Berechnung2!$I$15:$J$25,2,FALSE))</f>
        <v/>
      </c>
      <c r="J15" s="477" t="str">
        <f t="shared" si="2"/>
        <v/>
      </c>
      <c r="L15" s="473" t="str">
        <f t="array" aca="1" ref="L15" ca="1">IF(ROW()-ROW($F$2:$F$52)+1&gt;ROWS($E$2:$E$52)-COUNTBLANK($E$2:$E$52),"",INDIRECT(ADDRESS(SMALL((IF($E$2:$E$52&lt;&gt;"",ROW($E$2:$E$52),ROW()+ROWS($E$2:$E$52))),ROW()-ROW($F$2:$F$52)+1),COLUMN($E$2:$E$52),4)))</f>
        <v/>
      </c>
      <c r="M15" s="473" t="str">
        <f t="array" aca="1" ref="M15" ca="1">IF(ROW()-ROW($G$2:$G$52)+1&gt;ROWS($F$2:$F$52)-COUNTBLANK($F$2:$F$52),"",INDIRECT(ADDRESS(SMALL((IF($F$2:$F$52&lt;&gt;"",ROW($F$2:$F$52),ROW()+ROWS($F$2:$F$52))),ROW()-ROW($G$2:$G$52)+1),COLUMN($F$2:$F$52),4)))</f>
        <v/>
      </c>
      <c r="N15" s="473" t="str">
        <f t="array" aca="1" ref="N15" ca="1">IF(ROW()-ROW($H$2:$H$52)+1&gt;ROWS($G$2:$G$52)-COUNTBLANK($G$2:$G$52),"",INDIRECT(ADDRESS(SMALL((IF($G$2:$G$52&lt;&gt;"",ROW($G$2:$G$52),ROW()+ROWS($G$2:$G$52))),ROW()-ROW($H$2:$H$52)+1),COLUMN($G$2:$G$52),4)))</f>
        <v/>
      </c>
      <c r="O15" s="467" t="str">
        <f t="array" aca="1" ref="O15" ca="1">IF(ROW()-ROW($I$2:$I$52)+1&gt;ROWS($H$2:$H$52)-COUNTBLANK($H$2:$H$52),"",INDIRECT(ADDRESS(SMALL((IF($H$2:$H$52&lt;&gt;"",ROW($H$2:$H$52),ROW()+ROWS($H$2:$H$52))),ROW()-ROW($I$2:$I$52)+1),COLUMN($H$2:$H$52),4)))</f>
        <v/>
      </c>
      <c r="P15" s="467" t="str">
        <f t="array" aca="1" ref="P15" ca="1">IF(ROW()-ROW($J$2:$J$52)+1&gt;ROWS($I$2:$I$52)-COUNTBLANK($I$2:$I$52),"",INDIRECT(ADDRESS(SMALL((IF($I$2:$I$52&lt;&gt;"",ROW($I$2:$I$52),ROW()+ROWS($I$2:$I$52))),ROW()-ROW($J$2:$J$52)+1),COLUMN($I$2:$I$52),4)))</f>
        <v/>
      </c>
    </row>
    <row r="16" spans="1:22" s="466" customFormat="1" x14ac:dyDescent="0.3">
      <c r="C16" s="458"/>
      <c r="D16" s="1101"/>
      <c r="E16" s="474" t="str">
        <f>IF(H16="","","2017")</f>
        <v/>
      </c>
      <c r="F16" s="474" t="str">
        <f>IF(H16="","","c")</f>
        <v/>
      </c>
      <c r="G16" s="474" t="str">
        <f t="shared" si="1"/>
        <v/>
      </c>
      <c r="H16" s="475" t="str">
        <f>IF(A4="relevant",IF(Matrix!U25&lt;Berechnung2!$G$65,Berechnung2!$L$65,""),"")</f>
        <v/>
      </c>
      <c r="I16" s="476" t="str">
        <f>IF(H16="","",VLOOKUP(F16,Berechnung2!$I$15:$J$25,2,FALSE))</f>
        <v/>
      </c>
      <c r="J16" s="477" t="str">
        <f t="shared" si="2"/>
        <v/>
      </c>
      <c r="L16" s="473" t="str">
        <f t="array" aca="1" ref="L16" ca="1">IF(ROW()-ROW($F$2:$F$52)+1&gt;ROWS($E$2:$E$52)-COUNTBLANK($E$2:$E$52),"",INDIRECT(ADDRESS(SMALL((IF($E$2:$E$52&lt;&gt;"",ROW($E$2:$E$52),ROW()+ROWS($E$2:$E$52))),ROW()-ROW($F$2:$F$52)+1),COLUMN($E$2:$E$52),4)))</f>
        <v/>
      </c>
      <c r="M16" s="473" t="str">
        <f t="array" aca="1" ref="M16" ca="1">IF(ROW()-ROW($G$2:$G$52)+1&gt;ROWS($F$2:$F$52)-COUNTBLANK($F$2:$F$52),"",INDIRECT(ADDRESS(SMALL((IF($F$2:$F$52&lt;&gt;"",ROW($F$2:$F$52),ROW()+ROWS($F$2:$F$52))),ROW()-ROW($G$2:$G$52)+1),COLUMN($F$2:$F$52),4)))</f>
        <v/>
      </c>
      <c r="N16" s="473" t="str">
        <f t="array" aca="1" ref="N16" ca="1">IF(ROW()-ROW($H$2:$H$52)+1&gt;ROWS($G$2:$G$52)-COUNTBLANK($G$2:$G$52),"",INDIRECT(ADDRESS(SMALL((IF($G$2:$G$52&lt;&gt;"",ROW($G$2:$G$52),ROW()+ROWS($G$2:$G$52))),ROW()-ROW($H$2:$H$52)+1),COLUMN($G$2:$G$52),4)))</f>
        <v/>
      </c>
      <c r="O16" s="467" t="str">
        <f t="array" aca="1" ref="O16" ca="1">IF(ROW()-ROW($I$2:$I$52)+1&gt;ROWS($H$2:$H$52)-COUNTBLANK($H$2:$H$52),"",INDIRECT(ADDRESS(SMALL((IF($H$2:$H$52&lt;&gt;"",ROW($H$2:$H$52),ROW()+ROWS($H$2:$H$52))),ROW()-ROW($I$2:$I$52)+1),COLUMN($H$2:$H$52),4)))</f>
        <v/>
      </c>
      <c r="P16" s="467" t="str">
        <f t="array" aca="1" ref="P16" ca="1">IF(ROW()-ROW($J$2:$J$52)+1&gt;ROWS($I$2:$I$52)-COUNTBLANK($I$2:$I$52),"",INDIRECT(ADDRESS(SMALL((IF($I$2:$I$52&lt;&gt;"",ROW($I$2:$I$52),ROW()+ROWS($I$2:$I$52))),ROW()-ROW($J$2:$J$52)+1),COLUMN($I$2:$I$52),4)))</f>
        <v/>
      </c>
    </row>
    <row r="17" spans="3:16" s="466" customFormat="1" x14ac:dyDescent="0.3">
      <c r="C17" s="458"/>
      <c r="D17" s="1101"/>
      <c r="E17" s="474" t="str">
        <f>IF(H17="","","2018")</f>
        <v/>
      </c>
      <c r="F17" s="474" t="str">
        <f>IF(H17="","","c")</f>
        <v/>
      </c>
      <c r="G17" s="474" t="str">
        <f t="shared" si="1"/>
        <v/>
      </c>
      <c r="H17" s="475" t="str">
        <f>IF(A5="relevant",IF(Matrix!U26&lt;Berechnung2!$G$65,Berechnung2!$L$65,""),"")</f>
        <v/>
      </c>
      <c r="I17" s="476" t="str">
        <f>IF(H17="","",VLOOKUP(F17,Berechnung2!$I$15:$J$25,2,FALSE))</f>
        <v/>
      </c>
      <c r="J17" s="477" t="str">
        <f t="shared" si="2"/>
        <v/>
      </c>
      <c r="L17" s="473" t="str">
        <f t="array" aca="1" ref="L17" ca="1">IF(ROW()-ROW($F$2:$F$52)+1&gt;ROWS($E$2:$E$52)-COUNTBLANK($E$2:$E$52),"",INDIRECT(ADDRESS(SMALL((IF($E$2:$E$52&lt;&gt;"",ROW($E$2:$E$52),ROW()+ROWS($E$2:$E$52))),ROW()-ROW($F$2:$F$52)+1),COLUMN($E$2:$E$52),4)))</f>
        <v/>
      </c>
      <c r="M17" s="473" t="str">
        <f t="array" aca="1" ref="M17" ca="1">IF(ROW()-ROW($G$2:$G$52)+1&gt;ROWS($F$2:$F$52)-COUNTBLANK($F$2:$F$52),"",INDIRECT(ADDRESS(SMALL((IF($F$2:$F$52&lt;&gt;"",ROW($F$2:$F$52),ROW()+ROWS($F$2:$F$52))),ROW()-ROW($G$2:$G$52)+1),COLUMN($F$2:$F$52),4)))</f>
        <v/>
      </c>
      <c r="N17" s="473" t="str">
        <f t="array" aca="1" ref="N17" ca="1">IF(ROW()-ROW($H$2:$H$52)+1&gt;ROWS($G$2:$G$52)-COUNTBLANK($G$2:$G$52),"",INDIRECT(ADDRESS(SMALL((IF($G$2:$G$52&lt;&gt;"",ROW($G$2:$G$52),ROW()+ROWS($G$2:$G$52))),ROW()-ROW($H$2:$H$52)+1),COLUMN($G$2:$G$52),4)))</f>
        <v/>
      </c>
      <c r="O17" s="467" t="str">
        <f t="array" aca="1" ref="O17" ca="1">IF(ROW()-ROW($I$2:$I$52)+1&gt;ROWS($H$2:$H$52)-COUNTBLANK($H$2:$H$52),"",INDIRECT(ADDRESS(SMALL((IF($H$2:$H$52&lt;&gt;"",ROW($H$2:$H$52),ROW()+ROWS($H$2:$H$52))),ROW()-ROW($I$2:$I$52)+1),COLUMN($H$2:$H$52),4)))</f>
        <v/>
      </c>
      <c r="P17" s="467" t="str">
        <f t="array" aca="1" ref="P17" ca="1">IF(ROW()-ROW($J$2:$J$52)+1&gt;ROWS($I$2:$I$52)-COUNTBLANK($I$2:$I$52),"",INDIRECT(ADDRESS(SMALL((IF($I$2:$I$52&lt;&gt;"",ROW($I$2:$I$52),ROW()+ROWS($I$2:$I$52))),ROW()-ROW($J$2:$J$52)+1),COLUMN($I$2:$I$52),4)))</f>
        <v/>
      </c>
    </row>
    <row r="18" spans="3:16" ht="12" thickBot="1" x14ac:dyDescent="0.35">
      <c r="D18" s="484" t="s">
        <v>496</v>
      </c>
      <c r="E18" s="474" t="str">
        <f>IF(H18="","","2019")</f>
        <v/>
      </c>
      <c r="F18" s="478" t="str">
        <f>IF(H18="","","c")</f>
        <v/>
      </c>
      <c r="G18" s="478" t="str">
        <f t="shared" si="1"/>
        <v/>
      </c>
      <c r="H18" s="485" t="str">
        <f>IF(A6="relevant",IF(Matrix!U27&lt;Berechnung2!$G$65,Berechnung2!$L$65,""),"")</f>
        <v/>
      </c>
      <c r="I18" s="480" t="str">
        <f>IF(H18="","",VLOOKUP(F18,Berechnung2!$I$15:$J$25,2,FALSE))</f>
        <v/>
      </c>
      <c r="J18" s="481" t="str">
        <f t="shared" si="2"/>
        <v/>
      </c>
      <c r="K18" s="466"/>
      <c r="L18" s="473" t="str">
        <f t="array" aca="1" ref="L18" ca="1">IF(ROW()-ROW($F$2:$F$52)+1&gt;ROWS($E$2:$E$52)-COUNTBLANK($E$2:$E$52),"",INDIRECT(ADDRESS(SMALL((IF($E$2:$E$52&lt;&gt;"",ROW($E$2:$E$52),ROW()+ROWS($E$2:$E$52))),ROW()-ROW($F$2:$F$52)+1),COLUMN($E$2:$E$52),4)))</f>
        <v/>
      </c>
      <c r="M18" s="473" t="str">
        <f t="array" aca="1" ref="M18" ca="1">IF(ROW()-ROW($G$2:$G$52)+1&gt;ROWS($F$2:$F$52)-COUNTBLANK($F$2:$F$52),"",INDIRECT(ADDRESS(SMALL((IF($F$2:$F$52&lt;&gt;"",ROW($F$2:$F$52),ROW()+ROWS($F$2:$F$52))),ROW()-ROW($G$2:$G$52)+1),COLUMN($F$2:$F$52),4)))</f>
        <v/>
      </c>
      <c r="N18" s="473" t="str">
        <f t="array" aca="1" ref="N18" ca="1">IF(ROW()-ROW($H$2:$H$52)+1&gt;ROWS($G$2:$G$52)-COUNTBLANK($G$2:$G$52),"",INDIRECT(ADDRESS(SMALL((IF($G$2:$G$52&lt;&gt;"",ROW($G$2:$G$52),ROW()+ROWS($G$2:$G$52))),ROW()-ROW($H$2:$H$52)+1),COLUMN($G$2:$G$52),4)))</f>
        <v/>
      </c>
      <c r="O18" s="467" t="str">
        <f t="array" aca="1" ref="O18" ca="1">IF(ROW()-ROW($I$2:$I$52)+1&gt;ROWS($H$2:$H$52)-COUNTBLANK($H$2:$H$52),"",INDIRECT(ADDRESS(SMALL((IF($H$2:$H$52&lt;&gt;"",ROW($H$2:$H$52),ROW()+ROWS($H$2:$H$52))),ROW()-ROW($I$2:$I$52)+1),COLUMN($H$2:$H$52),4)))</f>
        <v/>
      </c>
      <c r="P18" s="467" t="str">
        <f t="array" aca="1" ref="P18" ca="1">IF(ROW()-ROW($J$2:$J$52)+1&gt;ROWS($I$2:$I$52)-COUNTBLANK($I$2:$I$52),"",INDIRECT(ADDRESS(SMALL((IF($I$2:$I$52&lt;&gt;"",ROW($I$2:$I$52),ROW()+ROWS($I$2:$I$52))),ROW()-ROW($J$2:$J$52)+1),COLUMN($I$2:$I$52),4)))</f>
        <v/>
      </c>
    </row>
    <row r="19" spans="3:16" x14ac:dyDescent="0.3">
      <c r="D19" s="468" t="s">
        <v>229</v>
      </c>
      <c r="E19" s="469" t="str">
        <f>IF(H19="","","2015")</f>
        <v/>
      </c>
      <c r="F19" s="469" t="str">
        <f>IF(H19="","","d")</f>
        <v/>
      </c>
      <c r="G19" s="469" t="str">
        <f t="shared" si="1"/>
        <v/>
      </c>
      <c r="H19" s="470" t="str">
        <f>IF(A2="relevant",IF(AND(Matrix!W23="",Matrix!X23="",Matrix!Y23="",Matrix!Z23=""),"",IF(Matrix!W23&lt;MAX(Matrix!X23:Z23),Berechnung2!$L$63,"")),"")</f>
        <v/>
      </c>
      <c r="I19" s="471" t="str">
        <f>IF(H19="","",VLOOKUP(F19,Berechnung2!$I$15:$J$25,2,FALSE))</f>
        <v/>
      </c>
      <c r="J19" s="472" t="str">
        <f t="shared" si="2"/>
        <v/>
      </c>
      <c r="K19" s="466"/>
      <c r="L19" s="473" t="str">
        <f t="array" aca="1" ref="L19" ca="1">IF(ROW()-ROW($F$2:$F$52)+1&gt;ROWS($E$2:$E$52)-COUNTBLANK($E$2:$E$52),"",INDIRECT(ADDRESS(SMALL((IF($E$2:$E$52&lt;&gt;"",ROW($E$2:$E$52),ROW()+ROWS($E$2:$E$52))),ROW()-ROW($F$2:$F$52)+1),COLUMN($E$2:$E$52),4)))</f>
        <v/>
      </c>
      <c r="M19" s="473" t="str">
        <f t="array" aca="1" ref="M19" ca="1">IF(ROW()-ROW($G$2:$G$52)+1&gt;ROWS($F$2:$F$52)-COUNTBLANK($F$2:$F$52),"",INDIRECT(ADDRESS(SMALL((IF($F$2:$F$52&lt;&gt;"",ROW($F$2:$F$52),ROW()+ROWS($F$2:$F$52))),ROW()-ROW($G$2:$G$52)+1),COLUMN($F$2:$F$52),4)))</f>
        <v/>
      </c>
      <c r="N19" s="473" t="str">
        <f t="array" aca="1" ref="N19" ca="1">IF(ROW()-ROW($H$2:$H$52)+1&gt;ROWS($G$2:$G$52)-COUNTBLANK($G$2:$G$52),"",INDIRECT(ADDRESS(SMALL((IF($G$2:$G$52&lt;&gt;"",ROW($G$2:$G$52),ROW()+ROWS($G$2:$G$52))),ROW()-ROW($H$2:$H$52)+1),COLUMN($G$2:$G$52),4)))</f>
        <v/>
      </c>
      <c r="O19" s="467" t="str">
        <f t="array" aca="1" ref="O19" ca="1">IF(ROW()-ROW($I$2:$I$52)+1&gt;ROWS($H$2:$H$52)-COUNTBLANK($H$2:$H$52),"",INDIRECT(ADDRESS(SMALL((IF($H$2:$H$52&lt;&gt;"",ROW($H$2:$H$52),ROW()+ROWS($H$2:$H$52))),ROW()-ROW($I$2:$I$52)+1),COLUMN($H$2:$H$52),4)))</f>
        <v/>
      </c>
      <c r="P19" s="467" t="str">
        <f t="array" aca="1" ref="P19" ca="1">IF(ROW()-ROW($J$2:$J$52)+1&gt;ROWS($I$2:$I$52)-COUNTBLANK($I$2:$I$52),"",INDIRECT(ADDRESS(SMALL((IF($I$2:$I$52&lt;&gt;"",ROW($I$2:$I$52),ROW()+ROWS($I$2:$I$52))),ROW()-ROW($J$2:$J$52)+1),COLUMN($I$2:$I$52),4)))</f>
        <v/>
      </c>
    </row>
    <row r="20" spans="3:16" x14ac:dyDescent="0.3">
      <c r="D20" s="1101" t="s">
        <v>598</v>
      </c>
      <c r="E20" s="474" t="str">
        <f>IF(H20="","","2016")</f>
        <v/>
      </c>
      <c r="F20" s="474" t="str">
        <f>IF(H20="","","d")</f>
        <v/>
      </c>
      <c r="G20" s="474" t="str">
        <f t="shared" si="1"/>
        <v/>
      </c>
      <c r="H20" s="475" t="str">
        <f>IF(A3="relevant",IF(AND(Matrix!W24="",Matrix!X24="",Matrix!Y24="",Matrix!Z24=""),"",IF(Matrix!W24&lt;MAX(Matrix!X24:Z24),Berechnung2!$L$63,"")),"")</f>
        <v/>
      </c>
      <c r="I20" s="476" t="str">
        <f>IF(H20="","",VLOOKUP(F20,Berechnung2!$I$15:$J$25,2,FALSE))</f>
        <v/>
      </c>
      <c r="J20" s="477" t="str">
        <f t="shared" si="2"/>
        <v/>
      </c>
      <c r="K20" s="466"/>
      <c r="L20" s="473" t="str">
        <f t="array" aca="1" ref="L20" ca="1">IF(ROW()-ROW($F$2:$F$52)+1&gt;ROWS($E$2:$E$52)-COUNTBLANK($E$2:$E$52),"",INDIRECT(ADDRESS(SMALL((IF($E$2:$E$52&lt;&gt;"",ROW($E$2:$E$52),ROW()+ROWS($E$2:$E$52))),ROW()-ROW($F$2:$F$52)+1),COLUMN($E$2:$E$52),4)))</f>
        <v/>
      </c>
      <c r="M20" s="473" t="str">
        <f t="array" aca="1" ref="M20" ca="1">IF(ROW()-ROW($G$2:$G$52)+1&gt;ROWS($F$2:$F$52)-COUNTBLANK($F$2:$F$52),"",INDIRECT(ADDRESS(SMALL((IF($F$2:$F$52&lt;&gt;"",ROW($F$2:$F$52),ROW()+ROWS($F$2:$F$52))),ROW()-ROW($G$2:$G$52)+1),COLUMN($F$2:$F$52),4)))</f>
        <v/>
      </c>
      <c r="N20" s="473" t="str">
        <f t="array" aca="1" ref="N20" ca="1">IF(ROW()-ROW($H$2:$H$52)+1&gt;ROWS($G$2:$G$52)-COUNTBLANK($G$2:$G$52),"",INDIRECT(ADDRESS(SMALL((IF($G$2:$G$52&lt;&gt;"",ROW($G$2:$G$52),ROW()+ROWS($G$2:$G$52))),ROW()-ROW($H$2:$H$52)+1),COLUMN($G$2:$G$52),4)))</f>
        <v/>
      </c>
      <c r="O20" s="467" t="str">
        <f t="array" aca="1" ref="O20" ca="1">IF(ROW()-ROW($I$2:$I$52)+1&gt;ROWS($H$2:$H$52)-COUNTBLANK($H$2:$H$52),"",INDIRECT(ADDRESS(SMALL((IF($H$2:$H$52&lt;&gt;"",ROW($H$2:$H$52),ROW()+ROWS($H$2:$H$52))),ROW()-ROW($I$2:$I$52)+1),COLUMN($H$2:$H$52),4)))</f>
        <v/>
      </c>
      <c r="P20" s="467" t="str">
        <f t="array" aca="1" ref="P20" ca="1">IF(ROW()-ROW($J$2:$J$52)+1&gt;ROWS($I$2:$I$52)-COUNTBLANK($I$2:$I$52),"",INDIRECT(ADDRESS(SMALL((IF($I$2:$I$52&lt;&gt;"",ROW($I$2:$I$52),ROW()+ROWS($I$2:$I$52))),ROW()-ROW($J$2:$J$52)+1),COLUMN($I$2:$I$52),4)))</f>
        <v/>
      </c>
    </row>
    <row r="21" spans="3:16" x14ac:dyDescent="0.3">
      <c r="D21" s="1101"/>
      <c r="E21" s="474" t="str">
        <f>IF(H21="","","2017")</f>
        <v/>
      </c>
      <c r="F21" s="474" t="str">
        <f>IF(H21="","","d")</f>
        <v/>
      </c>
      <c r="G21" s="474" t="str">
        <f t="shared" si="1"/>
        <v/>
      </c>
      <c r="H21" s="475" t="str">
        <f>IF(A4="relevant",IF(AND(Matrix!W25="",Matrix!X25="",Matrix!Y25="",Matrix!Z25=""),"",IF(Matrix!W25&lt;MAX(Matrix!X25:Z25),Berechnung2!$L$63,"")),"")</f>
        <v/>
      </c>
      <c r="I21" s="476" t="str">
        <f>IF(H21="","",VLOOKUP(F21,Berechnung2!$I$15:$J$25,2,FALSE))</f>
        <v/>
      </c>
      <c r="J21" s="477" t="str">
        <f t="shared" si="2"/>
        <v/>
      </c>
      <c r="L21" s="473" t="str">
        <f t="array" aca="1" ref="L21" ca="1">IF(ROW()-ROW($F$2:$F$52)+1&gt;ROWS($E$2:$E$52)-COUNTBLANK($E$2:$E$52),"",INDIRECT(ADDRESS(SMALL((IF($E$2:$E$52&lt;&gt;"",ROW($E$2:$E$52),ROW()+ROWS($E$2:$E$52))),ROW()-ROW($F$2:$F$52)+1),COLUMN($E$2:$E$52),4)))</f>
        <v/>
      </c>
      <c r="M21" s="473" t="str">
        <f t="array" aca="1" ref="M21" ca="1">IF(ROW()-ROW($G$2:$G$52)+1&gt;ROWS($F$2:$F$52)-COUNTBLANK($F$2:$F$52),"",INDIRECT(ADDRESS(SMALL((IF($F$2:$F$52&lt;&gt;"",ROW($F$2:$F$52),ROW()+ROWS($F$2:$F$52))),ROW()-ROW($G$2:$G$52)+1),COLUMN($F$2:$F$52),4)))</f>
        <v/>
      </c>
      <c r="N21" s="473" t="str">
        <f t="array" aca="1" ref="N21" ca="1">IF(ROW()-ROW($H$2:$H$52)+1&gt;ROWS($G$2:$G$52)-COUNTBLANK($G$2:$G$52),"",INDIRECT(ADDRESS(SMALL((IF($G$2:$G$52&lt;&gt;"",ROW($G$2:$G$52),ROW()+ROWS($G$2:$G$52))),ROW()-ROW($H$2:$H$52)+1),COLUMN($G$2:$G$52),4)))</f>
        <v/>
      </c>
      <c r="O21" s="467" t="str">
        <f t="array" aca="1" ref="O21" ca="1">IF(ROW()-ROW($I$2:$I$52)+1&gt;ROWS($H$2:$H$52)-COUNTBLANK($H$2:$H$52),"",INDIRECT(ADDRESS(SMALL((IF($H$2:$H$52&lt;&gt;"",ROW($H$2:$H$52),ROW()+ROWS($H$2:$H$52))),ROW()-ROW($I$2:$I$52)+1),COLUMN($H$2:$H$52),4)))</f>
        <v/>
      </c>
      <c r="P21" s="467" t="str">
        <f t="array" aca="1" ref="P21" ca="1">IF(ROW()-ROW($J$2:$J$52)+1&gt;ROWS($I$2:$I$52)-COUNTBLANK($I$2:$I$52),"",INDIRECT(ADDRESS(SMALL((IF($I$2:$I$52&lt;&gt;"",ROW($I$2:$I$52),ROW()+ROWS($I$2:$I$52))),ROW()-ROW($J$2:$J$52)+1),COLUMN($I$2:$I$52),4)))</f>
        <v/>
      </c>
    </row>
    <row r="22" spans="3:16" x14ac:dyDescent="0.3">
      <c r="D22" s="1101"/>
      <c r="E22" s="474" t="str">
        <f>IF(H22="","","2018")</f>
        <v/>
      </c>
      <c r="F22" s="474" t="str">
        <f>IF(H22="","","d")</f>
        <v/>
      </c>
      <c r="G22" s="474" t="str">
        <f t="shared" si="1"/>
        <v/>
      </c>
      <c r="H22" s="475" t="str">
        <f>IF(A5="relevant",IF(AND(Matrix!W26="",Matrix!X26="",Matrix!Y26="",Matrix!Z26=""),"",IF(Matrix!W26&lt;MAX(Matrix!X26:Z26),Berechnung2!$L$63,"")),"")</f>
        <v/>
      </c>
      <c r="I22" s="476" t="str">
        <f>IF(H22="","",VLOOKUP(F22,Berechnung2!$I$15:$J$25,2,FALSE))</f>
        <v/>
      </c>
      <c r="J22" s="477" t="str">
        <f t="shared" si="2"/>
        <v/>
      </c>
      <c r="L22" s="473" t="str">
        <f t="array" aca="1" ref="L22" ca="1">IF(ROW()-ROW($F$2:$F$52)+1&gt;ROWS($E$2:$E$52)-COUNTBLANK($E$2:$E$52),"",INDIRECT(ADDRESS(SMALL((IF($E$2:$E$52&lt;&gt;"",ROW($E$2:$E$52),ROW()+ROWS($E$2:$E$52))),ROW()-ROW($F$2:$F$52)+1),COLUMN($E$2:$E$52),4)))</f>
        <v/>
      </c>
      <c r="M22" s="473" t="str">
        <f t="array" aca="1" ref="M22" ca="1">IF(ROW()-ROW($G$2:$G$52)+1&gt;ROWS($F$2:$F$52)-COUNTBLANK($F$2:$F$52),"",INDIRECT(ADDRESS(SMALL((IF($F$2:$F$52&lt;&gt;"",ROW($F$2:$F$52),ROW()+ROWS($F$2:$F$52))),ROW()-ROW($G$2:$G$52)+1),COLUMN($F$2:$F$52),4)))</f>
        <v/>
      </c>
      <c r="N22" s="473" t="str">
        <f t="array" aca="1" ref="N22" ca="1">IF(ROW()-ROW($H$2:$H$52)+1&gt;ROWS($G$2:$G$52)-COUNTBLANK($G$2:$G$52),"",INDIRECT(ADDRESS(SMALL((IF($G$2:$G$52&lt;&gt;"",ROW($G$2:$G$52),ROW()+ROWS($G$2:$G$52))),ROW()-ROW($H$2:$H$52)+1),COLUMN($G$2:$G$52),4)))</f>
        <v/>
      </c>
      <c r="O22" s="467" t="str">
        <f t="array" aca="1" ref="O22" ca="1">IF(ROW()-ROW($I$2:$I$52)+1&gt;ROWS($H$2:$H$52)-COUNTBLANK($H$2:$H$52),"",INDIRECT(ADDRESS(SMALL((IF($H$2:$H$52&lt;&gt;"",ROW($H$2:$H$52),ROW()+ROWS($H$2:$H$52))),ROW()-ROW($I$2:$I$52)+1),COLUMN($H$2:$H$52),4)))</f>
        <v/>
      </c>
      <c r="P22" s="467" t="str">
        <f t="array" aca="1" ref="P22" ca="1">IF(ROW()-ROW($J$2:$J$52)+1&gt;ROWS($I$2:$I$52)-COUNTBLANK($I$2:$I$52),"",INDIRECT(ADDRESS(SMALL((IF($I$2:$I$52&lt;&gt;"",ROW($I$2:$I$52),ROW()+ROWS($I$2:$I$52))),ROW()-ROW($J$2:$J$52)+1),COLUMN($I$2:$I$52),4)))</f>
        <v/>
      </c>
    </row>
    <row r="23" spans="3:16" ht="12" thickBot="1" x14ac:dyDescent="0.35">
      <c r="D23" s="484" t="s">
        <v>497</v>
      </c>
      <c r="E23" s="474" t="str">
        <f>IF(H23="","","2019")</f>
        <v/>
      </c>
      <c r="F23" s="478" t="str">
        <f>IF(H23="","","d")</f>
        <v/>
      </c>
      <c r="G23" s="478" t="str">
        <f t="shared" si="1"/>
        <v/>
      </c>
      <c r="H23" s="485" t="str">
        <f>IF(A5="relevant",IF(AND(Matrix!W27="",Matrix!X27="",Matrix!Y27="",Matrix!Z27=""),"",IF(Matrix!W27&lt;MAX(Matrix!X27:Z27),Berechnung2!$L$63,"")),"")</f>
        <v/>
      </c>
      <c r="I23" s="480" t="str">
        <f>IF(H23="","",VLOOKUP(F23,Berechnung2!$I$15:$J$25,2,FALSE))</f>
        <v/>
      </c>
      <c r="J23" s="481" t="str">
        <f t="shared" si="2"/>
        <v/>
      </c>
      <c r="L23" s="473" t="str">
        <f t="array" aca="1" ref="L23" ca="1">IF(ROW()-ROW($F$2:$F$52)+1&gt;ROWS($E$2:$E$52)-COUNTBLANK($E$2:$E$52),"",INDIRECT(ADDRESS(SMALL((IF($E$2:$E$52&lt;&gt;"",ROW($E$2:$E$52),ROW()+ROWS($E$2:$E$52))),ROW()-ROW($F$2:$F$52)+1),COLUMN($E$2:$E$52),4)))</f>
        <v/>
      </c>
      <c r="M23" s="473" t="str">
        <f t="array" aca="1" ref="M23" ca="1">IF(ROW()-ROW($G$2:$G$52)+1&gt;ROWS($F$2:$F$52)-COUNTBLANK($F$2:$F$52),"",INDIRECT(ADDRESS(SMALL((IF($F$2:$F$52&lt;&gt;"",ROW($F$2:$F$52),ROW()+ROWS($F$2:$F$52))),ROW()-ROW($G$2:$G$52)+1),COLUMN($F$2:$F$52),4)))</f>
        <v/>
      </c>
      <c r="N23" s="473" t="str">
        <f t="array" aca="1" ref="N23" ca="1">IF(ROW()-ROW($H$2:$H$52)+1&gt;ROWS($G$2:$G$52)-COUNTBLANK($G$2:$G$52),"",INDIRECT(ADDRESS(SMALL((IF($G$2:$G$52&lt;&gt;"",ROW($G$2:$G$52),ROW()+ROWS($G$2:$G$52))),ROW()-ROW($H$2:$H$52)+1),COLUMN($G$2:$G$52),4)))</f>
        <v/>
      </c>
      <c r="O23" s="467" t="str">
        <f t="array" aca="1" ref="O23" ca="1">IF(ROW()-ROW($I$2:$I$52)+1&gt;ROWS($H$2:$H$52)-COUNTBLANK($H$2:$H$52),"",INDIRECT(ADDRESS(SMALL((IF($H$2:$H$52&lt;&gt;"",ROW($H$2:$H$52),ROW()+ROWS($H$2:$H$52))),ROW()-ROW($I$2:$I$52)+1),COLUMN($H$2:$H$52),4)))</f>
        <v/>
      </c>
      <c r="P23" s="467" t="str">
        <f t="array" aca="1" ref="P23" ca="1">IF(ROW()-ROW($J$2:$J$52)+1&gt;ROWS($I$2:$I$52)-COUNTBLANK($I$2:$I$52),"",INDIRECT(ADDRESS(SMALL((IF($I$2:$I$52&lt;&gt;"",ROW($I$2:$I$52),ROW()+ROWS($I$2:$I$52))),ROW()-ROW($J$2:$J$52)+1),COLUMN($I$2:$I$52),4)))</f>
        <v/>
      </c>
    </row>
    <row r="24" spans="3:16" ht="21" thickBot="1" x14ac:dyDescent="0.35">
      <c r="D24" s="486" t="s">
        <v>498</v>
      </c>
      <c r="E24" s="487" t="str">
        <f>IF(H24="","","2017-2019")</f>
        <v/>
      </c>
      <c r="F24" s="487" t="str">
        <f>IF(H24="","","e")</f>
        <v/>
      </c>
      <c r="G24" s="487" t="str">
        <f>IF(H24="","","5")</f>
        <v/>
      </c>
      <c r="H24" s="488" t="str">
        <f>IF(OR(Matrix!$S$31="-----",Matrix!$S$31=""),"",IF(Matrix!S31="",0,IF(AND(ROUND(Matrix!S31,4)&gt;=Berechnung2!G61,ROUND(Matrix!S31,4)&lt;Berechnung2!J61),Berechnung2!L61,"")))</f>
        <v/>
      </c>
      <c r="I24" s="489" t="str">
        <f>IF(H24="","",VLOOKUP(F24,Berechnung2!$I$15:$J$25,2,FALSE))</f>
        <v/>
      </c>
      <c r="J24" s="490" t="str">
        <f t="shared" si="2"/>
        <v/>
      </c>
      <c r="L24" s="473" t="str">
        <f t="array" aca="1" ref="L24" ca="1">IF(ROW()-ROW($F$2:$F$52)+1&gt;ROWS($E$2:$E$52)-COUNTBLANK($E$2:$E$52),"",INDIRECT(ADDRESS(SMALL((IF($E$2:$E$52&lt;&gt;"",ROW($E$2:$E$52),ROW()+ROWS($E$2:$E$52))),ROW()-ROW($F$2:$F$52)+1),COLUMN($E$2:$E$52),4)))</f>
        <v/>
      </c>
      <c r="M24" s="473" t="str">
        <f t="array" aca="1" ref="M24" ca="1">IF(ROW()-ROW($G$2:$G$52)+1&gt;ROWS($F$2:$F$52)-COUNTBLANK($F$2:$F$52),"",INDIRECT(ADDRESS(SMALL((IF($F$2:$F$52&lt;&gt;"",ROW($F$2:$F$52),ROW()+ROWS($F$2:$F$52))),ROW()-ROW($G$2:$G$52)+1),COLUMN($F$2:$F$52),4)))</f>
        <v/>
      </c>
      <c r="N24" s="473" t="str">
        <f t="array" aca="1" ref="N24" ca="1">IF(ROW()-ROW($H$2:$H$52)+1&gt;ROWS($G$2:$G$52)-COUNTBLANK($G$2:$G$52),"",INDIRECT(ADDRESS(SMALL((IF($G$2:$G$52&lt;&gt;"",ROW($G$2:$G$52),ROW()+ROWS($G$2:$G$52))),ROW()-ROW($H$2:$H$52)+1),COLUMN($G$2:$G$52),4)))</f>
        <v/>
      </c>
      <c r="O24" s="467" t="str">
        <f t="array" aca="1" ref="O24" ca="1">IF(ROW()-ROW($I$2:$I$52)+1&gt;ROWS($H$2:$H$52)-COUNTBLANK($H$2:$H$52),"",INDIRECT(ADDRESS(SMALL((IF($H$2:$H$52&lt;&gt;"",ROW($H$2:$H$52),ROW()+ROWS($H$2:$H$52))),ROW()-ROW($I$2:$I$52)+1),COLUMN($H$2:$H$52),4)))</f>
        <v/>
      </c>
      <c r="P24" s="467" t="str">
        <f t="array" aca="1" ref="P24" ca="1">IF(ROW()-ROW($J$2:$J$52)+1&gt;ROWS($I$2:$I$52)-COUNTBLANK($I$2:$I$52),"",INDIRECT(ADDRESS(SMALL((IF($I$2:$I$52&lt;&gt;"",ROW($I$2:$I$52),ROW()+ROWS($I$2:$I$52))),ROW()-ROW($J$2:$J$52)+1),COLUMN($I$2:$I$52),4)))</f>
        <v/>
      </c>
    </row>
    <row r="25" spans="3:16" x14ac:dyDescent="0.3">
      <c r="D25" s="491" t="s">
        <v>208</v>
      </c>
      <c r="E25" s="469" t="str">
        <f>IF(H25="","","2015")</f>
        <v/>
      </c>
      <c r="F25" s="469" t="str">
        <f t="shared" ref="F25:F31" si="6">IF(H25="","","f")</f>
        <v/>
      </c>
      <c r="G25" s="469" t="str">
        <f>IF(H25="","","6")</f>
        <v/>
      </c>
      <c r="H25" s="470" t="str">
        <f>IF(A2="relevant",IF(Matrix!C23="","",IF(Matrix!C23&lt;Berechnung2!$G$58,Berechnung2!$L$58,"")),"")</f>
        <v/>
      </c>
      <c r="I25" s="471" t="str">
        <f>IF(H25="","",VLOOKUP(F25,Berechnung2!$I$15:$J$25,2,FALSE))</f>
        <v/>
      </c>
      <c r="J25" s="472" t="str">
        <f t="shared" si="2"/>
        <v/>
      </c>
      <c r="L25" s="473" t="str">
        <f t="array" aca="1" ref="L25" ca="1">IF(ROW()-ROW($F$2:$F$52)+1&gt;ROWS($E$2:$E$52)-COUNTBLANK($E$2:$E$52),"",INDIRECT(ADDRESS(SMALL((IF($E$2:$E$52&lt;&gt;"",ROW($E$2:$E$52),ROW()+ROWS($E$2:$E$52))),ROW()-ROW($F$2:$F$52)+1),COLUMN($E$2:$E$52),4)))</f>
        <v/>
      </c>
      <c r="M25" s="473" t="str">
        <f t="array" aca="1" ref="M25" ca="1">IF(ROW()-ROW($G$2:$G$52)+1&gt;ROWS($F$2:$F$52)-COUNTBLANK($F$2:$F$52),"",INDIRECT(ADDRESS(SMALL((IF($F$2:$F$52&lt;&gt;"",ROW($F$2:$F$52),ROW()+ROWS($F$2:$F$52))),ROW()-ROW($G$2:$G$52)+1),COLUMN($F$2:$F$52),4)))</f>
        <v/>
      </c>
      <c r="N25" s="473" t="str">
        <f t="array" aca="1" ref="N25" ca="1">IF(ROW()-ROW($H$2:$H$52)+1&gt;ROWS($G$2:$G$52)-COUNTBLANK($G$2:$G$52),"",INDIRECT(ADDRESS(SMALL((IF($G$2:$G$52&lt;&gt;"",ROW($G$2:$G$52),ROW()+ROWS($G$2:$G$52))),ROW()-ROW($H$2:$H$52)+1),COLUMN($G$2:$G$52),4)))</f>
        <v/>
      </c>
      <c r="O25" s="467" t="str">
        <f t="array" aca="1" ref="O25" ca="1">IF(ROW()-ROW($I$2:$I$52)+1&gt;ROWS($H$2:$H$52)-COUNTBLANK($H$2:$H$52),"",INDIRECT(ADDRESS(SMALL((IF($H$2:$H$52&lt;&gt;"",ROW($H$2:$H$52),ROW()+ROWS($H$2:$H$52))),ROW()-ROW($I$2:$I$52)+1),COLUMN($H$2:$H$52),4)))</f>
        <v/>
      </c>
      <c r="P25" s="467" t="str">
        <f t="array" aca="1" ref="P25" ca="1">IF(ROW()-ROW($J$2:$J$52)+1&gt;ROWS($I$2:$I$52)-COUNTBLANK($I$2:$I$52),"",INDIRECT(ADDRESS(SMALL((IF($I$2:$I$52&lt;&gt;"",ROW($I$2:$I$52),ROW()+ROWS($I$2:$I$52))),ROW()-ROW($J$2:$J$52)+1),COLUMN($I$2:$I$52),4)))</f>
        <v/>
      </c>
    </row>
    <row r="26" spans="3:16" x14ac:dyDescent="0.3">
      <c r="D26" s="1097" t="s">
        <v>277</v>
      </c>
      <c r="E26" s="474" t="str">
        <f>IF(H26="","","2016")</f>
        <v/>
      </c>
      <c r="F26" s="474" t="str">
        <f t="shared" si="6"/>
        <v/>
      </c>
      <c r="G26" s="474" t="str">
        <f t="shared" ref="G26:G52" si="7">IF(H26="","","6")</f>
        <v/>
      </c>
      <c r="H26" s="475" t="str">
        <f>IF(A3="relevant",IF(Matrix!C24="","",IF(Matrix!C24&lt;Berechnung2!$G$58,Berechnung2!$L$58,"")),"")</f>
        <v/>
      </c>
      <c r="I26" s="476" t="str">
        <f>IF(H26="","",VLOOKUP(F26,Berechnung2!$I$15:$J$25,2,FALSE))</f>
        <v/>
      </c>
      <c r="J26" s="477" t="str">
        <f t="shared" si="2"/>
        <v/>
      </c>
      <c r="L26" s="473" t="str">
        <f t="array" aca="1" ref="L26" ca="1">IF(ROW()-ROW($F$2:$F$52)+1&gt;ROWS($E$2:$E$52)-COUNTBLANK($E$2:$E$52),"",INDIRECT(ADDRESS(SMALL((IF($E$2:$E$52&lt;&gt;"",ROW($E$2:$E$52),ROW()+ROWS($E$2:$E$52))),ROW()-ROW($F$2:$F$52)+1),COLUMN($E$2:$E$52),4)))</f>
        <v/>
      </c>
      <c r="M26" s="473" t="str">
        <f t="array" aca="1" ref="M26" ca="1">IF(ROW()-ROW($G$2:$G$52)+1&gt;ROWS($F$2:$F$52)-COUNTBLANK($F$2:$F$52),"",INDIRECT(ADDRESS(SMALL((IF($F$2:$F$52&lt;&gt;"",ROW($F$2:$F$52),ROW()+ROWS($F$2:$F$52))),ROW()-ROW($G$2:$G$52)+1),COLUMN($F$2:$F$52),4)))</f>
        <v/>
      </c>
      <c r="N26" s="473" t="str">
        <f t="array" aca="1" ref="N26" ca="1">IF(ROW()-ROW($H$2:$H$52)+1&gt;ROWS($G$2:$G$52)-COUNTBLANK($G$2:$G$52),"",INDIRECT(ADDRESS(SMALL((IF($G$2:$G$52&lt;&gt;"",ROW($G$2:$G$52),ROW()+ROWS($G$2:$G$52))),ROW()-ROW($H$2:$H$52)+1),COLUMN($G$2:$G$52),4)))</f>
        <v/>
      </c>
      <c r="O26" s="467" t="str">
        <f t="array" aca="1" ref="O26" ca="1">IF(ROW()-ROW($I$2:$I$52)+1&gt;ROWS($H$2:$H$52)-COUNTBLANK($H$2:$H$52),"",INDIRECT(ADDRESS(SMALL((IF($H$2:$H$52&lt;&gt;"",ROW($H$2:$H$52),ROW()+ROWS($H$2:$H$52))),ROW()-ROW($I$2:$I$52)+1),COLUMN($H$2:$H$52),4)))</f>
        <v/>
      </c>
      <c r="P26" s="467" t="str">
        <f t="array" aca="1" ref="P26" ca="1">IF(ROW()-ROW($J$2:$J$52)+1&gt;ROWS($I$2:$I$52)-COUNTBLANK($I$2:$I$52),"",INDIRECT(ADDRESS(SMALL((IF($I$2:$I$52&lt;&gt;"",ROW($I$2:$I$52),ROW()+ROWS($I$2:$I$52))),ROW()-ROW($J$2:$J$52)+1),COLUMN($I$2:$I$52),4)))</f>
        <v/>
      </c>
    </row>
    <row r="27" spans="3:16" x14ac:dyDescent="0.3">
      <c r="D27" s="1097"/>
      <c r="E27" s="474" t="str">
        <f>IF(H27="","","2017")</f>
        <v/>
      </c>
      <c r="F27" s="474" t="str">
        <f t="shared" si="6"/>
        <v/>
      </c>
      <c r="G27" s="474" t="str">
        <f t="shared" si="7"/>
        <v/>
      </c>
      <c r="H27" s="475" t="str">
        <f>IF(A4="relevant",IF(Matrix!C25="","",IF(Matrix!C25&lt;Berechnung2!$G$58,Berechnung2!$L$58,"")),"")</f>
        <v/>
      </c>
      <c r="I27" s="476" t="str">
        <f>IF(H27="","",VLOOKUP(F27,Berechnung2!$I$15:$J$25,2,FALSE))</f>
        <v/>
      </c>
      <c r="J27" s="477" t="str">
        <f t="shared" si="2"/>
        <v/>
      </c>
      <c r="L27" s="473" t="str">
        <f t="array" aca="1" ref="L27" ca="1">IF(ROW()-ROW($F$2:$F$52)+1&gt;ROWS($E$2:$E$52)-COUNTBLANK($E$2:$E$52),"",INDIRECT(ADDRESS(SMALL((IF($E$2:$E$52&lt;&gt;"",ROW($E$2:$E$52),ROW()+ROWS($E$2:$E$52))),ROW()-ROW($F$2:$F$52)+1),COLUMN($E$2:$E$52),4)))</f>
        <v/>
      </c>
      <c r="M27" s="473" t="str">
        <f t="array" aca="1" ref="M27" ca="1">IF(ROW()-ROW($G$2:$G$52)+1&gt;ROWS($F$2:$F$52)-COUNTBLANK($F$2:$F$52),"",INDIRECT(ADDRESS(SMALL((IF($F$2:$F$52&lt;&gt;"",ROW($F$2:$F$52),ROW()+ROWS($F$2:$F$52))),ROW()-ROW($G$2:$G$52)+1),COLUMN($F$2:$F$52),4)))</f>
        <v/>
      </c>
      <c r="N27" s="473" t="str">
        <f t="array" aca="1" ref="N27" ca="1">IF(ROW()-ROW($H$2:$H$52)+1&gt;ROWS($G$2:$G$52)-COUNTBLANK($G$2:$G$52),"",INDIRECT(ADDRESS(SMALL((IF($G$2:$G$52&lt;&gt;"",ROW($G$2:$G$52),ROW()+ROWS($G$2:$G$52))),ROW()-ROW($H$2:$H$52)+1),COLUMN($G$2:$G$52),4)))</f>
        <v/>
      </c>
      <c r="O27" s="467" t="str">
        <f t="array" aca="1" ref="O27" ca="1">IF(ROW()-ROW($I$2:$I$52)+1&gt;ROWS($H$2:$H$52)-COUNTBLANK($H$2:$H$52),"",INDIRECT(ADDRESS(SMALL((IF($H$2:$H$52&lt;&gt;"",ROW($H$2:$H$52),ROW()+ROWS($H$2:$H$52))),ROW()-ROW($I$2:$I$52)+1),COLUMN($H$2:$H$52),4)))</f>
        <v/>
      </c>
      <c r="P27" s="467" t="str">
        <f t="array" aca="1" ref="P27" ca="1">IF(ROW()-ROW($J$2:$J$52)+1&gt;ROWS($I$2:$I$52)-COUNTBLANK($I$2:$I$52),"",INDIRECT(ADDRESS(SMALL((IF($I$2:$I$52&lt;&gt;"",ROW($I$2:$I$52),ROW()+ROWS($I$2:$I$52))),ROW()-ROW($J$2:$J$52)+1),COLUMN($I$2:$I$52),4)))</f>
        <v/>
      </c>
    </row>
    <row r="28" spans="3:16" x14ac:dyDescent="0.3">
      <c r="D28" s="1097"/>
      <c r="E28" s="474" t="str">
        <f>IF(H28="","","2018")</f>
        <v/>
      </c>
      <c r="F28" s="474" t="str">
        <f t="shared" si="6"/>
        <v/>
      </c>
      <c r="G28" s="474" t="str">
        <f t="shared" si="7"/>
        <v/>
      </c>
      <c r="H28" s="475" t="str">
        <f>IF(A5="relevant",IF(Matrix!C26="","",IF(Matrix!C26&lt;Berechnung2!$G$58,Berechnung2!$L$58,"")),"")</f>
        <v/>
      </c>
      <c r="I28" s="476" t="str">
        <f>IF(H28="","",VLOOKUP(F28,Berechnung2!$I$15:$J$25,2,FALSE))</f>
        <v/>
      </c>
      <c r="J28" s="477" t="str">
        <f t="shared" si="2"/>
        <v/>
      </c>
      <c r="L28" s="473" t="str">
        <f t="array" aca="1" ref="L28" ca="1">IF(ROW()-ROW($F$2:$F$52)+1&gt;ROWS($E$2:$E$52)-COUNTBLANK($E$2:$E$52),"",INDIRECT(ADDRESS(SMALL((IF($E$2:$E$52&lt;&gt;"",ROW($E$2:$E$52),ROW()+ROWS($E$2:$E$52))),ROW()-ROW($F$2:$F$52)+1),COLUMN($E$2:$E$52),4)))</f>
        <v/>
      </c>
      <c r="M28" s="473" t="str">
        <f t="array" aca="1" ref="M28" ca="1">IF(ROW()-ROW($G$2:$G$52)+1&gt;ROWS($F$2:$F$52)-COUNTBLANK($F$2:$F$52),"",INDIRECT(ADDRESS(SMALL((IF($F$2:$F$52&lt;&gt;"",ROW($F$2:$F$52),ROW()+ROWS($F$2:$F$52))),ROW()-ROW($G$2:$G$52)+1),COLUMN($F$2:$F$52),4)))</f>
        <v/>
      </c>
      <c r="N28" s="473" t="str">
        <f t="array" aca="1" ref="N28" ca="1">IF(ROW()-ROW($H$2:$H$52)+1&gt;ROWS($G$2:$G$52)-COUNTBLANK($G$2:$G$52),"",INDIRECT(ADDRESS(SMALL((IF($G$2:$G$52&lt;&gt;"",ROW($G$2:$G$52),ROW()+ROWS($G$2:$G$52))),ROW()-ROW($H$2:$H$52)+1),COLUMN($G$2:$G$52),4)))</f>
        <v/>
      </c>
      <c r="O28" s="467" t="str">
        <f t="array" aca="1" ref="O28" ca="1">IF(ROW()-ROW($I$2:$I$52)+1&gt;ROWS($H$2:$H$52)-COUNTBLANK($H$2:$H$52),"",INDIRECT(ADDRESS(SMALL((IF($H$2:$H$52&lt;&gt;"",ROW($H$2:$H$52),ROW()+ROWS($H$2:$H$52))),ROW()-ROW($I$2:$I$52)+1),COLUMN($H$2:$H$52),4)))</f>
        <v/>
      </c>
      <c r="P28" s="467" t="str">
        <f t="array" aca="1" ref="P28" ca="1">IF(ROW()-ROW($J$2:$J$52)+1&gt;ROWS($I$2:$I$52)-COUNTBLANK($I$2:$I$52),"",INDIRECT(ADDRESS(SMALL((IF($I$2:$I$52&lt;&gt;"",ROW($I$2:$I$52),ROW()+ROWS($I$2:$I$52))),ROW()-ROW($J$2:$J$52)+1),COLUMN($I$2:$I$52),4)))</f>
        <v/>
      </c>
    </row>
    <row r="29" spans="3:16" x14ac:dyDescent="0.3">
      <c r="D29" s="1097"/>
      <c r="E29" s="474" t="str">
        <f>IF(H29="","","2019")</f>
        <v/>
      </c>
      <c r="F29" s="474" t="str">
        <f t="shared" si="6"/>
        <v/>
      </c>
      <c r="G29" s="474" t="str">
        <f t="shared" si="7"/>
        <v/>
      </c>
      <c r="H29" s="475" t="str">
        <f>IF(A6="relevant",IF(Matrix!C27="","",IF(Matrix!C27&lt;Berechnung2!$G$58,Berechnung2!$L$58,"")),"")</f>
        <v/>
      </c>
      <c r="I29" s="476" t="str">
        <f>IF(H29="","",VLOOKUP(F29,Berechnung2!$I$15:$J$25,2,FALSE))</f>
        <v/>
      </c>
      <c r="J29" s="477" t="str">
        <f t="shared" si="2"/>
        <v/>
      </c>
      <c r="L29" s="473" t="str">
        <f t="array" aca="1" ref="L29" ca="1">IF(ROW()-ROW($F$2:$F$52)+1&gt;ROWS($E$2:$E$52)-COUNTBLANK($E$2:$E$52),"",INDIRECT(ADDRESS(SMALL((IF($E$2:$E$52&lt;&gt;"",ROW($E$2:$E$52),ROW()+ROWS($E$2:$E$52))),ROW()-ROW($F$2:$F$52)+1),COLUMN($E$2:$E$52),4)))</f>
        <v/>
      </c>
      <c r="M29" s="473" t="str">
        <f t="array" aca="1" ref="M29" ca="1">IF(ROW()-ROW($G$2:$G$52)+1&gt;ROWS($F$2:$F$52)-COUNTBLANK($F$2:$F$52),"",INDIRECT(ADDRESS(SMALL((IF($F$2:$F$52&lt;&gt;"",ROW($F$2:$F$52),ROW()+ROWS($F$2:$F$52))),ROW()-ROW($G$2:$G$52)+1),COLUMN($F$2:$F$52),4)))</f>
        <v/>
      </c>
      <c r="N29" s="473" t="str">
        <f t="array" aca="1" ref="N29" ca="1">IF(ROW()-ROW($H$2:$H$52)+1&gt;ROWS($G$2:$G$52)-COUNTBLANK($G$2:$G$52),"",INDIRECT(ADDRESS(SMALL((IF($G$2:$G$52&lt;&gt;"",ROW($G$2:$G$52),ROW()+ROWS($G$2:$G$52))),ROW()-ROW($H$2:$H$52)+1),COLUMN($G$2:$G$52),4)))</f>
        <v/>
      </c>
      <c r="O29" s="467" t="str">
        <f t="array" aca="1" ref="O29" ca="1">IF(ROW()-ROW($I$2:$I$52)+1&gt;ROWS($H$2:$H$52)-COUNTBLANK($H$2:$H$52),"",INDIRECT(ADDRESS(SMALL((IF($H$2:$H$52&lt;&gt;"",ROW($H$2:$H$52),ROW()+ROWS($H$2:$H$52))),ROW()-ROW($I$2:$I$52)+1),COLUMN($H$2:$H$52),4)))</f>
        <v/>
      </c>
      <c r="P29" s="467" t="str">
        <f t="array" aca="1" ref="P29" ca="1">IF(ROW()-ROW($J$2:$J$52)+1&gt;ROWS($I$2:$I$52)-COUNTBLANK($I$2:$I$52),"",INDIRECT(ADDRESS(SMALL((IF($I$2:$I$52&lt;&gt;"",ROW($I$2:$I$52),ROW()+ROWS($I$2:$I$52))),ROW()-ROW($J$2:$J$52)+1),COLUMN($I$2:$I$52),4)))</f>
        <v/>
      </c>
    </row>
    <row r="30" spans="3:16" x14ac:dyDescent="0.3">
      <c r="D30" s="569"/>
      <c r="E30" s="474" t="str">
        <f>IF(H30="","","2020")</f>
        <v/>
      </c>
      <c r="F30" s="474" t="str">
        <f t="shared" ref="F30" si="8">IF(H30="","","f")</f>
        <v/>
      </c>
      <c r="G30" s="474" t="str">
        <f t="shared" ref="G30" si="9">IF(H30="","","6")</f>
        <v/>
      </c>
      <c r="H30" s="475" t="str">
        <f>IF(A7="relevant",IF(Matrix!C28="","",IF(Matrix!C28&lt;Berechnung2!$G$58,Berechnung2!$L$58,"")),"")</f>
        <v/>
      </c>
      <c r="I30" s="476" t="str">
        <f>IF(H30="","",VLOOKUP(F30,Berechnung2!$I$15:$J$25,2,FALSE))</f>
        <v/>
      </c>
      <c r="J30" s="477" t="str">
        <f t="shared" ref="J30" si="10">IF(H30&lt;&gt;"",1,"")</f>
        <v/>
      </c>
      <c r="L30" s="473" t="str">
        <f t="array" aca="1" ref="L30" ca="1">IF(ROW()-ROW($F$2:$F$52)+1&gt;ROWS($E$2:$E$52)-COUNTBLANK($E$2:$E$52),"",INDIRECT(ADDRESS(SMALL((IF($E$2:$E$52&lt;&gt;"",ROW($E$2:$E$52),ROW()+ROWS($E$2:$E$52))),ROW()-ROW($F$2:$F$52)+1),COLUMN($E$2:$E$52),4)))</f>
        <v/>
      </c>
      <c r="M30" s="473" t="str">
        <f t="array" aca="1" ref="M30" ca="1">IF(ROW()-ROW($G$2:$G$52)+1&gt;ROWS($F$2:$F$52)-COUNTBLANK($F$2:$F$52),"",INDIRECT(ADDRESS(SMALL((IF($F$2:$F$52&lt;&gt;"",ROW($F$2:$F$52),ROW()+ROWS($F$2:$F$52))),ROW()-ROW($G$2:$G$52)+1),COLUMN($F$2:$F$52),4)))</f>
        <v/>
      </c>
      <c r="N30" s="473" t="str">
        <f t="array" aca="1" ref="N30" ca="1">IF(ROW()-ROW($H$2:$H$52)+1&gt;ROWS($G$2:$G$52)-COUNTBLANK($G$2:$G$52),"",INDIRECT(ADDRESS(SMALL((IF($G$2:$G$52&lt;&gt;"",ROW($G$2:$G$52),ROW()+ROWS($G$2:$G$52))),ROW()-ROW($H$2:$H$52)+1),COLUMN($G$2:$G$52),4)))</f>
        <v/>
      </c>
      <c r="O30" s="467" t="str">
        <f t="array" aca="1" ref="O30" ca="1">IF(ROW()-ROW($I$2:$I$52)+1&gt;ROWS($H$2:$H$52)-COUNTBLANK($H$2:$H$52),"",INDIRECT(ADDRESS(SMALL((IF($H$2:$H$52&lt;&gt;"",ROW($H$2:$H$52),ROW()+ROWS($H$2:$H$52))),ROW()-ROW($I$2:$I$52)+1),COLUMN($H$2:$H$52),4)))</f>
        <v/>
      </c>
      <c r="P30" s="467" t="str">
        <f t="array" aca="1" ref="P30" ca="1">IF(ROW()-ROW($J$2:$J$52)+1&gt;ROWS($I$2:$I$52)-COUNTBLANK($I$2:$I$52),"",INDIRECT(ADDRESS(SMALL((IF($I$2:$I$52&lt;&gt;"",ROW($I$2:$I$52),ROW()+ROWS($I$2:$I$52))),ROW()-ROW($J$2:$J$52)+1),COLUMN($I$2:$I$52),4)))</f>
        <v/>
      </c>
    </row>
    <row r="31" spans="3:16" ht="12" thickBot="1" x14ac:dyDescent="0.35">
      <c r="D31" s="492" t="s">
        <v>499</v>
      </c>
      <c r="E31" s="478" t="str">
        <f>IF(H31="","","2021")</f>
        <v/>
      </c>
      <c r="F31" s="478" t="str">
        <f t="shared" si="6"/>
        <v/>
      </c>
      <c r="G31" s="478" t="str">
        <f t="shared" si="7"/>
        <v/>
      </c>
      <c r="H31" s="485" t="str">
        <f>IF(A7="relevant",IF(Matrix!C29="","",IF(Matrix!C29&lt;Berechnung2!$G$58,Berechnung2!$L$58,"")),"")</f>
        <v/>
      </c>
      <c r="I31" s="480" t="str">
        <f>IF(H31="","",VLOOKUP(F31,Berechnung2!$I$15:$J$25,2,FALSE))</f>
        <v/>
      </c>
      <c r="J31" s="481" t="str">
        <f t="shared" si="2"/>
        <v/>
      </c>
      <c r="L31" s="473" t="str">
        <f t="array" aca="1" ref="L31" ca="1">IF(ROW()-ROW($F$2:$F$52)+1&gt;ROWS($E$2:$E$52)-COUNTBLANK($E$2:$E$52),"",INDIRECT(ADDRESS(SMALL((IF($E$2:$E$52&lt;&gt;"",ROW($E$2:$E$52),ROW()+ROWS($E$2:$E$52))),ROW()-ROW($F$2:$F$52)+1),COLUMN($E$2:$E$52),4)))</f>
        <v/>
      </c>
      <c r="M31" s="473" t="str">
        <f t="array" aca="1" ref="M31" ca="1">IF(ROW()-ROW($G$2:$G$52)+1&gt;ROWS($F$2:$F$52)-COUNTBLANK($F$2:$F$52),"",INDIRECT(ADDRESS(SMALL((IF($F$2:$F$52&lt;&gt;"",ROW($F$2:$F$52),ROW()+ROWS($F$2:$F$52))),ROW()-ROW($G$2:$G$52)+1),COLUMN($F$2:$F$52),4)))</f>
        <v/>
      </c>
      <c r="N31" s="473" t="str">
        <f t="array" aca="1" ref="N31" ca="1">IF(ROW()-ROW($H$2:$H$52)+1&gt;ROWS($G$2:$G$52)-COUNTBLANK($G$2:$G$52),"",INDIRECT(ADDRESS(SMALL((IF($G$2:$G$52&lt;&gt;"",ROW($G$2:$G$52),ROW()+ROWS($G$2:$G$52))),ROW()-ROW($H$2:$H$52)+1),COLUMN($G$2:$G$52),4)))</f>
        <v/>
      </c>
      <c r="O31" s="467" t="str">
        <f t="array" aca="1" ref="O31" ca="1">IF(ROW()-ROW($I$2:$I$52)+1&gt;ROWS($H$2:$H$52)-COUNTBLANK($H$2:$H$52),"",INDIRECT(ADDRESS(SMALL((IF($H$2:$H$52&lt;&gt;"",ROW($H$2:$H$52),ROW()+ROWS($H$2:$H$52))),ROW()-ROW($I$2:$I$52)+1),COLUMN($H$2:$H$52),4)))</f>
        <v/>
      </c>
      <c r="P31" s="467" t="str">
        <f t="array" aca="1" ref="P31" ca="1">IF(ROW()-ROW($J$2:$J$52)+1&gt;ROWS($I$2:$I$52)-COUNTBLANK($I$2:$I$52),"",INDIRECT(ADDRESS(SMALL((IF($I$2:$I$52&lt;&gt;"",ROW($I$2:$I$52),ROW()+ROWS($I$2:$I$52))),ROW()-ROW($J$2:$J$52)+1),COLUMN($I$2:$I$52),4)))</f>
        <v/>
      </c>
    </row>
    <row r="32" spans="3:16" ht="21" thickBot="1" x14ac:dyDescent="0.35">
      <c r="D32" s="493" t="s">
        <v>500</v>
      </c>
      <c r="E32" s="487" t="str">
        <f>IF(H32="","","2017-2019")</f>
        <v/>
      </c>
      <c r="F32" s="487" t="str">
        <f>IF(H32="","","g")</f>
        <v/>
      </c>
      <c r="G32" s="487" t="str">
        <f t="shared" si="7"/>
        <v/>
      </c>
      <c r="H32" s="488" t="str">
        <f>IF(OR(Matrix!S31="-----",Matrix!S31=""),"",IF(Matrix!S31="",0,IF(ROUND(Matrix!S31,4)&gt;=Berechnung2!J62,Berechnung2!L62,"")))</f>
        <v/>
      </c>
      <c r="I32" s="489" t="str">
        <f>IF(H32="","",VLOOKUP(F32,Berechnung2!$I$15:$J$25,2,FALSE))</f>
        <v/>
      </c>
      <c r="J32" s="490" t="str">
        <f t="shared" si="2"/>
        <v/>
      </c>
      <c r="L32" s="473" t="str">
        <f t="array" aca="1" ref="L32" ca="1">IF(ROW()-ROW($F$2:$F$52)+1&gt;ROWS($E$2:$E$52)-COUNTBLANK($E$2:$E$52),"",INDIRECT(ADDRESS(SMALL((IF($E$2:$E$52&lt;&gt;"",ROW($E$2:$E$52),ROW()+ROWS($E$2:$E$52))),ROW()-ROW($F$2:$F$52)+1),COLUMN($E$2:$E$52),4)))</f>
        <v/>
      </c>
      <c r="M32" s="473" t="str">
        <f t="array" aca="1" ref="M32" ca="1">IF(ROW()-ROW($G$2:$G$52)+1&gt;ROWS($F$2:$F$52)-COUNTBLANK($F$2:$F$52),"",INDIRECT(ADDRESS(SMALL((IF($F$2:$F$52&lt;&gt;"",ROW($F$2:$F$52),ROW()+ROWS($F$2:$F$52))),ROW()-ROW($G$2:$G$52)+1),COLUMN($F$2:$F$52),4)))</f>
        <v/>
      </c>
      <c r="N32" s="473" t="str">
        <f t="array" aca="1" ref="N32" ca="1">IF(ROW()-ROW($H$2:$H$52)+1&gt;ROWS($G$2:$G$52)-COUNTBLANK($G$2:$G$52),"",INDIRECT(ADDRESS(SMALL((IF($G$2:$G$52&lt;&gt;"",ROW($G$2:$G$52),ROW()+ROWS($G$2:$G$52))),ROW()-ROW($H$2:$H$52)+1),COLUMN($G$2:$G$52),4)))</f>
        <v/>
      </c>
      <c r="O32" s="467" t="str">
        <f t="array" aca="1" ref="O32" ca="1">IF(ROW()-ROW($I$2:$I$52)+1&gt;ROWS($H$2:$H$52)-COUNTBLANK($H$2:$H$52),"",INDIRECT(ADDRESS(SMALL((IF($H$2:$H$52&lt;&gt;"",ROW($H$2:$H$52),ROW()+ROWS($H$2:$H$52))),ROW()-ROW($I$2:$I$52)+1),COLUMN($H$2:$H$52),4)))</f>
        <v/>
      </c>
      <c r="P32" s="467" t="str">
        <f t="array" aca="1" ref="P32" ca="1">IF(ROW()-ROW($J$2:$J$52)+1&gt;ROWS($I$2:$I$52)-COUNTBLANK($I$2:$I$52),"",INDIRECT(ADDRESS(SMALL((IF($I$2:$I$52&lt;&gt;"",ROW($I$2:$I$52),ROW()+ROWS($I$2:$I$52))),ROW()-ROW($J$2:$J$52)+1),COLUMN($I$2:$I$52),4)))</f>
        <v/>
      </c>
    </row>
    <row r="33" spans="4:16" x14ac:dyDescent="0.3">
      <c r="D33" s="491" t="s">
        <v>208</v>
      </c>
      <c r="E33" s="577"/>
      <c r="F33" s="577"/>
      <c r="G33" s="577"/>
      <c r="H33" s="578"/>
      <c r="I33" s="579"/>
      <c r="J33" s="580"/>
      <c r="L33" s="473" t="str">
        <f t="array" aca="1" ref="L33" ca="1">IF(ROW()-ROW($F$2:$F$52)+1&gt;ROWS($E$2:$E$52)-COUNTBLANK($E$2:$E$52),"",INDIRECT(ADDRESS(SMALL((IF($E$2:$E$52&lt;&gt;"",ROW($E$2:$E$52),ROW()+ROWS($E$2:$E$52))),ROW()-ROW($F$2:$F$52)+1),COLUMN($E$2:$E$52),4)))</f>
        <v/>
      </c>
      <c r="M33" s="473" t="str">
        <f t="array" aca="1" ref="M33" ca="1">IF(ROW()-ROW($G$2:$G$52)+1&gt;ROWS($F$2:$F$52)-COUNTBLANK($F$2:$F$52),"",INDIRECT(ADDRESS(SMALL((IF($F$2:$F$52&lt;&gt;"",ROW($F$2:$F$52),ROW()+ROWS($F$2:$F$52))),ROW()-ROW($G$2:$G$52)+1),COLUMN($F$2:$F$52),4)))</f>
        <v/>
      </c>
      <c r="N33" s="473" t="str">
        <f t="array" aca="1" ref="N33" ca="1">IF(ROW()-ROW($H$2:$H$52)+1&gt;ROWS($G$2:$G$52)-COUNTBLANK($G$2:$G$52),"",INDIRECT(ADDRESS(SMALL((IF($G$2:$G$52&lt;&gt;"",ROW($G$2:$G$52),ROW()+ROWS($G$2:$G$52))),ROW()-ROW($H$2:$H$52)+1),COLUMN($G$2:$G$52),4)))</f>
        <v/>
      </c>
      <c r="O33" s="467" t="str">
        <f t="array" aca="1" ref="O33" ca="1">IF(ROW()-ROW($I$2:$I$52)+1&gt;ROWS($H$2:$H$52)-COUNTBLANK($H$2:$H$52),"",INDIRECT(ADDRESS(SMALL((IF($H$2:$H$52&lt;&gt;"",ROW($H$2:$H$52),ROW()+ROWS($H$2:$H$52))),ROW()-ROW($I$2:$I$52)+1),COLUMN($H$2:$H$52),4)))</f>
        <v/>
      </c>
      <c r="P33" s="467" t="str">
        <f t="array" aca="1" ref="P33" ca="1">IF(ROW()-ROW($J$2:$J$52)+1&gt;ROWS($I$2:$I$52)-COUNTBLANK($I$2:$I$52),"",INDIRECT(ADDRESS(SMALL((IF($I$2:$I$52&lt;&gt;"",ROW($I$2:$I$52),ROW()+ROWS($I$2:$I$52))),ROW()-ROW($J$2:$J$52)+1),COLUMN($I$2:$I$52),4)))</f>
        <v/>
      </c>
    </row>
    <row r="34" spans="4:16" x14ac:dyDescent="0.3">
      <c r="D34" s="1097" t="s">
        <v>446</v>
      </c>
      <c r="E34" s="474"/>
      <c r="F34" s="474"/>
      <c r="G34" s="474"/>
      <c r="H34" s="475"/>
      <c r="I34" s="476"/>
      <c r="J34" s="477"/>
      <c r="L34" s="473" t="str">
        <f t="array" aca="1" ref="L34" ca="1">IF(ROW()-ROW($F$2:$F$52)+1&gt;ROWS($E$2:$E$52)-COUNTBLANK($E$2:$E$52),"",INDIRECT(ADDRESS(SMALL((IF($E$2:$E$52&lt;&gt;"",ROW($E$2:$E$52),ROW()+ROWS($E$2:$E$52))),ROW()-ROW($F$2:$F$52)+1),COLUMN($E$2:$E$52),4)))</f>
        <v/>
      </c>
      <c r="M34" s="473" t="str">
        <f t="array" aca="1" ref="M34" ca="1">IF(ROW()-ROW($G$2:$G$52)+1&gt;ROWS($F$2:$F$52)-COUNTBLANK($F$2:$F$52),"",INDIRECT(ADDRESS(SMALL((IF($F$2:$F$52&lt;&gt;"",ROW($F$2:$F$52),ROW()+ROWS($F$2:$F$52))),ROW()-ROW($G$2:$G$52)+1),COLUMN($F$2:$F$52),4)))</f>
        <v/>
      </c>
      <c r="N34" s="473" t="str">
        <f t="array" aca="1" ref="N34" ca="1">IF(ROW()-ROW($H$2:$H$52)+1&gt;ROWS($G$2:$G$52)-COUNTBLANK($G$2:$G$52),"",INDIRECT(ADDRESS(SMALL((IF($G$2:$G$52&lt;&gt;"",ROW($G$2:$G$52),ROW()+ROWS($G$2:$G$52))),ROW()-ROW($H$2:$H$52)+1),COLUMN($G$2:$G$52),4)))</f>
        <v/>
      </c>
      <c r="O34" s="467" t="str">
        <f t="array" aca="1" ref="O34" ca="1">IF(ROW()-ROW($I$2:$I$52)+1&gt;ROWS($H$2:$H$52)-COUNTBLANK($H$2:$H$52),"",INDIRECT(ADDRESS(SMALL((IF($H$2:$H$52&lt;&gt;"",ROW($H$2:$H$52),ROW()+ROWS($H$2:$H$52))),ROW()-ROW($I$2:$I$52)+1),COLUMN($H$2:$H$52),4)))</f>
        <v/>
      </c>
      <c r="P34" s="467" t="str">
        <f t="array" aca="1" ref="P34" ca="1">IF(ROW()-ROW($J$2:$J$52)+1&gt;ROWS($I$2:$I$52)-COUNTBLANK($I$2:$I$52),"",INDIRECT(ADDRESS(SMALL((IF($I$2:$I$52&lt;&gt;"",ROW($I$2:$I$52),ROW()+ROWS($I$2:$I$52))),ROW()-ROW($J$2:$J$52)+1),COLUMN($I$2:$I$52),4)))</f>
        <v/>
      </c>
    </row>
    <row r="35" spans="4:16" x14ac:dyDescent="0.3">
      <c r="D35" s="1097"/>
      <c r="E35" s="474" t="str">
        <f>IF(H35="","","2017")</f>
        <v/>
      </c>
      <c r="F35" s="474" t="str">
        <f>IF(H35="","","h")</f>
        <v/>
      </c>
      <c r="G35" s="474" t="str">
        <f t="shared" si="7"/>
        <v/>
      </c>
      <c r="H35" s="475" t="str">
        <f>IF(A4="relevant",IF(Matrix!S25="","",IF(ROUND(Matrix!S25,4)&lt;Berechnung2!$J$60,Berechnung2!$L$60,"")),"")</f>
        <v/>
      </c>
      <c r="I35" s="476" t="str">
        <f>IF(H35="","",VLOOKUP(F35,Berechnung2!$I$15:$J$25,2,FALSE))</f>
        <v/>
      </c>
      <c r="J35" s="477" t="str">
        <f t="shared" si="2"/>
        <v/>
      </c>
      <c r="L35" s="473" t="str">
        <f t="array" aca="1" ref="L35" ca="1">IF(ROW()-ROW($F$2:$F$52)+1&gt;ROWS($E$2:$E$52)-COUNTBLANK($E$2:$E$52),"",INDIRECT(ADDRESS(SMALL((IF($E$2:$E$52&lt;&gt;"",ROW($E$2:$E$52),ROW()+ROWS($E$2:$E$52))),ROW()-ROW($F$2:$F$52)+1),COLUMN($E$2:$E$52),4)))</f>
        <v/>
      </c>
      <c r="M35" s="473" t="str">
        <f t="array" aca="1" ref="M35" ca="1">IF(ROW()-ROW($G$2:$G$52)+1&gt;ROWS($F$2:$F$52)-COUNTBLANK($F$2:$F$52),"",INDIRECT(ADDRESS(SMALL((IF($F$2:$F$52&lt;&gt;"",ROW($F$2:$F$52),ROW()+ROWS($F$2:$F$52))),ROW()-ROW($G$2:$G$52)+1),COLUMN($F$2:$F$52),4)))</f>
        <v/>
      </c>
      <c r="N35" s="473" t="str">
        <f t="array" aca="1" ref="N35" ca="1">IF(ROW()-ROW($H$2:$H$52)+1&gt;ROWS($G$2:$G$52)-COUNTBLANK($G$2:$G$52),"",INDIRECT(ADDRESS(SMALL((IF($G$2:$G$52&lt;&gt;"",ROW($G$2:$G$52),ROW()+ROWS($G$2:$G$52))),ROW()-ROW($H$2:$H$52)+1),COLUMN($G$2:$G$52),4)))</f>
        <v/>
      </c>
      <c r="O35" s="467" t="str">
        <f t="array" aca="1" ref="O35" ca="1">IF(ROW()-ROW($I$2:$I$52)+1&gt;ROWS($H$2:$H$52)-COUNTBLANK($H$2:$H$52),"",INDIRECT(ADDRESS(SMALL((IF($H$2:$H$52&lt;&gt;"",ROW($H$2:$H$52),ROW()+ROWS($H$2:$H$52))),ROW()-ROW($I$2:$I$52)+1),COLUMN($H$2:$H$52),4)))</f>
        <v/>
      </c>
      <c r="P35" s="467" t="str">
        <f t="array" aca="1" ref="P35" ca="1">IF(ROW()-ROW($J$2:$J$52)+1&gt;ROWS($I$2:$I$52)-COUNTBLANK($I$2:$I$52),"",INDIRECT(ADDRESS(SMALL((IF($I$2:$I$52&lt;&gt;"",ROW($I$2:$I$52),ROW()+ROWS($I$2:$I$52))),ROW()-ROW($J$2:$J$52)+1),COLUMN($I$2:$I$52),4)))</f>
        <v/>
      </c>
    </row>
    <row r="36" spans="4:16" x14ac:dyDescent="0.3">
      <c r="D36" s="1097"/>
      <c r="E36" s="474" t="str">
        <f>IF(H36="","","2018")</f>
        <v/>
      </c>
      <c r="F36" s="474" t="str">
        <f>IF(H36="","","h")</f>
        <v/>
      </c>
      <c r="G36" s="474" t="str">
        <f t="shared" si="7"/>
        <v/>
      </c>
      <c r="H36" s="475" t="str">
        <f>IF(A5="relevant",IF(Matrix!S26="","",IF(ROUND(Matrix!S26,4)&lt;Berechnung2!$J$60,Berechnung2!$L$60,"")),"")</f>
        <v/>
      </c>
      <c r="I36" s="476" t="str">
        <f>IF(H36="","",VLOOKUP(F36,Berechnung2!$I$15:$J$25,2,FALSE))</f>
        <v/>
      </c>
      <c r="J36" s="477" t="str">
        <f t="shared" si="2"/>
        <v/>
      </c>
      <c r="L36" s="473" t="str">
        <f t="array" aca="1" ref="L36" ca="1">IF(ROW()-ROW($F$2:$F$52)+1&gt;ROWS($E$2:$E$52)-COUNTBLANK($E$2:$E$52),"",INDIRECT(ADDRESS(SMALL((IF($E$2:$E$52&lt;&gt;"",ROW($E$2:$E$52),ROW()+ROWS($E$2:$E$52))),ROW()-ROW($F$2:$F$52)+1),COLUMN($E$2:$E$52),4)))</f>
        <v/>
      </c>
      <c r="M36" s="473" t="str">
        <f t="array" aca="1" ref="M36" ca="1">IF(ROW()-ROW($G$2:$G$52)+1&gt;ROWS($F$2:$F$52)-COUNTBLANK($F$2:$F$52),"",INDIRECT(ADDRESS(SMALL((IF($F$2:$F$52&lt;&gt;"",ROW($F$2:$F$52),ROW()+ROWS($F$2:$F$52))),ROW()-ROW($G$2:$G$52)+1),COLUMN($F$2:$F$52),4)))</f>
        <v/>
      </c>
      <c r="N36" s="473" t="str">
        <f t="array" aca="1" ref="N36" ca="1">IF(ROW()-ROW($H$2:$H$52)+1&gt;ROWS($G$2:$G$52)-COUNTBLANK($G$2:$G$52),"",INDIRECT(ADDRESS(SMALL((IF($G$2:$G$52&lt;&gt;"",ROW($G$2:$G$52),ROW()+ROWS($G$2:$G$52))),ROW()-ROW($H$2:$H$52)+1),COLUMN($G$2:$G$52),4)))</f>
        <v/>
      </c>
      <c r="O36" s="467" t="str">
        <f t="array" aca="1" ref="O36" ca="1">IF(ROW()-ROW($I$2:$I$52)+1&gt;ROWS($H$2:$H$52)-COUNTBLANK($H$2:$H$52),"",INDIRECT(ADDRESS(SMALL((IF($H$2:$H$52&lt;&gt;"",ROW($H$2:$H$52),ROW()+ROWS($H$2:$H$52))),ROW()-ROW($I$2:$I$52)+1),COLUMN($H$2:$H$52),4)))</f>
        <v/>
      </c>
      <c r="P36" s="467" t="str">
        <f t="array" aca="1" ref="P36" ca="1">IF(ROW()-ROW($J$2:$J$52)+1&gt;ROWS($I$2:$I$52)-COUNTBLANK($I$2:$I$52),"",INDIRECT(ADDRESS(SMALL((IF($I$2:$I$52&lt;&gt;"",ROW($I$2:$I$52),ROW()+ROWS($I$2:$I$52))),ROW()-ROW($J$2:$J$52)+1),COLUMN($I$2:$I$52),4)))</f>
        <v/>
      </c>
    </row>
    <row r="37" spans="4:16" ht="12" thickBot="1" x14ac:dyDescent="0.35">
      <c r="D37" s="492" t="s">
        <v>501</v>
      </c>
      <c r="E37" s="474" t="str">
        <f>IF(H37="","","2019")</f>
        <v/>
      </c>
      <c r="F37" s="478" t="str">
        <f>IF(H37="","","h")</f>
        <v/>
      </c>
      <c r="G37" s="478" t="str">
        <f t="shared" si="7"/>
        <v/>
      </c>
      <c r="H37" s="485" t="str">
        <f>IF(A5="relevant",IF(Matrix!S27="","",IF(ROUND(Matrix!S27,4)&lt;Berechnung2!$J$60,Berechnung2!$L$60,"")),"")</f>
        <v/>
      </c>
      <c r="I37" s="480" t="str">
        <f>IF(H37="","",VLOOKUP(F37,Berechnung2!$I$15:$J$25,2,FALSE))</f>
        <v/>
      </c>
      <c r="J37" s="481" t="str">
        <f t="shared" si="2"/>
        <v/>
      </c>
      <c r="L37" s="473" t="str">
        <f t="array" aca="1" ref="L37" ca="1">IF(ROW()-ROW($F$2:$F$52)+1&gt;ROWS($E$2:$E$52)-COUNTBLANK($E$2:$E$52),"",INDIRECT(ADDRESS(SMALL((IF($E$2:$E$52&lt;&gt;"",ROW($E$2:$E$52),ROW()+ROWS($E$2:$E$52))),ROW()-ROW($F$2:$F$52)+1),COLUMN($E$2:$E$52),4)))</f>
        <v/>
      </c>
      <c r="M37" s="473" t="str">
        <f t="array" aca="1" ref="M37" ca="1">IF(ROW()-ROW($G$2:$G$52)+1&gt;ROWS($F$2:$F$52)-COUNTBLANK($F$2:$F$52),"",INDIRECT(ADDRESS(SMALL((IF($F$2:$F$52&lt;&gt;"",ROW($F$2:$F$52),ROW()+ROWS($F$2:$F$52))),ROW()-ROW($G$2:$G$52)+1),COLUMN($F$2:$F$52),4)))</f>
        <v/>
      </c>
      <c r="N37" s="473" t="str">
        <f t="array" aca="1" ref="N37" ca="1">IF(ROW()-ROW($H$2:$H$52)+1&gt;ROWS($G$2:$G$52)-COUNTBLANK($G$2:$G$52),"",INDIRECT(ADDRESS(SMALL((IF($G$2:$G$52&lt;&gt;"",ROW($G$2:$G$52),ROW()+ROWS($G$2:$G$52))),ROW()-ROW($H$2:$H$52)+1),COLUMN($G$2:$G$52),4)))</f>
        <v/>
      </c>
      <c r="O37" s="467" t="str">
        <f t="array" aca="1" ref="O37" ca="1">IF(ROW()-ROW($I$2:$I$52)+1&gt;ROWS($H$2:$H$52)-COUNTBLANK($H$2:$H$52),"",INDIRECT(ADDRESS(SMALL((IF($H$2:$H$52&lt;&gt;"",ROW($H$2:$H$52),ROW()+ROWS($H$2:$H$52))),ROW()-ROW($I$2:$I$52)+1),COLUMN($H$2:$H$52),4)))</f>
        <v/>
      </c>
      <c r="P37" s="467" t="str">
        <f t="array" aca="1" ref="P37" ca="1">IF(ROW()-ROW($J$2:$J$52)+1&gt;ROWS($I$2:$I$52)-COUNTBLANK($I$2:$I$52),"",INDIRECT(ADDRESS(SMALL((IF($I$2:$I$52&lt;&gt;"",ROW($I$2:$I$52),ROW()+ROWS($I$2:$I$52))),ROW()-ROW($J$2:$J$52)+1),COLUMN($I$2:$I$52),4)))</f>
        <v/>
      </c>
    </row>
    <row r="38" spans="4:16" x14ac:dyDescent="0.3">
      <c r="D38" s="491" t="s">
        <v>208</v>
      </c>
      <c r="E38" s="469" t="str">
        <f>IF(H38="","","2015")</f>
        <v/>
      </c>
      <c r="F38" s="469" t="str">
        <f>IF(H38="","","i")</f>
        <v/>
      </c>
      <c r="G38" s="469" t="str">
        <f t="shared" si="7"/>
        <v/>
      </c>
      <c r="H38" s="470" t="str">
        <f>IF(A2="relevant",IF(Matrix!V23="","",IF(AND(ROUND(Matrix!V23,4)&lt;Berechnung2!$J$56,(ROUND(Matrix!V23,4))&gt;=0),Berechnung2!$L$56,"")),"")</f>
        <v/>
      </c>
      <c r="I38" s="471" t="str">
        <f>IF(H38="","",VLOOKUP(F38,Berechnung2!$I$15:$J$25,2,FALSE))</f>
        <v/>
      </c>
      <c r="J38" s="472" t="str">
        <f t="shared" si="2"/>
        <v/>
      </c>
      <c r="L38" s="473" t="str">
        <f t="array" aca="1" ref="L38" ca="1">IF(ROW()-ROW($F$2:$F$52)+1&gt;ROWS($E$2:$E$52)-COUNTBLANK($E$2:$E$52),"",INDIRECT(ADDRESS(SMALL((IF($E$2:$E$52&lt;&gt;"",ROW($E$2:$E$52),ROW()+ROWS($E$2:$E$52))),ROW()-ROW($F$2:$F$52)+1),COLUMN($E$2:$E$52),4)))</f>
        <v/>
      </c>
      <c r="M38" s="473" t="str">
        <f t="array" aca="1" ref="M38" ca="1">IF(ROW()-ROW($G$2:$G$52)+1&gt;ROWS($F$2:$F$52)-COUNTBLANK($F$2:$F$52),"",INDIRECT(ADDRESS(SMALL((IF($F$2:$F$52&lt;&gt;"",ROW($F$2:$F$52),ROW()+ROWS($F$2:$F$52))),ROW()-ROW($G$2:$G$52)+1),COLUMN($F$2:$F$52),4)))</f>
        <v/>
      </c>
      <c r="N38" s="473" t="str">
        <f t="array" aca="1" ref="N38" ca="1">IF(ROW()-ROW($H$2:$H$52)+1&gt;ROWS($G$2:$G$52)-COUNTBLANK($G$2:$G$52),"",INDIRECT(ADDRESS(SMALL((IF($G$2:$G$52&lt;&gt;"",ROW($G$2:$G$52),ROW()+ROWS($G$2:$G$52))),ROW()-ROW($H$2:$H$52)+1),COLUMN($G$2:$G$52),4)))</f>
        <v/>
      </c>
      <c r="O38" s="467" t="str">
        <f t="array" aca="1" ref="O38" ca="1">IF(ROW()-ROW($I$2:$I$52)+1&gt;ROWS($H$2:$H$52)-COUNTBLANK($H$2:$H$52),"",INDIRECT(ADDRESS(SMALL((IF($H$2:$H$52&lt;&gt;"",ROW($H$2:$H$52),ROW()+ROWS($H$2:$H$52))),ROW()-ROW($I$2:$I$52)+1),COLUMN($H$2:$H$52),4)))</f>
        <v/>
      </c>
      <c r="P38" s="467" t="str">
        <f t="array" aca="1" ref="P38" ca="1">IF(ROW()-ROW($J$2:$J$52)+1&gt;ROWS($I$2:$I$52)-COUNTBLANK($I$2:$I$52),"",INDIRECT(ADDRESS(SMALL((IF($I$2:$I$52&lt;&gt;"",ROW($I$2:$I$52),ROW()+ROWS($I$2:$I$52))),ROW()-ROW($J$2:$J$52)+1),COLUMN($I$2:$I$52),4)))</f>
        <v/>
      </c>
    </row>
    <row r="39" spans="4:16" x14ac:dyDescent="0.3">
      <c r="D39" s="1097" t="s">
        <v>276</v>
      </c>
      <c r="E39" s="474" t="str">
        <f>IF(H39="","","2016")</f>
        <v/>
      </c>
      <c r="F39" s="474" t="str">
        <f>IF(H39="","","i")</f>
        <v/>
      </c>
      <c r="G39" s="474" t="str">
        <f t="shared" si="7"/>
        <v/>
      </c>
      <c r="H39" s="475" t="str">
        <f>IF(A3="relevant",IF(Matrix!V24="","",IF(AND(ROUND(Matrix!V24,4)&lt;Berechnung2!$J$56,(ROUND(Matrix!V24,4))&gt;=0),Berechnung2!$L$56,"")),"")</f>
        <v/>
      </c>
      <c r="I39" s="476" t="str">
        <f>IF(H39="","",VLOOKUP(F39,Berechnung2!$I$15:$J$25,2,FALSE))</f>
        <v/>
      </c>
      <c r="J39" s="477" t="str">
        <f t="shared" si="2"/>
        <v/>
      </c>
      <c r="L39" s="473" t="str">
        <f t="array" aca="1" ref="L39" ca="1">IF(ROW()-ROW($F$2:$F$52)+1&gt;ROWS($E$2:$E$52)-COUNTBLANK($E$2:$E$52),"",INDIRECT(ADDRESS(SMALL((IF($E$2:$E$52&lt;&gt;"",ROW($E$2:$E$52),ROW()+ROWS($E$2:$E$52))),ROW()-ROW($F$2:$F$52)+1),COLUMN($E$2:$E$52),4)))</f>
        <v/>
      </c>
      <c r="M39" s="473" t="str">
        <f t="array" aca="1" ref="M39" ca="1">IF(ROW()-ROW($G$2:$G$52)+1&gt;ROWS($F$2:$F$52)-COUNTBLANK($F$2:$F$52),"",INDIRECT(ADDRESS(SMALL((IF($F$2:$F$52&lt;&gt;"",ROW($F$2:$F$52),ROW()+ROWS($F$2:$F$52))),ROW()-ROW($G$2:$G$52)+1),COLUMN($F$2:$F$52),4)))</f>
        <v/>
      </c>
      <c r="N39" s="473" t="str">
        <f t="array" aca="1" ref="N39" ca="1">IF(ROW()-ROW($H$2:$H$52)+1&gt;ROWS($G$2:$G$52)-COUNTBLANK($G$2:$G$52),"",INDIRECT(ADDRESS(SMALL((IF($G$2:$G$52&lt;&gt;"",ROW($G$2:$G$52),ROW()+ROWS($G$2:$G$52))),ROW()-ROW($H$2:$H$52)+1),COLUMN($G$2:$G$52),4)))</f>
        <v/>
      </c>
      <c r="O39" s="467" t="str">
        <f t="array" aca="1" ref="O39" ca="1">IF(ROW()-ROW($I$2:$I$52)+1&gt;ROWS($H$2:$H$52)-COUNTBLANK($H$2:$H$52),"",INDIRECT(ADDRESS(SMALL((IF($H$2:$H$52&lt;&gt;"",ROW($H$2:$H$52),ROW()+ROWS($H$2:$H$52))),ROW()-ROW($I$2:$I$52)+1),COLUMN($H$2:$H$52),4)))</f>
        <v/>
      </c>
      <c r="P39" s="467" t="str">
        <f t="array" aca="1" ref="P39" ca="1">IF(ROW()-ROW($J$2:$J$52)+1&gt;ROWS($I$2:$I$52)-COUNTBLANK($I$2:$I$52),"",INDIRECT(ADDRESS(SMALL((IF($I$2:$I$52&lt;&gt;"",ROW($I$2:$I$52),ROW()+ROWS($I$2:$I$52))),ROW()-ROW($J$2:$J$52)+1),COLUMN($I$2:$I$52),4)))</f>
        <v/>
      </c>
    </row>
    <row r="40" spans="4:16" x14ac:dyDescent="0.3">
      <c r="D40" s="1097"/>
      <c r="E40" s="474" t="str">
        <f>IF(H40="","","2017")</f>
        <v/>
      </c>
      <c r="F40" s="474" t="str">
        <f>IF(H40="","","i")</f>
        <v/>
      </c>
      <c r="G40" s="474" t="str">
        <f t="shared" si="7"/>
        <v/>
      </c>
      <c r="H40" s="475" t="str">
        <f>IF(A4="relevant",IF(Matrix!V25="","",IF(AND(ROUND(Matrix!V25,4)&lt;Berechnung2!$J$56,(ROUND(Matrix!V25,4))&gt;=0),Berechnung2!$L$56,"")),"")</f>
        <v/>
      </c>
      <c r="I40" s="476" t="str">
        <f>IF(H40="","",VLOOKUP(F40,Berechnung2!$I$15:$J$25,2,FALSE))</f>
        <v/>
      </c>
      <c r="J40" s="477" t="str">
        <f t="shared" si="2"/>
        <v/>
      </c>
      <c r="L40" s="473" t="str">
        <f t="array" aca="1" ref="L40" ca="1">IF(ROW()-ROW($F$2:$F$52)+1&gt;ROWS($E$2:$E$52)-COUNTBLANK($E$2:$E$52),"",INDIRECT(ADDRESS(SMALL((IF($E$2:$E$52&lt;&gt;"",ROW($E$2:$E$52),ROW()+ROWS($E$2:$E$52))),ROW()-ROW($F$2:$F$52)+1),COLUMN($E$2:$E$52),4)))</f>
        <v/>
      </c>
      <c r="M40" s="473" t="str">
        <f t="array" aca="1" ref="M40" ca="1">IF(ROW()-ROW($G$2:$G$52)+1&gt;ROWS($F$2:$F$52)-COUNTBLANK($F$2:$F$52),"",INDIRECT(ADDRESS(SMALL((IF($F$2:$F$52&lt;&gt;"",ROW($F$2:$F$52),ROW()+ROWS($F$2:$F$52))),ROW()-ROW($G$2:$G$52)+1),COLUMN($F$2:$F$52),4)))</f>
        <v/>
      </c>
      <c r="N40" s="473" t="str">
        <f t="array" aca="1" ref="N40" ca="1">IF(ROW()-ROW($H$2:$H$52)+1&gt;ROWS($G$2:$G$52)-COUNTBLANK($G$2:$G$52),"",INDIRECT(ADDRESS(SMALL((IF($G$2:$G$52&lt;&gt;"",ROW($G$2:$G$52),ROW()+ROWS($G$2:$G$52))),ROW()-ROW($H$2:$H$52)+1),COLUMN($G$2:$G$52),4)))</f>
        <v/>
      </c>
      <c r="O40" s="467" t="str">
        <f t="array" aca="1" ref="O40" ca="1">IF(ROW()-ROW($I$2:$I$52)+1&gt;ROWS($H$2:$H$52)-COUNTBLANK($H$2:$H$52),"",INDIRECT(ADDRESS(SMALL((IF($H$2:$H$52&lt;&gt;"",ROW($H$2:$H$52),ROW()+ROWS($H$2:$H$52))),ROW()-ROW($I$2:$I$52)+1),COLUMN($H$2:$H$52),4)))</f>
        <v/>
      </c>
      <c r="P40" s="467" t="str">
        <f t="array" aca="1" ref="P40" ca="1">IF(ROW()-ROW($J$2:$J$52)+1&gt;ROWS($I$2:$I$52)-COUNTBLANK($I$2:$I$52),"",INDIRECT(ADDRESS(SMALL((IF($I$2:$I$52&lt;&gt;"",ROW($I$2:$I$52),ROW()+ROWS($I$2:$I$52))),ROW()-ROW($J$2:$J$52)+1),COLUMN($I$2:$I$52),4)))</f>
        <v/>
      </c>
    </row>
    <row r="41" spans="4:16" x14ac:dyDescent="0.3">
      <c r="D41" s="1097"/>
      <c r="E41" s="474" t="str">
        <f>IF(H41="","","2018")</f>
        <v/>
      </c>
      <c r="F41" s="474" t="str">
        <f>IF(H41="","","i")</f>
        <v/>
      </c>
      <c r="G41" s="474" t="str">
        <f t="shared" si="7"/>
        <v/>
      </c>
      <c r="H41" s="475" t="str">
        <f>IF(A5="relevant",IF(Matrix!V26="","",IF(AND(ROUND(Matrix!V26,4)&lt;Berechnung2!$J$56,(ROUND(Matrix!V26,4))&gt;=0),Berechnung2!$L$56,"")),"")</f>
        <v/>
      </c>
      <c r="I41" s="476" t="str">
        <f>IF(H41="","",VLOOKUP(F41,Berechnung2!$I$15:$J$25,2,FALSE))</f>
        <v/>
      </c>
      <c r="J41" s="477" t="str">
        <f t="shared" si="2"/>
        <v/>
      </c>
      <c r="L41" s="473" t="str">
        <f t="array" aca="1" ref="L41" ca="1">IF(ROW()-ROW($F$2:$F$52)+1&gt;ROWS($E$2:$E$52)-COUNTBLANK($E$2:$E$52),"",INDIRECT(ADDRESS(SMALL((IF($E$2:$E$52&lt;&gt;"",ROW($E$2:$E$52),ROW()+ROWS($E$2:$E$52))),ROW()-ROW($F$2:$F$52)+1),COLUMN($E$2:$E$52),4)))</f>
        <v/>
      </c>
      <c r="M41" s="473" t="str">
        <f t="array" aca="1" ref="M41" ca="1">IF(ROW()-ROW($G$2:$G$52)+1&gt;ROWS($F$2:$F$52)-COUNTBLANK($F$2:$F$52),"",INDIRECT(ADDRESS(SMALL((IF($F$2:$F$52&lt;&gt;"",ROW($F$2:$F$52),ROW()+ROWS($F$2:$F$52))),ROW()-ROW($G$2:$G$52)+1),COLUMN($F$2:$F$52),4)))</f>
        <v/>
      </c>
      <c r="N41" s="473" t="str">
        <f t="array" aca="1" ref="N41" ca="1">IF(ROW()-ROW($H$2:$H$52)+1&gt;ROWS($G$2:$G$52)-COUNTBLANK($G$2:$G$52),"",INDIRECT(ADDRESS(SMALL((IF($G$2:$G$52&lt;&gt;"",ROW($G$2:$G$52),ROW()+ROWS($G$2:$G$52))),ROW()-ROW($H$2:$H$52)+1),COLUMN($G$2:$G$52),4)))</f>
        <v/>
      </c>
      <c r="O41" s="467" t="str">
        <f t="array" aca="1" ref="O41" ca="1">IF(ROW()-ROW($I$2:$I$52)+1&gt;ROWS($H$2:$H$52)-COUNTBLANK($H$2:$H$52),"",INDIRECT(ADDRESS(SMALL((IF($H$2:$H$52&lt;&gt;"",ROW($H$2:$H$52),ROW()+ROWS($H$2:$H$52))),ROW()-ROW($I$2:$I$52)+1),COLUMN($H$2:$H$52),4)))</f>
        <v/>
      </c>
      <c r="P41" s="467" t="str">
        <f t="array" aca="1" ref="P41" ca="1">IF(ROW()-ROW($J$2:$J$52)+1&gt;ROWS($I$2:$I$52)-COUNTBLANK($I$2:$I$52),"",INDIRECT(ADDRESS(SMALL((IF($I$2:$I$52&lt;&gt;"",ROW($I$2:$I$52),ROW()+ROWS($I$2:$I$52))),ROW()-ROW($J$2:$J$52)+1),COLUMN($I$2:$I$52),4)))</f>
        <v/>
      </c>
    </row>
    <row r="42" spans="4:16" ht="12" thickBot="1" x14ac:dyDescent="0.35">
      <c r="D42" s="492" t="s">
        <v>502</v>
      </c>
      <c r="E42" s="474" t="str">
        <f>IF(H42="","","2019")</f>
        <v/>
      </c>
      <c r="F42" s="478" t="str">
        <f>IF(H42="","","i")</f>
        <v/>
      </c>
      <c r="G42" s="478" t="str">
        <f t="shared" si="7"/>
        <v/>
      </c>
      <c r="H42" s="485" t="str">
        <f>IF(A5="relevant",IF(Matrix!V27="","",IF(AND(ROUND(Matrix!V27,4)&lt;Berechnung2!$J$56,(ROUND(Matrix!V27,4))&gt;=0),Berechnung2!$L$56,"")),"")</f>
        <v/>
      </c>
      <c r="I42" s="480" t="str">
        <f>IF(H42="","",VLOOKUP(F42,Berechnung2!$I$15:$J$25,2,FALSE))</f>
        <v/>
      </c>
      <c r="J42" s="481" t="str">
        <f t="shared" si="2"/>
        <v/>
      </c>
      <c r="L42" s="473" t="str">
        <f t="array" aca="1" ref="L42" ca="1">IF(ROW()-ROW($F$2:$F$52)+1&gt;ROWS($E$2:$E$52)-COUNTBLANK($E$2:$E$52),"",INDIRECT(ADDRESS(SMALL((IF($E$2:$E$52&lt;&gt;"",ROW($E$2:$E$52),ROW()+ROWS($E$2:$E$52))),ROW()-ROW($F$2:$F$52)+1),COLUMN($E$2:$E$52),4)))</f>
        <v/>
      </c>
      <c r="M42" s="473" t="str">
        <f t="array" aca="1" ref="M42" ca="1">IF(ROW()-ROW($G$2:$G$52)+1&gt;ROWS($F$2:$F$52)-COUNTBLANK($F$2:$F$52),"",INDIRECT(ADDRESS(SMALL((IF($F$2:$F$52&lt;&gt;"",ROW($F$2:$F$52),ROW()+ROWS($F$2:$F$52))),ROW()-ROW($G$2:$G$52)+1),COLUMN($F$2:$F$52),4)))</f>
        <v/>
      </c>
      <c r="N42" s="473" t="str">
        <f t="array" aca="1" ref="N42" ca="1">IF(ROW()-ROW($H$2:$H$52)+1&gt;ROWS($G$2:$G$52)-COUNTBLANK($G$2:$G$52),"",INDIRECT(ADDRESS(SMALL((IF($G$2:$G$52&lt;&gt;"",ROW($G$2:$G$52),ROW()+ROWS($G$2:$G$52))),ROW()-ROW($H$2:$H$52)+1),COLUMN($G$2:$G$52),4)))</f>
        <v/>
      </c>
      <c r="O42" s="467" t="str">
        <f t="array" aca="1" ref="O42" ca="1">IF(ROW()-ROW($I$2:$I$52)+1&gt;ROWS($H$2:$H$52)-COUNTBLANK($H$2:$H$52),"",INDIRECT(ADDRESS(SMALL((IF($H$2:$H$52&lt;&gt;"",ROW($H$2:$H$52),ROW()+ROWS($H$2:$H$52))),ROW()-ROW($I$2:$I$52)+1),COLUMN($H$2:$H$52),4)))</f>
        <v/>
      </c>
      <c r="P42" s="467" t="str">
        <f t="array" aca="1" ref="P42" ca="1">IF(ROW()-ROW($J$2:$J$52)+1&gt;ROWS($I$2:$I$52)-COUNTBLANK($I$2:$I$52),"",INDIRECT(ADDRESS(SMALL((IF($I$2:$I$52&lt;&gt;"",ROW($I$2:$I$52),ROW()+ROWS($I$2:$I$52))),ROW()-ROW($J$2:$J$52)+1),COLUMN($I$2:$I$52),4)))</f>
        <v/>
      </c>
    </row>
    <row r="43" spans="4:16" x14ac:dyDescent="0.3">
      <c r="D43" s="491" t="s">
        <v>208</v>
      </c>
      <c r="E43" s="469" t="str">
        <f>IF(H43="","","2015")</f>
        <v/>
      </c>
      <c r="F43" s="469" t="str">
        <f>IF(H43="","","j")</f>
        <v/>
      </c>
      <c r="G43" s="469" t="str">
        <f t="shared" si="7"/>
        <v/>
      </c>
      <c r="H43" s="470" t="str">
        <f>IF(A2="relevant",IF(AND(ROUND(Matrix!AG23,4)&gt;Berechnung2!E70,ROUND(Matrix!AG23,4)&lt;Berechnung2!G70),Berechnung2!L70,IF(ROUND(Matrix!AG23,4)&gt;Berechnung2!J70,Berechnung2!M70,"")),"")</f>
        <v/>
      </c>
      <c r="I43" s="471" t="str">
        <f>IF(H43="","",VLOOKUP(F43,Berechnung2!$I$15:$J$25,2,FALSE))</f>
        <v/>
      </c>
      <c r="J43" s="472" t="str">
        <f t="shared" si="2"/>
        <v/>
      </c>
      <c r="L43" s="473" t="str">
        <f t="array" aca="1" ref="L43" ca="1">IF(ROW()-ROW($F$2:$F$52)+1&gt;ROWS($E$2:$E$52)-COUNTBLANK($E$2:$E$52),"",INDIRECT(ADDRESS(SMALL((IF($E$2:$E$52&lt;&gt;"",ROW($E$2:$E$52),ROW()+ROWS($E$2:$E$52))),ROW()-ROW($F$2:$F$52)+1),COLUMN($E$2:$E$52),4)))</f>
        <v/>
      </c>
      <c r="M43" s="473" t="str">
        <f t="array" aca="1" ref="M43" ca="1">IF(ROW()-ROW($G$2:$G$52)+1&gt;ROWS($F$2:$F$52)-COUNTBLANK($F$2:$F$52),"",INDIRECT(ADDRESS(SMALL((IF($F$2:$F$52&lt;&gt;"",ROW($F$2:$F$52),ROW()+ROWS($F$2:$F$52))),ROW()-ROW($G$2:$G$52)+1),COLUMN($F$2:$F$52),4)))</f>
        <v/>
      </c>
      <c r="N43" s="473" t="str">
        <f t="array" aca="1" ref="N43" ca="1">IF(ROW()-ROW($H$2:$H$52)+1&gt;ROWS($G$2:$G$52)-COUNTBLANK($G$2:$G$52),"",INDIRECT(ADDRESS(SMALL((IF($G$2:$G$52&lt;&gt;"",ROW($G$2:$G$52),ROW()+ROWS($G$2:$G$52))),ROW()-ROW($H$2:$H$52)+1),COLUMN($G$2:$G$52),4)))</f>
        <v/>
      </c>
      <c r="O43" s="467" t="str">
        <f t="array" aca="1" ref="O43" ca="1">IF(ROW()-ROW($I$2:$I$52)+1&gt;ROWS($H$2:$H$52)-COUNTBLANK($H$2:$H$52),"",INDIRECT(ADDRESS(SMALL((IF($H$2:$H$52&lt;&gt;"",ROW($H$2:$H$52),ROW()+ROWS($H$2:$H$52))),ROW()-ROW($I$2:$I$52)+1),COLUMN($H$2:$H$52),4)))</f>
        <v/>
      </c>
      <c r="P43" s="467" t="str">
        <f t="array" aca="1" ref="P43" ca="1">IF(ROW()-ROW($J$2:$J$52)+1&gt;ROWS($I$2:$I$52)-COUNTBLANK($I$2:$I$52),"",INDIRECT(ADDRESS(SMALL((IF($I$2:$I$52&lt;&gt;"",ROW($I$2:$I$52),ROW()+ROWS($I$2:$I$52))),ROW()-ROW($J$2:$J$52)+1),COLUMN($I$2:$I$52),4)))</f>
        <v/>
      </c>
    </row>
    <row r="44" spans="4:16" x14ac:dyDescent="0.3">
      <c r="D44" s="1097" t="s">
        <v>280</v>
      </c>
      <c r="E44" s="474" t="str">
        <f>IF(H44="","","2016")</f>
        <v/>
      </c>
      <c r="F44" s="474" t="str">
        <f>IF(H44="","","j")</f>
        <v/>
      </c>
      <c r="G44" s="474" t="str">
        <f t="shared" si="7"/>
        <v/>
      </c>
      <c r="H44" s="475" t="str">
        <f>IF(A3="relevant",IF(AND(ROUND(Matrix!AG24,4)&gt;Berechnung2!E71,ROUND(Matrix!AG24,4)&lt;Berechnung2!G71),Berechnung2!L71,IF(ROUND(Matrix!AG24,4)&gt;Berechnung2!J71,Berechnung2!M71,"")),"")</f>
        <v/>
      </c>
      <c r="I44" s="476" t="str">
        <f>IF(H44="","",VLOOKUP(F44,Berechnung2!$I$15:$J$25,2,FALSE))</f>
        <v/>
      </c>
      <c r="J44" s="477" t="str">
        <f t="shared" si="2"/>
        <v/>
      </c>
      <c r="L44" s="473" t="str">
        <f t="array" aca="1" ref="L44" ca="1">IF(ROW()-ROW($F$2:$F$52)+1&gt;ROWS($E$2:$E$52)-COUNTBLANK($E$2:$E$52),"",INDIRECT(ADDRESS(SMALL((IF($E$2:$E$52&lt;&gt;"",ROW($E$2:$E$52),ROW()+ROWS($E$2:$E$52))),ROW()-ROW($F$2:$F$52)+1),COLUMN($E$2:$E$52),4)))</f>
        <v/>
      </c>
      <c r="M44" s="473" t="str">
        <f t="array" aca="1" ref="M44" ca="1">IF(ROW()-ROW($G$2:$G$52)+1&gt;ROWS($F$2:$F$52)-COUNTBLANK($F$2:$F$52),"",INDIRECT(ADDRESS(SMALL((IF($F$2:$F$52&lt;&gt;"",ROW($F$2:$F$52),ROW()+ROWS($F$2:$F$52))),ROW()-ROW($G$2:$G$52)+1),COLUMN($F$2:$F$52),4)))</f>
        <v/>
      </c>
      <c r="N44" s="473" t="str">
        <f t="array" aca="1" ref="N44" ca="1">IF(ROW()-ROW($H$2:$H$52)+1&gt;ROWS($G$2:$G$52)-COUNTBLANK($G$2:$G$52),"",INDIRECT(ADDRESS(SMALL((IF($G$2:$G$52&lt;&gt;"",ROW($G$2:$G$52),ROW()+ROWS($G$2:$G$52))),ROW()-ROW($H$2:$H$52)+1),COLUMN($G$2:$G$52),4)))</f>
        <v/>
      </c>
      <c r="O44" s="467" t="str">
        <f t="array" aca="1" ref="O44" ca="1">IF(ROW()-ROW($I$2:$I$52)+1&gt;ROWS($H$2:$H$52)-COUNTBLANK($H$2:$H$52),"",INDIRECT(ADDRESS(SMALL((IF($H$2:$H$52&lt;&gt;"",ROW($H$2:$H$52),ROW()+ROWS($H$2:$H$52))),ROW()-ROW($I$2:$I$52)+1),COLUMN($H$2:$H$52),4)))</f>
        <v/>
      </c>
      <c r="P44" s="467" t="str">
        <f t="array" aca="1" ref="P44" ca="1">IF(ROW()-ROW($J$2:$J$52)+1&gt;ROWS($I$2:$I$52)-COUNTBLANK($I$2:$I$52),"",INDIRECT(ADDRESS(SMALL((IF($I$2:$I$52&lt;&gt;"",ROW($I$2:$I$52),ROW()+ROWS($I$2:$I$52))),ROW()-ROW($J$2:$J$52)+1),COLUMN($I$2:$I$52),4)))</f>
        <v/>
      </c>
    </row>
    <row r="45" spans="4:16" x14ac:dyDescent="0.3">
      <c r="D45" s="1097"/>
      <c r="E45" s="474" t="str">
        <f>IF(H45="","","2017")</f>
        <v/>
      </c>
      <c r="F45" s="474" t="str">
        <f>IF(H45="","","j")</f>
        <v/>
      </c>
      <c r="G45" s="474" t="str">
        <f t="shared" si="7"/>
        <v/>
      </c>
      <c r="H45" s="475" t="str">
        <f>IF(A4="relevant",IF(AND(ROUND(Matrix!AG25,4)&gt;Berechnung2!E72,ROUND(Matrix!AG25,4)&lt;Berechnung2!G72),Berechnung2!L72,IF(ROUND(Matrix!AG25,4)&gt;Berechnung2!J72,Berechnung2!M72,"")),"")</f>
        <v/>
      </c>
      <c r="I45" s="476" t="str">
        <f>IF(H45="","",VLOOKUP(F45,Berechnung2!$I$15:$J$25,2,FALSE))</f>
        <v/>
      </c>
      <c r="J45" s="477" t="str">
        <f t="shared" si="2"/>
        <v/>
      </c>
      <c r="L45" s="473" t="str">
        <f t="array" aca="1" ref="L45" ca="1">IF(ROW()-ROW($F$2:$F$52)+1&gt;ROWS($E$2:$E$52)-COUNTBLANK($E$2:$E$52),"",INDIRECT(ADDRESS(SMALL((IF($E$2:$E$52&lt;&gt;"",ROW($E$2:$E$52),ROW()+ROWS($E$2:$E$52))),ROW()-ROW($F$2:$F$52)+1),COLUMN($E$2:$E$52),4)))</f>
        <v/>
      </c>
      <c r="M45" s="473" t="str">
        <f t="array" aca="1" ref="M45" ca="1">IF(ROW()-ROW($G$2:$G$52)+1&gt;ROWS($F$2:$F$52)-COUNTBLANK($F$2:$F$52),"",INDIRECT(ADDRESS(SMALL((IF($F$2:$F$52&lt;&gt;"",ROW($F$2:$F$52),ROW()+ROWS($F$2:$F$52))),ROW()-ROW($G$2:$G$52)+1),COLUMN($F$2:$F$52),4)))</f>
        <v/>
      </c>
      <c r="N45" s="473" t="str">
        <f t="array" aca="1" ref="N45" ca="1">IF(ROW()-ROW($H$2:$H$52)+1&gt;ROWS($G$2:$G$52)-COUNTBLANK($G$2:$G$52),"",INDIRECT(ADDRESS(SMALL((IF($G$2:$G$52&lt;&gt;"",ROW($G$2:$G$52),ROW()+ROWS($G$2:$G$52))),ROW()-ROW($H$2:$H$52)+1),COLUMN($G$2:$G$52),4)))</f>
        <v/>
      </c>
      <c r="O45" s="467" t="str">
        <f t="array" aca="1" ref="O45" ca="1">IF(ROW()-ROW($I$2:$I$52)+1&gt;ROWS($H$2:$H$52)-COUNTBLANK($H$2:$H$52),"",INDIRECT(ADDRESS(SMALL((IF($H$2:$H$52&lt;&gt;"",ROW($H$2:$H$52),ROW()+ROWS($H$2:$H$52))),ROW()-ROW($I$2:$I$52)+1),COLUMN($H$2:$H$52),4)))</f>
        <v/>
      </c>
      <c r="P45" s="467" t="str">
        <f t="array" aca="1" ref="P45" ca="1">IF(ROW()-ROW($J$2:$J$52)+1&gt;ROWS($I$2:$I$52)-COUNTBLANK($I$2:$I$52),"",INDIRECT(ADDRESS(SMALL((IF($I$2:$I$52&lt;&gt;"",ROW($I$2:$I$52),ROW()+ROWS($I$2:$I$52))),ROW()-ROW($J$2:$J$52)+1),COLUMN($I$2:$I$52),4)))</f>
        <v/>
      </c>
    </row>
    <row r="46" spans="4:16" x14ac:dyDescent="0.3">
      <c r="D46" s="1097"/>
      <c r="E46" s="474" t="str">
        <f>IF(H46="","","2018")</f>
        <v/>
      </c>
      <c r="F46" s="474" t="str">
        <f>IF(H46="","","j")</f>
        <v/>
      </c>
      <c r="G46" s="474" t="str">
        <f t="shared" si="7"/>
        <v/>
      </c>
      <c r="H46" s="475" t="str">
        <f>IF(A5="relevant",IF(AND(ROUND(Matrix!AG26,4)&gt;Berechnung2!E73,ROUND(Matrix!AG26,4)&lt;Berechnung2!G73),Berechnung2!L73,IF(ROUND(Matrix!AG26,4)&gt;Berechnung2!J73,Berechnung2!M73,"")),"")</f>
        <v/>
      </c>
      <c r="I46" s="476" t="str">
        <f>IF(H46="","",VLOOKUP(F46,Berechnung2!$I$15:$J$25,2,FALSE))</f>
        <v/>
      </c>
      <c r="J46" s="477" t="str">
        <f t="shared" si="2"/>
        <v/>
      </c>
      <c r="L46" s="473" t="str">
        <f t="array" aca="1" ref="L46" ca="1">IF(ROW()-ROW($F$2:$F$52)+1&gt;ROWS($E$2:$E$52)-COUNTBLANK($E$2:$E$52),"",INDIRECT(ADDRESS(SMALL((IF($E$2:$E$52&lt;&gt;"",ROW($E$2:$E$52),ROW()+ROWS($E$2:$E$52))),ROW()-ROW($F$2:$F$52)+1),COLUMN($E$2:$E$52),4)))</f>
        <v/>
      </c>
      <c r="M46" s="473" t="str">
        <f t="array" aca="1" ref="M46" ca="1">IF(ROW()-ROW($G$2:$G$52)+1&gt;ROWS($F$2:$F$52)-COUNTBLANK($F$2:$F$52),"",INDIRECT(ADDRESS(SMALL((IF($F$2:$F$52&lt;&gt;"",ROW($F$2:$F$52),ROW()+ROWS($F$2:$F$52))),ROW()-ROW($G$2:$G$52)+1),COLUMN($F$2:$F$52),4)))</f>
        <v/>
      </c>
      <c r="N46" s="473" t="str">
        <f t="array" aca="1" ref="N46" ca="1">IF(ROW()-ROW($H$2:$H$52)+1&gt;ROWS($G$2:$G$52)-COUNTBLANK($G$2:$G$52),"",INDIRECT(ADDRESS(SMALL((IF($G$2:$G$52&lt;&gt;"",ROW($G$2:$G$52),ROW()+ROWS($G$2:$G$52))),ROW()-ROW($H$2:$H$52)+1),COLUMN($G$2:$G$52),4)))</f>
        <v/>
      </c>
      <c r="O46" s="467" t="str">
        <f t="array" aca="1" ref="O46" ca="1">IF(ROW()-ROW($I$2:$I$52)+1&gt;ROWS($H$2:$H$52)-COUNTBLANK($H$2:$H$52),"",INDIRECT(ADDRESS(SMALL((IF($H$2:$H$52&lt;&gt;"",ROW($H$2:$H$52),ROW()+ROWS($H$2:$H$52))),ROW()-ROW($I$2:$I$52)+1),COLUMN($H$2:$H$52),4)))</f>
        <v/>
      </c>
      <c r="P46" s="467" t="str">
        <f t="array" aca="1" ref="P46" ca="1">IF(ROW()-ROW($J$2:$J$52)+1&gt;ROWS($I$2:$I$52)-COUNTBLANK($I$2:$I$52),"",INDIRECT(ADDRESS(SMALL((IF($I$2:$I$52&lt;&gt;"",ROW($I$2:$I$52),ROW()+ROWS($I$2:$I$52))),ROW()-ROW($J$2:$J$52)+1),COLUMN($I$2:$I$52),4)))</f>
        <v/>
      </c>
    </row>
    <row r="47" spans="4:16" ht="12" thickBot="1" x14ac:dyDescent="0.35">
      <c r="D47" s="492" t="s">
        <v>503</v>
      </c>
      <c r="E47" s="474" t="str">
        <f>IF(H47="","","2019")</f>
        <v/>
      </c>
      <c r="F47" s="478" t="str">
        <f>IF(H47="","","j")</f>
        <v/>
      </c>
      <c r="G47" s="478" t="str">
        <f t="shared" si="7"/>
        <v/>
      </c>
      <c r="H47" s="485" t="str">
        <f>IF(A5="relevant",IF(AND(ROUND(Matrix!AG27,4)&gt;Berechnung2!E73,ROUND(Matrix!AG27,4)&lt;Berechnung2!G73),Berechnung2!L73,IF(ROUND(Matrix!AG27,4)&gt;Berechnung2!J73,Berechnung2!M73,"")),"")</f>
        <v/>
      </c>
      <c r="I47" s="480" t="str">
        <f>IF(H47="","",VLOOKUP(F47,Berechnung2!$I$15:$J$25,2,FALSE))</f>
        <v/>
      </c>
      <c r="J47" s="481" t="str">
        <f t="shared" si="2"/>
        <v/>
      </c>
      <c r="L47" s="473" t="str">
        <f t="array" aca="1" ref="L47" ca="1">IF(ROW()-ROW($F$2:$F$52)+1&gt;ROWS($E$2:$E$52)-COUNTBLANK($E$2:$E$52),"",INDIRECT(ADDRESS(SMALL((IF($E$2:$E$52&lt;&gt;"",ROW($E$2:$E$52),ROW()+ROWS($E$2:$E$52))),ROW()-ROW($F$2:$F$52)+1),COLUMN($E$2:$E$52),4)))</f>
        <v/>
      </c>
      <c r="M47" s="473" t="str">
        <f t="array" aca="1" ref="M47" ca="1">IF(ROW()-ROW($G$2:$G$52)+1&gt;ROWS($F$2:$F$52)-COUNTBLANK($F$2:$F$52),"",INDIRECT(ADDRESS(SMALL((IF($F$2:$F$52&lt;&gt;"",ROW($F$2:$F$52),ROW()+ROWS($F$2:$F$52))),ROW()-ROW($G$2:$G$52)+1),COLUMN($F$2:$F$52),4)))</f>
        <v/>
      </c>
      <c r="N47" s="473" t="str">
        <f t="array" aca="1" ref="N47" ca="1">IF(ROW()-ROW($H$2:$H$52)+1&gt;ROWS($G$2:$G$52)-COUNTBLANK($G$2:$G$52),"",INDIRECT(ADDRESS(SMALL((IF($G$2:$G$52&lt;&gt;"",ROW($G$2:$G$52),ROW()+ROWS($G$2:$G$52))),ROW()-ROW($H$2:$H$52)+1),COLUMN($G$2:$G$52),4)))</f>
        <v/>
      </c>
      <c r="O47" s="467" t="str">
        <f t="array" aca="1" ref="O47" ca="1">IF(ROW()-ROW($I$2:$I$52)+1&gt;ROWS($H$2:$H$52)-COUNTBLANK($H$2:$H$52),"",INDIRECT(ADDRESS(SMALL((IF($H$2:$H$52&lt;&gt;"",ROW($H$2:$H$52),ROW()+ROWS($H$2:$H$52))),ROW()-ROW($I$2:$I$52)+1),COLUMN($H$2:$H$52),4)))</f>
        <v/>
      </c>
      <c r="P47" s="467" t="str">
        <f t="array" aca="1" ref="P47" ca="1">IF(ROW()-ROW($J$2:$J$52)+1&gt;ROWS($I$2:$I$52)-COUNTBLANK($I$2:$I$52),"",INDIRECT(ADDRESS(SMALL((IF($I$2:$I$52&lt;&gt;"",ROW($I$2:$I$52),ROW()+ROWS($I$2:$I$52))),ROW()-ROW($J$2:$J$52)+1),COLUMN($I$2:$I$52),4)))</f>
        <v/>
      </c>
    </row>
    <row r="48" spans="4:16" x14ac:dyDescent="0.3">
      <c r="D48" s="491" t="s">
        <v>208</v>
      </c>
      <c r="E48" s="469" t="str">
        <f>IF(H48="","","2015")</f>
        <v/>
      </c>
      <c r="F48" s="469" t="str">
        <f>IF(H48="","","k")</f>
        <v/>
      </c>
      <c r="G48" s="469" t="str">
        <f t="shared" si="7"/>
        <v/>
      </c>
      <c r="H48" s="470" t="str">
        <f>IF(A2="relevant",IF(AND(ROUND(Matrix!AF23,4)&gt;Berechnung2!E79,ROUND(Matrix!AF23,4)&lt;Berechnung2!G79),Berechnung2!L79,IF(ROUND(Matrix!AF23,4)&gt;Berechnung2!J79,Berechnung2!M79,"")),"")</f>
        <v/>
      </c>
      <c r="I48" s="471" t="str">
        <f>IF(H48="","",VLOOKUP(F48,Berechnung2!$I$15:$J$25,2,FALSE))</f>
        <v/>
      </c>
      <c r="J48" s="472" t="str">
        <f t="shared" si="2"/>
        <v/>
      </c>
      <c r="L48" s="473" t="str">
        <f t="array" aca="1" ref="L48" ca="1">IF(ROW()-ROW($F$2:$F$52)+1&gt;ROWS($E$2:$E$52)-COUNTBLANK($E$2:$E$52),"",INDIRECT(ADDRESS(SMALL((IF($E$2:$E$52&lt;&gt;"",ROW($E$2:$E$52),ROW()+ROWS($E$2:$E$52))),ROW()-ROW($F$2:$F$52)+1),COLUMN($E$2:$E$52),4)))</f>
        <v/>
      </c>
      <c r="M48" s="473" t="str">
        <f t="array" aca="1" ref="M48" ca="1">IF(ROW()-ROW($G$2:$G$52)+1&gt;ROWS($F$2:$F$52)-COUNTBLANK($F$2:$F$52),"",INDIRECT(ADDRESS(SMALL((IF($F$2:$F$52&lt;&gt;"",ROW($F$2:$F$52),ROW()+ROWS($F$2:$F$52))),ROW()-ROW($G$2:$G$52)+1),COLUMN($F$2:$F$52),4)))</f>
        <v/>
      </c>
      <c r="N48" s="473" t="str">
        <f t="array" aca="1" ref="N48" ca="1">IF(ROW()-ROW($H$2:$H$52)+1&gt;ROWS($G$2:$G$52)-COUNTBLANK($G$2:$G$52),"",INDIRECT(ADDRESS(SMALL((IF($G$2:$G$52&lt;&gt;"",ROW($G$2:$G$52),ROW()+ROWS($G$2:$G$52))),ROW()-ROW($H$2:$H$52)+1),COLUMN($G$2:$G$52),4)))</f>
        <v/>
      </c>
      <c r="O48" s="467" t="str">
        <f t="array" aca="1" ref="O48" ca="1">IF(ROW()-ROW($I$2:$I$52)+1&gt;ROWS($H$2:$H$52)-COUNTBLANK($H$2:$H$52),"",INDIRECT(ADDRESS(SMALL((IF($H$2:$H$52&lt;&gt;"",ROW($H$2:$H$52),ROW()+ROWS($H$2:$H$52))),ROW()-ROW($I$2:$I$52)+1),COLUMN($H$2:$H$52),4)))</f>
        <v/>
      </c>
      <c r="P48" s="467" t="str">
        <f t="array" aca="1" ref="P48" ca="1">IF(ROW()-ROW($J$2:$J$52)+1&gt;ROWS($I$2:$I$52)-COUNTBLANK($I$2:$I$52),"",INDIRECT(ADDRESS(SMALL((IF($I$2:$I$52&lt;&gt;"",ROW($I$2:$I$52),ROW()+ROWS($I$2:$I$52))),ROW()-ROW($J$2:$J$52)+1),COLUMN($I$2:$I$52),4)))</f>
        <v/>
      </c>
    </row>
    <row r="49" spans="3:16" x14ac:dyDescent="0.3">
      <c r="D49" s="1097" t="s">
        <v>281</v>
      </c>
      <c r="E49" s="474" t="str">
        <f>IF(H49="","","2016")</f>
        <v/>
      </c>
      <c r="F49" s="474" t="str">
        <f>IF(H49="","","k")</f>
        <v/>
      </c>
      <c r="G49" s="474" t="str">
        <f t="shared" si="7"/>
        <v/>
      </c>
      <c r="H49" s="475" t="str">
        <f>IF(A3="relevant",IF(AND(ROUND(Matrix!AF24,4)&gt;Berechnung2!E80,ROUND(Matrix!AF24,4)&lt;Berechnung2!G80),Berechnung2!L80,IF(ROUND(Matrix!AF24,4)&gt;Berechnung2!J80,Berechnung2!M80,"")),"")</f>
        <v/>
      </c>
      <c r="I49" s="476" t="str">
        <f>IF(H49="","",VLOOKUP(F49,Berechnung2!$I$15:$J$25,2,FALSE))</f>
        <v/>
      </c>
      <c r="J49" s="477" t="str">
        <f t="shared" si="2"/>
        <v/>
      </c>
      <c r="L49" s="473" t="str">
        <f t="array" aca="1" ref="L49" ca="1">IF(ROW()-ROW($F$2:$F$52)+1&gt;ROWS($E$2:$E$52)-COUNTBLANK($E$2:$E$52),"",INDIRECT(ADDRESS(SMALL((IF($E$2:$E$52&lt;&gt;"",ROW($E$2:$E$52),ROW()+ROWS($E$2:$E$52))),ROW()-ROW($F$2:$F$52)+1),COLUMN($E$2:$E$52),4)))</f>
        <v/>
      </c>
      <c r="M49" s="473" t="str">
        <f t="array" aca="1" ref="M49" ca="1">IF(ROW()-ROW($G$2:$G$52)+1&gt;ROWS($F$2:$F$52)-COUNTBLANK($F$2:$F$52),"",INDIRECT(ADDRESS(SMALL((IF($F$2:$F$52&lt;&gt;"",ROW($F$2:$F$52),ROW()+ROWS($F$2:$F$52))),ROW()-ROW($G$2:$G$52)+1),COLUMN($F$2:$F$52),4)))</f>
        <v/>
      </c>
      <c r="N49" s="473" t="str">
        <f t="array" aca="1" ref="N49" ca="1">IF(ROW()-ROW($H$2:$H$52)+1&gt;ROWS($G$2:$G$52)-COUNTBLANK($G$2:$G$52),"",INDIRECT(ADDRESS(SMALL((IF($G$2:$G$52&lt;&gt;"",ROW($G$2:$G$52),ROW()+ROWS($G$2:$G$52))),ROW()-ROW($H$2:$H$52)+1),COLUMN($G$2:$G$52),4)))</f>
        <v/>
      </c>
      <c r="O49" s="467" t="str">
        <f t="array" aca="1" ref="O49" ca="1">IF(ROW()-ROW($I$2:$I$52)+1&gt;ROWS($H$2:$H$52)-COUNTBLANK($H$2:$H$52),"",INDIRECT(ADDRESS(SMALL((IF($H$2:$H$52&lt;&gt;"",ROW($H$2:$H$52),ROW()+ROWS($H$2:$H$52))),ROW()-ROW($I$2:$I$52)+1),COLUMN($H$2:$H$52),4)))</f>
        <v/>
      </c>
      <c r="P49" s="467" t="str">
        <f t="array" aca="1" ref="P49" ca="1">IF(ROW()-ROW($J$2:$J$52)+1&gt;ROWS($I$2:$I$52)-COUNTBLANK($I$2:$I$52),"",INDIRECT(ADDRESS(SMALL((IF($I$2:$I$52&lt;&gt;"",ROW($I$2:$I$52),ROW()+ROWS($I$2:$I$52))),ROW()-ROW($J$2:$J$52)+1),COLUMN($I$2:$I$52),4)))</f>
        <v/>
      </c>
    </row>
    <row r="50" spans="3:16" x14ac:dyDescent="0.3">
      <c r="D50" s="1097"/>
      <c r="E50" s="474" t="str">
        <f>IF(H50="","","2017")</f>
        <v/>
      </c>
      <c r="F50" s="474" t="str">
        <f>IF(H50="","","k")</f>
        <v/>
      </c>
      <c r="G50" s="474" t="str">
        <f t="shared" si="7"/>
        <v/>
      </c>
      <c r="H50" s="475" t="str">
        <f>IF(A4="relevant",IF(AND(ROUND(Matrix!AF25,4)&gt;Berechnung2!E81,ROUND(Matrix!AF25,4)&lt;Berechnung2!G81),Berechnung2!L81,IF(ROUND(Matrix!AF25,4)&gt;Berechnung2!J81,Berechnung2!M81,"")),"")</f>
        <v/>
      </c>
      <c r="I50" s="476" t="str">
        <f>IF(H50="","",VLOOKUP(F50,Berechnung2!$I$15:$J$25,2,FALSE))</f>
        <v/>
      </c>
      <c r="J50" s="477" t="str">
        <f t="shared" si="2"/>
        <v/>
      </c>
      <c r="L50" s="473" t="str">
        <f t="array" aca="1" ref="L50" ca="1">IF(ROW()-ROW($F$2:$F$52)+1&gt;ROWS($E$2:$E$52)-COUNTBLANK($E$2:$E$52),"",INDIRECT(ADDRESS(SMALL((IF($E$2:$E$52&lt;&gt;"",ROW($E$2:$E$52),ROW()+ROWS($E$2:$E$52))),ROW()-ROW($F$2:$F$52)+1),COLUMN($E$2:$E$52),4)))</f>
        <v/>
      </c>
      <c r="M50" s="473" t="str">
        <f t="array" aca="1" ref="M50" ca="1">IF(ROW()-ROW($G$2:$G$52)+1&gt;ROWS($F$2:$F$52)-COUNTBLANK($F$2:$F$52),"",INDIRECT(ADDRESS(SMALL((IF($F$2:$F$52&lt;&gt;"",ROW($F$2:$F$52),ROW()+ROWS($F$2:$F$52))),ROW()-ROW($G$2:$G$52)+1),COLUMN($F$2:$F$52),4)))</f>
        <v/>
      </c>
      <c r="N50" s="473" t="str">
        <f t="array" aca="1" ref="N50" ca="1">IF(ROW()-ROW($H$2:$H$52)+1&gt;ROWS($G$2:$G$52)-COUNTBLANK($G$2:$G$52),"",INDIRECT(ADDRESS(SMALL((IF($G$2:$G$52&lt;&gt;"",ROW($G$2:$G$52),ROW()+ROWS($G$2:$G$52))),ROW()-ROW($H$2:$H$52)+1),COLUMN($G$2:$G$52),4)))</f>
        <v/>
      </c>
      <c r="O50" s="467" t="str">
        <f t="array" aca="1" ref="O50" ca="1">IF(ROW()-ROW($I$2:$I$52)+1&gt;ROWS($H$2:$H$52)-COUNTBLANK($H$2:$H$52),"",INDIRECT(ADDRESS(SMALL((IF($H$2:$H$52&lt;&gt;"",ROW($H$2:$H$52),ROW()+ROWS($H$2:$H$52))),ROW()-ROW($I$2:$I$52)+1),COLUMN($H$2:$H$52),4)))</f>
        <v/>
      </c>
      <c r="P50" s="467" t="str">
        <f t="array" aca="1" ref="P50" ca="1">IF(ROW()-ROW($J$2:$J$52)+1&gt;ROWS($I$2:$I$52)-COUNTBLANK($I$2:$I$52),"",INDIRECT(ADDRESS(SMALL((IF($I$2:$I$52&lt;&gt;"",ROW($I$2:$I$52),ROW()+ROWS($I$2:$I$52))),ROW()-ROW($J$2:$J$52)+1),COLUMN($I$2:$I$52),4)))</f>
        <v/>
      </c>
    </row>
    <row r="51" spans="3:16" s="575" customFormat="1" x14ac:dyDescent="0.3">
      <c r="C51" s="571"/>
      <c r="D51" s="1097"/>
      <c r="E51" s="474" t="str">
        <f>IF(H51="","","2018")</f>
        <v/>
      </c>
      <c r="F51" s="474" t="str">
        <f>IF(H51="","","k")</f>
        <v/>
      </c>
      <c r="G51" s="474" t="str">
        <f t="shared" si="7"/>
        <v/>
      </c>
      <c r="H51" s="475" t="str">
        <f>IF(A5="relevant",IF(AND(ROUND(Matrix!AF26,4)&gt;Berechnung2!E82,ROUND(Matrix!AF26,4)&lt;Berechnung2!G82),Berechnung2!L82,IF(ROUND(Matrix!AF26,4)&gt;Berechnung2!J82,Berechnung2!M82,"")),"")</f>
        <v/>
      </c>
      <c r="I51" s="476" t="str">
        <f>IF(H51="","",VLOOKUP(F51,Berechnung2!$I$15:$J$25,2,FALSE))</f>
        <v/>
      </c>
      <c r="J51" s="477" t="str">
        <f t="shared" si="2"/>
        <v/>
      </c>
      <c r="K51" s="574"/>
      <c r="L51" s="473" t="str">
        <f t="array" aca="1" ref="L51" ca="1">IF(ROW()-ROW($F$2:$F$52)+1&gt;ROWS($E$2:$E$52)-COUNTBLANK($E$2:$E$52),"",INDIRECT(ADDRESS(SMALL((IF($E$2:$E$52&lt;&gt;"",ROW($E$2:$E$52),ROW()+ROWS($E$2:$E$52))),ROW()-ROW($F$2:$F$52)+1),COLUMN($E$2:$E$52),4)))</f>
        <v/>
      </c>
      <c r="M51" s="473" t="str">
        <f t="array" aca="1" ref="M51" ca="1">IF(ROW()-ROW($G$2:$G$52)+1&gt;ROWS($F$2:$F$52)-COUNTBLANK($F$2:$F$52),"",INDIRECT(ADDRESS(SMALL((IF($F$2:$F$52&lt;&gt;"",ROW($F$2:$F$52),ROW()+ROWS($F$2:$F$52))),ROW()-ROW($G$2:$G$52)+1),COLUMN($F$2:$F$52),4)))</f>
        <v/>
      </c>
      <c r="N51" s="473" t="str">
        <f t="array" aca="1" ref="N51" ca="1">IF(ROW()-ROW($H$2:$H$52)+1&gt;ROWS($G$2:$G$52)-COUNTBLANK($G$2:$G$52),"",INDIRECT(ADDRESS(SMALL((IF($G$2:$G$52&lt;&gt;"",ROW($G$2:$G$52),ROW()+ROWS($G$2:$G$52))),ROW()-ROW($H$2:$H$52)+1),COLUMN($G$2:$G$52),4)))</f>
        <v/>
      </c>
      <c r="O51" s="467" t="str">
        <f t="array" aca="1" ref="O51" ca="1">IF(ROW()-ROW($I$2:$I$52)+1&gt;ROWS($H$2:$H$52)-COUNTBLANK($H$2:$H$52),"",INDIRECT(ADDRESS(SMALL((IF($H$2:$H$52&lt;&gt;"",ROW($H$2:$H$52),ROW()+ROWS($H$2:$H$52))),ROW()-ROW($I$2:$I$52)+1),COLUMN($H$2:$H$52),4)))</f>
        <v/>
      </c>
      <c r="P51" s="467" t="str">
        <f t="array" aca="1" ref="P51" ca="1">IF(ROW()-ROW($J$2:$J$52)+1&gt;ROWS($I$2:$I$52)-COUNTBLANK($I$2:$I$52),"",INDIRECT(ADDRESS(SMALL((IF($I$2:$I$52&lt;&gt;"",ROW($I$2:$I$52),ROW()+ROWS($I$2:$I$52))),ROW()-ROW($J$2:$J$52)+1),COLUMN($I$2:$I$52),4)))</f>
        <v/>
      </c>
    </row>
    <row r="52" spans="3:16" ht="12" thickBot="1" x14ac:dyDescent="0.35">
      <c r="D52" s="576" t="s">
        <v>504</v>
      </c>
      <c r="E52" s="474" t="str">
        <f>IF(H52="","","2019")</f>
        <v/>
      </c>
      <c r="F52" s="478" t="str">
        <f>IF(H52="","","k")</f>
        <v/>
      </c>
      <c r="G52" s="478" t="str">
        <f t="shared" si="7"/>
        <v/>
      </c>
      <c r="H52" s="479" t="str">
        <f>IF(A5="relevant",IF(AND(ROUND(Matrix!AF27,4)&gt;Berechnung2!E82,ROUND(Matrix!AF27,4)&lt;Berechnung2!G82),Berechnung2!L82,IF(ROUND(Matrix!AF27,4)&gt;Berechnung2!J82,Berechnung2!M82,"")),"")</f>
        <v/>
      </c>
      <c r="I52" s="572" t="str">
        <f>IF(H52="","",VLOOKUP(F52,Berechnung2!$I$15:$J$25,2,FALSE))</f>
        <v/>
      </c>
      <c r="J52" s="573" t="str">
        <f t="shared" si="2"/>
        <v/>
      </c>
      <c r="K52" s="575"/>
      <c r="L52" s="473" t="str">
        <f t="array" aca="1" ref="L52" ca="1">IF(ROW()-ROW($F$2:$F$52)+1&gt;ROWS($E$2:$E$52)-COUNTBLANK($E$2:$E$52),"",INDIRECT(ADDRESS(SMALL((IF($E$2:$E$52&lt;&gt;"",ROW($E$2:$E$52),ROW()+ROWS($E$2:$E$52))),ROW()-ROW($F$2:$F$52)+1),COLUMN($E$2:$E$52),4)))</f>
        <v/>
      </c>
      <c r="M52" s="473" t="str">
        <f t="array" aca="1" ref="M52" ca="1">IF(ROW()-ROW($G$2:$G$52)+1&gt;ROWS($F$2:$F$52)-COUNTBLANK($F$2:$F$52),"",INDIRECT(ADDRESS(SMALL((IF($F$2:$F$52&lt;&gt;"",ROW($F$2:$F$52),ROW()+ROWS($F$2:$F$52))),ROW()-ROW($G$2:$G$52)+1),COLUMN($F$2:$F$52),4)))</f>
        <v/>
      </c>
      <c r="N52" s="473" t="str">
        <f t="array" aca="1" ref="N52" ca="1">IF(ROW()-ROW($H$2:$H$52)+1&gt;ROWS($G$2:$G$52)-COUNTBLANK($G$2:$G$52),"",INDIRECT(ADDRESS(SMALL((IF($G$2:$G$52&lt;&gt;"",ROW($G$2:$G$52),ROW()+ROWS($G$2:$G$52))),ROW()-ROW($H$2:$H$52)+1),COLUMN($G$2:$G$52),4)))</f>
        <v/>
      </c>
      <c r="O52" s="467" t="str">
        <f t="array" aca="1" ref="O52" ca="1">IF(ROW()-ROW($I$2:$I$52)+1&gt;ROWS($H$2:$H$52)-COUNTBLANK($H$2:$H$52),"",INDIRECT(ADDRESS(SMALL((IF($H$2:$H$52&lt;&gt;"",ROW($H$2:$H$52),ROW()+ROWS($H$2:$H$52))),ROW()-ROW($I$2:$I$52)+1),COLUMN($H$2:$H$52),4)))</f>
        <v/>
      </c>
      <c r="P52" s="467" t="str">
        <f t="array" aca="1" ref="P52" ca="1">IF(ROW()-ROW($J$2:$J$52)+1&gt;ROWS($I$2:$I$52)-COUNTBLANK($I$2:$I$52),"",INDIRECT(ADDRESS(SMALL((IF($I$2:$I$52&lt;&gt;"",ROW($I$2:$I$52),ROW()+ROWS($I$2:$I$52))),ROW()-ROW($J$2:$J$52)+1),COLUMN($I$2:$I$52),4)))</f>
        <v/>
      </c>
    </row>
    <row r="53" spans="3:16" ht="15" customHeight="1" x14ac:dyDescent="0.3"/>
    <row r="54" spans="3:16" ht="15" customHeight="1" x14ac:dyDescent="0.3">
      <c r="H54" s="1098" t="s">
        <v>231</v>
      </c>
      <c r="I54" s="1098"/>
      <c r="J54" s="496">
        <f>IF(SUM(J2:J8)=0,0,SUM(J2:J8))</f>
        <v>0</v>
      </c>
    </row>
    <row r="55" spans="3:16" ht="15" customHeight="1" x14ac:dyDescent="0.3">
      <c r="H55" s="1099" t="s">
        <v>229</v>
      </c>
      <c r="I55" s="1099"/>
      <c r="J55" s="497">
        <f>IF(SUM(J9:J23)=0,0,SUM(J9:J23))</f>
        <v>0</v>
      </c>
    </row>
    <row r="56" spans="3:16" ht="13.2" x14ac:dyDescent="0.3">
      <c r="H56" s="1095" t="s">
        <v>208</v>
      </c>
      <c r="I56" s="1095"/>
      <c r="J56" s="498">
        <f>IF(SUM(J25:J52)=0,0,SUM(J25:J52))</f>
        <v>0</v>
      </c>
    </row>
    <row r="57" spans="3:16" ht="13.2" x14ac:dyDescent="0.3">
      <c r="H57" s="1096" t="s">
        <v>57</v>
      </c>
      <c r="I57" s="1096"/>
      <c r="J57" s="499">
        <f>IF(J24="",0,J24)</f>
        <v>0</v>
      </c>
    </row>
  </sheetData>
  <mergeCells count="14">
    <mergeCell ref="D26:D29"/>
    <mergeCell ref="H55:I55"/>
    <mergeCell ref="D3:D6"/>
    <mergeCell ref="D10:D12"/>
    <mergeCell ref="D15:D17"/>
    <mergeCell ref="D20:D22"/>
    <mergeCell ref="D7:D8"/>
    <mergeCell ref="H56:I56"/>
    <mergeCell ref="H57:I57"/>
    <mergeCell ref="D34:D36"/>
    <mergeCell ref="D39:D41"/>
    <mergeCell ref="D44:D46"/>
    <mergeCell ref="D49:D51"/>
    <mergeCell ref="H54:I54"/>
  </mergeCells>
  <phoneticPr fontId="36" type="noConversion"/>
  <conditionalFormatting sqref="B2:B8 E2:J8">
    <cfRule type="expression" dxfId="18" priority="18" stopIfTrue="1">
      <formula>OR($A2="EZ",$A2="nicht relevant")</formula>
    </cfRule>
  </conditionalFormatting>
  <conditionalFormatting sqref="E9:J13">
    <cfRule type="expression" dxfId="17" priority="17" stopIfTrue="1">
      <formula>OR($A2="EZ",$A2="nicht relevant")</formula>
    </cfRule>
  </conditionalFormatting>
  <conditionalFormatting sqref="E14:J18">
    <cfRule type="expression" dxfId="16" priority="16" stopIfTrue="1">
      <formula>OR($A2="EZ",$A2="nicht relevant")</formula>
    </cfRule>
  </conditionalFormatting>
  <conditionalFormatting sqref="E19:J23">
    <cfRule type="expression" dxfId="15" priority="15" stopIfTrue="1">
      <formula>OR($A2="EZ",$A2="nicht relevant")</formula>
    </cfRule>
  </conditionalFormatting>
  <conditionalFormatting sqref="E25:J30">
    <cfRule type="expression" dxfId="14" priority="14" stopIfTrue="1">
      <formula>OR($A2="EZ",$A2="nicht relevant")</formula>
    </cfRule>
  </conditionalFormatting>
  <conditionalFormatting sqref="E48:J52">
    <cfRule type="expression" dxfId="13" priority="13" stopIfTrue="1">
      <formula>OR($A2="EZ",$A2="nicht relevant")</formula>
    </cfRule>
  </conditionalFormatting>
  <conditionalFormatting sqref="E43:J47">
    <cfRule type="expression" dxfId="12" priority="12" stopIfTrue="1">
      <formula>OR($A2="EZ",$A2="nicht relevant")</formula>
    </cfRule>
  </conditionalFormatting>
  <conditionalFormatting sqref="E38:J42">
    <cfRule type="expression" dxfId="11" priority="11" stopIfTrue="1">
      <formula>OR($A2="EZ",$A2="nicht relevant")</formula>
    </cfRule>
  </conditionalFormatting>
  <conditionalFormatting sqref="E33:J37">
    <cfRule type="expression" dxfId="10" priority="10" stopIfTrue="1">
      <formula>OR($A2="EZ",$A2="nicht relevant")</formula>
    </cfRule>
  </conditionalFormatting>
  <conditionalFormatting sqref="E9:E13 E30">
    <cfRule type="expression" dxfId="9" priority="9" stopIfTrue="1">
      <formula>OR($A8="EZ",$A8="nicht relevant")</formula>
    </cfRule>
  </conditionalFormatting>
  <conditionalFormatting sqref="E14:E18">
    <cfRule type="expression" dxfId="8" priority="8" stopIfTrue="1">
      <formula>OR($A13="EZ",$A13="nicht relevant")</formula>
    </cfRule>
  </conditionalFormatting>
  <conditionalFormatting sqref="E19:E23">
    <cfRule type="expression" dxfId="7" priority="7" stopIfTrue="1">
      <formula>OR($A18="EZ",$A18="nicht relevant")</formula>
    </cfRule>
  </conditionalFormatting>
  <conditionalFormatting sqref="E25:E30">
    <cfRule type="expression" dxfId="6" priority="6" stopIfTrue="1">
      <formula>OR($A24="EZ",$A24="nicht relevant")</formula>
    </cfRule>
  </conditionalFormatting>
  <conditionalFormatting sqref="E31">
    <cfRule type="expression" dxfId="5" priority="5" stopIfTrue="1">
      <formula>OR($A29="EZ",$A29="nicht relevant")</formula>
    </cfRule>
  </conditionalFormatting>
  <conditionalFormatting sqref="E33:E37">
    <cfRule type="expression" dxfId="4" priority="4" stopIfTrue="1">
      <formula>OR($A31="EZ",$A31="nicht relevant")</formula>
    </cfRule>
  </conditionalFormatting>
  <conditionalFormatting sqref="E38:E42">
    <cfRule type="expression" dxfId="3" priority="3" stopIfTrue="1">
      <formula>OR($A36="EZ",$A36="nicht relevant")</formula>
    </cfRule>
  </conditionalFormatting>
  <conditionalFormatting sqref="E43:E47">
    <cfRule type="expression" dxfId="2" priority="2" stopIfTrue="1">
      <formula>OR($A41="EZ",$A41="nicht relevant")</formula>
    </cfRule>
  </conditionalFormatting>
  <conditionalFormatting sqref="E48:E52">
    <cfRule type="expression" dxfId="1" priority="1" stopIfTrue="1">
      <formula>OR($A46="EZ",$A46="nicht relevant")</formula>
    </cfRule>
  </conditionalFormatting>
  <conditionalFormatting sqref="E31:J31">
    <cfRule type="expression" dxfId="0" priority="3663" stopIfTrue="1">
      <formula>OR($A7="EZ",$A7="nicht relevant")</formula>
    </cfRule>
  </conditionalFormatting>
  <pageMargins left="0.7" right="0.7" top="0.78740157499999996" bottom="0.78740157499999996"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0"/>
  <dimension ref="A1:AD14"/>
  <sheetViews>
    <sheetView workbookViewId="0">
      <selection activeCell="P29" sqref="P29"/>
    </sheetView>
  </sheetViews>
  <sheetFormatPr defaultColWidth="11.44140625" defaultRowHeight="10.199999999999999" x14ac:dyDescent="0.2"/>
  <cols>
    <col min="1" max="1" width="14.5546875" style="95" customWidth="1"/>
    <col min="2" max="2" width="11.109375" style="95" customWidth="1"/>
    <col min="3" max="3" width="9.109375" style="95" customWidth="1"/>
    <col min="4" max="13" width="4.6640625" style="95" customWidth="1"/>
    <col min="14" max="14" width="14.88671875" style="95" customWidth="1"/>
    <col min="15" max="15" width="12.33203125" style="95" customWidth="1"/>
    <col min="16" max="16" width="9.109375" style="95" customWidth="1"/>
    <col min="17" max="17" width="11.88671875" style="95" customWidth="1"/>
    <col min="18" max="18" width="10.109375" style="95" customWidth="1"/>
    <col min="19" max="19" width="10.88671875" style="95" customWidth="1"/>
    <col min="20" max="20" width="9.6640625" style="95" customWidth="1"/>
    <col min="21" max="21" width="13.5546875" style="95" customWidth="1"/>
    <col min="22" max="23" width="10.88671875" style="95" customWidth="1"/>
    <col min="24" max="24" width="8.6640625" style="95" customWidth="1"/>
    <col min="25" max="25" width="13.33203125" style="95" customWidth="1"/>
    <col min="26" max="26" width="14.44140625" style="95" customWidth="1"/>
    <col min="27" max="30" width="14.6640625" style="95" customWidth="1"/>
    <col min="31" max="16384" width="11.44140625" style="95"/>
  </cols>
  <sheetData>
    <row r="1" spans="1:30" s="149" customFormat="1" ht="86.25" customHeight="1" x14ac:dyDescent="0.3">
      <c r="A1" s="150" t="str">
        <f>Matrix!A21</f>
        <v>Relevante Nachsorgejahre</v>
      </c>
      <c r="B1" s="150" t="str">
        <f>Matrix!B21</f>
        <v>Jahr der Erstdiagnose</v>
      </c>
      <c r="C1" s="150" t="str">
        <f>Matrix!C21</f>
        <v>Anzahl Primärpat. (Zervix)</v>
      </c>
      <c r="D1" s="150" t="str">
        <f>Matrix!D21</f>
        <v>FIGO IA1  (= T1a1)</v>
      </c>
      <c r="E1" s="150" t="str">
        <f>Matrix!E21</f>
        <v>FIGO IA2  (= T1a2)</v>
      </c>
      <c r="F1" s="150" t="str">
        <f>Matrix!F21</f>
        <v>FIGO IB1  (= T1b1)</v>
      </c>
      <c r="G1" s="150" t="str">
        <f>Matrix!G21</f>
        <v>FIGO IB2  (= T1b2)</v>
      </c>
      <c r="H1" s="150" t="str">
        <f>Matrix!H21</f>
        <v>FIGO IIA  (= T2a)</v>
      </c>
      <c r="I1" s="150" t="str">
        <f>Matrix!I21</f>
        <v>FIGO IIB   (= T2b)</v>
      </c>
      <c r="J1" s="150" t="str">
        <f>Matrix!J21</f>
        <v>FIGO IIIA   (= T3a)</v>
      </c>
      <c r="K1" s="150" t="str">
        <f>Matrix!K21</f>
        <v>FIGO IIIB   (= T3b)</v>
      </c>
      <c r="L1" s="150" t="str">
        <f>Matrix!L21</f>
        <v>FIGO IVA   (= T4)</v>
      </c>
      <c r="M1" s="150" t="str">
        <f>Matrix!M21</f>
        <v>FIGO IVB   (= M1)</v>
      </c>
      <c r="N1" s="150" t="str">
        <f>LEFT(Matrix!O21,50)</f>
        <v>Pat. „im Follow-Up“
(aus Grundgesamtheit Primpat.)</v>
      </c>
      <c r="O1" s="150" t="str">
        <f>LEFT(Matrix!P21,44)</f>
        <v>Follow-Up-Daten vom Klinischen Krebsregister</v>
      </c>
      <c r="P1" s="150" t="str">
        <f>LEFT(Matrix!Q21,28)</f>
        <v xml:space="preserve">Follow-Up-Daten vom Zentrum </v>
      </c>
      <c r="Q1" s="150" t="str">
        <f>Matrix!R21</f>
        <v>Keine Rückmeldung</v>
      </c>
      <c r="R1" s="150" t="str">
        <f>Matrix!S21</f>
        <v>Follow-Up Quote in %
= (P + Q) / O</v>
      </c>
      <c r="S1" s="150" t="str">
        <f>Matrix!U21</f>
        <v>Pat. tumorfrei</v>
      </c>
      <c r="T1" s="150" t="str">
        <f>Matrix!V21</f>
        <v>Relative Quote tumorfrei 
= V / (Q + R)</v>
      </c>
      <c r="U1" s="150" t="str">
        <f>Matrix!W21</f>
        <v>Pat. mit mindestens 1 der Ereignisse in Spalte X, Y und Z</v>
      </c>
      <c r="V1" s="150" t="str">
        <f>Matrix!X21</f>
        <v xml:space="preserve">  Pat. mit Lokalrezidiv </v>
      </c>
      <c r="W1" s="150" t="str">
        <f>Matrix!Y21</f>
        <v xml:space="preserve">  Pat. mit Lymphknotenrezidiv</v>
      </c>
      <c r="X1" s="150" t="str">
        <f>Matrix!Z21</f>
        <v xml:space="preserve">  Pat. mit Fernmetastasen </v>
      </c>
      <c r="Y1" s="150" t="str">
        <f>LEFT(Matrix!AA21,30)</f>
        <v>Diagnose Zweittumor im Verlauf</v>
      </c>
      <c r="Z1" s="150" t="str">
        <f>Matrix!AB21</f>
        <v>Tumorbedingt gestorben</v>
      </c>
      <c r="AA1" s="150" t="str">
        <f>Matrix!AC21</f>
        <v>Nicht tumorbedingt gestorben bzw. Todesursache unbekannt</v>
      </c>
      <c r="AB1" s="150" t="str">
        <f>Matrix!AE21</f>
        <v>Lokalrezidiv-Quote
= X / (P + Q)</v>
      </c>
      <c r="AC1" s="150" t="str">
        <f>Matrix!AF21</f>
        <v>DFS nach Kaplan-Meier
(Disease Free Survival) in %</v>
      </c>
      <c r="AD1" s="150" t="str">
        <f>Matrix!AG21</f>
        <v>OAS nach Kaplan-Meier    
(Overall Survival) in %</v>
      </c>
    </row>
    <row r="2" spans="1:30" x14ac:dyDescent="0.2">
      <c r="A2" s="154" t="str">
        <f>Matrix!A23</f>
        <v>nicht relevant</v>
      </c>
      <c r="B2" s="151">
        <f>Matrix!B23</f>
        <v>2015</v>
      </c>
      <c r="C2" s="181">
        <f>IF(Matrix!C23="","",Matrix!C23)</f>
        <v>0</v>
      </c>
      <c r="D2" s="181" t="str">
        <f>IF(Matrix!D23="","",Matrix!D23)</f>
        <v/>
      </c>
      <c r="E2" s="181" t="str">
        <f>IF(Matrix!E23="","",Matrix!E23)</f>
        <v/>
      </c>
      <c r="F2" s="181" t="str">
        <f>IF(Matrix!F23="","",Matrix!F23)</f>
        <v/>
      </c>
      <c r="G2" s="181" t="str">
        <f>IF(Matrix!G23="","",Matrix!G23)</f>
        <v/>
      </c>
      <c r="H2" s="181" t="str">
        <f>IF(Matrix!H23="","",Matrix!H23)</f>
        <v/>
      </c>
      <c r="I2" s="181" t="str">
        <f>IF(Matrix!I23="","",Matrix!I23)</f>
        <v/>
      </c>
      <c r="J2" s="181" t="str">
        <f>IF(Matrix!J23="","",Matrix!J23)</f>
        <v/>
      </c>
      <c r="K2" s="181" t="str">
        <f>IF(Matrix!K23="","",Matrix!K23)</f>
        <v/>
      </c>
      <c r="L2" s="181" t="str">
        <f>IF(Matrix!L23="","",Matrix!L23)</f>
        <v/>
      </c>
      <c r="M2" s="181" t="str">
        <f>IF(Matrix!M23="","",Matrix!M23)</f>
        <v/>
      </c>
      <c r="N2" s="181" t="str">
        <f>IF(Matrix!O23="","",Matrix!O23)</f>
        <v/>
      </c>
      <c r="O2" s="181" t="str">
        <f>IF(Matrix!P23="","",Matrix!P23)</f>
        <v/>
      </c>
      <c r="P2" s="181" t="str">
        <f>IF(Matrix!Q23="","",Matrix!Q23)</f>
        <v/>
      </c>
      <c r="Q2" s="181" t="str">
        <f>IF(Matrix!R23="","",Matrix!R23)</f>
        <v/>
      </c>
      <c r="R2" s="148" t="str">
        <f>IF(Matrix!S23="","",Matrix!S23*100)</f>
        <v/>
      </c>
      <c r="S2" s="181" t="str">
        <f>IF(Matrix!U23="","",Matrix!U23)</f>
        <v/>
      </c>
      <c r="T2" s="148" t="str">
        <f>IF(Matrix!V23="","",Matrix!V23*100)</f>
        <v/>
      </c>
      <c r="U2" s="181" t="str">
        <f>IF(Matrix!W23="","",Matrix!W23)</f>
        <v/>
      </c>
      <c r="V2" s="181" t="str">
        <f>IF(Matrix!X23="","",Matrix!X23)</f>
        <v/>
      </c>
      <c r="W2" s="181" t="str">
        <f>IF(Matrix!Y23="","",Matrix!Y23)</f>
        <v/>
      </c>
      <c r="X2" s="181" t="str">
        <f>IF(Matrix!Z23="","",Matrix!Z23)</f>
        <v/>
      </c>
      <c r="Y2" s="181" t="str">
        <f>IF(Matrix!AA23="","",Matrix!AA23)</f>
        <v/>
      </c>
      <c r="Z2" s="181" t="str">
        <f>IF(Matrix!AB23="","",Matrix!AB23)</f>
        <v/>
      </c>
      <c r="AA2" s="153" t="str">
        <f>IF(Matrix!AC23="","",Matrix!AC23)</f>
        <v/>
      </c>
      <c r="AB2" s="180" t="str">
        <f>IF(Matrix!AE23="","",Matrix!AE23*100)</f>
        <v/>
      </c>
      <c r="AC2" s="148" t="str">
        <f>IF(Matrix!AF23="","",Matrix!AF23*100)</f>
        <v/>
      </c>
      <c r="AD2" s="148" t="str">
        <f>IF(Matrix!AG23="","",Matrix!AG23*100)</f>
        <v/>
      </c>
    </row>
    <row r="3" spans="1:30" x14ac:dyDescent="0.2">
      <c r="A3" s="177" t="str">
        <f>Matrix!A24</f>
        <v>nicht relevant</v>
      </c>
      <c r="B3" s="152">
        <f>Matrix!B24</f>
        <v>2016</v>
      </c>
      <c r="C3" s="181">
        <f>IF(Matrix!C24="","",Matrix!C24)</f>
        <v>0</v>
      </c>
      <c r="D3" s="181" t="str">
        <f>IF(Matrix!D24="","",Matrix!D24)</f>
        <v/>
      </c>
      <c r="E3" s="181" t="str">
        <f>IF(Matrix!E24="","",Matrix!E24)</f>
        <v/>
      </c>
      <c r="F3" s="181" t="str">
        <f>IF(Matrix!F24="","",Matrix!F24)</f>
        <v/>
      </c>
      <c r="G3" s="181" t="str">
        <f>IF(Matrix!G24="","",Matrix!G24)</f>
        <v/>
      </c>
      <c r="H3" s="181" t="str">
        <f>IF(Matrix!H24="","",Matrix!H24)</f>
        <v/>
      </c>
      <c r="I3" s="181" t="str">
        <f>IF(Matrix!I24="","",Matrix!I24)</f>
        <v/>
      </c>
      <c r="J3" s="181" t="str">
        <f>IF(Matrix!J24="","",Matrix!J24)</f>
        <v/>
      </c>
      <c r="K3" s="181" t="str">
        <f>IF(Matrix!K24="","",Matrix!K24)</f>
        <v/>
      </c>
      <c r="L3" s="181" t="str">
        <f>IF(Matrix!L24="","",Matrix!L24)</f>
        <v/>
      </c>
      <c r="M3" s="181" t="str">
        <f>IF(Matrix!M24="","",Matrix!M24)</f>
        <v/>
      </c>
      <c r="N3" s="181" t="str">
        <f>IF(Matrix!O24="","",Matrix!O24)</f>
        <v/>
      </c>
      <c r="O3" s="181" t="str">
        <f>IF(Matrix!P24="","",Matrix!P24)</f>
        <v/>
      </c>
      <c r="P3" s="181" t="str">
        <f>IF(Matrix!Q24="","",Matrix!Q24)</f>
        <v/>
      </c>
      <c r="Q3" s="181" t="str">
        <f>IF(Matrix!R24="","",Matrix!R24)</f>
        <v/>
      </c>
      <c r="R3" s="148" t="str">
        <f>IF(Matrix!S24="","",Matrix!S24*100)</f>
        <v/>
      </c>
      <c r="S3" s="181" t="str">
        <f>IF(Matrix!U24="","",Matrix!U24)</f>
        <v/>
      </c>
      <c r="T3" s="148" t="str">
        <f>IF(Matrix!V24="","",Matrix!V24*100)</f>
        <v/>
      </c>
      <c r="U3" s="181" t="str">
        <f>IF(Matrix!W24="","",Matrix!W24)</f>
        <v/>
      </c>
      <c r="V3" s="181" t="str">
        <f>IF(Matrix!X24="","",Matrix!X24)</f>
        <v/>
      </c>
      <c r="W3" s="181" t="str">
        <f>IF(Matrix!Y24="","",Matrix!Y24)</f>
        <v/>
      </c>
      <c r="X3" s="181" t="str">
        <f>IF(Matrix!Z24="","",Matrix!Z24)</f>
        <v/>
      </c>
      <c r="Y3" s="181" t="str">
        <f>IF(Matrix!AA24="","",Matrix!AA24)</f>
        <v/>
      </c>
      <c r="Z3" s="181" t="str">
        <f>IF(Matrix!AB24="","",Matrix!AB24)</f>
        <v/>
      </c>
      <c r="AA3" s="153" t="str">
        <f>IF(Matrix!AC24="","",Matrix!AC24)</f>
        <v/>
      </c>
      <c r="AB3" s="180" t="str">
        <f>IF(Matrix!AE24="","",Matrix!AE24*100)</f>
        <v/>
      </c>
      <c r="AC3" s="148" t="str">
        <f>IF(Matrix!AF24="","",Matrix!AF24*100)</f>
        <v/>
      </c>
      <c r="AD3" s="148" t="str">
        <f>IF(Matrix!AG24="","",Matrix!AG24*100)</f>
        <v/>
      </c>
    </row>
    <row r="4" spans="1:30" x14ac:dyDescent="0.2">
      <c r="A4" s="177" t="str">
        <f>Matrix!A25</f>
        <v>nicht relevant</v>
      </c>
      <c r="B4" s="152">
        <f>Matrix!B25</f>
        <v>2017</v>
      </c>
      <c r="C4" s="181">
        <f>IF(Matrix!C25="","",Matrix!C25)</f>
        <v>0</v>
      </c>
      <c r="D4" s="181" t="str">
        <f>IF(Matrix!D25="","",Matrix!D25)</f>
        <v/>
      </c>
      <c r="E4" s="181" t="str">
        <f>IF(Matrix!E25="","",Matrix!E25)</f>
        <v/>
      </c>
      <c r="F4" s="181" t="str">
        <f>IF(Matrix!F25="","",Matrix!F25)</f>
        <v/>
      </c>
      <c r="G4" s="181" t="str">
        <f>IF(Matrix!G25="","",Matrix!G25)</f>
        <v/>
      </c>
      <c r="H4" s="181" t="str">
        <f>IF(Matrix!H25="","",Matrix!H25)</f>
        <v/>
      </c>
      <c r="I4" s="181" t="str">
        <f>IF(Matrix!I25="","",Matrix!I25)</f>
        <v/>
      </c>
      <c r="J4" s="181" t="str">
        <f>IF(Matrix!J25="","",Matrix!J25)</f>
        <v/>
      </c>
      <c r="K4" s="181" t="str">
        <f>IF(Matrix!K25="","",Matrix!K25)</f>
        <v/>
      </c>
      <c r="L4" s="181" t="str">
        <f>IF(Matrix!L25="","",Matrix!L25)</f>
        <v/>
      </c>
      <c r="M4" s="181" t="str">
        <f>IF(Matrix!M25="","",Matrix!M25)</f>
        <v/>
      </c>
      <c r="N4" s="181" t="str">
        <f>IF(Matrix!O25="","",Matrix!O25)</f>
        <v/>
      </c>
      <c r="O4" s="181" t="str">
        <f>IF(Matrix!P25="","",Matrix!P25)</f>
        <v/>
      </c>
      <c r="P4" s="181" t="str">
        <f>IF(Matrix!Q25="","",Matrix!Q25)</f>
        <v/>
      </c>
      <c r="Q4" s="181" t="str">
        <f>IF(Matrix!R25="","",Matrix!R25)</f>
        <v/>
      </c>
      <c r="R4" s="148" t="str">
        <f>IF(Matrix!S25="","",Matrix!S25*100)</f>
        <v/>
      </c>
      <c r="S4" s="181" t="str">
        <f>IF(Matrix!U25="","",Matrix!U25)</f>
        <v/>
      </c>
      <c r="T4" s="148" t="str">
        <f>IF(Matrix!V25="","",Matrix!V25*100)</f>
        <v/>
      </c>
      <c r="U4" s="181" t="str">
        <f>IF(Matrix!W25="","",Matrix!W25)</f>
        <v/>
      </c>
      <c r="V4" s="181" t="str">
        <f>IF(Matrix!X25="","",Matrix!X25)</f>
        <v/>
      </c>
      <c r="W4" s="181" t="str">
        <f>IF(Matrix!Y25="","",Matrix!Y25)</f>
        <v/>
      </c>
      <c r="X4" s="181" t="str">
        <f>IF(Matrix!Z25="","",Matrix!Z25)</f>
        <v/>
      </c>
      <c r="Y4" s="181" t="str">
        <f>IF(Matrix!AA25="","",Matrix!AA25)</f>
        <v/>
      </c>
      <c r="Z4" s="181" t="str">
        <f>IF(Matrix!AB25="","",Matrix!AB25)</f>
        <v/>
      </c>
      <c r="AA4" s="153" t="str">
        <f>IF(Matrix!AC25="","",Matrix!AC25)</f>
        <v/>
      </c>
      <c r="AB4" s="180" t="str">
        <f>IF(Matrix!AE25="","",Matrix!AE25*100)</f>
        <v/>
      </c>
      <c r="AC4" s="148" t="str">
        <f>IF(Matrix!AF25="","",Matrix!AF25*100)</f>
        <v/>
      </c>
      <c r="AD4" s="148" t="str">
        <f>IF(Matrix!AG25="","",Matrix!AG25*100)</f>
        <v/>
      </c>
    </row>
    <row r="5" spans="1:30" x14ac:dyDescent="0.2">
      <c r="A5" s="177" t="str">
        <f>Matrix!A26</f>
        <v>nicht relevant</v>
      </c>
      <c r="B5" s="152">
        <f>Matrix!B26</f>
        <v>2018</v>
      </c>
      <c r="C5" s="568">
        <f>IF(Matrix!C26="","",Matrix!C26)</f>
        <v>0</v>
      </c>
      <c r="D5" s="568" t="str">
        <f>IF(Matrix!D26="","",Matrix!D26)</f>
        <v/>
      </c>
      <c r="E5" s="568" t="str">
        <f>IF(Matrix!E26="","",Matrix!E26)</f>
        <v/>
      </c>
      <c r="F5" s="568" t="str">
        <f>IF(Matrix!F26="","",Matrix!F26)</f>
        <v/>
      </c>
      <c r="G5" s="568" t="str">
        <f>IF(Matrix!G26="","",Matrix!G26)</f>
        <v/>
      </c>
      <c r="H5" s="568" t="str">
        <f>IF(Matrix!H26="","",Matrix!H26)</f>
        <v/>
      </c>
      <c r="I5" s="568" t="str">
        <f>IF(Matrix!I26="","",Matrix!I26)</f>
        <v/>
      </c>
      <c r="J5" s="568" t="str">
        <f>IF(Matrix!J26="","",Matrix!J26)</f>
        <v/>
      </c>
      <c r="K5" s="568" t="str">
        <f>IF(Matrix!K26="","",Matrix!K26)</f>
        <v/>
      </c>
      <c r="L5" s="568" t="str">
        <f>IF(Matrix!L26="","",Matrix!L26)</f>
        <v/>
      </c>
      <c r="M5" s="568" t="str">
        <f>IF(Matrix!M26="","",Matrix!M26)</f>
        <v/>
      </c>
      <c r="N5" s="568" t="str">
        <f>IF(Matrix!O26="","",Matrix!O26)</f>
        <v/>
      </c>
      <c r="O5" s="568" t="str">
        <f>IF(Matrix!P26="","",Matrix!P26)</f>
        <v/>
      </c>
      <c r="P5" s="568" t="str">
        <f>IF(Matrix!Q26="","",Matrix!Q26)</f>
        <v/>
      </c>
      <c r="Q5" s="568" t="str">
        <f>IF(Matrix!R26="","",Matrix!R26)</f>
        <v/>
      </c>
      <c r="R5" s="148" t="str">
        <f>IF(Matrix!S26="","",Matrix!S26*100)</f>
        <v/>
      </c>
      <c r="S5" s="568" t="str">
        <f>IF(Matrix!U26="","",Matrix!U26)</f>
        <v/>
      </c>
      <c r="T5" s="148" t="str">
        <f>IF(Matrix!V26="","",Matrix!V26*100)</f>
        <v/>
      </c>
      <c r="U5" s="568" t="str">
        <f>IF(Matrix!W26="","",Matrix!W26)</f>
        <v/>
      </c>
      <c r="V5" s="568" t="str">
        <f>IF(Matrix!X26="","",Matrix!X26)</f>
        <v/>
      </c>
      <c r="W5" s="568" t="str">
        <f>IF(Matrix!Y26="","",Matrix!Y26)</f>
        <v/>
      </c>
      <c r="X5" s="568" t="str">
        <f>IF(Matrix!Z26="","",Matrix!Z26)</f>
        <v/>
      </c>
      <c r="Y5" s="568" t="str">
        <f>IF(Matrix!AA26="","",Matrix!AA26)</f>
        <v/>
      </c>
      <c r="Z5" s="568" t="str">
        <f>IF(Matrix!AB26="","",Matrix!AB26)</f>
        <v/>
      </c>
      <c r="AA5" s="153" t="str">
        <f>IF(Matrix!AC26="","",Matrix!AC26)</f>
        <v/>
      </c>
      <c r="AB5" s="180" t="str">
        <f>IF(Matrix!AE26="","",Matrix!AE26*100)</f>
        <v/>
      </c>
      <c r="AC5" s="148" t="str">
        <f>IF(Matrix!AF26="","",Matrix!AF26*100)</f>
        <v/>
      </c>
      <c r="AD5" s="148" t="str">
        <f>IF(Matrix!AG26="","",Matrix!AG26*100)</f>
        <v/>
      </c>
    </row>
    <row r="6" spans="1:30" x14ac:dyDescent="0.2">
      <c r="A6" s="177" t="str">
        <f>Matrix!A27</f>
        <v>nicht relevant</v>
      </c>
      <c r="B6" s="152">
        <f>Matrix!B27</f>
        <v>2019</v>
      </c>
      <c r="C6" s="181">
        <f>IF(Matrix!C27="","",Matrix!C27)</f>
        <v>0</v>
      </c>
      <c r="D6" s="181" t="str">
        <f>IF(Matrix!D27="","",Matrix!D27)</f>
        <v/>
      </c>
      <c r="E6" s="181" t="str">
        <f>IF(Matrix!E27="","",Matrix!E27)</f>
        <v/>
      </c>
      <c r="F6" s="181" t="str">
        <f>IF(Matrix!F27="","",Matrix!F27)</f>
        <v/>
      </c>
      <c r="G6" s="181" t="str">
        <f>IF(Matrix!G27="","",Matrix!G27)</f>
        <v/>
      </c>
      <c r="H6" s="181" t="str">
        <f>IF(Matrix!H27="","",Matrix!H27)</f>
        <v/>
      </c>
      <c r="I6" s="181" t="str">
        <f>IF(Matrix!I27="","",Matrix!I27)</f>
        <v/>
      </c>
      <c r="J6" s="181" t="str">
        <f>IF(Matrix!J27="","",Matrix!J27)</f>
        <v/>
      </c>
      <c r="K6" s="181" t="str">
        <f>IF(Matrix!K27="","",Matrix!K27)</f>
        <v/>
      </c>
      <c r="L6" s="181" t="str">
        <f>IF(Matrix!L27="","",Matrix!L27)</f>
        <v/>
      </c>
      <c r="M6" s="181" t="str">
        <f>IF(Matrix!M27="","",Matrix!M27)</f>
        <v/>
      </c>
      <c r="N6" s="181" t="str">
        <f>IF(Matrix!O27="","",Matrix!O27)</f>
        <v/>
      </c>
      <c r="O6" s="181" t="str">
        <f>IF(Matrix!P27="","",Matrix!P27)</f>
        <v/>
      </c>
      <c r="P6" s="181" t="str">
        <f>IF(Matrix!Q27="","",Matrix!Q27)</f>
        <v/>
      </c>
      <c r="Q6" s="181" t="str">
        <f>IF(Matrix!R27="","",Matrix!R27)</f>
        <v/>
      </c>
      <c r="R6" s="148" t="str">
        <f>IF(Matrix!S27="","",Matrix!S27*100)</f>
        <v/>
      </c>
      <c r="S6" s="181" t="str">
        <f>IF(Matrix!U27="","",Matrix!U27)</f>
        <v/>
      </c>
      <c r="T6" s="148" t="str">
        <f>IF(Matrix!V27="","",Matrix!V27*100)</f>
        <v/>
      </c>
      <c r="U6" s="181" t="str">
        <f>IF(Matrix!W27="","",Matrix!W27)</f>
        <v/>
      </c>
      <c r="V6" s="181" t="str">
        <f>IF(Matrix!X27="","",Matrix!X27)</f>
        <v/>
      </c>
      <c r="W6" s="181" t="str">
        <f>IF(Matrix!Y27="","",Matrix!Y27)</f>
        <v/>
      </c>
      <c r="X6" s="181" t="str">
        <f>IF(Matrix!Z27="","",Matrix!Z27)</f>
        <v/>
      </c>
      <c r="Y6" s="181" t="str">
        <f>IF(Matrix!AA27="","",Matrix!AA27)</f>
        <v/>
      </c>
      <c r="Z6" s="181" t="str">
        <f>IF(Matrix!AB27="","",Matrix!AB27)</f>
        <v/>
      </c>
      <c r="AA6" s="153" t="str">
        <f>IF(Matrix!AC27="","",Matrix!AC27)</f>
        <v/>
      </c>
      <c r="AB6" s="180" t="str">
        <f>IF(Matrix!AE27="","",Matrix!AE27*100)</f>
        <v/>
      </c>
      <c r="AC6" s="148" t="str">
        <f>IF(Matrix!AF27="","",Matrix!AF27*100)</f>
        <v/>
      </c>
      <c r="AD6" s="148" t="str">
        <f>IF(Matrix!AG27="","",Matrix!AG27*100)</f>
        <v/>
      </c>
    </row>
    <row r="7" spans="1:30" x14ac:dyDescent="0.2">
      <c r="A7" s="177" t="str">
        <f>Matrix!A28</f>
        <v>nicht relevant</v>
      </c>
      <c r="B7" s="152" t="str">
        <f>LEFT(Matrix!B28,4)</f>
        <v>2020</v>
      </c>
      <c r="C7" s="181">
        <f>IF(Matrix!C28="","",Matrix!C28)</f>
        <v>0</v>
      </c>
      <c r="D7" s="181" t="str">
        <f>IF(Matrix!D28="","",Matrix!D28)</f>
        <v/>
      </c>
      <c r="E7" s="181" t="str">
        <f>IF(Matrix!E28="","",Matrix!E28)</f>
        <v/>
      </c>
      <c r="F7" s="181" t="str">
        <f>IF(Matrix!F28="","",Matrix!F28)</f>
        <v/>
      </c>
      <c r="G7" s="181" t="str">
        <f>IF(Matrix!G28="","",Matrix!G28)</f>
        <v/>
      </c>
      <c r="H7" s="181" t="str">
        <f>IF(Matrix!H28="","",Matrix!H28)</f>
        <v/>
      </c>
      <c r="I7" s="181" t="str">
        <f>IF(Matrix!I28="","",Matrix!I28)</f>
        <v/>
      </c>
      <c r="J7" s="181" t="str">
        <f>IF(Matrix!J28="","",Matrix!J28)</f>
        <v/>
      </c>
      <c r="K7" s="181" t="str">
        <f>IF(Matrix!K28="","",Matrix!K28)</f>
        <v/>
      </c>
      <c r="L7" s="181" t="str">
        <f>IF(Matrix!L28="","",Matrix!L28)</f>
        <v/>
      </c>
      <c r="M7" s="181" t="str">
        <f>IF(Matrix!M28="","",Matrix!M28)</f>
        <v/>
      </c>
      <c r="N7" s="181" t="str">
        <f>IF(Matrix!O28="","",Matrix!O28)</f>
        <v/>
      </c>
      <c r="O7" s="181" t="str">
        <f>IF(Matrix!P28="","",Matrix!P28)</f>
        <v/>
      </c>
      <c r="P7" s="181" t="str">
        <f>IF(Matrix!Q28="","",Matrix!Q28)</f>
        <v/>
      </c>
      <c r="Q7" s="181" t="str">
        <f>IF(Matrix!R28="","",Matrix!R28)</f>
        <v/>
      </c>
      <c r="R7" s="148" t="str">
        <f>IF(Matrix!S28="","",Matrix!S28*100)</f>
        <v/>
      </c>
      <c r="S7" s="181" t="str">
        <f>IF(Matrix!U28="","",Matrix!U28)</f>
        <v/>
      </c>
      <c r="T7" s="148" t="str">
        <f>IF(Matrix!V28="","",Matrix!V28*100)</f>
        <v/>
      </c>
      <c r="U7" s="181" t="str">
        <f>IF(Matrix!W28="","",Matrix!W28)</f>
        <v/>
      </c>
      <c r="V7" s="181" t="str">
        <f>IF(Matrix!X28="","",Matrix!X28)</f>
        <v/>
      </c>
      <c r="W7" s="181" t="str">
        <f>IF(Matrix!Y28="","",Matrix!Y28)</f>
        <v/>
      </c>
      <c r="X7" s="181" t="str">
        <f>IF(Matrix!Z28="","",Matrix!Z28)</f>
        <v/>
      </c>
      <c r="Y7" s="181" t="str">
        <f>IF(Matrix!AA28="","",Matrix!AA28)</f>
        <v/>
      </c>
      <c r="Z7" s="181" t="str">
        <f>IF(Matrix!AB28="","",Matrix!AB28)</f>
        <v/>
      </c>
      <c r="AA7" s="153" t="str">
        <f>IF(Matrix!AC28="","",Matrix!AC28)</f>
        <v/>
      </c>
      <c r="AB7" s="180" t="str">
        <f>IF(Matrix!AE28="","",Matrix!AE28*100)</f>
        <v/>
      </c>
      <c r="AC7" s="148" t="str">
        <f>IF(Matrix!AF28="","",Matrix!AF28*100)</f>
        <v/>
      </c>
      <c r="AD7" s="148" t="str">
        <f>IF(Matrix!AG28="","",Matrix!AG28*100)</f>
        <v/>
      </c>
    </row>
    <row r="8" spans="1:30" x14ac:dyDescent="0.2">
      <c r="A8" s="177" t="str">
        <f>Matrix!A29</f>
        <v>nicht relevant</v>
      </c>
      <c r="B8" s="152" t="str">
        <f>LEFT(Matrix!B29,4)</f>
        <v>2021</v>
      </c>
      <c r="C8" s="181">
        <f>IF(Matrix!C29="","",Matrix!C29)</f>
        <v>0</v>
      </c>
      <c r="D8" s="181" t="str">
        <f>IF(Matrix!D29="","",Matrix!D29)</f>
        <v/>
      </c>
      <c r="E8" s="181" t="str">
        <f>IF(Matrix!E29="","",Matrix!E29)</f>
        <v/>
      </c>
      <c r="F8" s="181" t="str">
        <f>IF(Matrix!F29="","",Matrix!F29)</f>
        <v/>
      </c>
      <c r="G8" s="181" t="str">
        <f>IF(Matrix!G29="","",Matrix!G29)</f>
        <v/>
      </c>
      <c r="H8" s="181" t="str">
        <f>IF(Matrix!H29="","",Matrix!H29)</f>
        <v/>
      </c>
      <c r="I8" s="181" t="str">
        <f>IF(Matrix!I29="","",Matrix!I29)</f>
        <v/>
      </c>
      <c r="J8" s="181" t="str">
        <f>IF(Matrix!J29="","",Matrix!J29)</f>
        <v/>
      </c>
      <c r="K8" s="181" t="str">
        <f>IF(Matrix!K29="","",Matrix!K29)</f>
        <v/>
      </c>
      <c r="L8" s="181" t="str">
        <f>IF(Matrix!L29="","",Matrix!L29)</f>
        <v/>
      </c>
      <c r="M8" s="181" t="str">
        <f>IF(Matrix!M29="","",Matrix!M29)</f>
        <v/>
      </c>
      <c r="N8" s="181" t="str">
        <f>IF(Matrix!O29="","",Matrix!O29)</f>
        <v/>
      </c>
      <c r="O8" s="181" t="str">
        <f>IF(Matrix!P29="","",Matrix!P29)</f>
        <v/>
      </c>
      <c r="P8" s="181" t="str">
        <f>IF(Matrix!Q29="","",Matrix!Q29)</f>
        <v/>
      </c>
      <c r="Q8" s="181" t="str">
        <f>IF(Matrix!R29="","",Matrix!R29)</f>
        <v/>
      </c>
      <c r="R8" s="148" t="str">
        <f>IF(Matrix!S29="","",Matrix!S29*100)</f>
        <v/>
      </c>
      <c r="S8" s="181" t="str">
        <f>IF(Matrix!U29="","",Matrix!U29)</f>
        <v/>
      </c>
      <c r="T8" s="148" t="str">
        <f>IF(Matrix!V29="","",Matrix!V29*100)</f>
        <v/>
      </c>
      <c r="U8" s="181" t="str">
        <f>IF(Matrix!W29="","",Matrix!W29)</f>
        <v/>
      </c>
      <c r="V8" s="181" t="str">
        <f>IF(Matrix!X29="","",Matrix!X29)</f>
        <v/>
      </c>
      <c r="W8" s="181" t="str">
        <f>IF(Matrix!Y29="","",Matrix!Y29)</f>
        <v/>
      </c>
      <c r="X8" s="181" t="str">
        <f>IF(Matrix!Z29="","",Matrix!Z29)</f>
        <v/>
      </c>
      <c r="Y8" s="181" t="str">
        <f>IF(Matrix!AA29="","",Matrix!AA29)</f>
        <v/>
      </c>
      <c r="Z8" s="181" t="str">
        <f>IF(Matrix!AB29="","",Matrix!AB29)</f>
        <v/>
      </c>
      <c r="AA8" s="153" t="str">
        <f>IF(Matrix!AC29="","",Matrix!AC29)</f>
        <v/>
      </c>
      <c r="AB8" s="180" t="str">
        <f>IF(Matrix!AE29="","",Matrix!AE29*100)</f>
        <v/>
      </c>
      <c r="AC8" s="148" t="str">
        <f>IF(Matrix!AF29="","",Matrix!AF29*100)</f>
        <v/>
      </c>
      <c r="AD8" s="148" t="str">
        <f>IF(Matrix!AG29="","",Matrix!AG29*100)</f>
        <v/>
      </c>
    </row>
    <row r="14" spans="1:30" x14ac:dyDescent="0.2">
      <c r="N14" s="628"/>
    </row>
  </sheetData>
  <phoneticPr fontId="36"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dimension ref="A1:D51"/>
  <sheetViews>
    <sheetView workbookViewId="0">
      <selection activeCell="D5" sqref="D5"/>
    </sheetView>
  </sheetViews>
  <sheetFormatPr defaultColWidth="11.44140625" defaultRowHeight="14.4" x14ac:dyDescent="0.3"/>
  <cols>
    <col min="1" max="1" width="23" style="182" customWidth="1"/>
    <col min="2" max="2" width="19.44140625" style="182" customWidth="1"/>
    <col min="3" max="3" width="54.5546875" style="160" customWidth="1"/>
    <col min="4" max="4" width="58.6640625" style="160" customWidth="1"/>
    <col min="5" max="16384" width="11.44140625" style="159"/>
  </cols>
  <sheetData>
    <row r="1" spans="1:4" ht="24" x14ac:dyDescent="0.3">
      <c r="A1" s="158" t="s">
        <v>264</v>
      </c>
      <c r="B1" s="161" t="s">
        <v>505</v>
      </c>
      <c r="C1" s="161" t="s">
        <v>150</v>
      </c>
      <c r="D1" s="158" t="s">
        <v>464</v>
      </c>
    </row>
    <row r="2" spans="1:4" x14ac:dyDescent="0.3">
      <c r="A2" s="182" t="str">
        <f ca="1">Berechnung3!L2</f>
        <v/>
      </c>
      <c r="B2" s="182" t="str">
        <f ca="1">Berechnung3!N2</f>
        <v/>
      </c>
      <c r="C2" s="160" t="str">
        <f ca="1">Berechnung3!O2</f>
        <v/>
      </c>
      <c r="D2" s="160" t="str">
        <f ca="1">Berechnung3!P2</f>
        <v/>
      </c>
    </row>
    <row r="3" spans="1:4" x14ac:dyDescent="0.3">
      <c r="A3" s="182" t="str">
        <f ca="1">Berechnung3!L3</f>
        <v/>
      </c>
      <c r="B3" s="182" t="str">
        <f ca="1">Berechnung3!N3</f>
        <v/>
      </c>
      <c r="C3" s="160" t="str">
        <f ca="1">Berechnung3!O3</f>
        <v/>
      </c>
      <c r="D3" s="160" t="str">
        <f ca="1">Berechnung3!P3</f>
        <v/>
      </c>
    </row>
    <row r="4" spans="1:4" x14ac:dyDescent="0.3">
      <c r="A4" s="182" t="str">
        <f ca="1">Berechnung3!L4</f>
        <v/>
      </c>
      <c r="B4" s="182" t="str">
        <f ca="1">Berechnung3!N4</f>
        <v/>
      </c>
      <c r="C4" s="160" t="str">
        <f ca="1">Berechnung3!O4</f>
        <v/>
      </c>
      <c r="D4" s="160" t="str">
        <f ca="1">Berechnung3!P4</f>
        <v/>
      </c>
    </row>
    <row r="5" spans="1:4" x14ac:dyDescent="0.3">
      <c r="A5" s="182" t="str">
        <f ca="1">Berechnung3!L5</f>
        <v/>
      </c>
      <c r="B5" s="182" t="str">
        <f ca="1">Berechnung3!N5</f>
        <v/>
      </c>
      <c r="C5" s="160" t="str">
        <f ca="1">Berechnung3!O5</f>
        <v/>
      </c>
      <c r="D5" s="160" t="str">
        <f ca="1">Berechnung3!P5</f>
        <v/>
      </c>
    </row>
    <row r="6" spans="1:4" x14ac:dyDescent="0.3">
      <c r="A6" s="182" t="str">
        <f ca="1">Berechnung3!L6</f>
        <v/>
      </c>
      <c r="B6" s="182" t="str">
        <f ca="1">Berechnung3!N6</f>
        <v/>
      </c>
      <c r="C6" s="160" t="str">
        <f ca="1">Berechnung3!O6</f>
        <v/>
      </c>
      <c r="D6" s="160" t="str">
        <f ca="1">Berechnung3!P6</f>
        <v/>
      </c>
    </row>
    <row r="7" spans="1:4" x14ac:dyDescent="0.3">
      <c r="A7" s="182" t="str">
        <f ca="1">Berechnung3!L7</f>
        <v/>
      </c>
      <c r="B7" s="182" t="str">
        <f ca="1">Berechnung3!N7</f>
        <v/>
      </c>
      <c r="C7" s="160" t="str">
        <f ca="1">Berechnung3!O7</f>
        <v/>
      </c>
      <c r="D7" s="160" t="str">
        <f ca="1">Berechnung3!P7</f>
        <v/>
      </c>
    </row>
    <row r="8" spans="1:4" x14ac:dyDescent="0.3">
      <c r="A8" s="182" t="str">
        <f ca="1">Berechnung3!L8</f>
        <v/>
      </c>
      <c r="B8" s="182" t="str">
        <f ca="1">Berechnung3!N8</f>
        <v/>
      </c>
      <c r="C8" s="160" t="str">
        <f ca="1">Berechnung3!O8</f>
        <v/>
      </c>
      <c r="D8" s="160" t="str">
        <f ca="1">Berechnung3!P8</f>
        <v/>
      </c>
    </row>
    <row r="9" spans="1:4" x14ac:dyDescent="0.3">
      <c r="A9" s="182" t="str">
        <f ca="1">Berechnung3!L9</f>
        <v/>
      </c>
      <c r="B9" s="182" t="str">
        <f ca="1">Berechnung3!N9</f>
        <v/>
      </c>
      <c r="C9" s="160" t="str">
        <f ca="1">Berechnung3!O9</f>
        <v/>
      </c>
      <c r="D9" s="160" t="str">
        <f ca="1">Berechnung3!P9</f>
        <v/>
      </c>
    </row>
    <row r="10" spans="1:4" x14ac:dyDescent="0.3">
      <c r="A10" s="182" t="str">
        <f ca="1">Berechnung3!L10</f>
        <v/>
      </c>
      <c r="B10" s="182" t="str">
        <f ca="1">Berechnung3!N10</f>
        <v/>
      </c>
      <c r="C10" s="160" t="str">
        <f ca="1">Berechnung3!O10</f>
        <v/>
      </c>
      <c r="D10" s="160" t="str">
        <f ca="1">Berechnung3!P10</f>
        <v/>
      </c>
    </row>
    <row r="11" spans="1:4" x14ac:dyDescent="0.3">
      <c r="A11" s="182" t="str">
        <f ca="1">Berechnung3!L11</f>
        <v/>
      </c>
      <c r="B11" s="182" t="str">
        <f ca="1">Berechnung3!N11</f>
        <v/>
      </c>
      <c r="C11" s="160" t="str">
        <f ca="1">Berechnung3!O11</f>
        <v/>
      </c>
      <c r="D11" s="160" t="str">
        <f ca="1">Berechnung3!P11</f>
        <v/>
      </c>
    </row>
    <row r="12" spans="1:4" x14ac:dyDescent="0.3">
      <c r="A12" s="182" t="str">
        <f ca="1">Berechnung3!L12</f>
        <v/>
      </c>
      <c r="B12" s="182" t="str">
        <f ca="1">Berechnung3!N12</f>
        <v/>
      </c>
      <c r="C12" s="160" t="str">
        <f ca="1">Berechnung3!O12</f>
        <v/>
      </c>
      <c r="D12" s="160" t="str">
        <f ca="1">Berechnung3!P12</f>
        <v/>
      </c>
    </row>
    <row r="13" spans="1:4" x14ac:dyDescent="0.3">
      <c r="A13" s="182" t="str">
        <f ca="1">Berechnung3!L13</f>
        <v/>
      </c>
      <c r="B13" s="182" t="str">
        <f ca="1">Berechnung3!N13</f>
        <v/>
      </c>
      <c r="C13" s="160" t="str">
        <f ca="1">Berechnung3!O13</f>
        <v/>
      </c>
      <c r="D13" s="160" t="str">
        <f ca="1">Berechnung3!P13</f>
        <v/>
      </c>
    </row>
    <row r="14" spans="1:4" x14ac:dyDescent="0.3">
      <c r="A14" s="182" t="str">
        <f ca="1">Berechnung3!L14</f>
        <v/>
      </c>
      <c r="B14" s="182" t="str">
        <f ca="1">Berechnung3!N14</f>
        <v/>
      </c>
      <c r="C14" s="160" t="str">
        <f ca="1">Berechnung3!O14</f>
        <v/>
      </c>
      <c r="D14" s="160" t="str">
        <f ca="1">Berechnung3!P14</f>
        <v/>
      </c>
    </row>
    <row r="15" spans="1:4" x14ac:dyDescent="0.3">
      <c r="A15" s="182" t="str">
        <f ca="1">Berechnung3!L15</f>
        <v/>
      </c>
      <c r="B15" s="182" t="str">
        <f ca="1">Berechnung3!N15</f>
        <v/>
      </c>
      <c r="C15" s="160" t="str">
        <f ca="1">Berechnung3!O15</f>
        <v/>
      </c>
      <c r="D15" s="160" t="str">
        <f ca="1">Berechnung3!P15</f>
        <v/>
      </c>
    </row>
    <row r="16" spans="1:4" x14ac:dyDescent="0.3">
      <c r="A16" s="182" t="str">
        <f ca="1">Berechnung3!L16</f>
        <v/>
      </c>
      <c r="B16" s="182" t="str">
        <f ca="1">Berechnung3!N16</f>
        <v/>
      </c>
      <c r="C16" s="160" t="str">
        <f ca="1">Berechnung3!O16</f>
        <v/>
      </c>
      <c r="D16" s="160" t="str">
        <f ca="1">Berechnung3!P16</f>
        <v/>
      </c>
    </row>
    <row r="17" spans="1:4" x14ac:dyDescent="0.3">
      <c r="A17" s="182" t="str">
        <f ca="1">Berechnung3!L17</f>
        <v/>
      </c>
      <c r="B17" s="182" t="str">
        <f ca="1">Berechnung3!N17</f>
        <v/>
      </c>
      <c r="C17" s="160" t="str">
        <f ca="1">Berechnung3!O17</f>
        <v/>
      </c>
      <c r="D17" s="160" t="str">
        <f ca="1">Berechnung3!P17</f>
        <v/>
      </c>
    </row>
    <row r="18" spans="1:4" x14ac:dyDescent="0.3">
      <c r="A18" s="182" t="str">
        <f ca="1">Berechnung3!L18</f>
        <v/>
      </c>
      <c r="B18" s="182" t="str">
        <f ca="1">Berechnung3!N18</f>
        <v/>
      </c>
      <c r="C18" s="160" t="str">
        <f ca="1">Berechnung3!O18</f>
        <v/>
      </c>
      <c r="D18" s="160" t="str">
        <f ca="1">Berechnung3!P18</f>
        <v/>
      </c>
    </row>
    <row r="19" spans="1:4" x14ac:dyDescent="0.3">
      <c r="A19" s="182" t="str">
        <f ca="1">Berechnung3!L19</f>
        <v/>
      </c>
      <c r="B19" s="182" t="str">
        <f ca="1">Berechnung3!N19</f>
        <v/>
      </c>
      <c r="C19" s="160" t="str">
        <f ca="1">Berechnung3!O19</f>
        <v/>
      </c>
      <c r="D19" s="160" t="str">
        <f ca="1">Berechnung3!P19</f>
        <v/>
      </c>
    </row>
    <row r="20" spans="1:4" x14ac:dyDescent="0.3">
      <c r="A20" s="182" t="str">
        <f ca="1">Berechnung3!L20</f>
        <v/>
      </c>
      <c r="B20" s="182" t="str">
        <f ca="1">Berechnung3!N20</f>
        <v/>
      </c>
      <c r="C20" s="160" t="str">
        <f ca="1">Berechnung3!O20</f>
        <v/>
      </c>
      <c r="D20" s="160" t="str">
        <f ca="1">Berechnung3!P20</f>
        <v/>
      </c>
    </row>
    <row r="21" spans="1:4" x14ac:dyDescent="0.3">
      <c r="A21" s="182" t="str">
        <f ca="1">Berechnung3!L21</f>
        <v/>
      </c>
      <c r="B21" s="182" t="str">
        <f ca="1">Berechnung3!N21</f>
        <v/>
      </c>
      <c r="C21" s="160" t="str">
        <f ca="1">Berechnung3!O21</f>
        <v/>
      </c>
      <c r="D21" s="160" t="str">
        <f ca="1">Berechnung3!P21</f>
        <v/>
      </c>
    </row>
    <row r="22" spans="1:4" x14ac:dyDescent="0.3">
      <c r="A22" s="182" t="str">
        <f ca="1">Berechnung3!L22</f>
        <v/>
      </c>
      <c r="B22" s="182" t="str">
        <f ca="1">Berechnung3!N22</f>
        <v/>
      </c>
      <c r="C22" s="160" t="str">
        <f ca="1">Berechnung3!O22</f>
        <v/>
      </c>
      <c r="D22" s="160" t="str">
        <f ca="1">Berechnung3!P22</f>
        <v/>
      </c>
    </row>
    <row r="23" spans="1:4" x14ac:dyDescent="0.3">
      <c r="A23" s="182" t="str">
        <f ca="1">Berechnung3!L23</f>
        <v/>
      </c>
      <c r="B23" s="182" t="str">
        <f ca="1">Berechnung3!N23</f>
        <v/>
      </c>
      <c r="C23" s="160" t="str">
        <f ca="1">Berechnung3!O23</f>
        <v/>
      </c>
      <c r="D23" s="160" t="str">
        <f ca="1">Berechnung3!P23</f>
        <v/>
      </c>
    </row>
    <row r="24" spans="1:4" x14ac:dyDescent="0.3">
      <c r="A24" s="182" t="str">
        <f ca="1">Berechnung3!L24</f>
        <v/>
      </c>
      <c r="B24" s="182" t="str">
        <f ca="1">Berechnung3!N24</f>
        <v/>
      </c>
      <c r="C24" s="160" t="str">
        <f ca="1">Berechnung3!O24</f>
        <v/>
      </c>
      <c r="D24" s="160" t="str">
        <f ca="1">Berechnung3!P24</f>
        <v/>
      </c>
    </row>
    <row r="25" spans="1:4" x14ac:dyDescent="0.3">
      <c r="A25" s="182" t="str">
        <f ca="1">Berechnung3!L25</f>
        <v/>
      </c>
      <c r="B25" s="182" t="str">
        <f ca="1">Berechnung3!N25</f>
        <v/>
      </c>
      <c r="C25" s="160" t="str">
        <f ca="1">Berechnung3!O25</f>
        <v/>
      </c>
      <c r="D25" s="160" t="str">
        <f ca="1">Berechnung3!P25</f>
        <v/>
      </c>
    </row>
    <row r="26" spans="1:4" x14ac:dyDescent="0.3">
      <c r="A26" s="182" t="str">
        <f ca="1">Berechnung3!L26</f>
        <v/>
      </c>
      <c r="B26" s="182" t="str">
        <f ca="1">Berechnung3!N26</f>
        <v/>
      </c>
      <c r="C26" s="160" t="str">
        <f ca="1">Berechnung3!O26</f>
        <v/>
      </c>
      <c r="D26" s="160" t="str">
        <f ca="1">Berechnung3!P26</f>
        <v/>
      </c>
    </row>
    <row r="27" spans="1:4" x14ac:dyDescent="0.3">
      <c r="A27" s="182" t="str">
        <f ca="1">Berechnung3!L27</f>
        <v/>
      </c>
      <c r="B27" s="182" t="str">
        <f ca="1">Berechnung3!N27</f>
        <v/>
      </c>
      <c r="C27" s="160" t="str">
        <f ca="1">Berechnung3!O27</f>
        <v/>
      </c>
      <c r="D27" s="160" t="str">
        <f ca="1">Berechnung3!P27</f>
        <v/>
      </c>
    </row>
    <row r="28" spans="1:4" x14ac:dyDescent="0.3">
      <c r="A28" s="182" t="str">
        <f ca="1">Berechnung3!L28</f>
        <v/>
      </c>
      <c r="B28" s="182" t="str">
        <f ca="1">Berechnung3!N28</f>
        <v/>
      </c>
      <c r="C28" s="160" t="str">
        <f ca="1">Berechnung3!O28</f>
        <v/>
      </c>
      <c r="D28" s="160" t="str">
        <f ca="1">Berechnung3!P28</f>
        <v/>
      </c>
    </row>
    <row r="29" spans="1:4" x14ac:dyDescent="0.3">
      <c r="A29" s="182" t="str">
        <f ca="1">Berechnung3!L29</f>
        <v/>
      </c>
      <c r="B29" s="182" t="str">
        <f ca="1">Berechnung3!N29</f>
        <v/>
      </c>
      <c r="C29" s="160" t="str">
        <f ca="1">Berechnung3!O29</f>
        <v/>
      </c>
      <c r="D29" s="160" t="str">
        <f ca="1">Berechnung3!P29</f>
        <v/>
      </c>
    </row>
    <row r="30" spans="1:4" x14ac:dyDescent="0.3">
      <c r="A30" s="182" t="str">
        <f ca="1">Berechnung3!L30</f>
        <v/>
      </c>
      <c r="B30" s="182" t="str">
        <f ca="1">Berechnung3!N30</f>
        <v/>
      </c>
      <c r="C30" s="160" t="str">
        <f ca="1">Berechnung3!O30</f>
        <v/>
      </c>
      <c r="D30" s="160" t="str">
        <f ca="1">Berechnung3!P30</f>
        <v/>
      </c>
    </row>
    <row r="31" spans="1:4" x14ac:dyDescent="0.3">
      <c r="A31" s="182" t="str">
        <f ca="1">Berechnung3!L31</f>
        <v/>
      </c>
      <c r="B31" s="182" t="str">
        <f ca="1">Berechnung3!N31</f>
        <v/>
      </c>
      <c r="C31" s="160" t="str">
        <f ca="1">Berechnung3!O31</f>
        <v/>
      </c>
      <c r="D31" s="160" t="str">
        <f ca="1">Berechnung3!P31</f>
        <v/>
      </c>
    </row>
    <row r="32" spans="1:4" x14ac:dyDescent="0.3">
      <c r="A32" s="182" t="str">
        <f ca="1">Berechnung3!L32</f>
        <v/>
      </c>
      <c r="B32" s="182" t="str">
        <f ca="1">Berechnung3!N32</f>
        <v/>
      </c>
      <c r="C32" s="160" t="str">
        <f ca="1">Berechnung3!O32</f>
        <v/>
      </c>
      <c r="D32" s="160" t="str">
        <f ca="1">Berechnung3!P32</f>
        <v/>
      </c>
    </row>
    <row r="33" spans="1:4" x14ac:dyDescent="0.3">
      <c r="A33" s="182" t="str">
        <f ca="1">Berechnung3!L33</f>
        <v/>
      </c>
      <c r="B33" s="182" t="str">
        <f ca="1">Berechnung3!N33</f>
        <v/>
      </c>
      <c r="C33" s="160" t="str">
        <f ca="1">Berechnung3!O33</f>
        <v/>
      </c>
      <c r="D33" s="160" t="str">
        <f ca="1">Berechnung3!P33</f>
        <v/>
      </c>
    </row>
    <row r="34" spans="1:4" x14ac:dyDescent="0.3">
      <c r="A34" s="182" t="str">
        <f ca="1">Berechnung3!L34</f>
        <v/>
      </c>
      <c r="B34" s="182" t="str">
        <f ca="1">Berechnung3!N34</f>
        <v/>
      </c>
      <c r="C34" s="160" t="str">
        <f ca="1">Berechnung3!O34</f>
        <v/>
      </c>
      <c r="D34" s="160" t="str">
        <f ca="1">Berechnung3!P34</f>
        <v/>
      </c>
    </row>
    <row r="35" spans="1:4" x14ac:dyDescent="0.3">
      <c r="A35" s="182" t="str">
        <f ca="1">Berechnung3!L35</f>
        <v/>
      </c>
      <c r="B35" s="182" t="str">
        <f ca="1">Berechnung3!N35</f>
        <v/>
      </c>
      <c r="C35" s="160" t="str">
        <f ca="1">Berechnung3!O35</f>
        <v/>
      </c>
      <c r="D35" s="160" t="str">
        <f ca="1">Berechnung3!P35</f>
        <v/>
      </c>
    </row>
    <row r="36" spans="1:4" x14ac:dyDescent="0.3">
      <c r="A36" s="182" t="str">
        <f ca="1">Berechnung3!L36</f>
        <v/>
      </c>
      <c r="B36" s="182" t="str">
        <f ca="1">Berechnung3!N36</f>
        <v/>
      </c>
      <c r="C36" s="160" t="str">
        <f ca="1">Berechnung3!O36</f>
        <v/>
      </c>
      <c r="D36" s="160" t="str">
        <f ca="1">Berechnung3!P36</f>
        <v/>
      </c>
    </row>
    <row r="37" spans="1:4" x14ac:dyDescent="0.3">
      <c r="A37" s="182" t="str">
        <f ca="1">Berechnung3!L37</f>
        <v/>
      </c>
      <c r="B37" s="182" t="str">
        <f ca="1">Berechnung3!N37</f>
        <v/>
      </c>
      <c r="C37" s="160" t="str">
        <f ca="1">Berechnung3!O37</f>
        <v/>
      </c>
      <c r="D37" s="160" t="str">
        <f ca="1">Berechnung3!P37</f>
        <v/>
      </c>
    </row>
    <row r="38" spans="1:4" x14ac:dyDescent="0.3">
      <c r="A38" s="182" t="str">
        <f ca="1">Berechnung3!L38</f>
        <v/>
      </c>
      <c r="B38" s="182" t="str">
        <f ca="1">Berechnung3!N38</f>
        <v/>
      </c>
      <c r="C38" s="160" t="str">
        <f ca="1">Berechnung3!O38</f>
        <v/>
      </c>
      <c r="D38" s="160" t="str">
        <f ca="1">Berechnung3!P38</f>
        <v/>
      </c>
    </row>
    <row r="39" spans="1:4" x14ac:dyDescent="0.3">
      <c r="A39" s="182" t="str">
        <f ca="1">Berechnung3!L39</f>
        <v/>
      </c>
      <c r="B39" s="182" t="str">
        <f ca="1">Berechnung3!N39</f>
        <v/>
      </c>
      <c r="C39" s="160" t="str">
        <f ca="1">Berechnung3!O39</f>
        <v/>
      </c>
      <c r="D39" s="160" t="str">
        <f ca="1">Berechnung3!P39</f>
        <v/>
      </c>
    </row>
    <row r="40" spans="1:4" x14ac:dyDescent="0.3">
      <c r="A40" s="182" t="str">
        <f ca="1">Berechnung3!L40</f>
        <v/>
      </c>
      <c r="B40" s="182" t="str">
        <f ca="1">Berechnung3!N40</f>
        <v/>
      </c>
      <c r="C40" s="160" t="str">
        <f ca="1">Berechnung3!O40</f>
        <v/>
      </c>
      <c r="D40" s="160" t="str">
        <f ca="1">Berechnung3!P40</f>
        <v/>
      </c>
    </row>
    <row r="41" spans="1:4" x14ac:dyDescent="0.3">
      <c r="A41" s="182" t="str">
        <f ca="1">Berechnung3!L41</f>
        <v/>
      </c>
      <c r="B41" s="182" t="str">
        <f ca="1">Berechnung3!N41</f>
        <v/>
      </c>
      <c r="C41" s="160" t="str">
        <f ca="1">Berechnung3!O41</f>
        <v/>
      </c>
      <c r="D41" s="160" t="str">
        <f ca="1">Berechnung3!P41</f>
        <v/>
      </c>
    </row>
    <row r="42" spans="1:4" x14ac:dyDescent="0.3">
      <c r="A42" s="182" t="str">
        <f ca="1">Berechnung3!L42</f>
        <v/>
      </c>
      <c r="B42" s="182" t="str">
        <f ca="1">Berechnung3!N42</f>
        <v/>
      </c>
      <c r="C42" s="160" t="str">
        <f ca="1">Berechnung3!O42</f>
        <v/>
      </c>
      <c r="D42" s="160" t="str">
        <f ca="1">Berechnung3!P42</f>
        <v/>
      </c>
    </row>
    <row r="43" spans="1:4" x14ac:dyDescent="0.3">
      <c r="A43" s="182" t="str">
        <f ca="1">Berechnung3!L43</f>
        <v/>
      </c>
      <c r="B43" s="182" t="str">
        <f ca="1">Berechnung3!N43</f>
        <v/>
      </c>
      <c r="C43" s="160" t="str">
        <f ca="1">Berechnung3!O43</f>
        <v/>
      </c>
      <c r="D43" s="160" t="str">
        <f ca="1">Berechnung3!P43</f>
        <v/>
      </c>
    </row>
    <row r="44" spans="1:4" x14ac:dyDescent="0.3">
      <c r="A44" s="182" t="str">
        <f ca="1">Berechnung3!L44</f>
        <v/>
      </c>
      <c r="B44" s="182" t="str">
        <f ca="1">Berechnung3!N44</f>
        <v/>
      </c>
      <c r="C44" s="160" t="str">
        <f ca="1">Berechnung3!O44</f>
        <v/>
      </c>
      <c r="D44" s="160" t="str">
        <f ca="1">Berechnung3!P44</f>
        <v/>
      </c>
    </row>
    <row r="45" spans="1:4" x14ac:dyDescent="0.3">
      <c r="A45" s="182" t="str">
        <f ca="1">Berechnung3!L45</f>
        <v/>
      </c>
      <c r="B45" s="182" t="str">
        <f ca="1">Berechnung3!N45</f>
        <v/>
      </c>
      <c r="C45" s="160" t="str">
        <f ca="1">Berechnung3!O45</f>
        <v/>
      </c>
      <c r="D45" s="160" t="str">
        <f ca="1">Berechnung3!P45</f>
        <v/>
      </c>
    </row>
    <row r="46" spans="1:4" x14ac:dyDescent="0.3">
      <c r="A46" s="182" t="str">
        <f ca="1">Berechnung3!L46</f>
        <v/>
      </c>
      <c r="B46" s="182" t="str">
        <f ca="1">Berechnung3!N46</f>
        <v/>
      </c>
      <c r="C46" s="160" t="str">
        <f ca="1">Berechnung3!O46</f>
        <v/>
      </c>
      <c r="D46" s="160" t="str">
        <f ca="1">Berechnung3!P46</f>
        <v/>
      </c>
    </row>
    <row r="47" spans="1:4" x14ac:dyDescent="0.3">
      <c r="A47" s="182" t="str">
        <f ca="1">Berechnung3!L47</f>
        <v/>
      </c>
      <c r="B47" s="182" t="str">
        <f ca="1">Berechnung3!N47</f>
        <v/>
      </c>
      <c r="C47" s="160" t="str">
        <f ca="1">Berechnung3!O47</f>
        <v/>
      </c>
      <c r="D47" s="160" t="str">
        <f ca="1">Berechnung3!P47</f>
        <v/>
      </c>
    </row>
    <row r="48" spans="1:4" x14ac:dyDescent="0.3">
      <c r="A48" s="182" t="str">
        <f ca="1">Berechnung3!L48</f>
        <v/>
      </c>
      <c r="B48" s="182" t="str">
        <f ca="1">Berechnung3!N48</f>
        <v/>
      </c>
      <c r="C48" s="160" t="str">
        <f ca="1">Berechnung3!O48</f>
        <v/>
      </c>
      <c r="D48" s="160" t="str">
        <f ca="1">Berechnung3!P48</f>
        <v/>
      </c>
    </row>
    <row r="49" spans="1:4" x14ac:dyDescent="0.3">
      <c r="A49" s="182" t="str">
        <f ca="1">Berechnung3!L49</f>
        <v/>
      </c>
      <c r="B49" s="182" t="str">
        <f ca="1">Berechnung3!N49</f>
        <v/>
      </c>
      <c r="C49" s="160" t="str">
        <f ca="1">Berechnung3!O49</f>
        <v/>
      </c>
      <c r="D49" s="160" t="str">
        <f ca="1">Berechnung3!P49</f>
        <v/>
      </c>
    </row>
    <row r="50" spans="1:4" x14ac:dyDescent="0.3">
      <c r="A50" s="182" t="str">
        <f ca="1">Berechnung3!L50</f>
        <v/>
      </c>
      <c r="B50" s="182" t="str">
        <f ca="1">Berechnung3!N50</f>
        <v/>
      </c>
      <c r="C50" s="160" t="str">
        <f ca="1">Berechnung3!O50</f>
        <v/>
      </c>
      <c r="D50" s="160" t="str">
        <f ca="1">Berechnung3!P50</f>
        <v/>
      </c>
    </row>
    <row r="51" spans="1:4" x14ac:dyDescent="0.3">
      <c r="A51" s="182" t="str">
        <f ca="1">Berechnung3!L52</f>
        <v/>
      </c>
      <c r="B51" s="182" t="str">
        <f ca="1">Berechnung3!N52</f>
        <v/>
      </c>
      <c r="C51" s="160" t="str">
        <f ca="1">Berechnung3!O52</f>
        <v/>
      </c>
      <c r="D51" s="160" t="str">
        <f ca="1">Berechnung3!P52</f>
        <v/>
      </c>
    </row>
  </sheetData>
  <phoneticPr fontId="36"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10</vt:i4>
      </vt:variant>
    </vt:vector>
  </HeadingPairs>
  <TitlesOfParts>
    <vt:vector size="25" baseType="lpstr">
      <vt:lpstr>Datenquelle</vt:lpstr>
      <vt:lpstr>Basisdaten</vt:lpstr>
      <vt:lpstr>HilfstabelleSD</vt:lpstr>
      <vt:lpstr>HilfstabelleB</vt:lpstr>
      <vt:lpstr>Kennzahlenbogen_(KB)</vt:lpstr>
      <vt:lpstr>HilfstabelleKB</vt:lpstr>
      <vt:lpstr>Berechnung1</vt:lpstr>
      <vt:lpstr>Datendefizite_KB</vt:lpstr>
      <vt:lpstr>Hilfstabelle Datendef_KB</vt:lpstr>
      <vt:lpstr>Matrix</vt:lpstr>
      <vt:lpstr>Datendefizite_Matrix</vt:lpstr>
      <vt:lpstr>Berechnung2</vt:lpstr>
      <vt:lpstr>Berechnung3</vt:lpstr>
      <vt:lpstr>HilfstabelleM</vt:lpstr>
      <vt:lpstr>HilfstabelleDM</vt:lpstr>
      <vt:lpstr>Keine_Zusammenarbeit</vt:lpstr>
      <vt:lpstr>myCategory</vt:lpstr>
      <vt:lpstr>Basisdaten!Print_Area</vt:lpstr>
      <vt:lpstr>'Kennzahlenbogen_(KB)'!Print_Area</vt:lpstr>
      <vt:lpstr>Datendefizite_KB!Print_Titles</vt:lpstr>
      <vt:lpstr>Datendefizite_Matrix!Print_Titles</vt:lpstr>
      <vt:lpstr>'Kennzahlenbogen_(KB)'!Print_Titles</vt:lpstr>
      <vt:lpstr>Tumordokumentation</vt:lpstr>
      <vt:lpstr>Zentrum1</vt:lpstr>
      <vt:lpstr>zentrumsintern___ohne_Krebsregister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Florina Dudu</cp:lastModifiedBy>
  <cp:lastPrinted>2022-04-28T13:44:27Z</cp:lastPrinted>
  <dcterms:created xsi:type="dcterms:W3CDTF">2012-04-12T09:13:43Z</dcterms:created>
  <dcterms:modified xsi:type="dcterms:W3CDTF">2022-05-05T06:58:19Z</dcterms:modified>
</cp:coreProperties>
</file>