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ables/table1.xml" ContentType="application/vnd.openxmlformats-officedocument.spreadsheetml.table+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showInkAnnotation="0" updateLinks="never" codeName="DieseArbeitsmappe" defaultThemeVersion="124226"/>
  <mc:AlternateContent xmlns:mc="http://schemas.openxmlformats.org/markup-compatibility/2006">
    <mc:Choice Requires="x15">
      <x15ac:absPath xmlns:x15ac="http://schemas.microsoft.com/office/spreadsheetml/2010/11/ac" url="L:\06_daten\09_excel-kennzahlenbögen\17_excel-kb auditjahr 2023\organe\viszeral\pankreas\"/>
    </mc:Choice>
  </mc:AlternateContent>
  <xr:revisionPtr revIDLastSave="0" documentId="13_ncr:1_{129DF1AE-D7F8-4EAA-8E05-8811CD3F2A29}" xr6:coauthVersionLast="47" xr6:coauthVersionMax="47" xr10:uidLastSave="{00000000-0000-0000-0000-000000000000}"/>
  <workbookProtection workbookPassword="CA09" lockStructure="1"/>
  <bookViews>
    <workbookView xWindow="-108" yWindow="-108" windowWidth="23256" windowHeight="12576" tabRatio="770" xr2:uid="{00000000-000D-0000-FFFF-FFFF00000000}"/>
  </bookViews>
  <sheets>
    <sheet name="Basisdaten" sheetId="1" r:id="rId1"/>
    <sheet name="Datenquelle" sheetId="16" state="hidden" r:id="rId2"/>
    <sheet name="HilfstabelleSD" sheetId="8" state="hidden" r:id="rId3"/>
    <sheet name="HilfstabelleB" sheetId="25" state="hidden" r:id="rId4"/>
    <sheet name="Kennzahlenbogen_(KB)" sheetId="18" r:id="rId5"/>
    <sheet name="HilfstabelleKB" sheetId="24" state="hidden" r:id="rId6"/>
    <sheet name="Berechnung1" sheetId="11" state="hidden" r:id="rId7"/>
    <sheet name="Hilfstabelle Datendef KB" sheetId="28" state="hidden" r:id="rId8"/>
    <sheet name="Datendefizite_KB" sheetId="3" r:id="rId9"/>
    <sheet name="Matrix" sheetId="22" r:id="rId10"/>
    <sheet name="HilfstabelleM" sheetId="9" state="hidden" r:id="rId11"/>
    <sheet name="Berechnung2" sheetId="12" state="hidden" r:id="rId12"/>
    <sheet name="Berechnung3" sheetId="26" state="hidden" r:id="rId13"/>
    <sheet name="Datendefizite_Matrix" sheetId="5" r:id="rId14"/>
    <sheet name="HilfstabelleDM" sheetId="27" state="hidden" r:id="rId15"/>
  </sheets>
  <definedNames>
    <definedName name="_xlnm._FilterDatabase" localSheetId="11" hidden="1">Berechnung2!#REF!</definedName>
    <definedName name="_xlnm._FilterDatabase" localSheetId="1" hidden="1">Datenquelle!$A$107:$DD$252</definedName>
    <definedName name="AngabeKKR">Datenquelle!$B$97:$B$101</definedName>
    <definedName name="KlinischesKrebsregister">Datenquelle!$B$68:$B$88</definedName>
    <definedName name="myCategory">Datenquelle!$A$68:$S$68</definedName>
    <definedName name="myItem">OFFSET(myItemList,0,0,COUNTA(myItemList),1)</definedName>
    <definedName name="myItemList">INDEX(Datenquelle!$A$69:$S$89,0,MATCH(Datenquelle!$F$105,Datenquelle!$A$68:$S$68,0))</definedName>
    <definedName name="_xlnm.Print_Area" localSheetId="0">Basisdaten!$A$1:$J$54</definedName>
    <definedName name="_xlnm.Print_Area" localSheetId="8">Datendefizite_KB!$A$1:$K$34</definedName>
    <definedName name="_xlnm.Print_Area" localSheetId="4">'Kennzahlenbogen_(KB)'!$A$1:$S$87</definedName>
    <definedName name="_xlnm.Print_Area" localSheetId="9">Matrix!$A$1:$AA$46</definedName>
    <definedName name="_xlnm.Print_Titles" localSheetId="8">Datendefizite_KB!$12:$13</definedName>
    <definedName name="_xlnm.Print_Titles" localSheetId="13">Datendefizite_Matrix!$15:$16</definedName>
    <definedName name="_xlnm.Print_Titles" localSheetId="4">'Kennzahlenbogen_(KB)'!$10:$11</definedName>
    <definedName name="RedZyk">Datenquelle!$E$1:$E$2</definedName>
    <definedName name="Tumordokumentation">Datenquelle!$B$1:$B$51</definedName>
    <definedName name="Universitätsstatus">Datenquelle!$B$92:$B$93</definedName>
    <definedName name="Z_AD479C9E_06F7_4C03_8179_295428B49475_.wvu.PrintArea" localSheetId="0" hidden="1">Basisdaten!$A$1:$H$43</definedName>
    <definedName name="Z_AD479C9E_06F7_4C03_8179_295428B49475_.wvu.PrintTitles" localSheetId="8" hidden="1">Datendefizite_KB!$12:$13</definedName>
    <definedName name="Z_AD479C9E_06F7_4C03_8179_295428B49475_.wvu.PrintTitles" localSheetId="13" hidden="1">Datendefizite_Matrix!$15:$16</definedName>
    <definedName name="Z_AD479C9E_06F7_4C03_8179_295428B49475_.wvu.PrintTitles" localSheetId="4" hidden="1">'Kennzahlenbogen_(KB)'!$10:$11</definedName>
    <definedName name="Z_DAA0C1F4_4D8F_4BD8_91F9_40281B589772_.wvu.PrintArea" localSheetId="0" hidden="1">Basisdaten!$A$1:$H$43</definedName>
    <definedName name="Z_DAA0C1F4_4D8F_4BD8_91F9_40281B589772_.wvu.PrintTitles" localSheetId="8" hidden="1">Datendefizite_KB!$12:$13</definedName>
    <definedName name="Z_DAA0C1F4_4D8F_4BD8_91F9_40281B589772_.wvu.PrintTitles" localSheetId="13" hidden="1">Datendefizite_Matrix!$15:$16</definedName>
    <definedName name="Z_DAA0C1F4_4D8F_4BD8_91F9_40281B589772_.wvu.PrintTitles" localSheetId="4" hidden="1">'Kennzahlenbogen_(KB)'!$10:$11</definedName>
    <definedName name="Z_DAA0C1F4_4D8F_4BD8_91F9_40281B589772_.wvu.Rows" localSheetId="6" hidden="1">Berechnung1!$96:$118</definedName>
    <definedName name="ZentrumRegNr">Datenquelle!$A$108:$A$252</definedName>
  </definedNames>
  <calcPr calcId="191029"/>
  <customWorkbookViews>
    <customWorkbookView name="OnkoZert - Persönliche Ansicht" guid="{DAA0C1F4-4D8F-4BD8-91F9-40281B589772}" mergeInterval="0" personalView="1" maximized="1" windowWidth="1280" windowHeight="778" activeSheetId="1"/>
    <customWorkbookView name="New Name - Persönliche Ansicht" guid="{AD479C9E-06F7-4C03-8179-295428B49475}" mergeInterval="0" personalView="1" maximized="1" windowWidth="1280" windowHeight="798" activeSheetId="8"/>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8" i="26" l="1"/>
  <c r="B7" i="26"/>
  <c r="B6" i="26"/>
  <c r="B5" i="26"/>
  <c r="B4" i="26"/>
  <c r="B3" i="26"/>
  <c r="B2" i="26"/>
  <c r="S1" i="9" l="1"/>
  <c r="R1" i="9"/>
  <c r="Q1" i="9"/>
  <c r="P1" i="9"/>
  <c r="O1" i="9"/>
  <c r="J1" i="9"/>
  <c r="R70" i="18" l="1"/>
  <c r="V70" i="18" l="1"/>
  <c r="G32" i="24"/>
  <c r="G31" i="24"/>
  <c r="F32" i="24"/>
  <c r="F31" i="24"/>
  <c r="O93" i="11"/>
  <c r="H32" i="24" s="1"/>
  <c r="B32" i="24"/>
  <c r="C32" i="24"/>
  <c r="C31" i="24"/>
  <c r="B31" i="24"/>
  <c r="O90" i="11" l="1"/>
  <c r="H31" i="24" s="1"/>
  <c r="R71" i="18"/>
  <c r="S69" i="18" s="1"/>
  <c r="R74" i="18"/>
  <c r="S72" i="18" s="1"/>
  <c r="A22" i="28" l="1"/>
  <c r="J22" i="28" s="1"/>
  <c r="M93" i="11"/>
  <c r="N93" i="11" s="1"/>
  <c r="E32" i="24" s="1"/>
  <c r="A21" i="28"/>
  <c r="J21" i="28" s="1"/>
  <c r="M90" i="11"/>
  <c r="N90" i="11" s="1"/>
  <c r="E31" i="24" s="1"/>
  <c r="D32" i="24"/>
  <c r="D31" i="24"/>
  <c r="L93" i="11"/>
  <c r="L90" i="11"/>
  <c r="J32" i="1"/>
  <c r="J31" i="1"/>
  <c r="J37" i="1" s="1"/>
  <c r="R12" i="18" s="1"/>
  <c r="C22" i="28" l="1"/>
  <c r="M22" i="28"/>
  <c r="K22" i="28"/>
  <c r="G22" i="28"/>
  <c r="I22" i="28"/>
  <c r="D22" i="28"/>
  <c r="H22" i="28"/>
  <c r="E22" i="28"/>
  <c r="F22" i="28"/>
  <c r="L22" i="28"/>
  <c r="C21" i="28"/>
  <c r="F21" i="28"/>
  <c r="M21" i="28"/>
  <c r="H21" i="28"/>
  <c r="E21" i="28"/>
  <c r="L21" i="28"/>
  <c r="I21" i="28"/>
  <c r="K21" i="28"/>
  <c r="D21" i="28"/>
  <c r="G21" i="28"/>
  <c r="J38" i="1"/>
  <c r="R61" i="18"/>
  <c r="G13" i="24"/>
  <c r="F13" i="24"/>
  <c r="B13" i="24"/>
  <c r="S15" i="18"/>
  <c r="L36" i="11"/>
  <c r="O36" i="11"/>
  <c r="H13" i="24" s="1"/>
  <c r="M36" i="11" l="1"/>
  <c r="N36" i="11" s="1"/>
  <c r="E13" i="24" s="1"/>
  <c r="A3" i="28"/>
  <c r="C3" i="28" l="1"/>
  <c r="H3" i="28"/>
  <c r="F3" i="28"/>
  <c r="K3" i="28"/>
  <c r="G3" i="28"/>
  <c r="D3" i="28"/>
  <c r="E3" i="28"/>
  <c r="J3" i="28"/>
  <c r="L3" i="28"/>
  <c r="M3" i="28"/>
  <c r="I3" i="28"/>
  <c r="B8" i="9"/>
  <c r="J8" i="9"/>
  <c r="K8" i="9"/>
  <c r="L8" i="9"/>
  <c r="M8" i="9"/>
  <c r="N8" i="9"/>
  <c r="O8" i="9"/>
  <c r="P8" i="9"/>
  <c r="Q8" i="9"/>
  <c r="R8" i="9"/>
  <c r="S8" i="9"/>
  <c r="T8" i="9"/>
  <c r="U8" i="9"/>
  <c r="V8" i="9"/>
  <c r="W8" i="9"/>
  <c r="I25" i="22" l="1"/>
  <c r="I8" i="9" s="1"/>
  <c r="H25" i="22"/>
  <c r="H8" i="9" s="1"/>
  <c r="G25" i="22"/>
  <c r="G8" i="9" s="1"/>
  <c r="F25" i="22"/>
  <c r="F8" i="9" s="1"/>
  <c r="E25" i="22"/>
  <c r="E8" i="9" s="1"/>
  <c r="D25" i="22"/>
  <c r="D8" i="9" s="1"/>
  <c r="C25" i="22" l="1"/>
  <c r="C8" i="9" s="1"/>
  <c r="Q22" i="22" l="1"/>
  <c r="A6" i="25" l="1"/>
  <c r="R94" i="18" l="1"/>
  <c r="R93" i="18"/>
  <c r="L92" i="18"/>
  <c r="M92" i="18"/>
  <c r="N92" i="18"/>
  <c r="O92" i="18"/>
  <c r="P92" i="18"/>
  <c r="Q92" i="18"/>
  <c r="M91" i="18"/>
  <c r="N91" i="18"/>
  <c r="O91" i="18"/>
  <c r="P91" i="18"/>
  <c r="Q91" i="18"/>
  <c r="L91" i="18"/>
  <c r="D96" i="18"/>
  <c r="D95" i="18"/>
  <c r="D94" i="18"/>
  <c r="D93" i="18"/>
  <c r="D91" i="18"/>
  <c r="D92" i="18"/>
  <c r="H8" i="25" l="1"/>
  <c r="H7" i="25"/>
  <c r="A10" i="25"/>
  <c r="A9" i="25"/>
  <c r="A8" i="25"/>
  <c r="A7" i="25"/>
  <c r="R91" i="18" l="1"/>
  <c r="R31" i="18"/>
  <c r="R92" i="18" l="1"/>
  <c r="V58" i="18"/>
  <c r="V61" i="18"/>
  <c r="H9" i="25"/>
  <c r="R95" i="18"/>
  <c r="Q21" i="22"/>
  <c r="Q20" i="22"/>
  <c r="Q19" i="22"/>
  <c r="H10" i="25" l="1"/>
  <c r="R96" i="18"/>
  <c r="R22" i="18"/>
  <c r="R55" i="18"/>
  <c r="R39" i="18"/>
  <c r="K22" i="22"/>
  <c r="O22" i="22" s="1"/>
  <c r="K21" i="22"/>
  <c r="O21" i="22" s="1"/>
  <c r="K20" i="22"/>
  <c r="O20" i="22" s="1"/>
  <c r="K19" i="22"/>
  <c r="O19" i="22" s="1"/>
  <c r="K23" i="22"/>
  <c r="O23" i="22" s="1"/>
  <c r="B6" i="9" l="1"/>
  <c r="R35" i="18" l="1"/>
  <c r="S33" i="18" s="1"/>
  <c r="R37" i="18"/>
  <c r="C20" i="24" s="1"/>
  <c r="R65" i="18"/>
  <c r="S63" i="18" s="1"/>
  <c r="A19" i="28" s="1"/>
  <c r="I19" i="28" s="1"/>
  <c r="R52" i="18"/>
  <c r="C25" i="24" s="1"/>
  <c r="R49" i="18"/>
  <c r="C24" i="24" s="1"/>
  <c r="R46" i="18"/>
  <c r="C23" i="24" s="1"/>
  <c r="R42" i="18"/>
  <c r="S42" i="18" s="1"/>
  <c r="A12" i="28" s="1"/>
  <c r="H12" i="28" s="1"/>
  <c r="B2" i="8"/>
  <c r="B1" i="8"/>
  <c r="M82" i="11"/>
  <c r="M83" i="11"/>
  <c r="M85" i="11"/>
  <c r="M86" i="11"/>
  <c r="I7" i="9"/>
  <c r="H7" i="9"/>
  <c r="G7" i="9"/>
  <c r="F7" i="9"/>
  <c r="E7" i="9"/>
  <c r="N7" i="9"/>
  <c r="F30" i="24"/>
  <c r="L90" i="18"/>
  <c r="M90" i="18"/>
  <c r="N90" i="18"/>
  <c r="O90" i="18"/>
  <c r="P90" i="18"/>
  <c r="Q90" i="18"/>
  <c r="R90" i="18"/>
  <c r="D90" i="18"/>
  <c r="R97" i="18"/>
  <c r="D97" i="18"/>
  <c r="B30" i="24"/>
  <c r="C30" i="24"/>
  <c r="G30" i="24"/>
  <c r="G29" i="24"/>
  <c r="G28" i="24"/>
  <c r="F29" i="24"/>
  <c r="F28" i="24"/>
  <c r="C29" i="24"/>
  <c r="B29" i="24"/>
  <c r="C28" i="24"/>
  <c r="B28" i="24"/>
  <c r="R68" i="18"/>
  <c r="S66" i="18" s="1"/>
  <c r="M87" i="11" s="1"/>
  <c r="N87" i="11" s="1"/>
  <c r="R62" i="18"/>
  <c r="S60" i="18" s="1"/>
  <c r="A18" i="28" s="1"/>
  <c r="R59" i="18"/>
  <c r="S57" i="18" s="1"/>
  <c r="O87" i="11"/>
  <c r="O84" i="11"/>
  <c r="O81" i="11"/>
  <c r="M1" i="9"/>
  <c r="L1" i="9"/>
  <c r="K1" i="9"/>
  <c r="K2" i="9"/>
  <c r="F1" i="9"/>
  <c r="G1" i="9"/>
  <c r="H1" i="9"/>
  <c r="I1" i="9"/>
  <c r="D1" i="9"/>
  <c r="E1" i="9"/>
  <c r="B7" i="9"/>
  <c r="D3" i="9"/>
  <c r="E3" i="9"/>
  <c r="F3" i="9"/>
  <c r="G3" i="9"/>
  <c r="H3" i="9"/>
  <c r="I3" i="9"/>
  <c r="K3" i="9"/>
  <c r="L3" i="9"/>
  <c r="M3" i="9"/>
  <c r="P3" i="9"/>
  <c r="Q3" i="9"/>
  <c r="R3" i="9"/>
  <c r="S3" i="9"/>
  <c r="T3" i="9"/>
  <c r="U3" i="9"/>
  <c r="V3" i="9"/>
  <c r="W3" i="9"/>
  <c r="D4" i="9"/>
  <c r="E4" i="9"/>
  <c r="F4" i="9"/>
  <c r="G4" i="9"/>
  <c r="H4" i="9"/>
  <c r="I4" i="9"/>
  <c r="K4" i="9"/>
  <c r="L4" i="9"/>
  <c r="M4" i="9"/>
  <c r="P4" i="9"/>
  <c r="Q4" i="9"/>
  <c r="R4" i="9"/>
  <c r="S4" i="9"/>
  <c r="T4" i="9"/>
  <c r="U4" i="9"/>
  <c r="V4" i="9"/>
  <c r="W4" i="9"/>
  <c r="D5" i="9"/>
  <c r="E5" i="9"/>
  <c r="F5" i="9"/>
  <c r="G5" i="9"/>
  <c r="H5" i="9"/>
  <c r="I5" i="9"/>
  <c r="K5" i="9"/>
  <c r="L5" i="9"/>
  <c r="M5" i="9"/>
  <c r="P5" i="9"/>
  <c r="Q5" i="9"/>
  <c r="R5" i="9"/>
  <c r="S5" i="9"/>
  <c r="T5" i="9"/>
  <c r="U5" i="9"/>
  <c r="V5" i="9"/>
  <c r="W5" i="9"/>
  <c r="D6" i="9"/>
  <c r="E6" i="9"/>
  <c r="F6" i="9"/>
  <c r="G6" i="9"/>
  <c r="H6" i="9"/>
  <c r="I6" i="9"/>
  <c r="K6" i="9"/>
  <c r="L6" i="9"/>
  <c r="M6" i="9"/>
  <c r="P6" i="9"/>
  <c r="Q6" i="9"/>
  <c r="R6" i="9"/>
  <c r="S6" i="9"/>
  <c r="T6" i="9"/>
  <c r="U6" i="9"/>
  <c r="V6" i="9"/>
  <c r="W6" i="9"/>
  <c r="J7" i="9"/>
  <c r="K7" i="9"/>
  <c r="L7" i="9"/>
  <c r="M7" i="9"/>
  <c r="O7" i="9"/>
  <c r="P7" i="9"/>
  <c r="Q7" i="9"/>
  <c r="R7" i="9"/>
  <c r="S7" i="9"/>
  <c r="T7" i="9"/>
  <c r="U7" i="9"/>
  <c r="V7" i="9"/>
  <c r="W7" i="9"/>
  <c r="W2" i="9"/>
  <c r="V2" i="9"/>
  <c r="U2" i="9"/>
  <c r="T2" i="9"/>
  <c r="S2" i="9"/>
  <c r="P2" i="9"/>
  <c r="Q2" i="9"/>
  <c r="R2" i="9"/>
  <c r="L2" i="9"/>
  <c r="M2" i="9"/>
  <c r="I2" i="9"/>
  <c r="H2" i="9"/>
  <c r="G2" i="9"/>
  <c r="F2" i="9"/>
  <c r="E2" i="9"/>
  <c r="D2" i="9"/>
  <c r="W1" i="9"/>
  <c r="V1" i="9"/>
  <c r="T1" i="9"/>
  <c r="U1" i="9"/>
  <c r="N1" i="9"/>
  <c r="B1" i="9"/>
  <c r="A1" i="9"/>
  <c r="G18" i="24"/>
  <c r="F18" i="24"/>
  <c r="G12" i="24"/>
  <c r="G14" i="24"/>
  <c r="G15" i="24"/>
  <c r="G16" i="24"/>
  <c r="G17" i="24"/>
  <c r="G19" i="24"/>
  <c r="G20" i="24"/>
  <c r="G21" i="24"/>
  <c r="G22" i="24"/>
  <c r="G23" i="24"/>
  <c r="G24" i="24"/>
  <c r="G25" i="24"/>
  <c r="G26" i="24"/>
  <c r="G27" i="24"/>
  <c r="F27" i="24"/>
  <c r="F26" i="24"/>
  <c r="F25" i="24"/>
  <c r="F24" i="24"/>
  <c r="F23" i="24"/>
  <c r="F22" i="24"/>
  <c r="F21" i="24"/>
  <c r="F20" i="24"/>
  <c r="F19" i="24"/>
  <c r="F17" i="24"/>
  <c r="F16" i="24"/>
  <c r="F15" i="24"/>
  <c r="F14" i="24"/>
  <c r="F12" i="24"/>
  <c r="O60" i="11"/>
  <c r="J2" i="9"/>
  <c r="Q23" i="22"/>
  <c r="O6" i="9" s="1"/>
  <c r="O4" i="9"/>
  <c r="S8" i="22"/>
  <c r="J6" i="9"/>
  <c r="J4" i="9"/>
  <c r="C22" i="22"/>
  <c r="C5" i="9" s="1"/>
  <c r="C21" i="22"/>
  <c r="C4" i="9" s="1"/>
  <c r="C20" i="22"/>
  <c r="C19" i="22"/>
  <c r="C23" i="22"/>
  <c r="C6" i="9" s="1"/>
  <c r="B51" i="22"/>
  <c r="C51" i="22"/>
  <c r="D51" i="22"/>
  <c r="E51" i="22"/>
  <c r="G51" i="22"/>
  <c r="H51" i="22"/>
  <c r="I51" i="22"/>
  <c r="J51" i="22"/>
  <c r="K51" i="22"/>
  <c r="R51" i="22"/>
  <c r="S51" i="22"/>
  <c r="Y51" i="22"/>
  <c r="Z51" i="22"/>
  <c r="P51" i="22"/>
  <c r="B52" i="22"/>
  <c r="C52" i="22"/>
  <c r="D52" i="22"/>
  <c r="E52" i="22"/>
  <c r="F52" i="22"/>
  <c r="G52" i="22"/>
  <c r="H52" i="22"/>
  <c r="I52" i="22"/>
  <c r="J52" i="22"/>
  <c r="K52" i="22"/>
  <c r="R52" i="22"/>
  <c r="S52" i="22"/>
  <c r="Y52" i="22"/>
  <c r="Z52" i="22"/>
  <c r="P52" i="22"/>
  <c r="B53" i="22"/>
  <c r="C53" i="22"/>
  <c r="D53" i="22"/>
  <c r="E53" i="22"/>
  <c r="F53" i="22"/>
  <c r="G53" i="22"/>
  <c r="H53" i="22"/>
  <c r="I53" i="22"/>
  <c r="J53" i="22"/>
  <c r="K53" i="22"/>
  <c r="R53" i="22"/>
  <c r="S53" i="22"/>
  <c r="Y53" i="22"/>
  <c r="Z53" i="22"/>
  <c r="P53" i="22"/>
  <c r="B54" i="22"/>
  <c r="C54" i="22"/>
  <c r="D54" i="22"/>
  <c r="E54" i="22"/>
  <c r="F54" i="22"/>
  <c r="G54" i="22"/>
  <c r="I54" i="22"/>
  <c r="J54" i="22"/>
  <c r="K54" i="22"/>
  <c r="R54" i="22"/>
  <c r="S54" i="22"/>
  <c r="Y54" i="22"/>
  <c r="Z54" i="22"/>
  <c r="P54" i="22"/>
  <c r="B55" i="22"/>
  <c r="C55" i="22"/>
  <c r="D55" i="22"/>
  <c r="E55" i="22"/>
  <c r="F55" i="22"/>
  <c r="G55" i="22"/>
  <c r="I55" i="22"/>
  <c r="J55" i="22"/>
  <c r="K55" i="22"/>
  <c r="R55" i="22"/>
  <c r="S55" i="22"/>
  <c r="Y55" i="22"/>
  <c r="Z55" i="22"/>
  <c r="P55" i="22"/>
  <c r="B56" i="22"/>
  <c r="C56" i="22"/>
  <c r="D56" i="22"/>
  <c r="E56" i="22"/>
  <c r="F56" i="22"/>
  <c r="G56" i="22"/>
  <c r="H56" i="22"/>
  <c r="I56" i="22"/>
  <c r="J56" i="22"/>
  <c r="K56" i="22"/>
  <c r="R56" i="22"/>
  <c r="S56" i="22"/>
  <c r="Y56" i="22"/>
  <c r="Z56" i="22"/>
  <c r="P56" i="22"/>
  <c r="B57" i="22"/>
  <c r="C57" i="22"/>
  <c r="D57" i="22"/>
  <c r="E57" i="22"/>
  <c r="F57" i="22"/>
  <c r="G57" i="22"/>
  <c r="H57" i="22"/>
  <c r="I57" i="22"/>
  <c r="J57" i="22"/>
  <c r="K57" i="22"/>
  <c r="R57" i="22"/>
  <c r="S57" i="22"/>
  <c r="Y57" i="22"/>
  <c r="Z57" i="22"/>
  <c r="P57" i="22"/>
  <c r="B58" i="22"/>
  <c r="C58" i="22"/>
  <c r="D58" i="22"/>
  <c r="E58" i="22"/>
  <c r="F58" i="22"/>
  <c r="G58" i="22"/>
  <c r="H58" i="22"/>
  <c r="I58" i="22"/>
  <c r="J58" i="22"/>
  <c r="K58" i="22"/>
  <c r="R58" i="22"/>
  <c r="S58" i="22"/>
  <c r="Y58" i="22"/>
  <c r="Z58" i="22"/>
  <c r="P58" i="22"/>
  <c r="B59" i="22"/>
  <c r="C59" i="22"/>
  <c r="D59" i="22"/>
  <c r="E59" i="22"/>
  <c r="F59" i="22"/>
  <c r="G59" i="22"/>
  <c r="H59" i="22"/>
  <c r="I59" i="22"/>
  <c r="J59" i="22"/>
  <c r="K59" i="22"/>
  <c r="R59" i="22"/>
  <c r="S59" i="22"/>
  <c r="Y59" i="22"/>
  <c r="Z59" i="22"/>
  <c r="P59" i="22"/>
  <c r="B60" i="22"/>
  <c r="C60" i="22"/>
  <c r="D60" i="22"/>
  <c r="E60" i="22"/>
  <c r="F60" i="22"/>
  <c r="G60" i="22"/>
  <c r="H60" i="22"/>
  <c r="I60" i="22"/>
  <c r="J60" i="22"/>
  <c r="K60" i="22"/>
  <c r="R60" i="22"/>
  <c r="S60" i="22"/>
  <c r="Y60" i="22"/>
  <c r="Z60" i="22"/>
  <c r="P60" i="22"/>
  <c r="B61" i="22"/>
  <c r="C61" i="22"/>
  <c r="D61" i="22"/>
  <c r="E61" i="22"/>
  <c r="F61" i="22"/>
  <c r="G61" i="22"/>
  <c r="H61" i="22"/>
  <c r="I61" i="22"/>
  <c r="J61" i="22"/>
  <c r="K61" i="22"/>
  <c r="R61" i="22"/>
  <c r="S61" i="22"/>
  <c r="Y61" i="22"/>
  <c r="Z61" i="22"/>
  <c r="P61" i="22"/>
  <c r="B62" i="22"/>
  <c r="C62" i="22"/>
  <c r="D62" i="22"/>
  <c r="E62" i="22"/>
  <c r="F62" i="22"/>
  <c r="G62" i="22"/>
  <c r="H62" i="22"/>
  <c r="I62" i="22"/>
  <c r="J62" i="22"/>
  <c r="K62" i="22"/>
  <c r="R62" i="22"/>
  <c r="S62" i="22"/>
  <c r="Y62" i="22"/>
  <c r="Z62" i="22"/>
  <c r="P62" i="22"/>
  <c r="B63" i="22"/>
  <c r="C63" i="22"/>
  <c r="D63" i="22"/>
  <c r="E63" i="22"/>
  <c r="F63" i="22"/>
  <c r="G63" i="22"/>
  <c r="H63" i="22"/>
  <c r="I63" i="22"/>
  <c r="J63" i="22"/>
  <c r="K63" i="22"/>
  <c r="R63" i="22"/>
  <c r="S63" i="22"/>
  <c r="Y63" i="22"/>
  <c r="Z63" i="22"/>
  <c r="P63" i="22"/>
  <c r="B64" i="22"/>
  <c r="C64" i="22"/>
  <c r="D64" i="22"/>
  <c r="E64" i="22"/>
  <c r="F64" i="22"/>
  <c r="G64" i="22"/>
  <c r="H64" i="22"/>
  <c r="I64" i="22"/>
  <c r="J64" i="22"/>
  <c r="K64" i="22"/>
  <c r="R64" i="22"/>
  <c r="S64" i="22"/>
  <c r="Y64" i="22"/>
  <c r="Z64" i="22"/>
  <c r="P64" i="22"/>
  <c r="B65" i="22"/>
  <c r="C65" i="22"/>
  <c r="D65" i="22"/>
  <c r="E65" i="22"/>
  <c r="F65" i="22"/>
  <c r="G65" i="22"/>
  <c r="H65" i="22"/>
  <c r="I65" i="22"/>
  <c r="J65" i="22"/>
  <c r="K65" i="22"/>
  <c r="R65" i="22"/>
  <c r="S65" i="22"/>
  <c r="Y65" i="22"/>
  <c r="Z65" i="22"/>
  <c r="P65" i="22"/>
  <c r="B66" i="22"/>
  <c r="C66" i="22"/>
  <c r="D66" i="22"/>
  <c r="E66" i="22"/>
  <c r="F66" i="22"/>
  <c r="G66" i="22"/>
  <c r="H66" i="22"/>
  <c r="I66" i="22"/>
  <c r="J66" i="22"/>
  <c r="K66" i="22"/>
  <c r="R66" i="22"/>
  <c r="S66" i="22"/>
  <c r="Y66" i="22"/>
  <c r="Z66" i="22"/>
  <c r="P66" i="22"/>
  <c r="B67" i="22"/>
  <c r="C67" i="22"/>
  <c r="D67" i="22"/>
  <c r="E67" i="22"/>
  <c r="F67" i="22"/>
  <c r="G67" i="22"/>
  <c r="H67" i="22"/>
  <c r="I67" i="22"/>
  <c r="J67" i="22"/>
  <c r="K67" i="22"/>
  <c r="R67" i="22"/>
  <c r="S67" i="22"/>
  <c r="Y67" i="22"/>
  <c r="Z67" i="22"/>
  <c r="P67" i="22"/>
  <c r="B68" i="22"/>
  <c r="C68" i="22"/>
  <c r="D68" i="22"/>
  <c r="E68" i="22"/>
  <c r="F68" i="22"/>
  <c r="G68" i="22"/>
  <c r="H68" i="22"/>
  <c r="I68" i="22"/>
  <c r="J68" i="22"/>
  <c r="K68" i="22"/>
  <c r="R68" i="22"/>
  <c r="S68" i="22"/>
  <c r="Y68" i="22"/>
  <c r="Z68" i="22"/>
  <c r="P68" i="22"/>
  <c r="B69" i="22"/>
  <c r="C69" i="22"/>
  <c r="D69" i="22"/>
  <c r="E69" i="22"/>
  <c r="F69" i="22"/>
  <c r="G69" i="22"/>
  <c r="H69" i="22"/>
  <c r="I69" i="22"/>
  <c r="J69" i="22"/>
  <c r="K69" i="22"/>
  <c r="R69" i="22"/>
  <c r="S69" i="22"/>
  <c r="Y69" i="22"/>
  <c r="Z69" i="22"/>
  <c r="P69" i="22"/>
  <c r="B70" i="22"/>
  <c r="C70" i="22"/>
  <c r="D70" i="22"/>
  <c r="E70" i="22"/>
  <c r="F70" i="22"/>
  <c r="G70" i="22"/>
  <c r="H70" i="22"/>
  <c r="I70" i="22"/>
  <c r="J70" i="22"/>
  <c r="K70" i="22"/>
  <c r="R70" i="22"/>
  <c r="S70" i="22"/>
  <c r="Y70" i="22"/>
  <c r="Z70" i="22"/>
  <c r="P70" i="22"/>
  <c r="B71" i="22"/>
  <c r="C71" i="22"/>
  <c r="D71" i="22"/>
  <c r="E71" i="22"/>
  <c r="F71" i="22"/>
  <c r="G71" i="22"/>
  <c r="H71" i="22"/>
  <c r="I71" i="22"/>
  <c r="J71" i="22"/>
  <c r="K71" i="22"/>
  <c r="R71" i="22"/>
  <c r="S71" i="22"/>
  <c r="Y71" i="22"/>
  <c r="Z71" i="22"/>
  <c r="P71" i="22"/>
  <c r="B72" i="22"/>
  <c r="C72" i="22"/>
  <c r="D72" i="22"/>
  <c r="E72" i="22"/>
  <c r="F72" i="22"/>
  <c r="G72" i="22"/>
  <c r="H72" i="22"/>
  <c r="I72" i="22"/>
  <c r="J72" i="22"/>
  <c r="K72" i="22"/>
  <c r="R72" i="22"/>
  <c r="S72" i="22"/>
  <c r="Y72" i="22"/>
  <c r="Z72" i="22"/>
  <c r="P72" i="22"/>
  <c r="B73" i="22"/>
  <c r="C73" i="22"/>
  <c r="D73" i="22"/>
  <c r="E73" i="22"/>
  <c r="F73" i="22"/>
  <c r="G73" i="22"/>
  <c r="H73" i="22"/>
  <c r="I73" i="22"/>
  <c r="J73" i="22"/>
  <c r="K73" i="22"/>
  <c r="R73" i="22"/>
  <c r="S73" i="22"/>
  <c r="Y73" i="22"/>
  <c r="Z73" i="22"/>
  <c r="P73" i="22"/>
  <c r="B74" i="22"/>
  <c r="C74" i="22"/>
  <c r="D74" i="22"/>
  <c r="E74" i="22"/>
  <c r="F74" i="22"/>
  <c r="G74" i="22"/>
  <c r="H74" i="22"/>
  <c r="I74" i="22"/>
  <c r="J74" i="22"/>
  <c r="K74" i="22"/>
  <c r="R74" i="22"/>
  <c r="S74" i="22"/>
  <c r="Y74" i="22"/>
  <c r="Z74" i="22"/>
  <c r="P74" i="22"/>
  <c r="B75" i="22"/>
  <c r="C75" i="22"/>
  <c r="D75" i="22"/>
  <c r="E75" i="22"/>
  <c r="F75" i="22"/>
  <c r="G75" i="22"/>
  <c r="H75" i="22"/>
  <c r="I75" i="22"/>
  <c r="J75" i="22"/>
  <c r="K75" i="22"/>
  <c r="R75" i="22"/>
  <c r="S75" i="22"/>
  <c r="Y75" i="22"/>
  <c r="Z75" i="22"/>
  <c r="P75" i="22"/>
  <c r="B76" i="22"/>
  <c r="C76" i="22"/>
  <c r="D76" i="22"/>
  <c r="E76" i="22"/>
  <c r="F76" i="22"/>
  <c r="G76" i="22"/>
  <c r="H76" i="22"/>
  <c r="I76" i="22"/>
  <c r="J76" i="22"/>
  <c r="K76" i="22"/>
  <c r="R76" i="22"/>
  <c r="S76" i="22"/>
  <c r="Y76" i="22"/>
  <c r="Z76" i="22"/>
  <c r="P76" i="22"/>
  <c r="B77" i="22"/>
  <c r="C77" i="22"/>
  <c r="D77" i="22"/>
  <c r="E77" i="22"/>
  <c r="F77" i="22"/>
  <c r="G77" i="22"/>
  <c r="H77" i="22"/>
  <c r="I77" i="22"/>
  <c r="J77" i="22"/>
  <c r="K77" i="22"/>
  <c r="R77" i="22"/>
  <c r="S77" i="22"/>
  <c r="Y77" i="22"/>
  <c r="Z77" i="22"/>
  <c r="P77" i="22"/>
  <c r="A77" i="22"/>
  <c r="A67" i="22"/>
  <c r="A68" i="22"/>
  <c r="A69" i="22"/>
  <c r="A70" i="22"/>
  <c r="A71" i="22"/>
  <c r="A72" i="22"/>
  <c r="A73" i="22"/>
  <c r="A74" i="22"/>
  <c r="A75" i="22"/>
  <c r="A76" i="22"/>
  <c r="A52" i="22"/>
  <c r="A53" i="22"/>
  <c r="A54" i="22"/>
  <c r="A55" i="22"/>
  <c r="A56" i="22"/>
  <c r="A57" i="22"/>
  <c r="A58" i="22"/>
  <c r="A59" i="22"/>
  <c r="A60" i="22"/>
  <c r="A61" i="22"/>
  <c r="A62" i="22"/>
  <c r="A63" i="22"/>
  <c r="A64" i="22"/>
  <c r="A65" i="22"/>
  <c r="A66" i="22"/>
  <c r="A51" i="22"/>
  <c r="B68" i="1"/>
  <c r="B69" i="1"/>
  <c r="B70" i="1"/>
  <c r="C70" i="1"/>
  <c r="D70" i="1"/>
  <c r="E70" i="1"/>
  <c r="F70" i="1"/>
  <c r="G70" i="1"/>
  <c r="H70" i="1"/>
  <c r="C67" i="1"/>
  <c r="D67" i="1"/>
  <c r="E67" i="1"/>
  <c r="F67" i="1"/>
  <c r="G67" i="1"/>
  <c r="H67" i="1"/>
  <c r="I67" i="1"/>
  <c r="B67" i="1"/>
  <c r="D24" i="11"/>
  <c r="C69" i="1" s="1"/>
  <c r="E24" i="11"/>
  <c r="D69" i="1" s="1"/>
  <c r="F24" i="11"/>
  <c r="E69" i="1" s="1"/>
  <c r="G24" i="11"/>
  <c r="F69" i="1" s="1"/>
  <c r="H24" i="11"/>
  <c r="G69" i="1" s="1"/>
  <c r="I24" i="11"/>
  <c r="H69" i="1" s="1"/>
  <c r="E23" i="11"/>
  <c r="D68" i="1" s="1"/>
  <c r="F23" i="11"/>
  <c r="E68" i="1" s="1"/>
  <c r="G23" i="11"/>
  <c r="F68" i="1" s="1"/>
  <c r="H23" i="11"/>
  <c r="G68" i="1" s="1"/>
  <c r="I23" i="11"/>
  <c r="H68" i="1" s="1"/>
  <c r="D23" i="11"/>
  <c r="C68" i="1" s="1"/>
  <c r="J8" i="3"/>
  <c r="C8" i="22"/>
  <c r="C8" i="3"/>
  <c r="H11" i="25"/>
  <c r="C6" i="25"/>
  <c r="D6" i="25"/>
  <c r="E6" i="25"/>
  <c r="F6" i="25"/>
  <c r="G6" i="25"/>
  <c r="B6" i="25"/>
  <c r="C5" i="25"/>
  <c r="D5" i="25"/>
  <c r="E5" i="25"/>
  <c r="F5" i="25"/>
  <c r="G5" i="25"/>
  <c r="B5" i="25"/>
  <c r="A4" i="25"/>
  <c r="A5" i="25"/>
  <c r="H4" i="25"/>
  <c r="G4" i="25"/>
  <c r="C4" i="25"/>
  <c r="D4" i="25"/>
  <c r="E4" i="25"/>
  <c r="F4" i="25"/>
  <c r="B4" i="25"/>
  <c r="B3" i="9"/>
  <c r="B4" i="9"/>
  <c r="B5" i="9"/>
  <c r="B2" i="9"/>
  <c r="B3" i="24"/>
  <c r="B2" i="24"/>
  <c r="B15" i="24"/>
  <c r="C27" i="24"/>
  <c r="B27" i="24"/>
  <c r="B26" i="24"/>
  <c r="B25" i="24"/>
  <c r="B24" i="24"/>
  <c r="B23" i="24"/>
  <c r="B20" i="24"/>
  <c r="C19" i="24"/>
  <c r="B19" i="24"/>
  <c r="B18" i="24"/>
  <c r="B17" i="24"/>
  <c r="B16" i="24"/>
  <c r="B14" i="24"/>
  <c r="D6" i="8"/>
  <c r="C6" i="8"/>
  <c r="B6" i="8"/>
  <c r="G8" i="5"/>
  <c r="L8" i="18"/>
  <c r="O69" i="11"/>
  <c r="O72" i="11"/>
  <c r="O75" i="11"/>
  <c r="O78" i="11"/>
  <c r="O66" i="11"/>
  <c r="O63" i="11"/>
  <c r="O42" i="11"/>
  <c r="O45" i="11"/>
  <c r="O48" i="11"/>
  <c r="O51" i="11"/>
  <c r="O54" i="11"/>
  <c r="O57" i="11"/>
  <c r="O39" i="11"/>
  <c r="O33" i="11"/>
  <c r="R50" i="18"/>
  <c r="S48" i="18" s="1"/>
  <c r="J25" i="11"/>
  <c r="I70" i="1" s="1"/>
  <c r="A105" i="16"/>
  <c r="R38" i="18"/>
  <c r="S36" i="18" s="1"/>
  <c r="A10" i="28" s="1"/>
  <c r="H54" i="22"/>
  <c r="H55" i="22"/>
  <c r="C8" i="5"/>
  <c r="F8" i="18"/>
  <c r="D22" i="12"/>
  <c r="C22" i="12" s="1"/>
  <c r="E22" i="12"/>
  <c r="N6" i="9"/>
  <c r="R53" i="18" l="1"/>
  <c r="I18" i="28"/>
  <c r="E18" i="28"/>
  <c r="H22" i="24"/>
  <c r="H23" i="24"/>
  <c r="H18" i="24"/>
  <c r="E30" i="24"/>
  <c r="H30" i="24"/>
  <c r="H27" i="24"/>
  <c r="H19" i="24"/>
  <c r="H26" i="24"/>
  <c r="H17" i="24"/>
  <c r="H24" i="24"/>
  <c r="H15" i="24"/>
  <c r="H28" i="24"/>
  <c r="H12" i="24"/>
  <c r="H29" i="24"/>
  <c r="H14" i="24"/>
  <c r="H20" i="24"/>
  <c r="H25" i="24"/>
  <c r="H16" i="24"/>
  <c r="H21" i="24"/>
  <c r="R47" i="18"/>
  <c r="S45" i="18" s="1"/>
  <c r="R19" i="18"/>
  <c r="R20" i="18" s="1"/>
  <c r="R25" i="18"/>
  <c r="M63" i="11"/>
  <c r="N63" i="11" s="1"/>
  <c r="B22" i="24"/>
  <c r="L63" i="11"/>
  <c r="O5" i="9"/>
  <c r="N3" i="9"/>
  <c r="O3" i="9"/>
  <c r="O2" i="9"/>
  <c r="C2" i="9"/>
  <c r="C3" i="9"/>
  <c r="D24" i="24"/>
  <c r="M84" i="11"/>
  <c r="N84" i="11" s="1"/>
  <c r="D28" i="24"/>
  <c r="L57" i="11"/>
  <c r="D7" i="9"/>
  <c r="C24" i="22"/>
  <c r="C7" i="9" s="1"/>
  <c r="M57" i="11"/>
  <c r="N57" i="11" s="1"/>
  <c r="D20" i="24"/>
  <c r="L84" i="11"/>
  <c r="J5" i="9"/>
  <c r="D30" i="24"/>
  <c r="L81" i="11"/>
  <c r="H6" i="25"/>
  <c r="J24" i="11"/>
  <c r="I69" i="1" s="1"/>
  <c r="F105" i="16"/>
  <c r="B22" i="1" s="1"/>
  <c r="A6" i="8" s="1"/>
  <c r="L69" i="11"/>
  <c r="L72" i="11"/>
  <c r="S51" i="18"/>
  <c r="L87" i="11"/>
  <c r="H18" i="28"/>
  <c r="C19" i="28"/>
  <c r="H19" i="28"/>
  <c r="K10" i="28"/>
  <c r="I10" i="28"/>
  <c r="H10" i="28"/>
  <c r="D29" i="24"/>
  <c r="J3" i="9"/>
  <c r="B105" i="16"/>
  <c r="C8" i="1" s="1"/>
  <c r="G105" i="16"/>
  <c r="I14" i="1" s="1"/>
  <c r="B3" i="8" s="1"/>
  <c r="E19" i="28"/>
  <c r="L19" i="28"/>
  <c r="J19" i="28"/>
  <c r="K19" i="28"/>
  <c r="G19" i="28"/>
  <c r="D19" i="28"/>
  <c r="J10" i="28"/>
  <c r="C10" i="28"/>
  <c r="G10" i="28"/>
  <c r="L10" i="28"/>
  <c r="D10" i="28"/>
  <c r="M10" i="28"/>
  <c r="A20" i="28"/>
  <c r="I20" i="28" s="1"/>
  <c r="K18" i="28"/>
  <c r="L18" i="28"/>
  <c r="F18" i="28"/>
  <c r="D18" i="28"/>
  <c r="C18" i="28"/>
  <c r="J18" i="28"/>
  <c r="G18" i="28"/>
  <c r="M18" i="28"/>
  <c r="M81" i="11"/>
  <c r="N81" i="11" s="1"/>
  <c r="E105" i="16"/>
  <c r="C105" i="16"/>
  <c r="C10" i="1" s="1"/>
  <c r="D105" i="16"/>
  <c r="K12" i="28"/>
  <c r="J12" i="28"/>
  <c r="C12" i="28"/>
  <c r="I12" i="28"/>
  <c r="D12" i="28"/>
  <c r="E12" i="28"/>
  <c r="G12" i="28"/>
  <c r="M12" i="28"/>
  <c r="J23" i="11"/>
  <c r="I68" i="1" s="1"/>
  <c r="G33" i="12"/>
  <c r="F51" i="22" s="1"/>
  <c r="H5" i="25"/>
  <c r="L12" i="28"/>
  <c r="F12" i="28"/>
  <c r="A14" i="28"/>
  <c r="M69" i="11"/>
  <c r="N69" i="11" s="1"/>
  <c r="D19" i="24"/>
  <c r="L54" i="11"/>
  <c r="D25" i="24"/>
  <c r="D27" i="24"/>
  <c r="L78" i="11"/>
  <c r="E10" i="28"/>
  <c r="F10" i="28"/>
  <c r="F19" i="28"/>
  <c r="M19" i="28"/>
  <c r="S12" i="18" l="1"/>
  <c r="R26" i="18"/>
  <c r="L66" i="11"/>
  <c r="D23" i="24"/>
  <c r="E28" i="24"/>
  <c r="E20" i="24"/>
  <c r="E29" i="24"/>
  <c r="E24" i="24"/>
  <c r="E22" i="24"/>
  <c r="C26" i="24"/>
  <c r="R56" i="18"/>
  <c r="R32" i="18"/>
  <c r="C14" i="24"/>
  <c r="C15" i="24"/>
  <c r="R23" i="18"/>
  <c r="N2" i="9"/>
  <c r="N5" i="9"/>
  <c r="N4" i="9"/>
  <c r="S39" i="18"/>
  <c r="B21" i="24"/>
  <c r="L60" i="11"/>
  <c r="C20" i="28"/>
  <c r="H20" i="28"/>
  <c r="I14" i="28"/>
  <c r="H14" i="28"/>
  <c r="A27" i="12"/>
  <c r="B27" i="12" s="1"/>
  <c r="F6" i="18"/>
  <c r="C6" i="22"/>
  <c r="C6" i="5"/>
  <c r="C6" i="3"/>
  <c r="J20" i="28"/>
  <c r="G20" i="28"/>
  <c r="L20" i="28"/>
  <c r="M20" i="28"/>
  <c r="D20" i="28"/>
  <c r="E20" i="28"/>
  <c r="K20" i="28"/>
  <c r="F20" i="28"/>
  <c r="C18" i="24"/>
  <c r="A9" i="28"/>
  <c r="M54" i="11"/>
  <c r="N54" i="11" s="1"/>
  <c r="M66" i="11"/>
  <c r="N66" i="11" s="1"/>
  <c r="A13" i="28"/>
  <c r="A17" i="28"/>
  <c r="M78" i="11"/>
  <c r="N78" i="11" s="1"/>
  <c r="M72" i="11"/>
  <c r="N72" i="11" s="1"/>
  <c r="A15" i="28"/>
  <c r="L33" i="11"/>
  <c r="B12" i="24"/>
  <c r="D14" i="28"/>
  <c r="J14" i="28"/>
  <c r="K14" i="28"/>
  <c r="L14" i="28"/>
  <c r="M14" i="28"/>
  <c r="F14" i="28"/>
  <c r="C14" i="28"/>
  <c r="G14" i="28"/>
  <c r="E14" i="28"/>
  <c r="S24" i="18" l="1"/>
  <c r="D16" i="24"/>
  <c r="L45" i="11"/>
  <c r="C16" i="24"/>
  <c r="R28" i="18"/>
  <c r="A25" i="22"/>
  <c r="A8" i="9" s="1"/>
  <c r="A21" i="22"/>
  <c r="A19" i="22"/>
  <c r="A22" i="22"/>
  <c r="A24" i="22"/>
  <c r="A7" i="9" s="1"/>
  <c r="A20" i="22"/>
  <c r="A23" i="22"/>
  <c r="A6" i="26"/>
  <c r="H13" i="26" s="1"/>
  <c r="A5" i="26"/>
  <c r="A7" i="26"/>
  <c r="H37" i="26" s="1"/>
  <c r="E37" i="26" s="1"/>
  <c r="A4" i="26"/>
  <c r="A8" i="26"/>
  <c r="A3" i="26"/>
  <c r="A2" i="26"/>
  <c r="E25" i="24"/>
  <c r="E27" i="24"/>
  <c r="E23" i="24"/>
  <c r="E19" i="24"/>
  <c r="S21" i="18"/>
  <c r="D15" i="24"/>
  <c r="L42" i="11"/>
  <c r="S18" i="18"/>
  <c r="D14" i="24"/>
  <c r="L39" i="11"/>
  <c r="S30" i="18"/>
  <c r="L51" i="11"/>
  <c r="D18" i="24"/>
  <c r="D26" i="24"/>
  <c r="L75" i="11"/>
  <c r="S54" i="18"/>
  <c r="A11" i="28"/>
  <c r="M60" i="11"/>
  <c r="N60" i="11" s="1"/>
  <c r="I9" i="28"/>
  <c r="H9" i="28"/>
  <c r="I15" i="28"/>
  <c r="H15" i="28"/>
  <c r="H17" i="28"/>
  <c r="I17" i="28"/>
  <c r="H13" i="28"/>
  <c r="I13" i="28"/>
  <c r="M33" i="11"/>
  <c r="N33" i="11" s="1"/>
  <c r="A2" i="28"/>
  <c r="H2" i="28" s="1"/>
  <c r="D17" i="28"/>
  <c r="E17" i="28"/>
  <c r="C17" i="28"/>
  <c r="M17" i="28"/>
  <c r="G17" i="28"/>
  <c r="J17" i="28"/>
  <c r="L17" i="28"/>
  <c r="F17" i="28"/>
  <c r="K17" i="28"/>
  <c r="F9" i="28"/>
  <c r="L9" i="28"/>
  <c r="K9" i="28"/>
  <c r="G9" i="28"/>
  <c r="D9" i="28"/>
  <c r="E9" i="28"/>
  <c r="C9" i="28"/>
  <c r="J9" i="28"/>
  <c r="M9" i="28"/>
  <c r="K15" i="28"/>
  <c r="D15" i="28"/>
  <c r="M15" i="28"/>
  <c r="G15" i="28"/>
  <c r="E15" i="28"/>
  <c r="L15" i="28"/>
  <c r="F15" i="28"/>
  <c r="J15" i="28"/>
  <c r="C15" i="28"/>
  <c r="D13" i="28"/>
  <c r="J13" i="28"/>
  <c r="L13" i="28"/>
  <c r="G13" i="28"/>
  <c r="C13" i="28"/>
  <c r="K13" i="28"/>
  <c r="E13" i="28"/>
  <c r="M13" i="28"/>
  <c r="F13" i="28"/>
  <c r="H34" i="26" l="1"/>
  <c r="E34" i="26" s="1"/>
  <c r="H11" i="26"/>
  <c r="E11" i="26" s="1"/>
  <c r="H32" i="26"/>
  <c r="E32" i="26" s="1"/>
  <c r="H9" i="26"/>
  <c r="E9" i="26" s="1"/>
  <c r="H33" i="26"/>
  <c r="E33" i="26" s="1"/>
  <c r="H10" i="26"/>
  <c r="E10" i="26" s="1"/>
  <c r="H35" i="26"/>
  <c r="E35" i="26" s="1"/>
  <c r="H12" i="26"/>
  <c r="E12" i="26" s="1"/>
  <c r="O28" i="22"/>
  <c r="C17" i="24"/>
  <c r="R29" i="18"/>
  <c r="M45" i="11"/>
  <c r="N45" i="11" s="1"/>
  <c r="E16" i="24" s="1"/>
  <c r="A6" i="28"/>
  <c r="G37" i="26"/>
  <c r="F37" i="26"/>
  <c r="J37" i="26"/>
  <c r="I37" i="26"/>
  <c r="H30" i="26"/>
  <c r="E30" i="26" s="1"/>
  <c r="H38" i="26"/>
  <c r="E38" i="26" s="1"/>
  <c r="H8" i="26"/>
  <c r="E8" i="26" s="1"/>
  <c r="H20" i="26"/>
  <c r="E20" i="26" s="1"/>
  <c r="H6" i="26"/>
  <c r="E6" i="26" s="1"/>
  <c r="H36" i="26"/>
  <c r="E36" i="26" s="1"/>
  <c r="E21" i="24"/>
  <c r="E12" i="24"/>
  <c r="H3" i="26"/>
  <c r="E3" i="26" s="1"/>
  <c r="H4" i="26"/>
  <c r="E4" i="26" s="1"/>
  <c r="H5" i="26"/>
  <c r="E5" i="26" s="1"/>
  <c r="H31" i="26"/>
  <c r="E31" i="26" s="1"/>
  <c r="H23" i="26"/>
  <c r="E23" i="26" s="1"/>
  <c r="H7" i="26"/>
  <c r="E7" i="26" s="1"/>
  <c r="H29" i="26"/>
  <c r="E29" i="26" s="1"/>
  <c r="A8" i="28"/>
  <c r="M51" i="11"/>
  <c r="N51" i="11" s="1"/>
  <c r="M75" i="11"/>
  <c r="N75" i="11" s="1"/>
  <c r="A16" i="28"/>
  <c r="A4" i="28"/>
  <c r="M39" i="11"/>
  <c r="N39" i="11" s="1"/>
  <c r="A5" i="28"/>
  <c r="M42" i="11"/>
  <c r="N42" i="11" s="1"/>
  <c r="H2" i="26"/>
  <c r="E2" i="26" s="1"/>
  <c r="A4" i="9"/>
  <c r="A3" i="9"/>
  <c r="A6" i="9"/>
  <c r="A2" i="9"/>
  <c r="F11" i="28"/>
  <c r="E11" i="28"/>
  <c r="I11" i="28"/>
  <c r="J11" i="28"/>
  <c r="C11" i="28"/>
  <c r="H11" i="28"/>
  <c r="L11" i="28"/>
  <c r="G11" i="28"/>
  <c r="K11" i="28"/>
  <c r="M11" i="28"/>
  <c r="D11" i="28"/>
  <c r="H24" i="26"/>
  <c r="E24" i="26" s="1"/>
  <c r="H16" i="26"/>
  <c r="E16" i="26" s="1"/>
  <c r="H17" i="26"/>
  <c r="E17" i="26" s="1"/>
  <c r="E13" i="26"/>
  <c r="A5" i="9"/>
  <c r="H28" i="26"/>
  <c r="E28" i="26" s="1"/>
  <c r="H26" i="26"/>
  <c r="E26" i="26" s="1"/>
  <c r="H18" i="26"/>
  <c r="E18" i="26" s="1"/>
  <c r="H19" i="26"/>
  <c r="E19" i="26" s="1"/>
  <c r="H27" i="26"/>
  <c r="E27" i="26" s="1"/>
  <c r="H25" i="26"/>
  <c r="E25" i="26" s="1"/>
  <c r="C2" i="28"/>
  <c r="J2" i="28"/>
  <c r="L2" i="28"/>
  <c r="M2" i="28"/>
  <c r="K2" i="28"/>
  <c r="F2" i="28"/>
  <c r="D2" i="28"/>
  <c r="G2" i="28"/>
  <c r="I2" i="28"/>
  <c r="E2" i="28"/>
  <c r="O25" i="26" a="1"/>
  <c r="F32" i="26" l="1"/>
  <c r="J32" i="26"/>
  <c r="G32" i="26"/>
  <c r="I32" i="26"/>
  <c r="O25" i="26"/>
  <c r="C25" i="27" s="1"/>
  <c r="C6" i="28"/>
  <c r="I6" i="28"/>
  <c r="J6" i="28"/>
  <c r="H6" i="28"/>
  <c r="L6" i="28"/>
  <c r="F6" i="28"/>
  <c r="G6" i="28"/>
  <c r="M6" i="28"/>
  <c r="K6" i="28"/>
  <c r="E6" i="28"/>
  <c r="D6" i="28"/>
  <c r="S27" i="18"/>
  <c r="D17" i="24"/>
  <c r="L48" i="11"/>
  <c r="B21" i="12"/>
  <c r="C21" i="12" s="1"/>
  <c r="D17" i="12"/>
  <c r="D21" i="12"/>
  <c r="D19" i="12"/>
  <c r="D16" i="12"/>
  <c r="D15" i="12"/>
  <c r="B19" i="12"/>
  <c r="C19" i="12" s="1"/>
  <c r="B15" i="12"/>
  <c r="C15" i="12" s="1"/>
  <c r="F36" i="26"/>
  <c r="G36" i="26"/>
  <c r="J36" i="26"/>
  <c r="I36" i="26"/>
  <c r="J38" i="26"/>
  <c r="F38" i="26"/>
  <c r="G38" i="26"/>
  <c r="I38" i="26"/>
  <c r="J30" i="26"/>
  <c r="F30" i="26"/>
  <c r="G30" i="26"/>
  <c r="F8" i="26"/>
  <c r="G8" i="26"/>
  <c r="J8" i="26"/>
  <c r="E26" i="24"/>
  <c r="E15" i="24"/>
  <c r="E18" i="24"/>
  <c r="E14" i="24"/>
  <c r="J4" i="26"/>
  <c r="G4" i="26"/>
  <c r="F4" i="26"/>
  <c r="J5" i="26"/>
  <c r="F5" i="26"/>
  <c r="G5" i="26"/>
  <c r="J9" i="26"/>
  <c r="F29" i="26"/>
  <c r="F7" i="26"/>
  <c r="J7" i="26"/>
  <c r="G29" i="26"/>
  <c r="J29" i="26"/>
  <c r="G7" i="26"/>
  <c r="G9" i="26"/>
  <c r="H4" i="28"/>
  <c r="M4" i="28"/>
  <c r="I4" i="28"/>
  <c r="K4" i="28"/>
  <c r="C4" i="28"/>
  <c r="F4" i="28"/>
  <c r="J4" i="28"/>
  <c r="D4" i="28"/>
  <c r="L4" i="28"/>
  <c r="G4" i="28"/>
  <c r="E4" i="28"/>
  <c r="K16" i="28"/>
  <c r="H16" i="28"/>
  <c r="I16" i="28"/>
  <c r="F16" i="28"/>
  <c r="D16" i="28"/>
  <c r="J16" i="28"/>
  <c r="M16" i="28"/>
  <c r="E16" i="28"/>
  <c r="G16" i="28"/>
  <c r="C16" i="28"/>
  <c r="L16" i="28"/>
  <c r="J5" i="28"/>
  <c r="G5" i="28"/>
  <c r="K5" i="28"/>
  <c r="E5" i="28"/>
  <c r="I5" i="28"/>
  <c r="H5" i="28"/>
  <c r="F5" i="28"/>
  <c r="M5" i="28"/>
  <c r="C5" i="28"/>
  <c r="D5" i="28"/>
  <c r="L5" i="28"/>
  <c r="K8" i="28"/>
  <c r="C8" i="28"/>
  <c r="D8" i="28"/>
  <c r="J8" i="28"/>
  <c r="M8" i="28"/>
  <c r="E8" i="28"/>
  <c r="L8" i="28"/>
  <c r="G8" i="28"/>
  <c r="H8" i="28"/>
  <c r="F8" i="28"/>
  <c r="I8" i="28"/>
  <c r="F9" i="26"/>
  <c r="F6" i="26"/>
  <c r="G6" i="26"/>
  <c r="G34" i="26"/>
  <c r="F34" i="26"/>
  <c r="G11" i="26"/>
  <c r="G16" i="26"/>
  <c r="G2" i="26"/>
  <c r="F28" i="26"/>
  <c r="G19" i="26"/>
  <c r="J19" i="26"/>
  <c r="J13" i="26"/>
  <c r="F16" i="26"/>
  <c r="J24" i="26"/>
  <c r="G31" i="26"/>
  <c r="J34" i="26"/>
  <c r="J6" i="26"/>
  <c r="J26" i="26"/>
  <c r="F13" i="26"/>
  <c r="G27" i="26"/>
  <c r="F24" i="26"/>
  <c r="F26" i="26"/>
  <c r="J28" i="26"/>
  <c r="J20" i="26"/>
  <c r="J11" i="26"/>
  <c r="G24" i="26"/>
  <c r="G20" i="26"/>
  <c r="F20" i="26"/>
  <c r="J17" i="26"/>
  <c r="F11" i="26"/>
  <c r="G13" i="26"/>
  <c r="G12" i="26"/>
  <c r="G18" i="26"/>
  <c r="F17" i="26"/>
  <c r="G17" i="26"/>
  <c r="G28" i="26"/>
  <c r="F18" i="26"/>
  <c r="F2" i="26"/>
  <c r="G26" i="26"/>
  <c r="J2" i="26"/>
  <c r="J33" i="26"/>
  <c r="G33" i="26"/>
  <c r="F33" i="26"/>
  <c r="J16" i="26"/>
  <c r="J35" i="26"/>
  <c r="F35" i="26"/>
  <c r="E21" i="12"/>
  <c r="B17" i="12"/>
  <c r="C17" i="12" s="1"/>
  <c r="E17" i="12"/>
  <c r="F19" i="26"/>
  <c r="F27" i="26"/>
  <c r="G3" i="26"/>
  <c r="J27" i="26"/>
  <c r="G25" i="26"/>
  <c r="F3" i="26"/>
  <c r="J25" i="26"/>
  <c r="J18" i="26"/>
  <c r="E15" i="12"/>
  <c r="F12" i="26"/>
  <c r="E16" i="12"/>
  <c r="G35" i="26"/>
  <c r="E19" i="12"/>
  <c r="G10" i="26"/>
  <c r="J10" i="26"/>
  <c r="J12" i="26"/>
  <c r="F10" i="26"/>
  <c r="J3" i="26"/>
  <c r="B16" i="12"/>
  <c r="C16" i="12" s="1"/>
  <c r="F25" i="26"/>
  <c r="E18" i="12"/>
  <c r="G23" i="26"/>
  <c r="F23" i="26"/>
  <c r="D18" i="12"/>
  <c r="C18" i="12" s="1"/>
  <c r="J23" i="26"/>
  <c r="O29" i="26" a="1"/>
  <c r="L34" i="26" a="1"/>
  <c r="O3" i="26" a="1"/>
  <c r="L26" i="26" a="1"/>
  <c r="O19" i="26" a="1"/>
  <c r="O6" i="26" a="1"/>
  <c r="O33" i="26" a="1"/>
  <c r="L36" i="26" a="1"/>
  <c r="O23" i="26" a="1"/>
  <c r="L21" i="26" a="1"/>
  <c r="O9" i="26" a="1"/>
  <c r="O31" i="26" a="1"/>
  <c r="L35" i="26" a="1"/>
  <c r="O38" i="26" a="1"/>
  <c r="O39" i="26" a="1"/>
  <c r="L29" i="26" a="1"/>
  <c r="L27" i="26" a="1"/>
  <c r="L3" i="26" a="1"/>
  <c r="O17" i="26" a="1"/>
  <c r="O13" i="26" a="1"/>
  <c r="L12" i="26" a="1"/>
  <c r="L10" i="26" a="1"/>
  <c r="O18" i="26" a="1"/>
  <c r="O24" i="26" a="1"/>
  <c r="O34" i="26" a="1"/>
  <c r="L9" i="26" a="1"/>
  <c r="L22" i="26" a="1"/>
  <c r="L30" i="26" a="1"/>
  <c r="L11" i="26" a="1"/>
  <c r="L17" i="26" a="1"/>
  <c r="O4" i="26" a="1"/>
  <c r="L39" i="26" a="1"/>
  <c r="L24" i="26" a="1"/>
  <c r="O11" i="26" a="1"/>
  <c r="L20" i="26" a="1"/>
  <c r="O20" i="26" a="1"/>
  <c r="O28" i="26" a="1"/>
  <c r="O10" i="26" a="1"/>
  <c r="O37" i="26" a="1"/>
  <c r="L28" i="26" a="1"/>
  <c r="L4" i="26" a="1"/>
  <c r="O14" i="26" a="1"/>
  <c r="L31" i="26" a="1"/>
  <c r="O27" i="26" a="1"/>
  <c r="L14" i="26" a="1"/>
  <c r="O36" i="26" a="1"/>
  <c r="L23" i="26" a="1"/>
  <c r="O7" i="26" a="1"/>
  <c r="O21" i="26" a="1"/>
  <c r="O16" i="26" a="1"/>
  <c r="L16" i="26" a="1"/>
  <c r="O26" i="26" a="1"/>
  <c r="L19" i="26" a="1"/>
  <c r="L38" i="26" a="1"/>
  <c r="L33" i="26" a="1"/>
  <c r="L32" i="26" a="1"/>
  <c r="O22" i="26" a="1"/>
  <c r="O5" i="26" a="1"/>
  <c r="L15" i="26" a="1"/>
  <c r="O15" i="26" a="1"/>
  <c r="L5" i="26" a="1"/>
  <c r="L7" i="26" a="1"/>
  <c r="L8" i="26" a="1"/>
  <c r="L13" i="26" a="1"/>
  <c r="O30" i="26" a="1"/>
  <c r="O32" i="26" a="1"/>
  <c r="L37" i="26" a="1"/>
  <c r="O12" i="26" a="1"/>
  <c r="L6" i="26" a="1"/>
  <c r="L18" i="26" a="1"/>
  <c r="L25" i="26" a="1"/>
  <c r="O8" i="26" a="1"/>
  <c r="O35" i="26" a="1"/>
  <c r="N22" i="26" a="1"/>
  <c r="N33" i="26" a="1"/>
  <c r="N7" i="26" a="1"/>
  <c r="O28" i="26" l="1"/>
  <c r="C28" i="27" s="1"/>
  <c r="O29" i="26"/>
  <c r="C29" i="27" s="1"/>
  <c r="G5" i="11"/>
  <c r="G8" i="11" s="1"/>
  <c r="D5" i="11"/>
  <c r="C5" i="11"/>
  <c r="F5" i="11"/>
  <c r="F8" i="11" s="1"/>
  <c r="G81" i="18" s="1"/>
  <c r="H5" i="11"/>
  <c r="E5" i="11"/>
  <c r="O3" i="26"/>
  <c r="C3" i="27" s="1"/>
  <c r="O8" i="26"/>
  <c r="C8" i="27" s="1"/>
  <c r="O26" i="26"/>
  <c r="C26" i="27" s="1"/>
  <c r="O9" i="26"/>
  <c r="C9" i="27" s="1"/>
  <c r="O22" i="26"/>
  <c r="C22" i="27" s="1"/>
  <c r="O11" i="26"/>
  <c r="C11" i="27" s="1"/>
  <c r="O27" i="26"/>
  <c r="C27" i="27" s="1"/>
  <c r="O15" i="26"/>
  <c r="C15" i="27" s="1"/>
  <c r="O35" i="26"/>
  <c r="C35" i="27" s="1"/>
  <c r="O4" i="26"/>
  <c r="C4" i="27" s="1"/>
  <c r="O33" i="26"/>
  <c r="C33" i="27" s="1"/>
  <c r="O5" i="26"/>
  <c r="C5" i="27" s="1"/>
  <c r="O39" i="26"/>
  <c r="C39" i="27" s="1"/>
  <c r="O18" i="26"/>
  <c r="C18" i="27" s="1"/>
  <c r="O19" i="26"/>
  <c r="C19" i="27" s="1"/>
  <c r="O21" i="26"/>
  <c r="C21" i="27" s="1"/>
  <c r="O12" i="26"/>
  <c r="C12" i="27" s="1"/>
  <c r="O6" i="26"/>
  <c r="C6" i="27" s="1"/>
  <c r="O36" i="26"/>
  <c r="C36" i="27" s="1"/>
  <c r="O14" i="26"/>
  <c r="C14" i="27" s="1"/>
  <c r="O10" i="26"/>
  <c r="C10" i="27" s="1"/>
  <c r="O7" i="26"/>
  <c r="C7" i="27" s="1"/>
  <c r="O20" i="26"/>
  <c r="C20" i="27" s="1"/>
  <c r="O16" i="26"/>
  <c r="C16" i="27" s="1"/>
  <c r="O30" i="26"/>
  <c r="C30" i="27" s="1"/>
  <c r="O23" i="26"/>
  <c r="C23" i="27" s="1"/>
  <c r="O31" i="26"/>
  <c r="C31" i="27" s="1"/>
  <c r="O34" i="26"/>
  <c r="C34" i="27" s="1"/>
  <c r="O24" i="26"/>
  <c r="C24" i="27" s="1"/>
  <c r="O38" i="26"/>
  <c r="C38" i="27" s="1"/>
  <c r="O37" i="26"/>
  <c r="C37" i="27" s="1"/>
  <c r="O32" i="26"/>
  <c r="C32" i="27" s="1"/>
  <c r="O17" i="26"/>
  <c r="C17" i="27" s="1"/>
  <c r="O13" i="26"/>
  <c r="C13" i="27" s="1"/>
  <c r="L14" i="26"/>
  <c r="A14" i="27" s="1"/>
  <c r="L20" i="26"/>
  <c r="A20" i="27" s="1"/>
  <c r="L26" i="26"/>
  <c r="A26" i="27" s="1"/>
  <c r="L32" i="26"/>
  <c r="A32" i="27" s="1"/>
  <c r="L38" i="26"/>
  <c r="A38" i="27" s="1"/>
  <c r="L16" i="26"/>
  <c r="A16" i="27" s="1"/>
  <c r="L25" i="26"/>
  <c r="A25" i="27" s="1"/>
  <c r="L34" i="26"/>
  <c r="A34" i="27" s="1"/>
  <c r="L37" i="26"/>
  <c r="A37" i="27" s="1"/>
  <c r="L39" i="26"/>
  <c r="A39" i="27" s="1"/>
  <c r="L10" i="26"/>
  <c r="A10" i="27" s="1"/>
  <c r="L13" i="26"/>
  <c r="A13" i="27" s="1"/>
  <c r="L19" i="26"/>
  <c r="A19" i="27" s="1"/>
  <c r="L22" i="26"/>
  <c r="A22" i="27" s="1"/>
  <c r="L28" i="26"/>
  <c r="A28" i="27" s="1"/>
  <c r="L31" i="26"/>
  <c r="A31" i="27" s="1"/>
  <c r="L9" i="26"/>
  <c r="A9" i="27" s="1"/>
  <c r="L12" i="26"/>
  <c r="A12" i="27" s="1"/>
  <c r="L18" i="26"/>
  <c r="A18" i="27" s="1"/>
  <c r="L24" i="26"/>
  <c r="A24" i="27" s="1"/>
  <c r="L27" i="26"/>
  <c r="A27" i="27" s="1"/>
  <c r="L33" i="26"/>
  <c r="A33" i="27" s="1"/>
  <c r="L15" i="26"/>
  <c r="A15" i="27" s="1"/>
  <c r="L21" i="26"/>
  <c r="A21" i="27" s="1"/>
  <c r="L30" i="26"/>
  <c r="A30" i="27" s="1"/>
  <c r="L36" i="26"/>
  <c r="A36" i="27" s="1"/>
  <c r="L8" i="26"/>
  <c r="A8" i="27" s="1"/>
  <c r="L11" i="26"/>
  <c r="A11" i="27" s="1"/>
  <c r="L17" i="26"/>
  <c r="A17" i="27" s="1"/>
  <c r="L23" i="26"/>
  <c r="A23" i="27" s="1"/>
  <c r="L29" i="26"/>
  <c r="A29" i="27" s="1"/>
  <c r="L35" i="26"/>
  <c r="A35" i="27" s="1"/>
  <c r="L3" i="26"/>
  <c r="A3" i="27" s="1"/>
  <c r="L6" i="26"/>
  <c r="A6" i="27" s="1"/>
  <c r="L5" i="26"/>
  <c r="A5" i="27" s="1"/>
  <c r="L4" i="26"/>
  <c r="A4" i="27" s="1"/>
  <c r="L7" i="26"/>
  <c r="A7" i="27" s="1"/>
  <c r="N22" i="26"/>
  <c r="B22" i="27" s="1"/>
  <c r="N33" i="26"/>
  <c r="B33" i="27" s="1"/>
  <c r="N7" i="26"/>
  <c r="B7" i="27" s="1"/>
  <c r="M48" i="11"/>
  <c r="N48" i="11" s="1"/>
  <c r="E17" i="24" s="1"/>
  <c r="A7" i="28"/>
  <c r="J41" i="26"/>
  <c r="F6" i="12" s="1"/>
  <c r="V13" i="22" s="1"/>
  <c r="J44" i="26"/>
  <c r="D6" i="12" s="1"/>
  <c r="J42" i="26"/>
  <c r="E6" i="12" s="1"/>
  <c r="P13" i="22" s="1"/>
  <c r="E20" i="12"/>
  <c r="F31" i="26"/>
  <c r="D20" i="12"/>
  <c r="C20" i="12" s="1"/>
  <c r="H21" i="12" s="1" a="1"/>
  <c r="H21" i="12" s="1"/>
  <c r="C23" i="5" s="1"/>
  <c r="J31" i="26"/>
  <c r="J43" i="26" s="1"/>
  <c r="N21" i="26" a="1"/>
  <c r="N13" i="26" a="1"/>
  <c r="N4" i="26" a="1"/>
  <c r="N25" i="26" a="1"/>
  <c r="N6" i="26" a="1"/>
  <c r="N26" i="26" a="1"/>
  <c r="N16" i="26" a="1"/>
  <c r="M15" i="26" a="1"/>
  <c r="N23" i="26" a="1"/>
  <c r="N29" i="26" a="1"/>
  <c r="N36" i="26" a="1"/>
  <c r="N3" i="26" a="1"/>
  <c r="N28" i="26" a="1"/>
  <c r="N11" i="26" a="1"/>
  <c r="N37" i="26" a="1"/>
  <c r="N31" i="26" a="1"/>
  <c r="N19" i="26" a="1"/>
  <c r="N14" i="26" a="1"/>
  <c r="N35" i="26" a="1"/>
  <c r="N30" i="26" a="1"/>
  <c r="N17" i="26" a="1"/>
  <c r="N8" i="26" a="1"/>
  <c r="N12" i="26" a="1"/>
  <c r="N38" i="26" a="1"/>
  <c r="M19" i="26" a="1"/>
  <c r="N32" i="26" a="1"/>
  <c r="N9" i="26" a="1"/>
  <c r="N10" i="26" a="1"/>
  <c r="M8" i="26" a="1"/>
  <c r="N27" i="26" a="1"/>
  <c r="N18" i="26" a="1"/>
  <c r="M21" i="26" a="1"/>
  <c r="N24" i="26" a="1"/>
  <c r="M6" i="26" a="1"/>
  <c r="N39" i="26" a="1"/>
  <c r="M34" i="26" a="1"/>
  <c r="M38" i="26" a="1"/>
  <c r="N5" i="26" a="1"/>
  <c r="N15" i="26" a="1"/>
  <c r="N34" i="26" a="1"/>
  <c r="N20" i="26" a="1"/>
  <c r="M28" i="26" a="1"/>
  <c r="N6" i="26" l="1"/>
  <c r="B6" i="27" s="1"/>
  <c r="N5" i="26"/>
  <c r="B5" i="27" s="1"/>
  <c r="N11" i="26"/>
  <c r="B11" i="27" s="1"/>
  <c r="N32" i="26"/>
  <c r="B32" i="27" s="1"/>
  <c r="N30" i="26"/>
  <c r="B30" i="27" s="1"/>
  <c r="N25" i="26"/>
  <c r="B25" i="27" s="1"/>
  <c r="N12" i="26"/>
  <c r="B12" i="27" s="1"/>
  <c r="N29" i="26"/>
  <c r="B29" i="27" s="1"/>
  <c r="G80" i="18"/>
  <c r="N27" i="26"/>
  <c r="B27" i="27" s="1"/>
  <c r="N31" i="26"/>
  <c r="B31" i="27" s="1"/>
  <c r="N8" i="26"/>
  <c r="B8" i="27" s="1"/>
  <c r="N23" i="26"/>
  <c r="B23" i="27" s="1"/>
  <c r="N10" i="26"/>
  <c r="B10" i="27" s="1"/>
  <c r="N26" i="26"/>
  <c r="B26" i="27" s="1"/>
  <c r="N15" i="26"/>
  <c r="B15" i="27" s="1"/>
  <c r="N9" i="26"/>
  <c r="B9" i="27" s="1"/>
  <c r="N21" i="26"/>
  <c r="B21" i="27" s="1"/>
  <c r="N39" i="26"/>
  <c r="B39" i="27" s="1"/>
  <c r="N4" i="26"/>
  <c r="B4" i="27" s="1"/>
  <c r="N20" i="26"/>
  <c r="B20" i="27" s="1"/>
  <c r="N16" i="26"/>
  <c r="B16" i="27" s="1"/>
  <c r="N38" i="26"/>
  <c r="B38" i="27" s="1"/>
  <c r="N34" i="26"/>
  <c r="B34" i="27" s="1"/>
  <c r="N17" i="26"/>
  <c r="B17" i="27" s="1"/>
  <c r="N18" i="26"/>
  <c r="B18" i="27" s="1"/>
  <c r="N13" i="26"/>
  <c r="B13" i="27" s="1"/>
  <c r="N36" i="26"/>
  <c r="B36" i="27" s="1"/>
  <c r="N19" i="26"/>
  <c r="B19" i="27" s="1"/>
  <c r="N24" i="26"/>
  <c r="B24" i="27" s="1"/>
  <c r="N37" i="26"/>
  <c r="B37" i="27" s="1"/>
  <c r="N14" i="26"/>
  <c r="B14" i="27" s="1"/>
  <c r="N3" i="26"/>
  <c r="B3" i="27" s="1"/>
  <c r="N35" i="26"/>
  <c r="B35" i="27" s="1"/>
  <c r="N28" i="26"/>
  <c r="B28" i="27" s="1"/>
  <c r="M6" i="26"/>
  <c r="M34" i="26"/>
  <c r="M28" i="26"/>
  <c r="M19" i="26"/>
  <c r="M8" i="26"/>
  <c r="M38" i="26"/>
  <c r="M21" i="26"/>
  <c r="M15" i="26"/>
  <c r="H9" i="11"/>
  <c r="H8" i="11"/>
  <c r="D9" i="11"/>
  <c r="D6" i="11"/>
  <c r="D8" i="11"/>
  <c r="K5" i="11"/>
  <c r="C8" i="11"/>
  <c r="I5" i="11"/>
  <c r="E8" i="11"/>
  <c r="E9" i="11"/>
  <c r="E6" i="11"/>
  <c r="D7" i="28"/>
  <c r="H7" i="28"/>
  <c r="J7" i="28"/>
  <c r="K7" i="28"/>
  <c r="C7" i="28"/>
  <c r="G7" i="28"/>
  <c r="E7" i="28"/>
  <c r="L7" i="28"/>
  <c r="M7" i="28"/>
  <c r="F7" i="28"/>
  <c r="I7" i="28"/>
  <c r="G9" i="11"/>
  <c r="G6" i="11"/>
  <c r="G7" i="11" s="1"/>
  <c r="E13" i="5"/>
  <c r="K13" i="22"/>
  <c r="C6" i="12"/>
  <c r="D13" i="5" s="1"/>
  <c r="G13" i="5"/>
  <c r="H17" i="12" a="1"/>
  <c r="H17" i="12" s="1"/>
  <c r="C19" i="5" s="1"/>
  <c r="G22" i="12" a="1"/>
  <c r="G22" i="12" s="1"/>
  <c r="G21" i="12" a="1"/>
  <c r="G21" i="12" s="1"/>
  <c r="B23" i="5" s="1"/>
  <c r="G17" i="12" a="1"/>
  <c r="G17" i="12" s="1"/>
  <c r="B19" i="5" s="1"/>
  <c r="G20" i="12" a="1"/>
  <c r="G20" i="12" s="1"/>
  <c r="B22" i="5" s="1"/>
  <c r="I16" i="12" a="1"/>
  <c r="I16" i="12" s="1"/>
  <c r="J16" i="12" s="1"/>
  <c r="H16" i="12" a="1"/>
  <c r="H16" i="12" s="1"/>
  <c r="C18" i="5" s="1"/>
  <c r="H19" i="12" a="1"/>
  <c r="H19" i="12" s="1"/>
  <c r="C21" i="5" s="1"/>
  <c r="H15" i="12" a="1"/>
  <c r="H15" i="12" s="1"/>
  <c r="C17" i="5" s="1"/>
  <c r="H18" i="12" a="1"/>
  <c r="H18" i="12" s="1"/>
  <c r="C20" i="5" s="1"/>
  <c r="I22" i="12" a="1"/>
  <c r="I22" i="12" s="1"/>
  <c r="J22" i="12" s="1"/>
  <c r="H22" i="12" a="1"/>
  <c r="H22" i="12" s="1"/>
  <c r="B6" i="12"/>
  <c r="A13" i="22" s="1"/>
  <c r="A12" i="22" s="1"/>
  <c r="I18" i="12" a="1"/>
  <c r="I18" i="12" s="1"/>
  <c r="J18" i="12" s="1"/>
  <c r="I20" i="12" a="1"/>
  <c r="I20" i="12" s="1"/>
  <c r="J20" i="12" s="1"/>
  <c r="H20" i="12" a="1"/>
  <c r="H20" i="12" s="1"/>
  <c r="C22" i="5" s="1"/>
  <c r="I17" i="12" a="1"/>
  <c r="I17" i="12" s="1"/>
  <c r="J17" i="12" s="1"/>
  <c r="G16" i="12" a="1"/>
  <c r="G16" i="12" s="1"/>
  <c r="B18" i="5" s="1"/>
  <c r="I19" i="12" a="1"/>
  <c r="I19" i="12" s="1"/>
  <c r="J19" i="12" s="1"/>
  <c r="G19" i="12" a="1"/>
  <c r="G19" i="12" s="1"/>
  <c r="B21" i="5" s="1"/>
  <c r="I21" i="12" a="1"/>
  <c r="I21" i="12" s="1"/>
  <c r="J21" i="12" s="1"/>
  <c r="G18" i="12" a="1"/>
  <c r="G18" i="12" s="1"/>
  <c r="B20" i="5" s="1"/>
  <c r="I15" i="12" a="1"/>
  <c r="I15" i="12" s="1"/>
  <c r="I17" i="26" s="1"/>
  <c r="G15" i="12" a="1"/>
  <c r="G15" i="12" s="1"/>
  <c r="B17" i="5" s="1"/>
  <c r="F13" i="5"/>
  <c r="M24" i="26" a="1"/>
  <c r="M11" i="26" a="1"/>
  <c r="M31" i="26" a="1"/>
  <c r="M36" i="26" a="1"/>
  <c r="Y16" i="28" a="1"/>
  <c r="M37" i="26" a="1"/>
  <c r="M13" i="26" a="1"/>
  <c r="R12" i="28" a="1"/>
  <c r="O9" i="28" a="1"/>
  <c r="O8" i="28" a="1"/>
  <c r="Y4" i="28" a="1"/>
  <c r="O10" i="28" a="1"/>
  <c r="P16" i="28" a="1"/>
  <c r="O19" i="28" a="1"/>
  <c r="M26" i="26" a="1"/>
  <c r="S12" i="28" a="1"/>
  <c r="M12" i="26" a="1"/>
  <c r="O21" i="28" a="1"/>
  <c r="U12" i="28" a="1"/>
  <c r="Y9" i="28" a="1"/>
  <c r="T9" i="28" a="1"/>
  <c r="T14" i="28" a="1"/>
  <c r="Y11" i="28" a="1"/>
  <c r="R19" i="28" a="1"/>
  <c r="R10" i="28" a="1"/>
  <c r="O4" i="28" a="1"/>
  <c r="Y5" i="28" a="1"/>
  <c r="O3" i="28" a="1"/>
  <c r="V10" i="28" a="1"/>
  <c r="O6" i="28" a="1"/>
  <c r="V14" i="28" a="1"/>
  <c r="P9" i="28" a="1"/>
  <c r="Q5" i="28" a="1"/>
  <c r="Q20" i="28" a="1"/>
  <c r="T12" i="28" a="1"/>
  <c r="O18" i="28" a="1"/>
  <c r="O22" i="28" a="1"/>
  <c r="V19" i="28" a="1"/>
  <c r="S19" i="28" a="1"/>
  <c r="V18" i="28" a="1"/>
  <c r="Q14" i="28" a="1"/>
  <c r="M25" i="26" a="1"/>
  <c r="U4" i="28" a="1"/>
  <c r="Y19" i="28" a="1"/>
  <c r="M4" i="26" a="1"/>
  <c r="U21" i="28" a="1"/>
  <c r="R21" i="28" a="1"/>
  <c r="M33" i="26" a="1"/>
  <c r="R15" i="28" a="1"/>
  <c r="X9" i="28" a="1"/>
  <c r="O20" i="28" a="1"/>
  <c r="V5" i="28" a="1"/>
  <c r="S8" i="28" a="1"/>
  <c r="R18" i="28" a="1"/>
  <c r="Y20" i="28" a="1"/>
  <c r="Y12" i="28" a="1"/>
  <c r="W9" i="28" a="1"/>
  <c r="U6" i="28" a="1"/>
  <c r="T21" i="28" a="1"/>
  <c r="R6" i="28" a="1"/>
  <c r="M22" i="26" a="1"/>
  <c r="S7" i="28" a="1"/>
  <c r="S21" i="28" a="1"/>
  <c r="M32" i="26" a="1"/>
  <c r="X19" i="28" a="1"/>
  <c r="V11" i="28" a="1"/>
  <c r="M30" i="26" a="1"/>
  <c r="M9" i="26" a="1"/>
  <c r="M3" i="26" a="1"/>
  <c r="M39" i="26" a="1"/>
  <c r="M29" i="26" a="1"/>
  <c r="T15" i="28" a="1"/>
  <c r="M35" i="26" a="1"/>
  <c r="Y8" i="28" a="1"/>
  <c r="R13" i="28" a="1"/>
  <c r="P20" i="28" a="1"/>
  <c r="R22" i="28" a="1"/>
  <c r="T5" i="28" a="1"/>
  <c r="T22" i="28" a="1"/>
  <c r="P13" i="28" a="1"/>
  <c r="T3" i="28" a="1"/>
  <c r="R20" i="28" a="1"/>
  <c r="P5" i="28" a="1"/>
  <c r="S4" i="28" a="1"/>
  <c r="R17" i="28" a="1"/>
  <c r="O12" i="28" a="1"/>
  <c r="T13" i="28" a="1"/>
  <c r="R9" i="28" a="1"/>
  <c r="T19" i="28" a="1"/>
  <c r="Y17" i="28" a="1"/>
  <c r="P11" i="28" a="1"/>
  <c r="Q12" i="28" a="1"/>
  <c r="T6" i="28" a="1"/>
  <c r="V16" i="28" a="1"/>
  <c r="V2" i="28" a="1"/>
  <c r="Y13" i="28" a="1"/>
  <c r="R3" i="28" a="1"/>
  <c r="V6" i="28" a="1"/>
  <c r="R2" i="28" a="1"/>
  <c r="T10" i="28" a="1"/>
  <c r="P18" i="28" a="1"/>
  <c r="U9" i="28" a="1"/>
  <c r="Q15" i="28" a="1"/>
  <c r="Q8" i="28" a="1"/>
  <c r="P8" i="28" a="1"/>
  <c r="U15" i="28" a="1"/>
  <c r="O5" i="28" a="1"/>
  <c r="R16" i="28" a="1"/>
  <c r="S17" i="28" a="1"/>
  <c r="T17" i="28" a="1"/>
  <c r="U11" i="28" a="1"/>
  <c r="T4" i="28" a="1"/>
  <c r="S22" i="28" a="1"/>
  <c r="T18" i="28" a="1"/>
  <c r="U19" i="28" a="1"/>
  <c r="S20" i="28" a="1"/>
  <c r="O13" i="28" a="1"/>
  <c r="U7" i="28" a="1"/>
  <c r="Q17" i="28" a="1"/>
  <c r="R8" i="28" a="1"/>
  <c r="Y2" i="28" a="1"/>
  <c r="V21" i="28" a="1"/>
  <c r="P21" i="28" a="1"/>
  <c r="S15" i="28" a="1"/>
  <c r="P22" i="28" a="1"/>
  <c r="Q7" i="28" a="1"/>
  <c r="M27" i="26" a="1"/>
  <c r="M23" i="26" a="1"/>
  <c r="P17" i="28" a="1"/>
  <c r="U20" i="28" a="1"/>
  <c r="Y21" i="28" a="1"/>
  <c r="R14" i="28" a="1"/>
  <c r="O14" i="28" a="1"/>
  <c r="U13" i="28" a="1"/>
  <c r="U8" i="28" a="1"/>
  <c r="P10" i="28" a="1"/>
  <c r="V12" i="28" a="1"/>
  <c r="T11" i="28" a="1"/>
  <c r="O11" i="28" a="1"/>
  <c r="U16" i="28" a="1"/>
  <c r="M7" i="26" a="1"/>
  <c r="S6" i="28" a="1"/>
  <c r="S11" i="28" a="1"/>
  <c r="X4" i="28" a="1"/>
  <c r="P12" i="28" a="1"/>
  <c r="X11" i="28" a="1"/>
  <c r="W17" i="28" a="1"/>
  <c r="Y14" i="28" a="1"/>
  <c r="V17" i="28" a="1"/>
  <c r="M5" i="26" a="1"/>
  <c r="M18" i="26" a="1"/>
  <c r="M20" i="26" a="1"/>
  <c r="M17" i="26" a="1"/>
  <c r="P7" i="28" a="1"/>
  <c r="Y10" i="28" a="1"/>
  <c r="S5" i="28" a="1"/>
  <c r="Y6" i="28" a="1"/>
  <c r="Y7" i="28" a="1"/>
  <c r="O17" i="28" a="1"/>
  <c r="Q16" i="28" a="1"/>
  <c r="T20" i="28" a="1"/>
  <c r="M16" i="26" a="1"/>
  <c r="V13" i="28" a="1"/>
  <c r="R11" i="28" a="1"/>
  <c r="S10" i="28" a="1"/>
  <c r="P19" i="28" a="1"/>
  <c r="Q4" i="28" a="1"/>
  <c r="V20" i="28" a="1"/>
  <c r="S14" i="28" a="1"/>
  <c r="V4" i="28" a="1"/>
  <c r="R4" i="28" a="1"/>
  <c r="U5" i="28" a="1"/>
  <c r="Y3" i="28" a="1"/>
  <c r="R7" i="28" a="1"/>
  <c r="Q13" i="28" a="1"/>
  <c r="U10" i="28" a="1"/>
  <c r="M14" i="26" a="1"/>
  <c r="T8" i="28" a="1"/>
  <c r="Q22" i="28" a="1"/>
  <c r="O16" i="28" a="1"/>
  <c r="U3" i="28" a="1"/>
  <c r="Q2" i="28" a="1"/>
  <c r="S18" i="28" a="1"/>
  <c r="T16" i="28" a="1"/>
  <c r="P2" i="28" a="1"/>
  <c r="O15" i="28" a="1"/>
  <c r="Y18" i="28" a="1"/>
  <c r="O2" i="28" a="1"/>
  <c r="V9" i="28" a="1"/>
  <c r="M10" i="26" a="1"/>
  <c r="U18" i="28" a="1"/>
  <c r="P15" i="28" a="1"/>
  <c r="Y15" i="28" a="1"/>
  <c r="V22" i="28" a="1"/>
  <c r="S9" i="28" a="1"/>
  <c r="S13" i="28" a="1"/>
  <c r="U22" i="28" a="1"/>
  <c r="Y22" i="28" a="1"/>
  <c r="W6" i="28" a="1"/>
  <c r="P14" i="28" a="1"/>
  <c r="P6" i="28" a="1"/>
  <c r="T2" i="28" a="1"/>
  <c r="T7" i="28" a="1"/>
  <c r="S3" i="28" a="1"/>
  <c r="W16" i="28" a="1"/>
  <c r="R5" i="28" a="1"/>
  <c r="W14" i="28" a="1"/>
  <c r="P4" i="28" a="1"/>
  <c r="S16" i="28" a="1"/>
  <c r="O7" i="28" a="1"/>
  <c r="P3" i="28" a="1"/>
  <c r="S2" i="28" a="1"/>
  <c r="V3" i="28" a="1"/>
  <c r="U2" i="28" a="1"/>
  <c r="W15" i="28" a="1"/>
  <c r="X3" i="28" a="1"/>
  <c r="Q10" i="28" a="1"/>
  <c r="M10" i="26" l="1"/>
  <c r="M17" i="26"/>
  <c r="M20" i="26"/>
  <c r="M18" i="26"/>
  <c r="M5" i="26"/>
  <c r="M23" i="26"/>
  <c r="M27" i="26"/>
  <c r="M29" i="26"/>
  <c r="M39" i="26"/>
  <c r="M3" i="26"/>
  <c r="M9" i="26"/>
  <c r="M30" i="26"/>
  <c r="M33" i="26"/>
  <c r="M36" i="26"/>
  <c r="M31" i="26"/>
  <c r="M11" i="26"/>
  <c r="M24" i="26"/>
  <c r="R22" i="28"/>
  <c r="D34" i="3" s="1"/>
  <c r="R21" i="28"/>
  <c r="D33" i="3" s="1"/>
  <c r="R4" i="28"/>
  <c r="R5" i="28"/>
  <c r="R12" i="28"/>
  <c r="R13" i="28"/>
  <c r="R19" i="28"/>
  <c r="R8" i="28"/>
  <c r="D20" i="3" s="1"/>
  <c r="R16" i="28"/>
  <c r="R6" i="28"/>
  <c r="R7" i="28"/>
  <c r="R14" i="28"/>
  <c r="R15" i="28"/>
  <c r="R9" i="28"/>
  <c r="R17" i="28"/>
  <c r="R3" i="28"/>
  <c r="D15" i="3" s="1"/>
  <c r="R10" i="28"/>
  <c r="D22" i="3" s="1"/>
  <c r="R11" i="28"/>
  <c r="D23" i="3" s="1"/>
  <c r="R18" i="28"/>
  <c r="R20" i="28"/>
  <c r="R2" i="28"/>
  <c r="S21" i="28"/>
  <c r="E33" i="3" s="1"/>
  <c r="S22" i="28"/>
  <c r="E34" i="3" s="1"/>
  <c r="S9" i="28"/>
  <c r="E21" i="3" s="1"/>
  <c r="S10" i="28"/>
  <c r="S17" i="28"/>
  <c r="S18" i="28"/>
  <c r="S20" i="28"/>
  <c r="S13" i="28"/>
  <c r="S3" i="28"/>
  <c r="E15" i="3" s="1"/>
  <c r="S4" i="28"/>
  <c r="S11" i="28"/>
  <c r="S12" i="28"/>
  <c r="S5" i="28"/>
  <c r="S6" i="28"/>
  <c r="S14" i="28"/>
  <c r="S7" i="28"/>
  <c r="S8" i="28"/>
  <c r="S15" i="28"/>
  <c r="S19" i="28"/>
  <c r="S16" i="28"/>
  <c r="S2" i="28"/>
  <c r="T22" i="28"/>
  <c r="F34" i="3" s="1"/>
  <c r="T21" i="28"/>
  <c r="F33" i="3" s="1"/>
  <c r="T6" i="28"/>
  <c r="T7" i="28"/>
  <c r="T14" i="28"/>
  <c r="T15" i="28"/>
  <c r="T19" i="28"/>
  <c r="T10" i="28"/>
  <c r="T18" i="28"/>
  <c r="T8" i="28"/>
  <c r="T9" i="28"/>
  <c r="F21" i="3" s="1"/>
  <c r="T16" i="28"/>
  <c r="T17" i="28"/>
  <c r="T3" i="28"/>
  <c r="F15" i="3" s="1"/>
  <c r="T11" i="28"/>
  <c r="T5" i="28"/>
  <c r="T20" i="28"/>
  <c r="T12" i="28"/>
  <c r="T4" i="28"/>
  <c r="T13" i="28"/>
  <c r="T2" i="28"/>
  <c r="O21" i="28"/>
  <c r="A33" i="3" s="1"/>
  <c r="O22" i="28"/>
  <c r="A34" i="3" s="1"/>
  <c r="O3" i="28"/>
  <c r="A15" i="3" s="1"/>
  <c r="O5" i="28"/>
  <c r="O6" i="28"/>
  <c r="O13" i="28"/>
  <c r="O14" i="28"/>
  <c r="O20" i="28"/>
  <c r="O9" i="28"/>
  <c r="O17" i="28"/>
  <c r="O7" i="28"/>
  <c r="O8" i="28"/>
  <c r="O15" i="28"/>
  <c r="O16" i="28"/>
  <c r="O10" i="28"/>
  <c r="O18" i="28"/>
  <c r="O19" i="28"/>
  <c r="A31" i="3" s="1"/>
  <c r="O11" i="28"/>
  <c r="O12" i="28"/>
  <c r="O4" i="28"/>
  <c r="A16" i="3" s="1"/>
  <c r="O2" i="28"/>
  <c r="X3" i="28"/>
  <c r="X11" i="28"/>
  <c r="X19" i="28"/>
  <c r="X4" i="28"/>
  <c r="X9" i="28"/>
  <c r="W6" i="28"/>
  <c r="W14" i="28"/>
  <c r="W9" i="28"/>
  <c r="I21" i="3" s="1"/>
  <c r="W17" i="28"/>
  <c r="W15" i="28"/>
  <c r="W16" i="28"/>
  <c r="Y21" i="28"/>
  <c r="K33" i="3" s="1"/>
  <c r="Y22" i="28"/>
  <c r="K34" i="3" s="1"/>
  <c r="Y7" i="28"/>
  <c r="Y8" i="28"/>
  <c r="Y15" i="28"/>
  <c r="Y16" i="28"/>
  <c r="Y18" i="28"/>
  <c r="Y20" i="28"/>
  <c r="Y11" i="28"/>
  <c r="Y9" i="28"/>
  <c r="Y10" i="28"/>
  <c r="Y17" i="28"/>
  <c r="Y3" i="28"/>
  <c r="K15" i="3" s="1"/>
  <c r="Y4" i="28"/>
  <c r="Y12" i="28"/>
  <c r="Y13" i="28"/>
  <c r="Y14" i="28"/>
  <c r="K26" i="3" s="1"/>
  <c r="Y5" i="28"/>
  <c r="Y6" i="28"/>
  <c r="Y19" i="28"/>
  <c r="Y2" i="28"/>
  <c r="P22" i="28"/>
  <c r="B34" i="3" s="1"/>
  <c r="P21" i="28"/>
  <c r="B33" i="3" s="1"/>
  <c r="P3" i="28"/>
  <c r="P10" i="28"/>
  <c r="P11" i="28"/>
  <c r="P18" i="28"/>
  <c r="B30" i="3" s="1"/>
  <c r="P19" i="28"/>
  <c r="P14" i="28"/>
  <c r="B26" i="3" s="1"/>
  <c r="P4" i="28"/>
  <c r="B16" i="3" s="1"/>
  <c r="P5" i="28"/>
  <c r="P12" i="28"/>
  <c r="P13" i="28"/>
  <c r="P6" i="28"/>
  <c r="P7" i="28"/>
  <c r="P15" i="28"/>
  <c r="P8" i="28"/>
  <c r="P9" i="28"/>
  <c r="P17" i="28"/>
  <c r="B29" i="3" s="1"/>
  <c r="P16" i="28"/>
  <c r="P20" i="28"/>
  <c r="P2" i="28"/>
  <c r="U21" i="28"/>
  <c r="G33" i="3" s="1"/>
  <c r="U22" i="28"/>
  <c r="G34" i="3" s="1"/>
  <c r="U3" i="28"/>
  <c r="G15" i="3" s="1"/>
  <c r="U4" i="28"/>
  <c r="U11" i="28"/>
  <c r="G23" i="3" s="1"/>
  <c r="U12" i="28"/>
  <c r="G24" i="3" s="1"/>
  <c r="U18" i="28"/>
  <c r="U20" i="28"/>
  <c r="U15" i="28"/>
  <c r="U5" i="28"/>
  <c r="G17" i="3" s="1"/>
  <c r="U6" i="28"/>
  <c r="U13" i="28"/>
  <c r="U7" i="28"/>
  <c r="U8" i="28"/>
  <c r="U16" i="28"/>
  <c r="G28" i="3" s="1"/>
  <c r="U9" i="28"/>
  <c r="U19" i="28"/>
  <c r="U10" i="28"/>
  <c r="U2" i="28"/>
  <c r="Q22" i="28"/>
  <c r="C34" i="3" s="1"/>
  <c r="Q7" i="28"/>
  <c r="Q8" i="28"/>
  <c r="Q15" i="28"/>
  <c r="Q16" i="28"/>
  <c r="C28" i="3" s="1"/>
  <c r="Q20" i="28"/>
  <c r="Q10" i="28"/>
  <c r="Q17" i="28"/>
  <c r="Q4" i="28"/>
  <c r="Q12" i="28"/>
  <c r="Q5" i="28"/>
  <c r="Q13" i="28"/>
  <c r="Q14" i="28"/>
  <c r="Q2" i="28"/>
  <c r="V22" i="28"/>
  <c r="H34" i="3" s="1"/>
  <c r="V21" i="28"/>
  <c r="H33" i="3" s="1"/>
  <c r="V9" i="28"/>
  <c r="V16" i="28"/>
  <c r="V17" i="28"/>
  <c r="V19" i="28"/>
  <c r="V12" i="28"/>
  <c r="V3" i="28"/>
  <c r="H15" i="3" s="1"/>
  <c r="V10" i="28"/>
  <c r="H22" i="3" s="1"/>
  <c r="V11" i="28"/>
  <c r="V4" i="28"/>
  <c r="V5" i="28"/>
  <c r="V13" i="28"/>
  <c r="V18" i="28"/>
  <c r="V6" i="28"/>
  <c r="V14" i="28"/>
  <c r="V20" i="28"/>
  <c r="V2" i="28"/>
  <c r="M13" i="26"/>
  <c r="M35" i="26"/>
  <c r="M4" i="26"/>
  <c r="M7" i="26"/>
  <c r="M22" i="26"/>
  <c r="M37" i="26"/>
  <c r="H77" i="18"/>
  <c r="H80" i="18"/>
  <c r="G77" i="18"/>
  <c r="H79" i="18"/>
  <c r="M14" i="26"/>
  <c r="M12" i="26"/>
  <c r="M16" i="26"/>
  <c r="M32" i="26"/>
  <c r="M26" i="26"/>
  <c r="M25" i="26"/>
  <c r="K8" i="11"/>
  <c r="G10" i="11"/>
  <c r="E7" i="11"/>
  <c r="I7" i="11" s="1"/>
  <c r="I6" i="11"/>
  <c r="I9" i="26"/>
  <c r="I16" i="26"/>
  <c r="I13" i="26"/>
  <c r="I20" i="26"/>
  <c r="E13" i="22"/>
  <c r="I30" i="26"/>
  <c r="I33" i="26"/>
  <c r="I24" i="26"/>
  <c r="I18" i="26"/>
  <c r="I10" i="26"/>
  <c r="I25" i="26"/>
  <c r="I12" i="26"/>
  <c r="I34" i="26"/>
  <c r="I11" i="26"/>
  <c r="I35" i="26"/>
  <c r="I28" i="26"/>
  <c r="B13" i="5"/>
  <c r="B12" i="5" s="1"/>
  <c r="I27" i="26"/>
  <c r="I26" i="26"/>
  <c r="J15" i="12"/>
  <c r="I4" i="26" s="1"/>
  <c r="I29" i="26"/>
  <c r="W7" i="28" a="1"/>
  <c r="W8" i="28" a="1"/>
  <c r="W4" i="28" a="1"/>
  <c r="Q3" i="28" a="1"/>
  <c r="Q6" i="28" a="1"/>
  <c r="Q11" i="28" a="1"/>
  <c r="U14" i="28" a="1"/>
  <c r="X12" i="28" a="1"/>
  <c r="X2" i="28" a="1"/>
  <c r="X13" i="28" a="1"/>
  <c r="X16" i="28" a="1"/>
  <c r="W5" i="28" a="1"/>
  <c r="X18" i="28" a="1"/>
  <c r="W22" i="28" a="1"/>
  <c r="W11" i="28" a="1"/>
  <c r="X10" i="28" a="1"/>
  <c r="X8" i="28" a="1"/>
  <c r="X22" i="28" a="1"/>
  <c r="V7" i="28" a="1"/>
  <c r="X6" i="28" a="1"/>
  <c r="Q21" i="28" a="1"/>
  <c r="Q19" i="28" a="1"/>
  <c r="W20" i="28" a="1"/>
  <c r="W10" i="28" a="1"/>
  <c r="W12" i="28" a="1"/>
  <c r="X17" i="28" a="1"/>
  <c r="V15" i="28" a="1"/>
  <c r="W3" i="28" a="1"/>
  <c r="X21" i="28" a="1"/>
  <c r="X5" i="28" a="1"/>
  <c r="X7" i="28" a="1"/>
  <c r="X20" i="28" a="1"/>
  <c r="Q18" i="28" a="1"/>
  <c r="U17" i="28" a="1"/>
  <c r="W13" i="28" a="1"/>
  <c r="X15" i="28" a="1"/>
  <c r="W2" i="28" a="1"/>
  <c r="W21" i="28" a="1"/>
  <c r="Q9" i="28" a="1"/>
  <c r="W19" i="28" a="1"/>
  <c r="V8" i="28" a="1"/>
  <c r="W18" i="28" a="1"/>
  <c r="X14" i="28" a="1"/>
  <c r="X14" i="28" l="1"/>
  <c r="W18" i="28"/>
  <c r="V8" i="28"/>
  <c r="W19" i="28"/>
  <c r="Q9" i="28"/>
  <c r="C21" i="3" s="1"/>
  <c r="W21" i="28"/>
  <c r="I33" i="3" s="1"/>
  <c r="W2" i="28"/>
  <c r="X15" i="28"/>
  <c r="W13" i="28"/>
  <c r="U17" i="28"/>
  <c r="Q18" i="28"/>
  <c r="X20" i="28"/>
  <c r="X7" i="28"/>
  <c r="X5" i="28"/>
  <c r="X21" i="28"/>
  <c r="J33" i="3" s="1"/>
  <c r="W3" i="28"/>
  <c r="I15" i="3" s="1"/>
  <c r="V15" i="28"/>
  <c r="X17" i="28"/>
  <c r="W12" i="28"/>
  <c r="W10" i="28"/>
  <c r="W20" i="28"/>
  <c r="Q19" i="28"/>
  <c r="Q21" i="28"/>
  <c r="C33" i="3" s="1"/>
  <c r="X6" i="28"/>
  <c r="V7" i="28"/>
  <c r="X22" i="28"/>
  <c r="J34" i="3" s="1"/>
  <c r="X8" i="28"/>
  <c r="X10" i="28"/>
  <c r="W11" i="28"/>
  <c r="W22" i="28"/>
  <c r="I34" i="3" s="1"/>
  <c r="X18" i="28"/>
  <c r="W5" i="28"/>
  <c r="X16" i="28"/>
  <c r="X13" i="28"/>
  <c r="X2" i="28"/>
  <c r="X12" i="28"/>
  <c r="U14" i="28"/>
  <c r="Q11" i="28"/>
  <c r="Q6" i="28"/>
  <c r="Q3" i="28"/>
  <c r="C15" i="3" s="1"/>
  <c r="W4" i="28"/>
  <c r="W8" i="28"/>
  <c r="I20" i="3" s="1"/>
  <c r="W7" i="28"/>
  <c r="G78" i="18"/>
  <c r="I28" i="3"/>
  <c r="J15" i="3"/>
  <c r="J31" i="3"/>
  <c r="B15" i="3"/>
  <c r="K18" i="3"/>
  <c r="I8" i="26"/>
  <c r="I2" i="26"/>
  <c r="I31" i="26"/>
  <c r="I3" i="26"/>
  <c r="I23" i="26"/>
  <c r="I19" i="26"/>
  <c r="I5" i="26"/>
  <c r="I6" i="26"/>
  <c r="I7" i="26"/>
  <c r="P12" i="26" a="1"/>
  <c r="P21" i="26" a="1"/>
  <c r="P36" i="26" a="1"/>
  <c r="P12" i="26" l="1"/>
  <c r="D12" i="27" s="1"/>
  <c r="P36" i="26"/>
  <c r="D36" i="27" s="1"/>
  <c r="P21" i="26"/>
  <c r="D21" i="27" s="1"/>
  <c r="C16" i="3"/>
  <c r="C14" i="3"/>
  <c r="P28" i="26" a="1"/>
  <c r="P22" i="26" a="1"/>
  <c r="P32" i="26" a="1"/>
  <c r="P38" i="26" a="1"/>
  <c r="P23" i="26" a="1"/>
  <c r="P33" i="26" a="1"/>
  <c r="P9" i="26" a="1"/>
  <c r="P26" i="26" a="1"/>
  <c r="L2" i="26" a="1"/>
  <c r="P18" i="26" a="1"/>
  <c r="P35" i="26" a="1"/>
  <c r="P20" i="26" a="1"/>
  <c r="P39" i="26" a="1"/>
  <c r="P25" i="26" a="1"/>
  <c r="P14" i="26" a="1"/>
  <c r="N2" i="26" a="1"/>
  <c r="P10" i="26" a="1"/>
  <c r="P19" i="26" a="1"/>
  <c r="P17" i="26" a="1"/>
  <c r="P13" i="26" a="1"/>
  <c r="P8" i="26" a="1"/>
  <c r="P29" i="26" a="1"/>
  <c r="P15" i="26" a="1"/>
  <c r="M2" i="26" a="1"/>
  <c r="P6" i="26" a="1"/>
  <c r="P11" i="26" a="1"/>
  <c r="P30" i="26" a="1"/>
  <c r="P34" i="26" a="1"/>
  <c r="P5" i="26" a="1"/>
  <c r="P4" i="26" a="1"/>
  <c r="P2" i="26" a="1"/>
  <c r="P31" i="26" a="1"/>
  <c r="P3" i="26" a="1"/>
  <c r="P24" i="26" a="1"/>
  <c r="O2" i="26" a="1"/>
  <c r="P16" i="26" a="1"/>
  <c r="P7" i="26" a="1"/>
  <c r="P27" i="26" a="1"/>
  <c r="P37" i="26" a="1"/>
  <c r="P7" i="26" l="1"/>
  <c r="D7" i="27" s="1"/>
  <c r="P6" i="26"/>
  <c r="D6" i="27" s="1"/>
  <c r="P3" i="26"/>
  <c r="D3" i="27" s="1"/>
  <c r="P25" i="26"/>
  <c r="D25" i="27" s="1"/>
  <c r="P28" i="26"/>
  <c r="D28" i="27" s="1"/>
  <c r="P38" i="26"/>
  <c r="D38" i="27" s="1"/>
  <c r="P23" i="26"/>
  <c r="D23" i="27" s="1"/>
  <c r="P20" i="26"/>
  <c r="D20" i="27" s="1"/>
  <c r="P14" i="26"/>
  <c r="D14" i="27" s="1"/>
  <c r="P29" i="26"/>
  <c r="D29" i="27" s="1"/>
  <c r="P22" i="26"/>
  <c r="D22" i="27" s="1"/>
  <c r="P30" i="26"/>
  <c r="D30" i="27" s="1"/>
  <c r="P37" i="26"/>
  <c r="D37" i="27" s="1"/>
  <c r="P11" i="26"/>
  <c r="D11" i="27" s="1"/>
  <c r="P34" i="26"/>
  <c r="D34" i="27" s="1"/>
  <c r="P32" i="26"/>
  <c r="D32" i="27" s="1"/>
  <c r="P19" i="26"/>
  <c r="D19" i="27" s="1"/>
  <c r="P27" i="26"/>
  <c r="D27" i="27" s="1"/>
  <c r="P4" i="26"/>
  <c r="D4" i="27" s="1"/>
  <c r="P35" i="26"/>
  <c r="D35" i="27" s="1"/>
  <c r="P9" i="26"/>
  <c r="D9" i="27" s="1"/>
  <c r="P13" i="26"/>
  <c r="D13" i="27" s="1"/>
  <c r="P8" i="26"/>
  <c r="D8" i="27" s="1"/>
  <c r="P31" i="26"/>
  <c r="D31" i="27" s="1"/>
  <c r="P39" i="26"/>
  <c r="D39" i="27" s="1"/>
  <c r="P33" i="26"/>
  <c r="D33" i="27" s="1"/>
  <c r="P26" i="26"/>
  <c r="D26" i="27" s="1"/>
  <c r="P15" i="26"/>
  <c r="D15" i="27" s="1"/>
  <c r="P17" i="26"/>
  <c r="D17" i="27" s="1"/>
  <c r="P5" i="26"/>
  <c r="D5" i="27" s="1"/>
  <c r="P16" i="26"/>
  <c r="D16" i="27" s="1"/>
  <c r="P24" i="26"/>
  <c r="D24" i="27" s="1"/>
  <c r="P10" i="26"/>
  <c r="D10" i="27" s="1"/>
  <c r="P18" i="26"/>
  <c r="D18" i="27" s="1"/>
  <c r="J16" i="3"/>
  <c r="L2" i="26"/>
  <c r="A2" i="27" s="1"/>
  <c r="G22" i="3"/>
  <c r="H27" i="3"/>
  <c r="F19" i="3"/>
  <c r="F31" i="3"/>
  <c r="I31" i="3"/>
  <c r="E18" i="3"/>
  <c r="H32" i="3"/>
  <c r="E28" i="3"/>
  <c r="I19" i="3"/>
  <c r="D24" i="3"/>
  <c r="A27" i="3"/>
  <c r="G25" i="3"/>
  <c r="M2" i="26"/>
  <c r="J23" i="3"/>
  <c r="E23" i="3"/>
  <c r="F30" i="3"/>
  <c r="B17" i="3"/>
  <c r="E14" i="3"/>
  <c r="D21" i="3"/>
  <c r="H28" i="3"/>
  <c r="A14" i="3"/>
  <c r="M11" i="3" s="1" a="1"/>
  <c r="M11" i="3" s="1"/>
  <c r="I29" i="3"/>
  <c r="C29" i="3"/>
  <c r="B18" i="3"/>
  <c r="F25" i="3"/>
  <c r="C30" i="3"/>
  <c r="A26" i="3"/>
  <c r="O2" i="26"/>
  <c r="C2" i="27" s="1"/>
  <c r="I17" i="3"/>
  <c r="G20" i="3"/>
  <c r="D19" i="3"/>
  <c r="E29" i="3"/>
  <c r="C19" i="3"/>
  <c r="K31" i="3"/>
  <c r="A29" i="3"/>
  <c r="D27" i="3"/>
  <c r="E16" i="3"/>
  <c r="F29" i="3"/>
  <c r="K28" i="3"/>
  <c r="J26" i="3"/>
  <c r="E24" i="3"/>
  <c r="B24" i="3"/>
  <c r="C23" i="3"/>
  <c r="K30" i="3"/>
  <c r="G18" i="3"/>
  <c r="E17" i="3"/>
  <c r="A30" i="3"/>
  <c r="C20" i="3"/>
  <c r="H31" i="3"/>
  <c r="K20" i="3"/>
  <c r="I23" i="3"/>
  <c r="H30" i="3"/>
  <c r="J27" i="3"/>
  <c r="H29" i="3"/>
  <c r="H25" i="3"/>
  <c r="H21" i="3"/>
  <c r="J17" i="3"/>
  <c r="C31" i="3"/>
  <c r="H17" i="3"/>
  <c r="H16" i="3"/>
  <c r="K22" i="3"/>
  <c r="B28" i="3"/>
  <c r="C32" i="3"/>
  <c r="I22" i="3"/>
  <c r="G14" i="3"/>
  <c r="G16" i="3"/>
  <c r="J28" i="3"/>
  <c r="A23" i="3"/>
  <c r="A25" i="3"/>
  <c r="A22" i="3"/>
  <c r="B14" i="3"/>
  <c r="K14" i="3"/>
  <c r="J18" i="3"/>
  <c r="K27" i="3"/>
  <c r="J19" i="3"/>
  <c r="B19" i="3"/>
  <c r="H18" i="3"/>
  <c r="H26" i="3"/>
  <c r="I32" i="3"/>
  <c r="C27" i="3"/>
  <c r="G27" i="3"/>
  <c r="I16" i="3"/>
  <c r="G32" i="3"/>
  <c r="G21" i="3"/>
  <c r="B23" i="3"/>
  <c r="A24" i="3"/>
  <c r="H14" i="3"/>
  <c r="I18" i="3"/>
  <c r="A21" i="3"/>
  <c r="B27" i="3"/>
  <c r="B32" i="3"/>
  <c r="K21" i="3"/>
  <c r="C22" i="3"/>
  <c r="K29" i="3"/>
  <c r="K32" i="3"/>
  <c r="A28" i="3"/>
  <c r="F14" i="3"/>
  <c r="B21" i="3"/>
  <c r="H23" i="3"/>
  <c r="F17" i="3"/>
  <c r="J25" i="3"/>
  <c r="A18" i="3"/>
  <c r="B22" i="3"/>
  <c r="A20" i="3"/>
  <c r="E22" i="3"/>
  <c r="E19" i="3"/>
  <c r="J29" i="3"/>
  <c r="E26" i="3"/>
  <c r="F20" i="3"/>
  <c r="F16" i="3"/>
  <c r="F32" i="3"/>
  <c r="J32" i="3"/>
  <c r="E25" i="3"/>
  <c r="I27" i="3"/>
  <c r="G29" i="3"/>
  <c r="C25" i="3"/>
  <c r="C24" i="3"/>
  <c r="D26" i="3"/>
  <c r="A32" i="3"/>
  <c r="E32" i="3"/>
  <c r="D18" i="3"/>
  <c r="D29" i="3"/>
  <c r="C17" i="3"/>
  <c r="F24" i="3"/>
  <c r="B31" i="3"/>
  <c r="A17" i="3"/>
  <c r="I26" i="3"/>
  <c r="F27" i="3"/>
  <c r="D28" i="3"/>
  <c r="N2" i="26"/>
  <c r="B2" i="27" s="1"/>
  <c r="B25" i="3"/>
  <c r="H20" i="3"/>
  <c r="J22" i="3"/>
  <c r="K25" i="3"/>
  <c r="D16" i="3"/>
  <c r="K23" i="3"/>
  <c r="K16" i="3"/>
  <c r="D30" i="3"/>
  <c r="K19" i="3"/>
  <c r="D25" i="3"/>
  <c r="F22" i="3"/>
  <c r="E20" i="3"/>
  <c r="G26" i="3"/>
  <c r="J20" i="3"/>
  <c r="J14" i="3"/>
  <c r="C26" i="3"/>
  <c r="D17" i="3"/>
  <c r="P2" i="26"/>
  <c r="D2" i="27" s="1"/>
  <c r="J21" i="3"/>
  <c r="I30" i="3"/>
  <c r="H24" i="3"/>
  <c r="J24" i="3"/>
  <c r="F23" i="3"/>
  <c r="F28" i="3"/>
  <c r="D32" i="3"/>
  <c r="G30" i="3"/>
  <c r="D31" i="3"/>
  <c r="K17" i="3"/>
  <c r="I25" i="3"/>
  <c r="E27" i="3"/>
  <c r="E31" i="3"/>
  <c r="E30" i="3"/>
  <c r="G19" i="3"/>
  <c r="J30" i="3"/>
  <c r="F26" i="3"/>
  <c r="D14" i="3"/>
  <c r="H19" i="3"/>
  <c r="G31" i="3"/>
  <c r="I24" i="3"/>
  <c r="F18" i="3"/>
  <c r="B20" i="3"/>
  <c r="K24" i="3"/>
  <c r="I14" i="3"/>
  <c r="A19" i="3"/>
  <c r="C18" i="3"/>
  <c r="C13" i="3" l="1"/>
  <c r="G13" i="3"/>
  <c r="I12" i="3"/>
  <c r="K13" i="3"/>
  <c r="B11" i="3"/>
  <c r="J12" i="3"/>
  <c r="A12" i="3"/>
  <c r="B1" i="3" s="1"/>
  <c r="B10" i="3"/>
  <c r="F13" i="3"/>
  <c r="D13" i="3"/>
  <c r="H13" i="3"/>
  <c r="F12" i="3"/>
  <c r="B12" i="3"/>
  <c r="E13" i="3"/>
  <c r="J13" i="3"/>
  <c r="C12" i="3"/>
  <c r="I9" i="11"/>
  <c r="E10" i="11"/>
  <c r="I79" i="18" l="1"/>
  <c r="I10"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OnkoZert</author>
    <author>OnkoZert - Florina Dudu</author>
  </authors>
  <commentList>
    <comment ref="C6" authorId="0" shapeId="0" xr:uid="{00000000-0006-0000-0000-000001000000}">
      <text>
        <r>
          <rPr>
            <sz val="8"/>
            <color indexed="81"/>
            <rFont val="Arial"/>
            <family val="2"/>
          </rPr>
          <t>Bitte Reg.-Nr. auswählen, siehe Zertifikat Beispiel, und dann die grauen Felder ausfüllen.</t>
        </r>
      </text>
    </comment>
    <comment ref="I6" authorId="0" shapeId="0" xr:uid="{00000000-0006-0000-0000-000002000000}">
      <text/>
    </comment>
    <comment ref="C12" authorId="0" shapeId="0" xr:uid="{00000000-0006-0000-0000-000003000000}">
      <text>
        <r>
          <rPr>
            <sz val="9"/>
            <color indexed="81"/>
            <rFont val="Arial"/>
            <family val="2"/>
          </rPr>
          <t>Name, Vorname</t>
        </r>
      </text>
    </comment>
    <comment ref="I12" authorId="0" shapeId="0" xr:uid="{00000000-0006-0000-0000-000004000000}">
      <text>
        <r>
          <rPr>
            <sz val="9"/>
            <color indexed="81"/>
            <rFont val="Arial"/>
            <family val="2"/>
          </rPr>
          <t>tt.mm.jjjj
Übertrag in weitere Tabellenblätter erfolgt automatisch.</t>
        </r>
      </text>
    </comment>
    <comment ref="I14" authorId="0" shapeId="0" xr:uid="{00000000-0006-0000-0000-000005000000}">
      <text>
        <r>
          <rPr>
            <sz val="9"/>
            <color indexed="81"/>
            <rFont val="Arial"/>
            <family val="2"/>
          </rPr>
          <t>Auswahl erfolgt über Reg.-Nr.</t>
        </r>
      </text>
    </comment>
    <comment ref="F21" authorId="0" shapeId="0" xr:uid="{00000000-0006-0000-0000-000006000000}">
      <text>
        <r>
          <rPr>
            <sz val="9"/>
            <color indexed="81"/>
            <rFont val="Arial"/>
            <family val="2"/>
          </rPr>
          <t>Subjektive Bewertung der Zusammenarbeit hinsichtlich Darlegung der Zertifizierungsdaten und Rückmeldung der Follow-Up-Daten.</t>
        </r>
      </text>
    </comment>
    <comment ref="F24" authorId="0" shapeId="0" xr:uid="{00000000-0006-0000-0000-000007000000}">
      <text>
        <r>
          <rPr>
            <sz val="9"/>
            <color indexed="81"/>
            <rFont val="Arial"/>
            <family val="2"/>
          </rPr>
          <t>Für die automatische Generierung des Kennzahlenbogens und der Matrix Ergebnisqualität Darm, Brust und Prostata steht ein Auswertungstool (XML-OncoBox) zur Verfügung, welches in unterschiedliche Tumordokumentationssysteme integriert werden kann. Weitergehende Informationen zur XML-OncoBox unter www.onkozert.de im Abschnitt Hinweise abrufbar.  
www.xml-oncobox.de</t>
        </r>
      </text>
    </comment>
    <comment ref="B27" authorId="0" shapeId="0" xr:uid="{00000000-0006-0000-0000-000008000000}">
      <text>
        <r>
          <rPr>
            <sz val="9"/>
            <color indexed="81"/>
            <rFont val="Arial"/>
            <family val="2"/>
          </rPr>
          <t>EB = Erhebungsbogen
KB = Kennzahlenbogen
KN = Kennzahlen</t>
        </r>
      </text>
    </comment>
    <comment ref="I31" authorId="1" shapeId="0" xr:uid="{00000000-0006-0000-0000-000009000000}">
      <text>
        <r>
          <rPr>
            <sz val="9"/>
            <color indexed="81"/>
            <rFont val="Arial"/>
            <family val="2"/>
          </rPr>
          <t>Nenner KN: 18</t>
        </r>
      </text>
    </comment>
    <comment ref="J32" authorId="1" shapeId="0" xr:uid="{00000000-0006-0000-0000-00000A000000}">
      <text>
        <r>
          <rPr>
            <sz val="9"/>
            <color indexed="81"/>
            <rFont val="Arial"/>
            <family val="2"/>
          </rPr>
          <t>Nenner KN: 15</t>
        </r>
      </text>
    </comment>
    <comment ref="J37" authorId="0" shapeId="0" xr:uid="{00000000-0006-0000-0000-00000B000000}">
      <text>
        <r>
          <rPr>
            <sz val="9"/>
            <color indexed="81"/>
            <rFont val="Arial"/>
            <family val="2"/>
          </rPr>
          <t>Anzahl KN: 1a
Nenner KN: 2, 6
Teil von Nenner KN: 4, 5</t>
        </r>
      </text>
    </comment>
    <comment ref="J38" authorId="0" shapeId="0" xr:uid="{00000000-0006-0000-0000-00000C000000}">
      <text>
        <r>
          <rPr>
            <sz val="9"/>
            <color indexed="81"/>
            <rFont val="Arial"/>
            <family val="2"/>
          </rPr>
          <t>Anzahl KN: 8
Nenner KN: 3, 13</t>
        </r>
      </text>
    </comment>
    <comment ref="J40" authorId="0" shapeId="0" xr:uid="{00000000-0006-0000-0000-00000D000000}">
      <text>
        <r>
          <rPr>
            <sz val="9"/>
            <color indexed="81"/>
            <rFont val="Arial"/>
            <family val="2"/>
          </rPr>
          <t>Anzahl KN: 9 
Nenner KN: 10, 11, 12</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OnkoZert</author>
    <author>Florina</author>
    <author xml:space="preserve">OnkoZert </author>
    <author>OnkoZert - Florina Dudu</author>
  </authors>
  <commentList>
    <comment ref="F6" authorId="0" shapeId="0" xr:uid="{00000000-0006-0000-0400-000001000000}">
      <text>
        <r>
          <rPr>
            <sz val="9"/>
            <color indexed="81"/>
            <rFont val="Arial"/>
            <family val="2"/>
          </rPr>
          <t>Übertrag erfolgt aus Tabellenblatt Basisdaten</t>
        </r>
      </text>
    </comment>
    <comment ref="F8" authorId="0" shapeId="0" xr:uid="{00000000-0006-0000-0400-000002000000}">
      <text>
        <r>
          <rPr>
            <sz val="9"/>
            <color indexed="81"/>
            <rFont val="Arial"/>
            <family val="2"/>
          </rPr>
          <t>Übertrag erfolgt aus Tabellenblatt Basisdaten</t>
        </r>
      </text>
    </comment>
    <comment ref="L8" authorId="0" shapeId="0" xr:uid="{00000000-0006-0000-0400-000003000000}">
      <text>
        <r>
          <rPr>
            <sz val="9"/>
            <color indexed="81"/>
            <rFont val="Arial"/>
            <family val="2"/>
          </rPr>
          <t>Übertrag erfolgt aus Tabellenblatt Basisdaten</t>
        </r>
      </text>
    </comment>
    <comment ref="B10" authorId="0" shapeId="0" xr:uid="{00000000-0006-0000-0400-000004000000}">
      <text>
        <r>
          <rPr>
            <sz val="9"/>
            <color indexed="81"/>
            <rFont val="Arial"/>
            <family val="2"/>
          </rPr>
          <t>KN = Kennzahl</t>
        </r>
      </text>
    </comment>
    <comment ref="D10" authorId="0" shapeId="0" xr:uid="{00000000-0006-0000-0400-000005000000}">
      <text>
        <r>
          <rPr>
            <sz val="9"/>
            <color indexed="81"/>
            <rFont val="Arial"/>
            <family val="2"/>
          </rPr>
          <t>EB = Erhebungbogen 
LL = Leitlinie (www.leitlinienprogramm-onkologie.de)</t>
        </r>
      </text>
    </comment>
    <comment ref="Q10" authorId="0" shapeId="0" xr:uid="{00000000-0006-0000-0400-000006000000}">
      <text>
        <r>
          <rPr>
            <sz val="9"/>
            <color indexed="81"/>
            <rFont val="Arial"/>
            <family val="2"/>
          </rPr>
          <t>Bitte zuerst Tabellenblatt Basisdaten komplett bearbeiten, dann graue Felder Ist-Werte ausfüllen.</t>
        </r>
      </text>
    </comment>
    <comment ref="T11" authorId="0" shapeId="0" xr:uid="{00000000-0006-0000-0400-000007000000}">
      <text>
        <r>
          <rPr>
            <sz val="9"/>
            <color indexed="81"/>
            <rFont val="Arial"/>
            <family val="2"/>
          </rPr>
          <t>Wenn Zelle grau, bitte Begründung angeben.</t>
        </r>
      </text>
    </comment>
    <comment ref="R12" authorId="0" shapeId="0" xr:uid="{00000000-0006-0000-0400-000008000000}">
      <text>
        <r>
          <rPr>
            <sz val="9"/>
            <color indexed="81"/>
            <rFont val="Arial"/>
            <family val="2"/>
          </rPr>
          <t>Übertrag erfolgt aus Tabellenblatt Basisdaten
Zelle J37</t>
        </r>
      </text>
    </comment>
    <comment ref="R19" authorId="0" shapeId="0" xr:uid="{00000000-0006-0000-0400-000009000000}">
      <text>
        <r>
          <rPr>
            <sz val="9"/>
            <color indexed="81"/>
            <rFont val="Arial"/>
            <family val="2"/>
          </rPr>
          <t>Übertrag erfolgt aus Tabellenblatt Basisdaten
Zelle J37</t>
        </r>
      </text>
    </comment>
    <comment ref="R22" authorId="0" shapeId="0" xr:uid="{00000000-0006-0000-0400-00000A000000}">
      <text>
        <r>
          <rPr>
            <sz val="9"/>
            <color indexed="81"/>
            <rFont val="Arial"/>
            <family val="2"/>
          </rPr>
          <t>Übertrag erfolgt aus Tabellenblatt Basisdaten
Zelle J38</t>
        </r>
      </text>
    </comment>
    <comment ref="R25" authorId="1" shapeId="0" xr:uid="{00000000-0006-0000-0400-00000B000000}">
      <text>
        <r>
          <rPr>
            <sz val="9"/>
            <color indexed="81"/>
            <rFont val="Arial"/>
            <family val="2"/>
          </rPr>
          <t>Übertrag erfolgt aus Anzahl KN 1a + Anzahl KN 1b</t>
        </r>
      </text>
    </comment>
    <comment ref="R28" authorId="0" shapeId="0" xr:uid="{00000000-0006-0000-0400-00000C000000}">
      <text>
        <r>
          <rPr>
            <sz val="9"/>
            <color indexed="81"/>
            <rFont val="Arial"/>
            <family val="2"/>
          </rPr>
          <t>Nenner KN: 4</t>
        </r>
      </text>
    </comment>
    <comment ref="R30" authorId="2" shapeId="0" xr:uid="{00000000-0006-0000-0400-00000D000000}">
      <text>
        <r>
          <rPr>
            <sz val="9"/>
            <color indexed="81"/>
            <rFont val="Arial"/>
            <family val="2"/>
          </rPr>
          <t>Der Zähler ist keine Teilmenge des Nenners.</t>
        </r>
      </text>
    </comment>
    <comment ref="R31" authorId="0" shapeId="0" xr:uid="{00000000-0006-0000-0400-00000E000000}">
      <text>
        <r>
          <rPr>
            <sz val="9"/>
            <color indexed="81"/>
            <rFont val="Arial"/>
            <family val="2"/>
          </rPr>
          <t>Übertrag erfolgt aus Tabellenblatt Basisdaten
Zelle J37</t>
        </r>
      </text>
    </comment>
    <comment ref="R37" authorId="0" shapeId="0" xr:uid="{00000000-0006-0000-0400-00000F000000}">
      <text>
        <r>
          <rPr>
            <sz val="9"/>
            <color indexed="81"/>
            <rFont val="Arial"/>
            <family val="2"/>
          </rPr>
          <t>Nenner KN: 7a</t>
        </r>
      </text>
    </comment>
    <comment ref="R39" authorId="0" shapeId="0" xr:uid="{00000000-0006-0000-0400-000010000000}">
      <text>
        <r>
          <rPr>
            <sz val="9"/>
            <color indexed="81"/>
            <rFont val="Arial"/>
            <family val="2"/>
          </rPr>
          <t>Übertrag erfolgt aus Tabellenblatt Basisdaten
Zelle J38</t>
        </r>
      </text>
    </comment>
    <comment ref="R42" authorId="0" shapeId="0" xr:uid="{00000000-0006-0000-0400-000011000000}">
      <text>
        <r>
          <rPr>
            <sz val="9"/>
            <color indexed="81"/>
            <rFont val="Arial"/>
            <family val="2"/>
          </rPr>
          <t>Übertrag erfolgt aus Tabellenblatt Basisdaten
Zelle J40</t>
        </r>
      </text>
    </comment>
    <comment ref="R46" authorId="0" shapeId="0" xr:uid="{00000000-0006-0000-0400-000012000000}">
      <text>
        <r>
          <rPr>
            <sz val="9"/>
            <color indexed="81"/>
            <rFont val="Arial"/>
            <family val="2"/>
          </rPr>
          <t>Übertrag erfolgt aus Tabellenblatt Basisdaten
Zelle J40</t>
        </r>
      </text>
    </comment>
    <comment ref="R49" authorId="0" shapeId="0" xr:uid="{00000000-0006-0000-0400-000013000000}">
      <text>
        <r>
          <rPr>
            <sz val="9"/>
            <color indexed="81"/>
            <rFont val="Arial"/>
            <family val="2"/>
          </rPr>
          <t>Übertrag erfolgt aus Tabellenblatt Basisdaten
Zelle J40</t>
        </r>
      </text>
    </comment>
    <comment ref="R52" authorId="0" shapeId="0" xr:uid="{00000000-0006-0000-0400-000014000000}">
      <text>
        <r>
          <rPr>
            <sz val="9"/>
            <color indexed="81"/>
            <rFont val="Arial"/>
            <family val="2"/>
          </rPr>
          <t>Übertrag erfolgt aus Tabellenblatt Basisdaten
Zelle J40</t>
        </r>
      </text>
    </comment>
    <comment ref="R55" authorId="0" shapeId="0" xr:uid="{00000000-0006-0000-0400-000015000000}">
      <text>
        <r>
          <rPr>
            <sz val="9"/>
            <color indexed="81"/>
            <rFont val="Arial"/>
            <family val="2"/>
          </rPr>
          <t>Übertrag erfolgt aus Tabellenblatt Basisdaten
Zelle J38</t>
        </r>
      </text>
    </comment>
    <comment ref="R61" authorId="3" shapeId="0" xr:uid="{00000000-0006-0000-0400-000016000000}">
      <text>
        <r>
          <rPr>
            <sz val="9"/>
            <color indexed="81"/>
            <rFont val="Arial"/>
            <family val="2"/>
          </rPr>
          <t>Übertrag erfolgt aus Tabellenblatt Basisdaten
Zelle J32</t>
        </r>
      </text>
    </comment>
    <comment ref="R70" authorId="3" shapeId="0" xr:uid="{00000000-0006-0000-0400-000017000000}">
      <text>
        <r>
          <rPr>
            <sz val="9"/>
            <color indexed="81"/>
            <rFont val="Arial"/>
            <family val="2"/>
          </rPr>
          <t>Übertrag erfolgt aus Tabellenblatt Basisdaten
Zelle I31</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OnkoZert - Christine Keller</author>
  </authors>
  <commentList>
    <comment ref="J23" authorId="0" shapeId="0" xr:uid="{00000000-0006-0000-0600-000001000000}">
      <text>
        <r>
          <rPr>
            <sz val="9"/>
            <color indexed="81"/>
            <rFont val="Tahoma"/>
            <family val="2"/>
          </rPr>
          <t xml:space="preserve">für Matrix EQ
</t>
        </r>
      </text>
    </comment>
    <comment ref="H31" authorId="0" shapeId="0" xr:uid="{00000000-0006-0000-0600-000002000000}">
      <text>
        <r>
          <rPr>
            <b/>
            <sz val="9"/>
            <color indexed="81"/>
            <rFont val="Tahoma"/>
            <family val="2"/>
          </rPr>
          <t>OnkoZert - Christine Keller:</t>
        </r>
        <r>
          <rPr>
            <sz val="9"/>
            <color indexed="81"/>
            <rFont val="Tahoma"/>
            <family val="2"/>
          </rPr>
          <t xml:space="preserve">
Angabe aus KB übernommen.</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OnkoZert</author>
  </authors>
  <commentList>
    <comment ref="C6" authorId="0" shapeId="0" xr:uid="{00000000-0006-0000-0800-000001000000}">
      <text>
        <r>
          <rPr>
            <sz val="9"/>
            <color indexed="81"/>
            <rFont val="Arial"/>
            <family val="2"/>
          </rPr>
          <t>Übertrag erfolgt aus Tabellenblatt Basisdaten</t>
        </r>
      </text>
    </comment>
    <comment ref="C8" authorId="0" shapeId="0" xr:uid="{00000000-0006-0000-0800-000002000000}">
      <text>
        <r>
          <rPr>
            <sz val="9"/>
            <color indexed="81"/>
            <rFont val="Arial"/>
            <family val="2"/>
          </rPr>
          <t>Übertrag erfolgt aus Tabellenblatt Basisdaten</t>
        </r>
      </text>
    </comment>
    <comment ref="J8" authorId="0" shapeId="0" xr:uid="{00000000-0006-0000-0800-000003000000}">
      <text>
        <r>
          <rPr>
            <sz val="9"/>
            <color indexed="81"/>
            <rFont val="Arial"/>
            <family val="2"/>
          </rPr>
          <t>Übertrag erfolgt aus Tabellenblatt Basisdaten</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OnkoZert</author>
  </authors>
  <commentList>
    <comment ref="C6" authorId="0" shapeId="0" xr:uid="{00000000-0006-0000-0900-000001000000}">
      <text>
        <r>
          <rPr>
            <sz val="9"/>
            <color indexed="81"/>
            <rFont val="Arial"/>
            <family val="2"/>
          </rPr>
          <t>Übertrag erfolgt aus Tabellenblatt Basisdaten</t>
        </r>
      </text>
    </comment>
    <comment ref="C8" authorId="0" shapeId="0" xr:uid="{00000000-0006-0000-0900-000002000000}">
      <text>
        <r>
          <rPr>
            <sz val="9"/>
            <color indexed="81"/>
            <rFont val="Arial"/>
            <family val="2"/>
          </rPr>
          <t>Übertrag erfolgt aus Tabellenblatt Basisdaten</t>
        </r>
      </text>
    </comment>
    <comment ref="S8" authorId="0" shapeId="0" xr:uid="{00000000-0006-0000-0900-000003000000}">
      <text>
        <r>
          <rPr>
            <sz val="9"/>
            <color indexed="81"/>
            <rFont val="Arial"/>
            <family val="2"/>
          </rPr>
          <t>Übertrag erfolgt aus Tabellenblatt Basisdaten</t>
        </r>
      </text>
    </comment>
    <comment ref="O28" authorId="0" shapeId="0" xr:uid="{00000000-0006-0000-0900-000004000000}">
      <text>
        <r>
          <rPr>
            <b/>
            <sz val="9"/>
            <color indexed="81"/>
            <rFont val="Arial"/>
            <family val="2"/>
          </rPr>
          <t>Voraussetzung REDZYK mind. 80,0%</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OnkoZert</author>
  </authors>
  <commentList>
    <comment ref="C6" authorId="0" shapeId="0" xr:uid="{00000000-0006-0000-0D00-000001000000}">
      <text>
        <r>
          <rPr>
            <sz val="9"/>
            <color indexed="81"/>
            <rFont val="Arial"/>
            <family val="2"/>
          </rPr>
          <t>Übertrag erfolgt aus Tabellenblatt Basisdaten</t>
        </r>
      </text>
    </comment>
    <comment ref="C8" authorId="0" shapeId="0" xr:uid="{00000000-0006-0000-0D00-000002000000}">
      <text>
        <r>
          <rPr>
            <sz val="9"/>
            <color indexed="81"/>
            <rFont val="Arial"/>
            <family val="2"/>
          </rPr>
          <t>Übertrag erfolgt aus Tabellenblatt Basisdaten</t>
        </r>
      </text>
    </comment>
    <comment ref="G8" authorId="0" shapeId="0" xr:uid="{00000000-0006-0000-0D00-000003000000}">
      <text>
        <r>
          <rPr>
            <sz val="9"/>
            <color indexed="81"/>
            <rFont val="Arial"/>
            <family val="2"/>
          </rPr>
          <t>Übertrag erfolgt aus Tabellenblatt Basisdaten</t>
        </r>
      </text>
    </comment>
    <comment ref="C15" authorId="0" shapeId="0" xr:uid="{00000000-0006-0000-0D00-000004000000}">
      <text>
        <r>
          <rPr>
            <sz val="9"/>
            <color indexed="81"/>
            <rFont val="Arial"/>
            <family val="2"/>
          </rPr>
          <t>Weitere Erläuterungen siehe Tabellenblatt "Matrix - Tabelle Plausibilitätsabfragen"</t>
        </r>
      </text>
    </comment>
  </commentList>
</comments>
</file>

<file path=xl/sharedStrings.xml><?xml version="1.0" encoding="utf-8"?>
<sst xmlns="http://schemas.openxmlformats.org/spreadsheetml/2006/main" count="1848" uniqueCount="1019">
  <si>
    <t>Nr.</t>
  </si>
  <si>
    <t>Kennzahlenziel</t>
  </si>
  <si>
    <t>Zähler</t>
  </si>
  <si>
    <t>Sollvorgabe</t>
  </si>
  <si>
    <t>Nenner</t>
  </si>
  <si>
    <t>%</t>
  </si>
  <si>
    <t>Primärfälle</t>
  </si>
  <si>
    <t>Anzahl</t>
  </si>
  <si>
    <t>Psychoonkologische Betreuung</t>
  </si>
  <si>
    <t>Beratung Sozialdienst</t>
  </si>
  <si>
    <t>Sollvorgabe nicht erfüllt</t>
  </si>
  <si>
    <t>F</t>
  </si>
  <si>
    <t>Jahr der Erstdiagnose</t>
  </si>
  <si>
    <t>Summe</t>
  </si>
  <si>
    <t>Gesamt</t>
  </si>
  <si>
    <t>Quote</t>
  </si>
  <si>
    <t>Reg.-Nr.</t>
  </si>
  <si>
    <t>Bundesland</t>
  </si>
  <si>
    <t>Universitätsstatus</t>
  </si>
  <si>
    <t>Thüringen</t>
  </si>
  <si>
    <t>GTDS</t>
  </si>
  <si>
    <t>Tumorzentrum Erfurt</t>
  </si>
  <si>
    <t>Tumordokumentationssystem</t>
  </si>
  <si>
    <t>KIS-Erweiterung</t>
  </si>
  <si>
    <t>Comprehensive Cancer Center Tübingen</t>
  </si>
  <si>
    <t>Comprehensive Cancer Center Ulm</t>
  </si>
  <si>
    <t>Kassenärztliche Vereinigung Niedersachsen</t>
  </si>
  <si>
    <t>Onkol. Schwerpunkt Ludwigsburg-Bietigheim</t>
  </si>
  <si>
    <t>Onkologischer Schwerpunkt Konstanz-Singen</t>
  </si>
  <si>
    <t>Onkologischer Schwerpunkt Ortenaukreis</t>
  </si>
  <si>
    <t>Onkologischer Schwerpunkt Stuttgart</t>
  </si>
  <si>
    <t>Tumorzentrum Augsburg</t>
  </si>
  <si>
    <t>Tumorzentrum Erlangen-Nürnberg</t>
  </si>
  <si>
    <t>Tumorzentrum Gera</t>
  </si>
  <si>
    <t>Tumorzentrum Halle</t>
  </si>
  <si>
    <t>Tumorzentrum Jena</t>
  </si>
  <si>
    <t>Tumorzentrum Leipzig</t>
  </si>
  <si>
    <t>Tumorzentrum Magdeburg</t>
  </si>
  <si>
    <t>Tumorzentrum Marburg</t>
  </si>
  <si>
    <t>Tumorzentrum München</t>
  </si>
  <si>
    <t>Tumorzentrum Regensburg</t>
  </si>
  <si>
    <t>Tumorzentrum Rheinland-Pfalz</t>
  </si>
  <si>
    <t>Universitär</t>
  </si>
  <si>
    <t>Baden-Württemberg</t>
  </si>
  <si>
    <t>Bayern</t>
  </si>
  <si>
    <t>Berlin</t>
  </si>
  <si>
    <t>Brandenburg</t>
  </si>
  <si>
    <t>Bremen</t>
  </si>
  <si>
    <t>Hamburg</t>
  </si>
  <si>
    <t>Hessen</t>
  </si>
  <si>
    <t>Mecklenburg-Vorpommern</t>
  </si>
  <si>
    <t>Niedersachsen</t>
  </si>
  <si>
    <t>Nordrhein-Westfalen</t>
  </si>
  <si>
    <t>Rheinland-Pfalz</t>
  </si>
  <si>
    <t>Saarland</t>
  </si>
  <si>
    <t>Sachsen</t>
  </si>
  <si>
    <t>Sachsen-Anhalt</t>
  </si>
  <si>
    <t>Schleswig-Holstein</t>
  </si>
  <si>
    <t>Schweiz</t>
  </si>
  <si>
    <t>Relevante Nachsorgejahre</t>
  </si>
  <si>
    <t>Berechnung Jahreszeitraum</t>
  </si>
  <si>
    <t>OAS</t>
  </si>
  <si>
    <t>Datenqualität</t>
  </si>
  <si>
    <t>Aktion</t>
  </si>
  <si>
    <t>ID</t>
  </si>
  <si>
    <t>HID</t>
  </si>
  <si>
    <t>EingeleiteteAktionen</t>
  </si>
  <si>
    <t>Aktionen</t>
  </si>
  <si>
    <t>vID</t>
  </si>
  <si>
    <t>Zaehler</t>
  </si>
  <si>
    <t>Nr</t>
  </si>
  <si>
    <t>FormularID</t>
  </si>
  <si>
    <t>ErlaeuterungDatendefizit</t>
  </si>
  <si>
    <t>% Angabe</t>
  </si>
  <si>
    <t>Tumorzentrum Zwickau</t>
  </si>
  <si>
    <t>Italien</t>
  </si>
  <si>
    <t>Eigenentwicklung (MS Excel, MS Access etc.)</t>
  </si>
  <si>
    <t>Kennzahlenbogen</t>
  </si>
  <si>
    <t>Erstelldatum</t>
  </si>
  <si>
    <t>Plausibilität unklar</t>
  </si>
  <si>
    <t>Verifizierung Zentrum</t>
  </si>
  <si>
    <t xml:space="preserve">Reg.-Nr. </t>
  </si>
  <si>
    <t>Erstzertifizierung</t>
  </si>
  <si>
    <t>Basisdaten</t>
  </si>
  <si>
    <t>Datenqualität Kennzahlen</t>
  </si>
  <si>
    <t>Grundgesamtheit 
(= Nenner)</t>
  </si>
  <si>
    <t>L</t>
  </si>
  <si>
    <t>Follow-Up-Meldungen</t>
  </si>
  <si>
    <t>I.O.</t>
  </si>
  <si>
    <t>I.O. (Plausibilität unklar)</t>
  </si>
  <si>
    <t>Pflicht Berechnung</t>
  </si>
  <si>
    <t>Optional Berechnung</t>
  </si>
  <si>
    <t>optional - I.O.</t>
  </si>
  <si>
    <t>optional - I.O. (Plausibilität unklar)</t>
  </si>
  <si>
    <t>optional - Sollvorgabe nicht erfüllt</t>
  </si>
  <si>
    <t>optional - unvollständig</t>
  </si>
  <si>
    <t>optional - inkorrekt</t>
  </si>
  <si>
    <t>In Ordnung</t>
  </si>
  <si>
    <t>Plausibel</t>
  </si>
  <si>
    <t>Inkorrekt</t>
  </si>
  <si>
    <t>Fehlerhaft</t>
  </si>
  <si>
    <t>Unvollständig</t>
  </si>
  <si>
    <t>11</t>
  </si>
  <si>
    <t>12</t>
  </si>
  <si>
    <t>13</t>
  </si>
  <si>
    <t>kein Eintrag</t>
  </si>
  <si>
    <t>n.d.</t>
  </si>
  <si>
    <t>Bearbeitungs-qualität</t>
  </si>
  <si>
    <t>DFS</t>
  </si>
  <si>
    <t>Datenqualität Matrix</t>
  </si>
  <si>
    <t>Anzahl/Quote</t>
  </si>
  <si>
    <t xml:space="preserve"> &lt;= Sollv. nicht erfüllt</t>
  </si>
  <si>
    <t xml:space="preserve"> &gt;= Sollv. nicht erfüllt</t>
  </si>
  <si>
    <t>&gt;</t>
  </si>
  <si>
    <t>&lt;</t>
  </si>
  <si>
    <t xml:space="preserve"> &lt; Plausi ?</t>
  </si>
  <si>
    <t xml:space="preserve"> &gt; Plausi ?</t>
  </si>
  <si>
    <t>Matrix</t>
  </si>
  <si>
    <t>Kalenderjahr 
(Erstdiagnose)</t>
  </si>
  <si>
    <t>zu geringe Anzahl der Primärfälle</t>
  </si>
  <si>
    <t>untere Grenze</t>
  </si>
  <si>
    <t>obere Grenze</t>
  </si>
  <si>
    <t>Werte</t>
  </si>
  <si>
    <t>Texte</t>
  </si>
  <si>
    <t>von</t>
  </si>
  <si>
    <t>ART</t>
  </si>
  <si>
    <t>plausi</t>
  </si>
  <si>
    <t>sollvorgabe</t>
  </si>
  <si>
    <t>unvollständig</t>
  </si>
  <si>
    <t>Liste zum Übertragen</t>
  </si>
  <si>
    <t>Kalenderjahr(e) 
(Erstdiagnose)</t>
  </si>
  <si>
    <t>Länge</t>
  </si>
  <si>
    <t>Prüfung der Nenner</t>
  </si>
  <si>
    <t>Erläuterung</t>
  </si>
  <si>
    <t>relevant</t>
  </si>
  <si>
    <t>Zentrum</t>
  </si>
  <si>
    <t>Standort</t>
  </si>
  <si>
    <t>Matrix kann eingereicht werden</t>
  </si>
  <si>
    <t>Einrichtung 1</t>
  </si>
  <si>
    <t>Status</t>
  </si>
  <si>
    <t>Land</t>
  </si>
  <si>
    <t>Zellen müssen nicht ausgefüllt werden</t>
  </si>
  <si>
    <t>DFS auffällig niedrig</t>
  </si>
  <si>
    <t xml:space="preserve">OAS auffällig niedrig </t>
  </si>
  <si>
    <t>2</t>
  </si>
  <si>
    <t>3</t>
  </si>
  <si>
    <t>4</t>
  </si>
  <si>
    <t>5</t>
  </si>
  <si>
    <t>6</t>
  </si>
  <si>
    <t>7</t>
  </si>
  <si>
    <t>8</t>
  </si>
  <si>
    <t>9</t>
  </si>
  <si>
    <t>10</t>
  </si>
  <si>
    <t>Nicht universitär / Akademisches Lehrkrankenhaus</t>
  </si>
  <si>
    <t>Zähler/ Anzahl</t>
  </si>
  <si>
    <r>
      <rPr>
        <b/>
        <sz val="10"/>
        <color indexed="8"/>
        <rFont val="Wingdings"/>
        <charset val="2"/>
      </rPr>
      <t>ê</t>
    </r>
    <r>
      <rPr>
        <b/>
        <sz val="8"/>
        <color indexed="8"/>
        <rFont val="Arial"/>
        <family val="2"/>
      </rPr>
      <t>Datum EZ</t>
    </r>
  </si>
  <si>
    <t>Ja</t>
  </si>
  <si>
    <t>Nein</t>
  </si>
  <si>
    <t>Texte Matrix Datenquali</t>
  </si>
  <si>
    <t>Fehlermeldungen Matrix</t>
  </si>
  <si>
    <t>Ganze Zahl zwischen 0 und 5000 eingeben.</t>
  </si>
  <si>
    <t>zu wenig Primärfälle angegeben</t>
  </si>
  <si>
    <t>DFS auffällig hoch</t>
  </si>
  <si>
    <t>OAS auffällig hoch</t>
  </si>
  <si>
    <t>D</t>
  </si>
  <si>
    <t>G</t>
  </si>
  <si>
    <t>M</t>
  </si>
  <si>
    <t>B</t>
  </si>
  <si>
    <t>Tabelle Plausibilitätsabfragen:</t>
  </si>
  <si>
    <t>Tumordoku. liegt größtenteils beim Krebsregister</t>
  </si>
  <si>
    <t>C</t>
  </si>
  <si>
    <t>Kennzahl-
definition</t>
  </si>
  <si>
    <t>Adäquate Rate an psychoonkologischer Betreuung</t>
  </si>
  <si>
    <t>IA</t>
  </si>
  <si>
    <t>IB</t>
  </si>
  <si>
    <t>IIA</t>
  </si>
  <si>
    <t>IIB</t>
  </si>
  <si>
    <t>III</t>
  </si>
  <si>
    <t>IV</t>
  </si>
  <si>
    <t>T1-N0-M0</t>
  </si>
  <si>
    <t>T2-N0-M0</t>
  </si>
  <si>
    <t>T3-N0-M0</t>
  </si>
  <si>
    <t>T1-N1-M0</t>
  </si>
  <si>
    <t>T2-N1-M0</t>
  </si>
  <si>
    <t>T3-N1-M0</t>
  </si>
  <si>
    <t>a</t>
  </si>
  <si>
    <t>b</t>
  </si>
  <si>
    <t>Primärfälle Zentrum</t>
  </si>
  <si>
    <t>≥  25</t>
  </si>
  <si>
    <t>≥  95%</t>
  </si>
  <si>
    <t>Postoperative Fallvorstellung</t>
  </si>
  <si>
    <t>Derzeit keine Vorgaben</t>
  </si>
  <si>
    <t>Endoskopie Komplikationen</t>
  </si>
  <si>
    <t>Möglichst niedrige Rate an endoskopiespezifischen Komplikationen</t>
  </si>
  <si>
    <t>≥  12</t>
  </si>
  <si>
    <t>≥  20</t>
  </si>
  <si>
    <t xml:space="preserve">Operative Expertise Pankreas gesamt </t>
  </si>
  <si>
    <t xml:space="preserve">Revisions-OP‘s Pankreas </t>
  </si>
  <si>
    <t>Postoperative Wundinfektion</t>
  </si>
  <si>
    <t>Mortalität postoperativ</t>
  </si>
  <si>
    <t>Lokale R0-Resektionen Pankreas</t>
  </si>
  <si>
    <t>Adjuvante Chemotherapie</t>
  </si>
  <si>
    <t xml:space="preserve">≤ 5% </t>
  </si>
  <si>
    <t xml:space="preserve">≤  10% </t>
  </si>
  <si>
    <t xml:space="preserve">≤ 10% </t>
  </si>
  <si>
    <t>Basisdaten Pankreas</t>
  </si>
  <si>
    <t>Kennzahlenbogen Pankreas</t>
  </si>
  <si>
    <t>Nicht gelistet</t>
  </si>
  <si>
    <t>Keine Zusammenarbeit</t>
  </si>
  <si>
    <t>Unbekannt</t>
  </si>
  <si>
    <t>Operative Expertise</t>
  </si>
  <si>
    <t>Operierte Primärfälle</t>
  </si>
  <si>
    <t>Angaben Primärdiagnose</t>
  </si>
  <si>
    <t>A</t>
  </si>
  <si>
    <t>E</t>
  </si>
  <si>
    <t>K</t>
  </si>
  <si>
    <t>Q</t>
  </si>
  <si>
    <t>R</t>
  </si>
  <si>
    <t>S</t>
  </si>
  <si>
    <t>T</t>
  </si>
  <si>
    <t>U</t>
  </si>
  <si>
    <t>V</t>
  </si>
  <si>
    <t>Y</t>
  </si>
  <si>
    <t>Anzahl Primärpatienten</t>
  </si>
  <si>
    <t>DFS nach Kaplan-Meier
(Disease Free Survival) in %</t>
  </si>
  <si>
    <t>OAS nach Kaplan-Meier    
(Overall Survival) in %</t>
  </si>
  <si>
    <t>Spalte/ Zelle</t>
  </si>
  <si>
    <t>Bedingung Wert</t>
  </si>
  <si>
    <t>nicht relevant</t>
  </si>
  <si>
    <t>leere Zellen</t>
  </si>
  <si>
    <t>C &lt; 25</t>
  </si>
  <si>
    <t>H</t>
  </si>
  <si>
    <t>N</t>
  </si>
  <si>
    <t>Tumorbedingt gestorben (bezüglich jeder Tumorentität)</t>
  </si>
  <si>
    <t>Nicht tumorbedingt gestorben bzw. Todesursache unbekannt</t>
  </si>
  <si>
    <t>Pankreaskarzinomzentrum-Ruhr</t>
  </si>
  <si>
    <t>Deutschland</t>
  </si>
  <si>
    <t>Charité - Campus Virchow-Klinikum</t>
  </si>
  <si>
    <t>Pankreaskarzinomzentrum Lippe</t>
  </si>
  <si>
    <t>Pankreaskarzinomzentrum Heilbronn-Franken</t>
  </si>
  <si>
    <t>Pankreaskarzinomzentrum Stuttgart am Marienhospital</t>
  </si>
  <si>
    <t>Marienhospital Stuttgart</t>
  </si>
  <si>
    <t>Pankreaskarzinomzentrum Reutlingen</t>
  </si>
  <si>
    <t>Pankreaskarzinomzentrum Klinikum Stuttgart</t>
  </si>
  <si>
    <t>Klinikum Stuttgart, Katharinenhospital</t>
  </si>
  <si>
    <t>Pankreaskarzinomzentrum Mülheim</t>
  </si>
  <si>
    <t>Pankreaskarzinomzentrum Klinikum Memmingen</t>
  </si>
  <si>
    <t>Klinikum Memmingen</t>
  </si>
  <si>
    <t>Pankreaskarzinomzentrum Barmherzige Brüder Regensburg</t>
  </si>
  <si>
    <t>Krankenhaus Barmherzige Brüder Regensburg</t>
  </si>
  <si>
    <t>Pankreaskarzinomzentrum Ludwigsburg</t>
  </si>
  <si>
    <t>Klinikum Ludwigsburg</t>
  </si>
  <si>
    <t>Universitäres Pankreaskarzinomzentrum Frankfurt</t>
  </si>
  <si>
    <t>Pankreaskarzinomzentrum Klinikum Kassel</t>
  </si>
  <si>
    <t>Pankreaskarzinomzentrum Raphaelsklinik Münster</t>
  </si>
  <si>
    <t>Pankreaskarzinomzentrum Greifswald</t>
  </si>
  <si>
    <t>Universitätsmedizin Greifswald</t>
  </si>
  <si>
    <t>Pankreaskarzinomzentrum am Asklepios Darmzentrum Barmbek</t>
  </si>
  <si>
    <t>Asklepios Klinik Barmbek</t>
  </si>
  <si>
    <t>Pankreaskarzinomzentrum Potsdam</t>
  </si>
  <si>
    <t>Klinikum Ernst von Bergmann Potsdam</t>
  </si>
  <si>
    <t>Pankreaskarzinomzentrum Juliusspital Würzburg</t>
  </si>
  <si>
    <t>Pankreaskarzinomzentrum Rheinpfalz am Klinikum der Stadt Ludwigshafen</t>
  </si>
  <si>
    <t>Klinik am Eichert Göppingen</t>
  </si>
  <si>
    <t>Pankreaskarzinomzentrum Sana Klinikum Lichtenberg</t>
  </si>
  <si>
    <t>Sana Klinikum Lichtenberg</t>
  </si>
  <si>
    <t>Pankreaskarzinomzentrum Minden</t>
  </si>
  <si>
    <t>Johannes Wesling Klinikum Minden</t>
  </si>
  <si>
    <t>Pankreaskarzinomzentrum Klinikum Osnabrück</t>
  </si>
  <si>
    <t>Pankreaskarzinomzentrum Erlangen</t>
  </si>
  <si>
    <t>Universitätsklinikum Erlangen</t>
  </si>
  <si>
    <t>Österreich</t>
  </si>
  <si>
    <t>Pankreaskrebszentrum Oldenburg, Pius-Hospital</t>
  </si>
  <si>
    <t>Pius-Hospital Oldenburg</t>
  </si>
  <si>
    <t>Pankreaskarzinomzentrum EVK Düsseldorf</t>
  </si>
  <si>
    <t>Evangelisches Krankenhaus Düsseldorf</t>
  </si>
  <si>
    <t>Pankreaskarzinomzentrum UKSH Kiel</t>
  </si>
  <si>
    <t>Universitätsklinikum Schleswig-Holstein, Campus Kiel</t>
  </si>
  <si>
    <t>KRAZTUR</t>
  </si>
  <si>
    <t>IndivuNET</t>
  </si>
  <si>
    <t>Oncolution</t>
  </si>
  <si>
    <t>OnkoManager</t>
  </si>
  <si>
    <t>Comprehensive Cancer Center Freiburg</t>
  </si>
  <si>
    <t>Bevölkerungsbezogenes Krebsregister Bayern</t>
  </si>
  <si>
    <t>Charité Comprehensive Cancer Center</t>
  </si>
  <si>
    <t>Gemeinsames Krebsregister Berlin-Brandenburg</t>
  </si>
  <si>
    <t>Krebsregister des Landes Bremen</t>
  </si>
  <si>
    <t>Hamburgisches Krebsregister</t>
  </si>
  <si>
    <t>Hessisches Krebsregister</t>
  </si>
  <si>
    <t>Tumorzentrum Neubrandenburg</t>
  </si>
  <si>
    <t>Epidemiologisches Krebsregister Niedersachsen</t>
  </si>
  <si>
    <t>Westdeutsches Tumorzentrum Essen</t>
  </si>
  <si>
    <t>Krebsregister Rheinland-Pfalz</t>
  </si>
  <si>
    <t>Epidemiologisches Krebsregister Saarland</t>
  </si>
  <si>
    <t>Tumorzentrum Chemnitz</t>
  </si>
  <si>
    <t>Tumorzentrum Anhalt</t>
  </si>
  <si>
    <t>klinisches Krebsregister Schleswig Holstein/Lübeck</t>
  </si>
  <si>
    <t>Tumorzentrum Altenburg</t>
  </si>
  <si>
    <t>Tumorzentrum Land Brandenburg</t>
  </si>
  <si>
    <t>Keine Anbindung an Klinisches Krebsregister</t>
  </si>
  <si>
    <t>Krebsregister Hessen</t>
  </si>
  <si>
    <t>Tumorzentrum Rostock</t>
  </si>
  <si>
    <t>Comprehensive Cancer Center Münster</t>
  </si>
  <si>
    <t>Tumorzentrum Koblenz</t>
  </si>
  <si>
    <t>Tumorzentrum Homburg</t>
  </si>
  <si>
    <t>Tumorzentrum Dresden</t>
  </si>
  <si>
    <t>Krebsregister Schleswig-Holstein</t>
  </si>
  <si>
    <t>Tumorzentrum Berlin-Buch</t>
  </si>
  <si>
    <t>GKR (Gemeinsames Krebsregister der Länder)</t>
  </si>
  <si>
    <t>Onkologischer Schwerpunkt Wiesbaden</t>
  </si>
  <si>
    <t>Tumorzentrum Schwerin</t>
  </si>
  <si>
    <t>Krebsregister Niedersachsen</t>
  </si>
  <si>
    <t xml:space="preserve">Epidemiologisches Krebsregister Münster </t>
  </si>
  <si>
    <t>Tumorzentrum Kiel</t>
  </si>
  <si>
    <t>Epidemiologisches Krebsregister Baden-Württemberg</t>
  </si>
  <si>
    <t>Tumorzentrum für Klinik &amp; Praxis in Berlin</t>
  </si>
  <si>
    <t>Tumorzentrum Kassel</t>
  </si>
  <si>
    <t>Tumorzentrum Vorpommern</t>
  </si>
  <si>
    <t>Tumorzentrum Göttingen</t>
  </si>
  <si>
    <t>Epidemiologisches Krebsregister NRW</t>
  </si>
  <si>
    <t>Tumorzentrum Südharz</t>
  </si>
  <si>
    <t>Krebsregister Baden-Württemberg</t>
  </si>
  <si>
    <t>Tumorzentrum Oberfranken</t>
  </si>
  <si>
    <t>Tumorzentrum Spandau</t>
  </si>
  <si>
    <t>Tumorzentrum Hannover</t>
  </si>
  <si>
    <t>Krebsregister NRW</t>
  </si>
  <si>
    <t>Tumorzentrum Suhl</t>
  </si>
  <si>
    <t>NCT Heidelberg</t>
  </si>
  <si>
    <t>Tumorzentrum Vivantes</t>
  </si>
  <si>
    <t>Onkologischer Schwerpunkt Hamm</t>
  </si>
  <si>
    <t>Onkol. Schwerpunkt Lörrach-Rheinfelden</t>
  </si>
  <si>
    <t>Tumorzentrum Würzburg</t>
  </si>
  <si>
    <t>Onkol. Schwerpunkt Villingen-Schwenningen</t>
  </si>
  <si>
    <t>Onkologischer Schwerpunkt Göppingen</t>
  </si>
  <si>
    <t>Onkologischer Schwerpunkt Heilbronn</t>
  </si>
  <si>
    <t>Onkologischer Schwerpunkt Karlsruhe</t>
  </si>
  <si>
    <t>Onkologischer Schwerpunkt Oberschwaben</t>
  </si>
  <si>
    <t>Onkologischer Schwerpunkt Ostwürttemberg</t>
  </si>
  <si>
    <t>Onkologischer Schwerpunkt Reutlingen</t>
  </si>
  <si>
    <t>-----</t>
  </si>
  <si>
    <t>&gt; 95%</t>
  </si>
  <si>
    <t>7a</t>
  </si>
  <si>
    <t>7b</t>
  </si>
  <si>
    <t>zu viele Patienten im Follow-Up</t>
  </si>
  <si>
    <t>inkorrekt</t>
  </si>
  <si>
    <t>negative Werte tumorfrei</t>
  </si>
  <si>
    <t>Jedes T-Jedes N-
M1</t>
  </si>
  <si>
    <t>Siehe Sollvorgabe</t>
  </si>
  <si>
    <t>&lt; 0,01%</t>
  </si>
  <si>
    <t>Kennzahlenbogen - Analyseprotokoll Datendefizite Pankreas</t>
  </si>
  <si>
    <t xml:space="preserve">         Datum Erstzertifizierung</t>
  </si>
  <si>
    <t xml:space="preserve">         Erstelldatum</t>
  </si>
  <si>
    <t xml:space="preserve">         Kennzahlenjahr</t>
  </si>
  <si>
    <t>Möglichst niedrige Rate an postoperativen Wundinfektionen mit Notwendigkeit der chirurgischen Wundrevision (Spülung, Spreizung, VAC-Verband)</t>
  </si>
  <si>
    <t>&lt; 40%</t>
  </si>
  <si>
    <t>&lt; 65%</t>
  </si>
  <si>
    <t>I</t>
  </si>
  <si>
    <t>O</t>
  </si>
  <si>
    <t>W</t>
  </si>
  <si>
    <t>Z</t>
  </si>
  <si>
    <t>Geringe Follow-Up Quote der Nachsorgejahre</t>
  </si>
  <si>
    <t>geringe Follow-Up Quote der Nachsorgejahre</t>
  </si>
  <si>
    <t>Spalte C - I</t>
  </si>
  <si>
    <t>Q &lt; 0</t>
  </si>
  <si>
    <t>Werte Spalte Q "Patienten tumorfrei" dürfen keine negativen Werte annehmen</t>
  </si>
  <si>
    <t>Anzahl Primärpatienten größer als im Basisdaten</t>
  </si>
  <si>
    <t>Primärfälle&gt;Basisdaten</t>
  </si>
  <si>
    <t>Anzahl Primärfälle zu gering</t>
  </si>
  <si>
    <t>&lt; Follow-Up Nachsorgejahre</t>
  </si>
  <si>
    <t>Sollvorgabe FU 3 Jahre</t>
  </si>
  <si>
    <t>plausi&gt;95% FU 3 Jahre</t>
  </si>
  <si>
    <t>negative Werte tumorfrei
inkorrekt</t>
  </si>
  <si>
    <t>zu viele Patienten im FU
inkorrekt</t>
  </si>
  <si>
    <t>Werte Spalte K "Patienten im Follow-Up" müssen kleiner gleich sein als Spalte I subtrahiert von Spalte C</t>
  </si>
  <si>
    <t>Anzahl Primärpatienten in der Matrix größer als Primärfälle Basisdaten</t>
  </si>
  <si>
    <t xml:space="preserve">                   Erstelldatum</t>
  </si>
  <si>
    <t xml:space="preserve">  Erstelldatum</t>
  </si>
  <si>
    <t>Möglichst hohe Rate an lokalen 
R0-Resektionen</t>
  </si>
  <si>
    <t>&lt; 30%</t>
  </si>
  <si>
    <t>&lt; 45%</t>
  </si>
  <si>
    <t>&gt; 50%</t>
  </si>
  <si>
    <t>Nicht ausgefüllte Zellen von relevanten Nachsorgejahren</t>
  </si>
  <si>
    <t>Alle relevanten Nachsorgejahre sind zu bearbeiten, abhängig vom Datum der Erstzertifizierung</t>
  </si>
  <si>
    <t>die inkorrekten und unvollständigen Einträge beheben</t>
  </si>
  <si>
    <t xml:space="preserve">             Erstelldatum</t>
  </si>
  <si>
    <t>durchschnittliche Follow-Up Quote &gt; 95%</t>
  </si>
  <si>
    <t>geringe Follow-Up Quote</t>
  </si>
  <si>
    <t>Achieva</t>
  </si>
  <si>
    <t>CREDOS</t>
  </si>
  <si>
    <t>Onkomedia</t>
  </si>
  <si>
    <t>online Dokumentation IDZB</t>
  </si>
  <si>
    <t>WDC-Kolonakte</t>
  </si>
  <si>
    <t>Kennzahldefinition</t>
  </si>
  <si>
    <t>Bundesland / Land</t>
  </si>
  <si>
    <t>Begründung / Ursache</t>
  </si>
  <si>
    <t>Eingeleitete / geplante Aktionen</t>
  </si>
  <si>
    <t>Erläuterung hinsichtlich Datendefizit
Begründung / Ursachenanalyse / Aktionen</t>
  </si>
  <si>
    <t>Geringe / punktuelle Zusammenarbeit</t>
  </si>
  <si>
    <t>Intensive / regelmäßige Zusammenarbeit</t>
  </si>
  <si>
    <t>relevante Nachsorgejahre 
nicht / unvollständig bearbeitet</t>
  </si>
  <si>
    <t xml:space="preserve">  </t>
  </si>
  <si>
    <t>Ansprechpartner</t>
  </si>
  <si>
    <t>Achiever Medical System</t>
  </si>
  <si>
    <t>c37.CancerCenter</t>
  </si>
  <si>
    <t>CARAT</t>
  </si>
  <si>
    <t>H.I.T.</t>
  </si>
  <si>
    <t>Kolorekt</t>
  </si>
  <si>
    <t>Medbrix</t>
  </si>
  <si>
    <t>MR-TU-DO</t>
  </si>
  <si>
    <t>NUK</t>
  </si>
  <si>
    <t>onkodok (XAXOA)</t>
  </si>
  <si>
    <t>OnkoNet</t>
  </si>
  <si>
    <t>Tudok (Tumorzentrum Regensburg)</t>
  </si>
  <si>
    <t>Plausi unklar</t>
  </si>
  <si>
    <t>Daten-qualität</t>
  </si>
  <si>
    <t>Tumorzentrum Weser-Ems</t>
  </si>
  <si>
    <t>Tumorzentrum Ostsachsen</t>
  </si>
  <si>
    <t>Pankreaskarzinomzentrum Gera</t>
  </si>
  <si>
    <t>SRH Wald-Klinikum Gera</t>
  </si>
  <si>
    <t>Allgemeine Feststellungen</t>
  </si>
  <si>
    <t>Allgemeine Hinweise</t>
  </si>
  <si>
    <t>Allgemeine Abweichungen</t>
  </si>
  <si>
    <t>Bewertung Ausschuss</t>
  </si>
  <si>
    <t>Anmerkung OnkoZert</t>
  </si>
  <si>
    <t>Feststellung</t>
  </si>
  <si>
    <t>Hinweis</t>
  </si>
  <si>
    <t>Abweichung</t>
  </si>
  <si>
    <t>Noch nicht vorhanden</t>
  </si>
  <si>
    <t>ID_intern</t>
  </si>
  <si>
    <t>Erläuterung hinsichtlich Datendefizit</t>
  </si>
  <si>
    <t xml:space="preserve"> </t>
  </si>
  <si>
    <t>relevante Nachsorgejahre nicht / unvollständig bearbeitet</t>
  </si>
  <si>
    <t>ID: a</t>
  </si>
  <si>
    <t>ID:b</t>
  </si>
  <si>
    <t>ID:c</t>
  </si>
  <si>
    <t>Plausibilität unklar; durchschnittliche Follow-Up Quote &gt; 95%; ID: f</t>
  </si>
  <si>
    <t>ID: e</t>
  </si>
  <si>
    <t>ID: g</t>
  </si>
  <si>
    <t>Plausibilität unklar; Anzahl Primärpatienten in der Matrix größer als Primärfälle Basisdaten ; ID: h</t>
  </si>
  <si>
    <t>Datenverifizierung_ID</t>
  </si>
  <si>
    <t>Pankreaskarzinomzentrum Klinikum Hildesheim</t>
  </si>
  <si>
    <t>Pankreaskarzinomzentrum Coburg</t>
  </si>
  <si>
    <t>Pankreaskarzinomzentrum Kempten - Allgäu</t>
  </si>
  <si>
    <t>Pankreaszentrum Klinikum Bayreuth</t>
  </si>
  <si>
    <t>Klinikum Bayreuth</t>
  </si>
  <si>
    <t>Klinikum rechts der Isar der Technischen Universität München</t>
  </si>
  <si>
    <t>Heartsoft Tumordatenbank</t>
  </si>
  <si>
    <t>Prostata-Ca Register</t>
  </si>
  <si>
    <t>QuaDoSta</t>
  </si>
  <si>
    <t>UroCloud</t>
  </si>
  <si>
    <r>
      <t xml:space="preserve">Eingeleitete / geplante Aktionen
</t>
    </r>
    <r>
      <rPr>
        <sz val="8"/>
        <color indexed="8"/>
        <rFont val="Arial"/>
        <family val="2"/>
      </rPr>
      <t>(bei plausibler Begründung keine Aktion erforderlich)</t>
    </r>
  </si>
  <si>
    <t>Für Übertragung in Datendefizite_KB:</t>
  </si>
  <si>
    <t>Alle KN leer:</t>
  </si>
  <si>
    <t>Postoperative Vorstellung aller Primärfälle</t>
  </si>
  <si>
    <t>Inhalt
Pathologieberichte</t>
  </si>
  <si>
    <t>Möglichst häufig vollständige Pathologieberichte</t>
  </si>
  <si>
    <t>Palliative Chemotherapie</t>
  </si>
  <si>
    <t>≥ 50%</t>
  </si>
  <si>
    <t>ixserv.4</t>
  </si>
  <si>
    <t>Universitätsklinikum „Carl Gustav Carus“ Dresden</t>
  </si>
  <si>
    <t>Unvollständige Jahre</t>
  </si>
  <si>
    <t>KN</t>
  </si>
  <si>
    <t>Pankreaskarzinomzentrum Lüneburg</t>
  </si>
  <si>
    <t>St. Elisabeth-Krankenhaus Köln Hohenlind</t>
  </si>
  <si>
    <t>Universitätsklinikum Schleswig-Holstein, Campus Lübeck</t>
  </si>
  <si>
    <t>DONAUISAR Klinikum Deggendorf</t>
  </si>
  <si>
    <t>ambucare</t>
  </si>
  <si>
    <t>em.net</t>
  </si>
  <si>
    <t>FileTuDo</t>
  </si>
  <si>
    <t>MIQ-KRCA</t>
  </si>
  <si>
    <t>ORBIS-ODOK</t>
  </si>
  <si>
    <t>OncoAssist Tumordokumentation</t>
  </si>
  <si>
    <t>ONKOSTAR</t>
  </si>
  <si>
    <t>ONDIS</t>
  </si>
  <si>
    <t>Qualitätssicherung Kolorektalkarzinom</t>
  </si>
  <si>
    <t>SMATOS</t>
  </si>
  <si>
    <t>StuDoQ</t>
  </si>
  <si>
    <t>Tumordokumentation des Instituts für Krebsepidemiologie</t>
  </si>
  <si>
    <t>KR7</t>
  </si>
  <si>
    <t>≥  5%</t>
  </si>
  <si>
    <t>Möglichst niedrige Rate an Revisions-OP‘s nach OP</t>
  </si>
  <si>
    <t>Klinikum Sindelfingen Böblingen</t>
  </si>
  <si>
    <t>Pankreaskarzinomzentrum des Tumorzentrums Freiburg - CCCF</t>
  </si>
  <si>
    <t>Universitätsklinikum Freiburg</t>
  </si>
  <si>
    <t>Pankreaskarzinomzentrum St. Anna Hospital Herne</t>
  </si>
  <si>
    <t>St. Elisabeth Gruppe - Katholische Kliniken Rhein-Ruhr</t>
  </si>
  <si>
    <t>Pankreaskarzinomzentrum im Carl-Thiem-Klinikum Cottbus</t>
  </si>
  <si>
    <t>Carl-Thiem-Klinikum Cottbus</t>
  </si>
  <si>
    <t>Pankreaskarzinomzentrum Klinikum Robert Koch Gehrden</t>
  </si>
  <si>
    <t>Klinikum Robert Koch Gehrden</t>
  </si>
  <si>
    <t>Pankreaskarzinomzentrum der Universitätsmedizin Rostock</t>
  </si>
  <si>
    <t>Universitätsmedizin Rostock</t>
  </si>
  <si>
    <t>Pankreaskarzinomzentrum Frankfurt Höchst</t>
  </si>
  <si>
    <t>Klinikum Frankfurt Höchst</t>
  </si>
  <si>
    <t>Pankreaskarzinomzentrum Bremen-Mitte</t>
  </si>
  <si>
    <t>Pankreastumorzentrum Winterthur</t>
  </si>
  <si>
    <t>Kantonsspital Winterthur</t>
  </si>
  <si>
    <t>Universitätsklinikum Essen</t>
  </si>
  <si>
    <t>Pankreaskarzinomzentrum Triemli</t>
  </si>
  <si>
    <r>
      <t xml:space="preserve">Begründung / Ursache
</t>
    </r>
    <r>
      <rPr>
        <sz val="8"/>
        <color indexed="8"/>
        <rFont val="Arial"/>
        <family val="2"/>
      </rPr>
      <t>(min. 30 Zeichen / max. 500 Zeichen)</t>
    </r>
  </si>
  <si>
    <t>Datum Erstzertifizierung</t>
  </si>
  <si>
    <t>1.2.0</t>
  </si>
  <si>
    <t>1.7.6</t>
  </si>
  <si>
    <t>2.1</t>
  </si>
  <si>
    <t>5.2.4</t>
  </si>
  <si>
    <t>Krebsregister Schweiz</t>
  </si>
  <si>
    <t>Krebsregister Österreich</t>
  </si>
  <si>
    <t>Pankreaskarzinomzentrum am Klinikum Fulda</t>
  </si>
  <si>
    <t>Klinikum Fulda</t>
  </si>
  <si>
    <t>Pankreatitis nach ERCP
(EB 2.1)</t>
  </si>
  <si>
    <t>Blutung u. Perforation nach ERCP 
(EB 2.1)</t>
  </si>
  <si>
    <t>XML-OncoBox</t>
  </si>
  <si>
    <t>Krebsregister Italien</t>
  </si>
  <si>
    <t>Follow-Up Quote in %
= (L + M) / K</t>
  </si>
  <si>
    <t>O &lt; 70%</t>
  </si>
  <si>
    <t>durchschnittliche Follow-Up Quote &lt; 80%</t>
  </si>
  <si>
    <t>Sollvorgabe nicht erfüllt; durchschnittliche Follow-Up Quote &lt; 80%; ID: d</t>
  </si>
  <si>
    <t>Ist-Wert</t>
  </si>
  <si>
    <t>KoReDos</t>
  </si>
  <si>
    <t>MaDoS</t>
  </si>
  <si>
    <t>ProDos</t>
  </si>
  <si>
    <t>nur Darm</t>
  </si>
  <si>
    <t>nur Brust / Gyn</t>
  </si>
  <si>
    <t>nur Prostata</t>
  </si>
  <si>
    <t>UCC-TDS (Tumorzentrum Dresden)</t>
  </si>
  <si>
    <t>&lt; 80%</t>
  </si>
  <si>
    <t>&gt; 10%</t>
  </si>
  <si>
    <t xml:space="preserve"> (Muster Zertifikat)</t>
  </si>
  <si>
    <t>FAD-Z001-3 P</t>
  </si>
  <si>
    <t>FAD-Z003-1 P</t>
  </si>
  <si>
    <t>FAD-Z007 P</t>
  </si>
  <si>
    <t>FAD-Z013 P</t>
  </si>
  <si>
    <t>FAD-Z031 P</t>
  </si>
  <si>
    <t>FAD-Z032 P</t>
  </si>
  <si>
    <t>FAD-Z037 P</t>
  </si>
  <si>
    <t>FAD-Z044 P</t>
  </si>
  <si>
    <t>FAD-Z047 P</t>
  </si>
  <si>
    <t>FAD-Z055 P</t>
  </si>
  <si>
    <t>Bauchspeicheldrüsenkrebszentrum Böblingen</t>
  </si>
  <si>
    <t>FAD-Z063 P</t>
  </si>
  <si>
    <t>FAD-Z067 P</t>
  </si>
  <si>
    <t>FAD-Z070 P</t>
  </si>
  <si>
    <t>Pankreaskarzinomzentrum Südthüringen</t>
  </si>
  <si>
    <t>HELIOS Klinikum Meiningen</t>
  </si>
  <si>
    <t>FAD-Z072 P</t>
  </si>
  <si>
    <t>FAD-Z076 P</t>
  </si>
  <si>
    <t>FAD-Z083 P</t>
  </si>
  <si>
    <t>FAD-Z096 P</t>
  </si>
  <si>
    <t>FAD-Z097 P</t>
  </si>
  <si>
    <t>Pankreaskrebszentrum des Universitätsklinikums Würzburg</t>
  </si>
  <si>
    <t>FAD-Z098 P</t>
  </si>
  <si>
    <t>FAD-Z099 P</t>
  </si>
  <si>
    <t>FAD-Z103 P</t>
  </si>
  <si>
    <t>Universitätsklinikum Regensburg</t>
  </si>
  <si>
    <t>FAD-Z108 P</t>
  </si>
  <si>
    <t>FAD-Z113 P</t>
  </si>
  <si>
    <t>FAD-Z114 P</t>
  </si>
  <si>
    <t>FAD-Z118 P</t>
  </si>
  <si>
    <t>FAD-Z121 P</t>
  </si>
  <si>
    <t>FAD-Z141 P</t>
  </si>
  <si>
    <t>FAD-Z142 P</t>
  </si>
  <si>
    <t>FAD-Z149 P</t>
  </si>
  <si>
    <t>Stiftung Juliusspital Würzburg</t>
  </si>
  <si>
    <t>FAD-Z160 P</t>
  </si>
  <si>
    <t>FAD-Z174 P</t>
  </si>
  <si>
    <t>FAD-Z175 P</t>
  </si>
  <si>
    <t>FAD-Z177 P</t>
  </si>
  <si>
    <t>FAD-Z180 P</t>
  </si>
  <si>
    <t>FAD-Z186 P</t>
  </si>
  <si>
    <t>Städtisches Klinikum Lüneburg</t>
  </si>
  <si>
    <t>FAD-Z187 P</t>
  </si>
  <si>
    <t>FAD-Z210 P</t>
  </si>
  <si>
    <t>FAD-Z214 P</t>
  </si>
  <si>
    <t>FAD-Z215 P</t>
  </si>
  <si>
    <t>FAD-Z220 P</t>
  </si>
  <si>
    <t>FAD-Z224 P</t>
  </si>
  <si>
    <t>FAD-Z226 P</t>
  </si>
  <si>
    <t>FAD-Z227 P</t>
  </si>
  <si>
    <t>FAD-Z231 P</t>
  </si>
  <si>
    <t>FAD-Z232 P</t>
  </si>
  <si>
    <t>FAD-Z234 P</t>
  </si>
  <si>
    <t>Pankreaskarzinomzentrum HELIOS Klinikum Pforzheim</t>
  </si>
  <si>
    <t xml:space="preserve">HELIOS Klinikum Pforzheim </t>
  </si>
  <si>
    <t>FAD-Z248 P</t>
  </si>
  <si>
    <t>FAD-Z250 P</t>
  </si>
  <si>
    <t>FAD-Z255 P</t>
  </si>
  <si>
    <t>FAD-Z265 P</t>
  </si>
  <si>
    <t>FAD-Z273 P</t>
  </si>
  <si>
    <t>FAD-Z281 P</t>
  </si>
  <si>
    <t>FAD-Z284 P</t>
  </si>
  <si>
    <t>FAD-Z288 P</t>
  </si>
  <si>
    <t>FAD-Z293 P</t>
  </si>
  <si>
    <t>FAD-Z295 P</t>
  </si>
  <si>
    <t>Pankreaskarzinomzentrum Braunschweig</t>
  </si>
  <si>
    <t>Städtisches Klinikum Braunschweig</t>
  </si>
  <si>
    <t>FAD-Z297 P</t>
  </si>
  <si>
    <t>FAD-Z300 P</t>
  </si>
  <si>
    <t>Gesundheit Nord, Standort Klinikum Bremen-Mitte</t>
  </si>
  <si>
    <t>FAD-Z304 P</t>
  </si>
  <si>
    <t>FAD-Z306 P</t>
  </si>
  <si>
    <t>FAD-Z308 P</t>
  </si>
  <si>
    <t>FAD-Z310 P</t>
  </si>
  <si>
    <t>FAD-Z314 P</t>
  </si>
  <si>
    <t>FAD-Z326 P</t>
  </si>
  <si>
    <t>Pankreaskarzinomzentrum St. Claraspital Basel</t>
  </si>
  <si>
    <t>FAD-Z185 P</t>
  </si>
  <si>
    <t>Pankreaskarzinomzentrum Universitätsklinikum Düsseldorf</t>
  </si>
  <si>
    <t>OncoBox</t>
  </si>
  <si>
    <t>Zusammenarbeit mit KFRG-Krebsregister</t>
  </si>
  <si>
    <t>ERCPs je endoskopierender Einheit</t>
  </si>
  <si>
    <t>Uro-Link</t>
  </si>
  <si>
    <t>Katholische St. Lukas Gesellschaft mbH, St.-Josefs-Hospital Dortmund</t>
  </si>
  <si>
    <t>FAD-Z002 P</t>
  </si>
  <si>
    <t xml:space="preserve">Pankreaskarzinomzentrum Universitätsklinikum Ulm </t>
  </si>
  <si>
    <t xml:space="preserve">Universitätsklinikum Ulm </t>
  </si>
  <si>
    <t>FAD-Z019 P</t>
  </si>
  <si>
    <t>Klinikum Lippe</t>
  </si>
  <si>
    <t>FAD-Z043 P</t>
  </si>
  <si>
    <t>Elbe Klinikum Stade</t>
  </si>
  <si>
    <t>FAD-Z101-1 P</t>
  </si>
  <si>
    <t>Klinikum Kassel</t>
  </si>
  <si>
    <t>FAD-Z133 P</t>
  </si>
  <si>
    <t>Pankreaskarzinomzentrum Marburg im Comprehensive Cancer Center (CCC) Marburg</t>
  </si>
  <si>
    <t>Universitätsklinikum Gießen und Marburg, Standort Marburg</t>
  </si>
  <si>
    <t>Klinikum der Stadt Ludwigshafen am Rhein gGmbH</t>
  </si>
  <si>
    <t>FAD-Z173-1 P</t>
  </si>
  <si>
    <t>Pankreaskarzinomzentrum Kaiserslautern am Westpfalz-Klinikum</t>
  </si>
  <si>
    <t>Westpfalz-Klinikum</t>
  </si>
  <si>
    <t>FAD-Z178 P</t>
  </si>
  <si>
    <t>Pankreaskarzinomzentrum Berlin I Westend</t>
  </si>
  <si>
    <t>FAD-Z228 P</t>
  </si>
  <si>
    <t>Pankreaskarzinomzentrum am KRH Klinikum Siloah</t>
  </si>
  <si>
    <t>FAD-Z243 P</t>
  </si>
  <si>
    <t>Pankreaskarzinomzentrum Dresden-Friedrichstadt</t>
  </si>
  <si>
    <t>Klinikverbund Kempten-Oberallgäu Klinikum Kempten</t>
  </si>
  <si>
    <t>FAD-Z271 P</t>
  </si>
  <si>
    <t>Pankreaskarzinomzentrum Celle</t>
  </si>
  <si>
    <t>Allgemeines Krankenhaus Celle</t>
  </si>
  <si>
    <t>Pankreastumorzentrum am Westdeutschen Tumorzentrum - Universitätsmedizin Essen</t>
  </si>
  <si>
    <t>St. Claraspital Basel</t>
  </si>
  <si>
    <t>FAD-Z337 P</t>
  </si>
  <si>
    <t>Pankreaskarzinomzentrum am Universitätsklinikum Gießen</t>
  </si>
  <si>
    <t>Mind. 12 regionäre LK im OP-Präparat</t>
  </si>
  <si>
    <r>
      <t xml:space="preserve">Primärfälle 
Pankreaskarzinom 
</t>
    </r>
    <r>
      <rPr>
        <sz val="8"/>
        <color indexed="8"/>
        <rFont val="Arial"/>
        <family val="2"/>
      </rPr>
      <t>Def. gemäß EB 1.2.0</t>
    </r>
  </si>
  <si>
    <t>Primärfälle Gesamt</t>
  </si>
  <si>
    <t>Primärfälle operativ Gesamt</t>
  </si>
  <si>
    <t>Primärfälle Neuroendokrine Tumoren (NET) und Neuroendokrine Karzinome (NEC)</t>
  </si>
  <si>
    <r>
      <rPr>
        <b/>
        <sz val="10"/>
        <rFont val="Arial"/>
        <family val="2"/>
      </rPr>
      <t xml:space="preserve">Operative Expertise - Anzahl Pankreasresektionen </t>
    </r>
    <r>
      <rPr>
        <b/>
        <sz val="9"/>
        <rFont val="Arial"/>
        <family val="2"/>
      </rPr>
      <t xml:space="preserve">
</t>
    </r>
    <r>
      <rPr>
        <b/>
        <sz val="8"/>
        <rFont val="Arial"/>
        <family val="2"/>
      </rPr>
      <t>(OPS: 5-524* und 5-525*, mit und ohne ICD-10 C25)</t>
    </r>
  </si>
  <si>
    <t>Operative Primärfälle Pankreas 
(OPS: 5-524*, 5-525* ausschließlich mit ICD-10 C25) (Def. 5.2.4)</t>
  </si>
  <si>
    <t>Pankreasresektionen 
(Pankreaslinks-, Pankreaskopfresektion, Totale Pankreatektomie, OPS: 5-524* und
5-525*, mit u. ohne ICD-10 C25)</t>
  </si>
  <si>
    <t>Pankreasresektionen
(OPS: 5-524* und 5-525*, mit u. ohne ICD-10 C25) 
(= Kennzahl 9)</t>
  </si>
  <si>
    <t>Pankreasresektionen
(OPS: 5-524* und 5-525*, mit u. ohne ICD-10 C25)
(= Kennzahl 9)</t>
  </si>
  <si>
    <t>T4-Jedes N-M0 
T1/T2/T3-N2- M0</t>
  </si>
  <si>
    <t xml:space="preserve">Primärfälle Pankreaskarzinom 
= Karzinome des exokrinen Pankreas </t>
  </si>
  <si>
    <t>MADOS 4</t>
  </si>
  <si>
    <t>Pankreaskarzinomzentrum Elbe-Weser</t>
  </si>
  <si>
    <t>FAD-Z060 P</t>
  </si>
  <si>
    <t>Pankreaskrebszentrum Westmünsterland am St. Agnes-Hospital Bocholt</t>
  </si>
  <si>
    <t>St. Agnes-Hospital Bocholt Klinikum Westmünsterland</t>
  </si>
  <si>
    <t>Pankreaskarzinomzentrum am DONAUISAR Klinikum Deggendorf</t>
  </si>
  <si>
    <t>FAD-Z074 P</t>
  </si>
  <si>
    <t>Pankreaskarzinomzentrum Südwest</t>
  </si>
  <si>
    <t xml:space="preserve">Schwarzwald-Baar-Klinikum Villingen-Schwenningen </t>
  </si>
  <si>
    <t>Evangelisches Krankenhaus Mülheim</t>
  </si>
  <si>
    <t>Universitätsklinikum Würzburg, Chirurgische Klinik und Poliklinik (Chirurgische Klinik I)</t>
  </si>
  <si>
    <t>Pankreaskarzinomzentrum der ALB FILS KLINIKEN</t>
  </si>
  <si>
    <t>Klinikum Osnabrück</t>
  </si>
  <si>
    <t>FAD-Z223 P</t>
  </si>
  <si>
    <t>Pankreaskrebszentrum Kantonsspital Baden</t>
  </si>
  <si>
    <t>Kantonsspital Baden</t>
  </si>
  <si>
    <t>KRH Klinikum Siloah</t>
  </si>
  <si>
    <t>FAD-Z237 P</t>
  </si>
  <si>
    <t>Pankreaskarzinomzentrum Klinikum Chemnitz</t>
  </si>
  <si>
    <t>Städtisches Klinikum Dresden, Standort Friedrichstadt</t>
  </si>
  <si>
    <t>FAD-Z312 P</t>
  </si>
  <si>
    <t>Pankreaskarzinomzentrum am Kantonsspital Aarau</t>
  </si>
  <si>
    <t>Kantonsspital Aarau</t>
  </si>
  <si>
    <t>FAD-Z324 P</t>
  </si>
  <si>
    <t>Pankreaskrebszentrum der Universitätsmedizin Mainz</t>
  </si>
  <si>
    <t>Universitätsmedizin der Johannes Gutenberg - Universität Mainz</t>
  </si>
  <si>
    <t>FAD-Z325 P</t>
  </si>
  <si>
    <t>Universitätsmedizin Göttingen</t>
  </si>
  <si>
    <t>FAD-Z330 P</t>
  </si>
  <si>
    <t>Pankreaskrebszentrum Winnenden</t>
  </si>
  <si>
    <t>Rems-Murr-Klinikum Winnenden</t>
  </si>
  <si>
    <t>FAD-Z334 P</t>
  </si>
  <si>
    <t>Pankreaskarzinomzentrum Medizinische Hochschule Hannover</t>
  </si>
  <si>
    <t>Medizinische Hochschule Hannover</t>
  </si>
  <si>
    <t>Universitätsklinikum Gießen und Marburg, Standort Gießen</t>
  </si>
  <si>
    <t>FAD-Z341 P</t>
  </si>
  <si>
    <t>Pankreaskarzinomzentrum St. Josefs-Hospital Wiesbaden</t>
  </si>
  <si>
    <t>St. Josefs-Hospital Wiesbaden</t>
  </si>
  <si>
    <t>FAD-Z344 P</t>
  </si>
  <si>
    <t>Pankreaskarzinomzentrum am Krukenberg-Krebszentrum Halle der Universitätsmedizin Halle (Saale)</t>
  </si>
  <si>
    <t>Universitätsklinikum Halle (Saale)</t>
  </si>
  <si>
    <t xml:space="preserve">Operative Expertise - Anzahl Pankreasresektionen </t>
  </si>
  <si>
    <t>Prätherapeutische Fallvorstellung</t>
  </si>
  <si>
    <r>
      <rPr>
        <b/>
        <sz val="10"/>
        <rFont val="Arial"/>
        <family val="2"/>
      </rPr>
      <t xml:space="preserve">    davon Operative Primärfälle
    Pankreaskarzinom</t>
    </r>
    <r>
      <rPr>
        <b/>
        <sz val="9"/>
        <rFont val="Arial"/>
        <family val="2"/>
      </rPr>
      <t xml:space="preserve">
     </t>
    </r>
    <r>
      <rPr>
        <b/>
        <sz val="8"/>
        <rFont val="Arial"/>
        <family val="2"/>
      </rPr>
      <t>(Ausschließlich ICD-10 C25 
     in Verbindung mit OPS: 
     5-524*, 5-525*)</t>
    </r>
  </si>
  <si>
    <t xml:space="preserve">     davon operative Primärfälle NET und NEC
     (Ausschließlich ICD-10 C25 in Verbindung mit OPS: 5-524*, 5-525*)</t>
  </si>
  <si>
    <t>Primärfälle des Nenners mit einem Pankreaskarzinom, die in der prätherapeutischen Konferenz vorgestellt wurden</t>
  </si>
  <si>
    <t>Primärfälle des Nenners, die in der postoperativen Konferenz vorgestellt wurden</t>
  </si>
  <si>
    <t>Operative Primärfälle (OPS: 5-524* und 5-525* mit ICD-10 C25)
(= Kennzahl 8)</t>
  </si>
  <si>
    <t>ERCPs des Nenners mit spezifischen Komplikationen</t>
  </si>
  <si>
    <t>Resektionen des Nenners mit Revisions-OP‘s infolge von perioperativen Komplikationen innerhalb von 30 d nach OP</t>
  </si>
  <si>
    <t>Resektionen des Nenners mit postoperativen Wundinfektionen innerhalb von 30 d nach OP und Notwendigkeit der chirurgischen Wundrevision (Spülung, Spreizung, VAC-Verband)</t>
  </si>
  <si>
    <t>Primärfälle des Nenners mit lokalen R0-Resektionen nach Abschluss der operativen Therapie</t>
  </si>
  <si>
    <t>Primärfälle des Nenners
mit ≥ 12 regionären LK im 
OP-Präparat nach Abschluss 
der operativen Therapie</t>
  </si>
  <si>
    <t>Operative Primärfälle (OPS: 5-524*, 5-525* ausschließlich mit ICD-10 C25) (= Kennzahl 8)</t>
  </si>
  <si>
    <r>
      <t xml:space="preserve">UICC IA  </t>
    </r>
    <r>
      <rPr>
        <vertAlign val="superscript"/>
        <sz val="8"/>
        <rFont val="Arial"/>
        <family val="2"/>
      </rPr>
      <t>2)</t>
    </r>
  </si>
  <si>
    <r>
      <t xml:space="preserve">UICC IB  </t>
    </r>
    <r>
      <rPr>
        <vertAlign val="superscript"/>
        <sz val="8"/>
        <rFont val="Arial"/>
        <family val="2"/>
      </rPr>
      <t>2)</t>
    </r>
    <r>
      <rPr>
        <sz val="8"/>
        <rFont val="Arial"/>
        <family val="2"/>
      </rPr>
      <t xml:space="preserve"> </t>
    </r>
  </si>
  <si>
    <r>
      <t xml:space="preserve">UICC IIA </t>
    </r>
    <r>
      <rPr>
        <vertAlign val="superscript"/>
        <sz val="8"/>
        <rFont val="Arial"/>
        <family val="2"/>
      </rPr>
      <t xml:space="preserve"> 2) </t>
    </r>
  </si>
  <si>
    <r>
      <t xml:space="preserve">UICC IIB  </t>
    </r>
    <r>
      <rPr>
        <vertAlign val="superscript"/>
        <sz val="8"/>
        <rFont val="Arial"/>
        <family val="2"/>
      </rPr>
      <t>2)</t>
    </r>
  </si>
  <si>
    <r>
      <t xml:space="preserve">UICC III   </t>
    </r>
    <r>
      <rPr>
        <vertAlign val="superscript"/>
        <sz val="8"/>
        <rFont val="Arial"/>
        <family val="2"/>
      </rPr>
      <t>2)</t>
    </r>
  </si>
  <si>
    <r>
      <t xml:space="preserve">UICC IV  </t>
    </r>
    <r>
      <rPr>
        <vertAlign val="superscript"/>
        <sz val="8"/>
        <rFont val="Arial"/>
        <family val="2"/>
      </rPr>
      <t>2)</t>
    </r>
  </si>
  <si>
    <r>
      <t>Follow-Up-Daten vom Krebsregister  3</t>
    </r>
    <r>
      <rPr>
        <vertAlign val="superscript"/>
        <sz val="8"/>
        <rFont val="Arial"/>
        <family val="2"/>
      </rPr>
      <t>) 4) 5) 6)</t>
    </r>
  </si>
  <si>
    <r>
      <t>Follow-Up-Daten vom Zentrum 
(bzw. Quelle nicht bekannt)</t>
    </r>
    <r>
      <rPr>
        <vertAlign val="superscript"/>
        <sz val="8"/>
        <rFont val="Arial"/>
        <family val="2"/>
      </rPr>
      <t xml:space="preserve"> 3) 4)</t>
    </r>
  </si>
  <si>
    <r>
      <t>Auswertungen</t>
    </r>
    <r>
      <rPr>
        <vertAlign val="superscript"/>
        <sz val="8"/>
        <rFont val="Arial"/>
        <family val="2"/>
      </rPr>
      <t xml:space="preserve"> 8)</t>
    </r>
  </si>
  <si>
    <r>
      <t xml:space="preserve">Keine Rückmeldung  </t>
    </r>
    <r>
      <rPr>
        <vertAlign val="superscript"/>
        <sz val="8"/>
        <rFont val="Arial"/>
        <family val="2"/>
      </rPr>
      <t>3)</t>
    </r>
  </si>
  <si>
    <t>Adjumed</t>
  </si>
  <si>
    <t>CaOnkoDok (Eigenentwicklung)</t>
  </si>
  <si>
    <t>Clinic WinData</t>
  </si>
  <si>
    <t>Eigenentwicklung auf Basis medico (Cerner)</t>
  </si>
  <si>
    <t>Martini-Data</t>
  </si>
  <si>
    <t>ODSeasy / ODSeasyNet</t>
  </si>
  <si>
    <t>Oncodossier (Eigenentwicklung auf Basis ORBIS)</t>
  </si>
  <si>
    <t>Tumorregister München (TRM)</t>
  </si>
  <si>
    <t>Darm, Leber, Magen , Pankreas</t>
  </si>
  <si>
    <t>Interdisziplinäres Pankreastumorzentrum im Charité Comprehensive Cancer Center</t>
  </si>
  <si>
    <t>FAD-Z015 P</t>
  </si>
  <si>
    <t>Pankreaskarzinomzentrum Main-Taunus</t>
  </si>
  <si>
    <t>FAD-Z091 P</t>
  </si>
  <si>
    <t>Leipziger Pankreaskarzinomzentrum am HELIOS Park-Klinikum</t>
  </si>
  <si>
    <t>FAD-Z109 P</t>
  </si>
  <si>
    <t>Pankreaskarzinomzentrum Klinikum Hanau</t>
  </si>
  <si>
    <t>FAD-Z135 P</t>
  </si>
  <si>
    <t>Pankreaskarzinomzentrum Klinikum Dortmund</t>
  </si>
  <si>
    <t>FAD-Z154 P</t>
  </si>
  <si>
    <t>Pankreaskarzinomzentrum Bonn/Rhein-Sieg</t>
  </si>
  <si>
    <t>FAD-Z267 P</t>
  </si>
  <si>
    <t>Pankreaskarzinomzentrum Helios Kliniken Schwerin</t>
  </si>
  <si>
    <t>FAD-Z287 P</t>
  </si>
  <si>
    <t>Pankreaskarzinomzentrum am Cancer Center UniversitätsSpital Zürich</t>
  </si>
  <si>
    <t>Pankreaskrebszentrum der Universitätsmedizin Göttingen</t>
  </si>
  <si>
    <t>Kliniken des Main-Taunus-Kreises</t>
  </si>
  <si>
    <t>Klinikum Aschaffenburg - Alzenau gemeinnützige GmbH Standort AB</t>
  </si>
  <si>
    <t xml:space="preserve">HELIOS Park-Klinikum Leipzig </t>
  </si>
  <si>
    <t>Klinikum Hanau</t>
  </si>
  <si>
    <t>Klinikum Dortmund</t>
  </si>
  <si>
    <t>Johanniter GmbH - Johanniter Krankenhaus Bonn</t>
  </si>
  <si>
    <t>Ordensklinikum Linz Barmherzige Schwestern</t>
  </si>
  <si>
    <t>Helios Kliniken Schwerin</t>
  </si>
  <si>
    <t>UniversitätsSpital Zürich</t>
  </si>
  <si>
    <t>FAD-Z018 P</t>
  </si>
  <si>
    <t>Pankreaskarzinomzentrum am Alfried Krupp Krankenhaus Rüttenscheid</t>
  </si>
  <si>
    <t>Alfried Krupp Krankenhaus Rüttenscheid</t>
  </si>
  <si>
    <t>FAD-Z040 P</t>
  </si>
  <si>
    <t>FAD-Z064 P</t>
  </si>
  <si>
    <t>Pankreaskarzinomzentrum Rosenheim</t>
  </si>
  <si>
    <t>RoMed Klinikum Rosenheim</t>
  </si>
  <si>
    <t>FAD-Z122 P</t>
  </si>
  <si>
    <t>Pankreaskarzinomzentrum Frankfurt Nordwest</t>
  </si>
  <si>
    <t>Krankenhaus Nordwest</t>
  </si>
  <si>
    <t>FAD-Z197 P</t>
  </si>
  <si>
    <t>Pankreaskarzinomzentrum Evangelisches Krankenhaus Herne</t>
  </si>
  <si>
    <t>Evangelisches Krankenhaus Herne</t>
  </si>
  <si>
    <t>FAD-Z225 P</t>
  </si>
  <si>
    <t>Pankreaskarzinomzentrum am Diakonissenkrankenhaus Dresden</t>
  </si>
  <si>
    <t>Diakonissenkrankenhaus Dresden</t>
  </si>
  <si>
    <t>FAD-Z256 P</t>
  </si>
  <si>
    <t>Pankreaskarzinomzentrum am Luzerner Kantonsspital</t>
  </si>
  <si>
    <t>Luzerner Kantonsspital</t>
  </si>
  <si>
    <t>FAD-Z283 P</t>
  </si>
  <si>
    <t>Pankreaskarzinomzentrum am Klinikum Südstadt Rostock</t>
  </si>
  <si>
    <t>Klinikum Südstadt Rostock</t>
  </si>
  <si>
    <t>Prätherapeutische Vorstellung aller Primärfälle</t>
  </si>
  <si>
    <t>Operative Primärfälle (OPS: 5-524*, 5-525* ausschließlich mit ICD-10 C25) ohne NET und NEC, die eine Lymphadenektomie 
erhalten haben</t>
  </si>
  <si>
    <t>Anmerkung:</t>
  </si>
  <si>
    <t>Clinical Information Catalogue (CIC) (Eigenentwicklung)</t>
  </si>
  <si>
    <t>SHGHoncoDoc</t>
  </si>
  <si>
    <t>TD System KEM (Eigenentwicklung)</t>
  </si>
  <si>
    <t>O28</t>
  </si>
  <si>
    <t>O21 - O23</t>
  </si>
  <si>
    <t>O28 &lt; 80%</t>
  </si>
  <si>
    <t>O28 &gt; 95%</t>
  </si>
  <si>
    <t>Pankreaskrebszentrum Klinikum Nürnberg</t>
  </si>
  <si>
    <t>FAD-Z033 P</t>
  </si>
  <si>
    <t>Pankreaskrebszentrum Katholisches Krankenhaus Erfurt</t>
  </si>
  <si>
    <t>Katholisches Krankenhaus "St. Johann Nepomuk" Erfurt</t>
  </si>
  <si>
    <t>Helios Klinikum Hildesheim</t>
  </si>
  <si>
    <t>Pankreaskarzinomzentrum Berlin Köpenick</t>
  </si>
  <si>
    <t>DRK Kliniken Berlin Köpenick</t>
  </si>
  <si>
    <t>Pankreaskarzinomzentrum München Klinik Bogenhausen</t>
  </si>
  <si>
    <t>München Klinik Bogenhausen</t>
  </si>
  <si>
    <t>FAD-Z068 P</t>
  </si>
  <si>
    <t>Pankreaskarzinomzentrum Dachau</t>
  </si>
  <si>
    <t>Helios Amper–Klinikum Dachau</t>
  </si>
  <si>
    <t xml:space="preserve">Klinikum am Steinenberg, Kreiskliniken Reutlingen </t>
  </si>
  <si>
    <t>FAD-Z115 P</t>
  </si>
  <si>
    <t>Pankreaskrebszentrum am Klinikum Mutterhaus Trier</t>
  </si>
  <si>
    <t>Klinikum Mutterhaus der Borromäerinnen Trier</t>
  </si>
  <si>
    <t>Pankreaskarzinomzentrum am Helios Universitätsklinikum Wuppertal</t>
  </si>
  <si>
    <t>Helios Universitätsklinikum Wuppertal</t>
  </si>
  <si>
    <t>Centrum für Integrierte Onkologie Aachen Bonn Köln Düsseldorf im Universitätsklinikum Düsseldorf</t>
  </si>
  <si>
    <t>Pankreaskarzinomzentrum im CIO Köln</t>
  </si>
  <si>
    <t>Centrum für Integrierte Onkologie Aachen Bonn Köln Düsseldorf im Universitätsklinikum Köln</t>
  </si>
  <si>
    <t>FAD-Z302 P</t>
  </si>
  <si>
    <t>Pankreaskarzinomzentrum am Städtischen Krankenhaus Kiel</t>
  </si>
  <si>
    <t>Städtisches Krankenhaus Kiel</t>
  </si>
  <si>
    <t>Pankreaskarzinomzentrum im CIO Bonn</t>
  </si>
  <si>
    <t>Centrum für Integrierte Onkologie Aachen Bonn Köln Düsseldorf im Universitätsklinikum Bonn</t>
  </si>
  <si>
    <t>FAD-Z311 P</t>
  </si>
  <si>
    <t>Universitätsklinik Magdeburg</t>
  </si>
  <si>
    <t>Pankreaskarzinomzentrum im CIO Aachen</t>
  </si>
  <si>
    <t>Centrum für Integrierte Onkologie Aachen Bonn Köln Düsseldorf in der Uniklinik RWTH Aachen</t>
  </si>
  <si>
    <t>FAD-Z336 P</t>
  </si>
  <si>
    <t>Pankreaskarzinomzentrum am Dietrich-Bonhoeffer-Klinikum Neubrandenburg</t>
  </si>
  <si>
    <t>Dietrich-Bonhoeffer-Klinikum Neubrandenburg</t>
  </si>
  <si>
    <t>FAD-Z355 P</t>
  </si>
  <si>
    <t>Pankreaskrebszentrum Klinikum Darmstadt</t>
  </si>
  <si>
    <t>Klinikum Darmstadt</t>
  </si>
  <si>
    <t>FAD-Z356 P</t>
  </si>
  <si>
    <t xml:space="preserve">Pankreaskrebszentrum am Klinikum Klagenfurt </t>
  </si>
  <si>
    <t>Klinikum Klagenfurt am Wörthersee</t>
  </si>
  <si>
    <r>
      <t xml:space="preserve">
</t>
    </r>
    <r>
      <rPr>
        <b/>
        <u/>
        <sz val="8"/>
        <rFont val="Arial"/>
        <family val="2"/>
      </rPr>
      <t>Bearbeitungshinweise:</t>
    </r>
    <r>
      <rPr>
        <sz val="8"/>
        <rFont val="Arial"/>
        <family val="2"/>
      </rPr>
      <t xml:space="preserve">
Die Felder stehen teilweise in Abhängigkeit voneinander, daher sollte jede Zeile vollständig von links nach rechts und fortlaufend von oben nach unten bearbeitet werden. Graue Felder müssen bearbeitet werden. Die Bearbeitung des Datenblattes sollte mit Microsoft Office 2010 oder einer der Folgeversionen erfolgen. Microsoft Office 2007 ist mit Einschränkungen nutzbar (u.a. werden Info-Buttons nicht angezeigt). Vorversionen von Microsoft Office 2007 sind für die Bearbeitung des Datenblattes nicht geeignet. Alle Zahlen und Texte müssen manuell eingegeben werden (nicht über copy-/paste-Funktion; Ausnahme sind Daten, die von der OncoBox eingelesen werden). Jede Änderung an den Basisdaten zieht eine Änderung des Kennzahlenbogens nach sich. In dem Dokument „Bestimmungen Datenqualität“ sind die wesentlichen Grundlagen für die Datenbewertung im Rahmen des Auditprozesses festgelegt. Insbesondere ist der Umgang mit Kennzahlen mit unterschrittener Sollvorgabe beschrieben (Download unter www.onkozert.de; Abschnitt Hinweise).</t>
    </r>
  </si>
  <si>
    <t>Operative Primärfälle Pankreas (ausschließlich ICD-10 C25 in Verbindung mit OPS: 5-524* und 
5-525*)</t>
  </si>
  <si>
    <t>Operative Primärfälle Pankre-askarzinom UICC Stad. I-III und R0-Resektion (ohne NET und NEC)</t>
  </si>
  <si>
    <t>FAD-Z003-2 P</t>
  </si>
  <si>
    <t>Charité - Campus Mitte</t>
  </si>
  <si>
    <t>FAD-Z003-3 P</t>
  </si>
  <si>
    <t>Charité - Campus Benjamin-Franklin</t>
  </si>
  <si>
    <t>FAD-Z017 P</t>
  </si>
  <si>
    <t>Aalen PankreaskarzinomCentrum (apc)</t>
  </si>
  <si>
    <t>Ostalb-Klinikum Aalen</t>
  </si>
  <si>
    <t>1a</t>
  </si>
  <si>
    <t>1b</t>
  </si>
  <si>
    <t>Ausnahme (Plausibilität unklar)</t>
  </si>
  <si>
    <t>Ausnahme</t>
  </si>
  <si>
    <t>Primärfälle 
(= Kennzahl 1a)</t>
  </si>
  <si>
    <t>LL QI</t>
  </si>
  <si>
    <t>Lymphknoten-entfernung</t>
  </si>
  <si>
    <t>EB/
LL</t>
  </si>
  <si>
    <t>Summe Plausibilität unklar</t>
  </si>
  <si>
    <t>FAD-Z001-2 P</t>
  </si>
  <si>
    <t>Katholisches Klinikum Bochum, St. Josef-Hospital, Universitätsklinikum der RUB</t>
  </si>
  <si>
    <t>Klinikum Nürnberg</t>
  </si>
  <si>
    <t>FAD-Z065 P</t>
  </si>
  <si>
    <t>Pankreaskarzinomzentrum Schweinfurt-Mainfranken</t>
  </si>
  <si>
    <t>Leopoldina Krankenhaus der Stadt Schweinfurt</t>
  </si>
  <si>
    <t>FAD-Z093-1 P</t>
  </si>
  <si>
    <t>Ludgerus-Kliniken Münster, Standort Raphaelsklinik Münster</t>
  </si>
  <si>
    <t>FAD-Z144 P</t>
  </si>
  <si>
    <t>Pankreaskrebszentrum im Zentrum für Gastrointestinale Onkologie Tübingen</t>
  </si>
  <si>
    <t>Helios Pankreaskarzinomzentrum Erfurt</t>
  </si>
  <si>
    <t>Helios Klinikum Erfurt</t>
  </si>
  <si>
    <t>DRK Kliniken Berlin Westend</t>
  </si>
  <si>
    <t>FAD-Z198 P</t>
  </si>
  <si>
    <t>Pankreaskarzinomzentrum am Marienhospital Osnabrück</t>
  </si>
  <si>
    <t>Marienhospital Osnabrück</t>
  </si>
  <si>
    <t>Pankreaskarzinomzentrum Köln-Hohenlind</t>
  </si>
  <si>
    <t>Klinikum Chemnitz, Standort Flemmingstraße</t>
  </si>
  <si>
    <t>FAD-Z276 P</t>
  </si>
  <si>
    <t>Pankreaskarzinomzentrum Krankenhaus der Barmherzigen Brüder St. Veit an der Glan</t>
  </si>
  <si>
    <t>Krankenhaus der Barmherzigen Brüder St. Veit an der Glan</t>
  </si>
  <si>
    <t>FAD-Z363 P</t>
  </si>
  <si>
    <t>Pankreaskarzinomzentrum Krankenhaus Reinbek St. Adolf-Stift</t>
  </si>
  <si>
    <t>Krankenhaus Reinbek St. Adolf-Stift</t>
  </si>
  <si>
    <t>Primärfälle des Nenners mit Befundberichten mit Angabe von: pT, pN, M; Tumorgrading; Verhältnis von befallenen zu entfernten LK</t>
  </si>
  <si>
    <t>Operative Primärfälle (OPS: 5-524*, 5-525* ausschließlich mit ICD-10 C25) ohne NET und NEC</t>
  </si>
  <si>
    <t>Möglichst häufig adjuvante Chemotherapie</t>
  </si>
  <si>
    <t>Primärfälle des Nenners mit adjuvanter Chemotherapie</t>
  </si>
  <si>
    <t>Primäre Resektion bei metastasiertem Pankreaskarzinom</t>
  </si>
  <si>
    <t>Zweitlinientherapie</t>
  </si>
  <si>
    <t>Keine primäre Tumorresektion bei Pankreaskarzinom mit nachgewiesenen Fernmetastasen</t>
  </si>
  <si>
    <t>Möglichst häufig Zweitlinientherapie bei Progress unter Erstlinientherapie und ECOG ≤ 2</t>
  </si>
  <si>
    <t>Primärfälle des Nenners mit primärer Resektion des Tumors</t>
  </si>
  <si>
    <t>Primärfälle Pankreaskarzinom (ohne NET/NEC) mit Fernmetastasen (=Organmetastasen, Peritonealkarzinose, als Fernmetastasen (M1) geltende Lymphknoten-metastasen)</t>
  </si>
  <si>
    <r>
      <t xml:space="preserve">2021  </t>
    </r>
    <r>
      <rPr>
        <vertAlign val="superscript"/>
        <sz val="7"/>
        <rFont val="Arial"/>
        <family val="2"/>
      </rPr>
      <t>9</t>
    </r>
    <r>
      <rPr>
        <vertAlign val="superscript"/>
        <sz val="8"/>
        <rFont val="Arial"/>
        <family val="2"/>
      </rPr>
      <t>)</t>
    </r>
  </si>
  <si>
    <r>
      <t xml:space="preserve">Diagnose Zweitmalignom im Verlauf </t>
    </r>
    <r>
      <rPr>
        <vertAlign val="superscript"/>
        <sz val="8"/>
        <rFont val="Arial"/>
        <family val="2"/>
      </rPr>
      <t>10)</t>
    </r>
  </si>
  <si>
    <t>optional - Ausnahme (Plausibilität unklar)</t>
  </si>
  <si>
    <t>Nicht relevant - Zentrum nicht in Deutschland</t>
  </si>
  <si>
    <t>Pat. mit neuaufgetretenem Rezidiv und/oder Fernmetastasen</t>
  </si>
  <si>
    <t>Primärfälle (= Kennzahl 1a) + Pat. mit neuaufgetretenem Rezidiv und/oder Fernmetastasen 
(= Kennzahl 1b)</t>
  </si>
  <si>
    <t>Anteil Studienpat.</t>
  </si>
  <si>
    <t>Resektionen des Nenners, bei denen  Pat. innerhalb von 30 d postoperativ verstorben sind</t>
  </si>
  <si>
    <t>Möglichst niedrige Rate an postoperativ verstorbenen Pat. nach operativen Eingriffen</t>
  </si>
  <si>
    <t>Pat. des Nenners mit Zweitlinientherapie</t>
  </si>
  <si>
    <t>Pat. mit Pankreaskarzinom (ohne NET/NEC), ECOG 0-2 und Progress unter palliativer Erstlinientherapie</t>
  </si>
  <si>
    <t>Im Sinne einer gendergerechten Sprache verwenden wir für die Begriffe „Patientinnen“, „Patienten“, „Patient*innen“ die Bezeichnung „Pat.“, die ausdrücklich jede Geschlechtszuschreibung (weiblich, männlich, divers) einschließt.</t>
  </si>
  <si>
    <t xml:space="preserve"> In Ordnung</t>
  </si>
  <si>
    <t xml:space="preserve">               Sollvorgabe nicht erfüllt</t>
  </si>
  <si>
    <t xml:space="preserve">
</t>
  </si>
  <si>
    <t>Bearbeitungshinweise:</t>
  </si>
  <si>
    <t>Pat. des Nenners mit palliativer Chemotherapie</t>
  </si>
  <si>
    <t>• Nicht-operative Primärfälle Pankreaskarzinom und ECOG 0-2 (ohne NET und NEC)
• Pat. mit Pankreaskarzinom mit sekundärer Metastasierung (M1) ohne Metastasenresektion und ECOG 0-2 (ohne NET/NEC)</t>
  </si>
  <si>
    <t>Pat. des Nenners, die psychoonkologisch 
betreut wurden (Gesprächsdauer 
≥ 25 Min.)</t>
  </si>
  <si>
    <t>Pankreaskarzinomzentrum am Marienhaus Klinikum Mainz</t>
  </si>
  <si>
    <t>Marienhaus Klinikum Mainz</t>
  </si>
  <si>
    <t>FAD-Z071 P</t>
  </si>
  <si>
    <t>Pankreaskarzinomzentrum Robert-Bosch-Krankenhaus (RBK)</t>
  </si>
  <si>
    <t>Robert-Bosch-Krankenhaus GmbH</t>
  </si>
  <si>
    <t>Pankreaskrebszentrum Universitätsklinikum Regensburg</t>
  </si>
  <si>
    <t>Universitätsklinikum Frankfurt</t>
  </si>
  <si>
    <t>FAD-Z150 P</t>
  </si>
  <si>
    <t>Pankreaskrebszentrum am St. Bernward Krankenhaus Hildesheim</t>
  </si>
  <si>
    <t>St. Bernward Krankenhaus</t>
  </si>
  <si>
    <t>FAD-Z205 P</t>
  </si>
  <si>
    <t>Pankreaskarzinomzentrum Bamberg</t>
  </si>
  <si>
    <t>Sozialstiftung Bamberg Klinikum am Bruderwald</t>
  </si>
  <si>
    <t>Bauchspeicheldrüsenzentrum im Ordensklinikum Linz</t>
  </si>
  <si>
    <t>FAD-Z235 P</t>
  </si>
  <si>
    <t>Pankreaskrebszentrum des Universitätsklinikums Jena</t>
  </si>
  <si>
    <t>Universitätsklinikum Jena</t>
  </si>
  <si>
    <t>FAD-Z244 P</t>
  </si>
  <si>
    <t>Pankreaskarzinomzentrum Helios Dr. Horst Schmidt Kliniken Wiesbaden</t>
  </si>
  <si>
    <t>Helios Dr. Horst Schmidt Kliniken Wiesbaden</t>
  </si>
  <si>
    <t>FAD-Z245 P</t>
  </si>
  <si>
    <t>Pankreaskrebszentrum der ViDia Christliche Kliniken Karlsruhe am Standort St. Vincentius-Kliniken</t>
  </si>
  <si>
    <t>ViDia Christliche Kliniken Karlsruhe - Standort St. Vincentius-Kliniken Karlsruhe</t>
  </si>
  <si>
    <t>Pankreaszentrum am Nationalen Centrum für Tumorerkrankungen Dresden (NCT/UCC)</t>
  </si>
  <si>
    <t>FAD-Z296 P</t>
  </si>
  <si>
    <t>Pankreaskarzinomzentrum am Universitätsklinikum Hamburg - Eppendorf</t>
  </si>
  <si>
    <t>Universitätsklinikum Hamburg - Eppendorf</t>
  </si>
  <si>
    <t>Pankreaskarzinomzentrum am UKSH, Campus Lübeck</t>
  </si>
  <si>
    <t>FAD-Z327 P</t>
  </si>
  <si>
    <t>Pankreaskarzinomzentrum Klinikum Bielefeld Mitte</t>
  </si>
  <si>
    <t>Klinikum Bielefeld Mitte</t>
  </si>
  <si>
    <t>FAD-Z352 P</t>
  </si>
  <si>
    <t>Pankreaskarzinomzentrum Vivantes Klinikum Neukölln</t>
  </si>
  <si>
    <t>Vivantes Klinikum Neukölln</t>
  </si>
  <si>
    <t>FAD-Z354 P</t>
  </si>
  <si>
    <t>Pankreaskarzinomzentrum Helios Klinikum Emil von Behring Berlin-Zehlendorf</t>
  </si>
  <si>
    <t>Helios Klinikum Emil von Behring Berlin</t>
  </si>
  <si>
    <t>FAD-Z368 P</t>
  </si>
  <si>
    <t>Pankreaskrebszentrum Universitätsspital Basel</t>
  </si>
  <si>
    <t>Universitätspital Basel</t>
  </si>
  <si>
    <t>FAD-Z377 P</t>
  </si>
  <si>
    <t>Pankreaskarzinomzentrum am Israelitischen Krankenhaus in Hamburg</t>
  </si>
  <si>
    <t>Israelitisches Krankenhaus in Hamburg</t>
  </si>
  <si>
    <r>
      <t xml:space="preserve">Anzahl Primärpat. </t>
    </r>
    <r>
      <rPr>
        <vertAlign val="superscript"/>
        <sz val="8"/>
        <rFont val="Arial"/>
        <family val="2"/>
      </rPr>
      <t>1)</t>
    </r>
  </si>
  <si>
    <r>
      <t xml:space="preserve">Pat.  „im Follow-Up“
(aus Grundgesamtheit Primärpat.)  </t>
    </r>
    <r>
      <rPr>
        <vertAlign val="superscript"/>
        <sz val="8"/>
        <rFont val="Arial"/>
        <family val="2"/>
      </rPr>
      <t>3)</t>
    </r>
  </si>
  <si>
    <r>
      <t xml:space="preserve">Pat. mit folgenden Ereignissen: 
Rezidiv, Fernmetastasen  </t>
    </r>
    <r>
      <rPr>
        <vertAlign val="superscript"/>
        <sz val="8"/>
        <rFont val="Arial"/>
        <family val="2"/>
      </rPr>
      <t>7)</t>
    </r>
  </si>
  <si>
    <r>
      <t xml:space="preserve">Pat. nicht tumorfrei  </t>
    </r>
    <r>
      <rPr>
        <vertAlign val="superscript"/>
        <sz val="8"/>
        <rFont val="Arial"/>
        <family val="2"/>
      </rPr>
      <t>7)</t>
    </r>
  </si>
  <si>
    <r>
      <t xml:space="preserve">Pat. mit Progress  </t>
    </r>
    <r>
      <rPr>
        <vertAlign val="superscript"/>
        <sz val="8"/>
        <rFont val="Arial"/>
        <family val="2"/>
      </rPr>
      <t>7)</t>
    </r>
  </si>
  <si>
    <t>Werte Spalte K "Pat. im Follow-Up" müssen kleiner gleich sein als Spalte I subtrahiert von Spalte C; siehe Fußnote 2</t>
  </si>
  <si>
    <t>Werte Spalte Q "Pat. tumorfrei" dürfen keine negativen Werte annehmen</t>
  </si>
  <si>
    <t>Anzahl Primärpat.</t>
  </si>
  <si>
    <t>Matrix - Ergebnisqualität Primärbehandlung (Pankreaskarzinompat.)</t>
  </si>
  <si>
    <t>Für OAS und DFS sind keine Plausibilitätsabfragen hinterlegt, dies liegt daran, dass die einzelnen Kollektive der Kohortenjahre in der Regel zu wenige Pat. umfassen</t>
  </si>
  <si>
    <t>Matrix - Analyseprotokoll Datendefizite (Pankreaskarzinompat.)</t>
  </si>
  <si>
    <r>
      <rPr>
        <b/>
        <u/>
        <sz val="8"/>
        <color indexed="8"/>
        <rFont val="Arial"/>
        <family val="2"/>
      </rPr>
      <t xml:space="preserve">Bearbeitungshinweise:
</t>
    </r>
    <r>
      <rPr>
        <sz val="8"/>
        <color indexed="8"/>
        <rFont val="Arial"/>
        <family val="2"/>
      </rPr>
      <t>Für Pankreaskarzinomzentren ist die Matrix Ergebnisqualität obligat zu bearbeiten.
Für die Bewertung der Matrix gelten folgende Regelungen:
              a) Alle Pat. ab dem Folgejahr der EZ sind im Follow-Up zu berücksichtigen; alle relevanten Nachsorgejahre sind zu bearbeiten, abhängig vom Datum der Erstzertifizierung.
              b) Nachsorgejahr "relevant" (Spalte A) =&gt; Sämtliche „hellgrau“ hinterlegte Felder sollten vollständig bearbeitet werden; dies gilt auch für Nullwerte (=0).
              c) Ausnahmen sind die optional anzugebenden Felder OAS und DFS (Spalten Y und Z). Dezimaltrennzeichen ist das Komma (nicht der Punkt). Rundung erfolgt auf zwei Nachkommastellen.
              d) Bei den „hellrot“ hinterlegten Feldern liegt eine Falscheingabe vor, diese ist zu korrigieren.
              e) Zahlen müssen manuell eingegeben werden, diese dürfen nicht kopiert werden.
              f) „Hellgrün“ hinterlegte Felder weisen auf Unplausibilitäten hin. Diese Werte sind zu analysieren und das Ergebnis ist auf dem Folgeblatt „Datendefizite_Matrix“ darzulegen.</t>
    </r>
  </si>
  <si>
    <r>
      <rPr>
        <b/>
        <u/>
        <sz val="7"/>
        <color indexed="8"/>
        <rFont val="Arial"/>
        <family val="2"/>
      </rPr>
      <t xml:space="preserve">
</t>
    </r>
    <r>
      <rPr>
        <b/>
        <u/>
        <sz val="8"/>
        <color indexed="8"/>
        <rFont val="Arial"/>
        <family val="2"/>
      </rPr>
      <t>Anmerkungen:</t>
    </r>
    <r>
      <rPr>
        <sz val="8"/>
        <color indexed="8"/>
        <rFont val="Arial"/>
        <family val="2"/>
      </rPr>
      <t xml:space="preserve">
In dieser Excel-Vorlage sind die nachfolgend skizzierten Plausibilitätsabfragen hinterlegt.
Ein Anspruch auf Vollständigkeit besteht nicht.
Von Seiten des Fachexperten können weitere Unplausibilitäten bzw. Inkorrektheiten identifiziert und im Rahmen des Auditergebnisses dargestellt werden.</t>
    </r>
  </si>
  <si>
    <t>1) Plausibilität unklar
Der angegebene Kennzahlenwert stellt im Vergleich zu anderen Zentren einen außergewöhnlichen Wert dar. Die Einstufung „Plausibilität unklar“ bedeutet nicht automatisch eine negative Bewertung. Der Kennzahlenwert ist aufgrund seiner Außergewöhnlichkeit auf Korrektheit zu überprüfen. Im Einzelfall kann ein positiver Kennzahlenwert bei einer detaillierten Betrachtung auch eine negative Versorgungssituation darstellen (z.B. Überversorgung). Das Ergebnis dieser Überprüfung ist durch das Zentrum im Kennzahlenbogen in der Spalte „Begründung /Ursache“ näher zu erläutern. Ggf. sollten entsprechend dem Vorgehen „Sollvorgabe nicht erfüllt“ zum Zwecke der Verbesserung gezielte Aktionen definiert und durchgeführt werden.
2) Sollvorgabe nicht erfüllt
Die betroffenen Kennzahlen sind zu analysieren. Das Ergebnis ist im Feld "Begründung/ Ursache" zu dokumentieren. Ergeben sich aus der Ursachenanalyse konkrete Aktionen zur Verbesserung des Kennzahlenwertes, sind diese in der Spalte "Eingeleitete/geplante Aktionen" zu beschreiben.
3) Unvollständig
Sofern Kennzahlen den Status „unvollständig“ haben, sind diese entweder nachzuliefern oder es ist eine eindeutige Aussage über die Möglichkeit der zukünftigen Darlegung zu treffen („unvollständige Kennzahlen“ stellen grundsätzlich eine potentielle Abweichung dar).</t>
  </si>
  <si>
    <t>FAD-Z027 P</t>
  </si>
  <si>
    <t>Pankreaskarzinomzentrum Leipziger Land Borna</t>
  </si>
  <si>
    <t>Sana Klinikum Borna</t>
  </si>
  <si>
    <t>FAD-Z052 P</t>
  </si>
  <si>
    <t>Pankreaskarzinomzentrum am Klinikum Magdeburg</t>
  </si>
  <si>
    <t>Klinikum Magdeburg</t>
  </si>
  <si>
    <t>FAD-Z259 P</t>
  </si>
  <si>
    <t>Pankreaskarzinomzentrum Winsen</t>
  </si>
  <si>
    <t>Krankenhaus Winsen (Luhe)</t>
  </si>
  <si>
    <t>Anlage EB Version M1.1 (Auditjahr 2023 / Kennzahlenjahr 2022)</t>
  </si>
  <si>
    <t xml:space="preserve"> Anlage EB Version M1.1 (Auditjahr 2023 / Kennzahlenjahr 2022)</t>
  </si>
  <si>
    <t>Auditjahr 2023 / Kennzahlenjahr 2022</t>
  </si>
  <si>
    <t>Grundlage des Erhebungsbogens stellt die TNM – Klassifikation maligner Tumoren, 8. Auflage 2017 sowie die ICD-Klassifikation ICD-10-GM 2022 (DIMDI) und die OPS-Klassifikation OPS 2022 (DIMDI) dar.</t>
  </si>
  <si>
    <t>Adäquate Rate an Beratung durch Sozialdienst</t>
  </si>
  <si>
    <t>Pat. des Nenners, die ambulant oder stationär durch den Sozialdienst beraten wurden</t>
  </si>
  <si>
    <t>Einschluss von möglichst vielen Pat. in Studien</t>
  </si>
  <si>
    <t>Pat., die in eine Studie mit Ethikvotum eingebracht wurden</t>
  </si>
  <si>
    <t>Möglichst häufig palliative Chemotherapie, ECOG 0-2</t>
  </si>
  <si>
    <r>
      <t xml:space="preserve">2022  </t>
    </r>
    <r>
      <rPr>
        <vertAlign val="superscript"/>
        <sz val="7"/>
        <rFont val="Arial"/>
        <family val="2"/>
      </rPr>
      <t>9</t>
    </r>
    <r>
      <rPr>
        <vertAlign val="superscript"/>
        <sz val="8"/>
        <rFont val="Arial"/>
        <family val="2"/>
      </rPr>
      <t>)</t>
    </r>
  </si>
  <si>
    <t xml:space="preserve">                     Ø Follow-Up Quote der Jahre 2018-2020</t>
  </si>
  <si>
    <t>Follow-Up Quote der Jahre 2018-2020</t>
  </si>
  <si>
    <t>Follow-Up Quote der Jahre 2018-2020 (positive Unplausibilität)</t>
  </si>
  <si>
    <t>2018-2020</t>
  </si>
  <si>
    <t>Stand: 14.09.2022</t>
  </si>
  <si>
    <t>geringe Follow-Up Quote der Jahre 2018-2020</t>
  </si>
  <si>
    <t>zu hohe Follow-Up Quote der Jahre 2018-2020</t>
  </si>
  <si>
    <t xml:space="preserve">Die jeweilige Eingabe oder Änderung  "Anzahl / Zähler / Nenner" (gepunktete Felder) ist nur im Tabellenblatt "Basisdaten" möglich, die Übertragung erfolgt automatisch.
Der Zähler ist immer eine Teilmenge des Nenners (Ausnahme: Kennzahl 6 - Anteil Studienpat.). </t>
  </si>
  <si>
    <t>Aktualisierung: 03.11.2022</t>
  </si>
  <si>
    <t>Aktiv</t>
  </si>
  <si>
    <t>FAD-Z023 P</t>
  </si>
  <si>
    <t>Pankreaskrebszentrum Chiemgau am Klinikum Traunstein</t>
  </si>
  <si>
    <t>Klinikum Traunstein/Kliniken Südostbayern AG</t>
  </si>
  <si>
    <t>Klinikum am Gesundbrunnen / SLK-Kliniken Heilbronn</t>
  </si>
  <si>
    <t>Regiomed Klinikum Coburg GmbH</t>
  </si>
  <si>
    <t>FAD-Z048 P</t>
  </si>
  <si>
    <t>Pankreaskarzinomzentrum München Klinik Neuperlach</t>
  </si>
  <si>
    <t>München Klinik Neuperlach</t>
  </si>
  <si>
    <t>Pankreaskarzinomzentrum Aschaffenburg</t>
  </si>
  <si>
    <t>FAD-Z107 P</t>
  </si>
  <si>
    <t>Pankreaskarzinomzentrum Main-Kinzig-Kliniken Gelnhausen</t>
  </si>
  <si>
    <t>Main-Kinzig-Kliniken Gelnhausen</t>
  </si>
  <si>
    <t>CCC Tübingen-Stuttgart am Universitätsklinikum Tübingen</t>
  </si>
  <si>
    <t>FAD-Z162 P</t>
  </si>
  <si>
    <t>Pankreaskrebszentrum Ravensburg</t>
  </si>
  <si>
    <t>Oberschwabenklinik St. Elisabethen-Klinikum, Ravensburg</t>
  </si>
  <si>
    <t>Pankreaskarzinomzentrum am LMU Klinikum</t>
  </si>
  <si>
    <t>LMU Klinikum</t>
  </si>
  <si>
    <t>Pankreaskrebszentrum am Klinikum rechts der Isar der Technischen Universität München</t>
  </si>
  <si>
    <t>FAD-Z298 P</t>
  </si>
  <si>
    <t xml:space="preserve">Pankreaskarzinomzentrum in der Universitätsklinik für Allgemein- und Viszeralchirurgie - Klinikum Oldenburg </t>
  </si>
  <si>
    <t>Klinikum Oldenburg</t>
  </si>
  <si>
    <t>FAD-Z303 P</t>
  </si>
  <si>
    <t>Pankreaskarzinomzentrum Hof</t>
  </si>
  <si>
    <t>Sana Klinikum Hof</t>
  </si>
  <si>
    <t>Stadtspital Zürich Triemli</t>
  </si>
  <si>
    <t>Pankreaskrebszentrum der Universitätsmedizin Magdeburg</t>
  </si>
  <si>
    <t>FAD-Z348 P</t>
  </si>
  <si>
    <t>Pankreaskrebszentrum Klinik Hirslanden Zürich</t>
  </si>
  <si>
    <t>Klinik Hirslanden Zürich</t>
  </si>
  <si>
    <t>FAD-Z382 P</t>
  </si>
  <si>
    <t>Pankreaskarzinomzentrum Klinikum Leverkusen</t>
  </si>
  <si>
    <t>Klinikum Leverkusen</t>
  </si>
  <si>
    <t>FAD-Z384 P</t>
  </si>
  <si>
    <t>Pankreaskarzinomzentrum St. Elisabeth-Krankenhaus Leipzig</t>
  </si>
  <si>
    <t>St. Elisabeth-Krankenhaus Leipzig</t>
  </si>
  <si>
    <r>
      <rPr>
        <sz val="8"/>
        <color indexed="8"/>
        <rFont val="Arial"/>
        <family val="2"/>
      </rPr>
      <t>Pat. tumorfrei</t>
    </r>
    <r>
      <rPr>
        <sz val="8"/>
        <color indexed="40"/>
        <rFont val="Arial"/>
        <family val="2"/>
      </rPr>
      <t xml:space="preserve"> </t>
    </r>
    <r>
      <rPr>
        <vertAlign val="superscript"/>
        <sz val="8"/>
        <rFont val="Arial"/>
        <family val="2"/>
      </rPr>
      <t>7) 11)</t>
    </r>
  </si>
  <si>
    <t xml:space="preserve">1) Für die Jahre bis einschließlich 2017 sind alle Primärpat. Pankreas (= Karzinome des exokrinen Pankreas und NET und NEC) zu betrachten; ab 2018 (= Jahr der Erstdiagnose) werden die Primärpat. NET und NEC nicht mehr in der Matrix berücksichtigt.
2) Stratifizierung nach Tumorstatus (pathologisch) zum Zeitpunkt der Erstdiagnose; nach neoadjuvanter Vorbehandlung Berechnung des UICC-Stadiums mit dem klinischen Tumorstatus.
3) Pat., die in dieser Darstellung (Spalte K - W) nicht berücksichtigt werden dürfen, sind: Pat. mit Stadium UICC IV und Pat. mit vorausgegangenem Tumor (alle Entitäten).
4) Die Daten müssen pat.bezogen rückverfolgbar sein. Es werden Follow-up-Daten aus dem vorletzten Kalenderjahr vor dem Audit betrachtet (Auditjahr 2023 =&gt; Follow-up-Daten aus dem Zeitraum 01.01.2021-31.12.2021). 
    Unter Follow-Up ist Spalte K bis W zu verstehen (Aktives Follow-Up).
5) In der Regel werden die Follow-Up-Daten entweder extern (Krebsregister) oder durch das Zentrum eingeholt. Eine Kombination ist jedoch möglich (keine doppelte Zuordnung !).
6) Krebsregister können in der Regel keine Follow-Up-Daten zu Pat. außerhalb des Einzugsgebietes einholen.
7) Spalte Q: Pat. tumorfrei (=seit Abschluss Primärtherapie unverändert); Spalte S: Pat. nicht tumorfrei (=seit Abschluss Primärtherapie unverändert).
8) DFS und OAS sind nicht direkt aus dieser Matrix abzuleiten und können deshalb nach eigener Berechnung hier manuell eingetragen werden. Eine automatische Berechnung durch EXCEL erfolgt nicht. 
    Die Auswertungen der Kaplan-Meier-Kurven beziehen sich beim OAS auf die entsprechende Jahreskohorte ohne die in der Fußnote 3 genannten Pat.gruppen. 
    Beim DFS werden nur die nach der Primärtherapie tumorfreien Pat. berücksichtigt.
9) Ausgelöst durch die Follow-Up-Strukturen der Krebsregister (Latenzzeit Vollzähligkeit der Registrierung von Zielereignissen) ist es für die letzten beiden Kalenderjahre ausreichend, die aufgeschlüsselten Primärfälle 
   (Spalte D-I) anzugeben.
10) Basaliome (= Basalzellneoplasien, C44, ICD-O3 809-811 Histologie) werden nicht als Zweittumor gezählt.
11) Wenn die Matrizen Ergebnisqualität von einem Krebsregister nach § 65c erstellt werden, gelten Patienten, für die am 31.12. des Vorkennzahlenjahres kein meldepflichtiges Ereignis vorliegt (Rezidiv (lokal/Lymphknoten), Fernmetastasen, Zweitkarzinomen, Tod) in den jeweiligen Spalten der Matrizen Ergebnisqualität als „tumorfrei“ (= passives Follow-Up).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</si>
</sst>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 _€_-;\-* #,##0.00\ _€_-;_-* &quot;-&quot;??\ _€_-;_-@_-"/>
    <numFmt numFmtId="165" formatCode="0.0%"/>
    <numFmt numFmtId="166" formatCode="0.000%"/>
  </numFmts>
  <fonts count="124" x14ac:knownFonts="1">
    <font>
      <sz val="11"/>
      <color theme="1"/>
      <name val="Calibri"/>
      <family val="2"/>
      <scheme val="minor"/>
    </font>
    <font>
      <sz val="10"/>
      <color theme="1"/>
      <name val="Arial"/>
      <family val="2"/>
    </font>
    <font>
      <sz val="11"/>
      <color indexed="8"/>
      <name val="Calibri"/>
      <family val="2"/>
    </font>
    <font>
      <sz val="10"/>
      <name val="Arial"/>
      <family val="2"/>
    </font>
    <font>
      <b/>
      <sz val="10"/>
      <name val="Arial"/>
      <family val="2"/>
    </font>
    <font>
      <sz val="10"/>
      <color indexed="10"/>
      <name val="Arial"/>
      <family val="2"/>
    </font>
    <font>
      <sz val="10"/>
      <color indexed="12"/>
      <name val="Arial"/>
      <family val="2"/>
    </font>
    <font>
      <sz val="8"/>
      <name val="Arial"/>
      <family val="2"/>
    </font>
    <font>
      <b/>
      <sz val="8"/>
      <name val="Arial"/>
      <family val="2"/>
    </font>
    <font>
      <sz val="9"/>
      <color indexed="81"/>
      <name val="Tahoma"/>
      <family val="2"/>
    </font>
    <font>
      <b/>
      <sz val="9"/>
      <name val="Arial"/>
      <family val="2"/>
    </font>
    <font>
      <sz val="11"/>
      <color indexed="8"/>
      <name val="Calibri"/>
      <family val="2"/>
    </font>
    <font>
      <b/>
      <sz val="11"/>
      <color indexed="8"/>
      <name val="Calibri"/>
      <family val="2"/>
    </font>
    <font>
      <sz val="8"/>
      <color indexed="8"/>
      <name val="Arial"/>
      <family val="2"/>
    </font>
    <font>
      <b/>
      <sz val="10"/>
      <color indexed="8"/>
      <name val="Arial"/>
      <family val="2"/>
    </font>
    <font>
      <sz val="10"/>
      <color indexed="8"/>
      <name val="Arial"/>
      <family val="2"/>
    </font>
    <font>
      <sz val="9"/>
      <name val="Arial"/>
      <family val="2"/>
    </font>
    <font>
      <sz val="11"/>
      <color indexed="8"/>
      <name val="Arial"/>
      <family val="2"/>
    </font>
    <font>
      <sz val="11"/>
      <color indexed="9"/>
      <name val="Arial"/>
      <family val="2"/>
    </font>
    <font>
      <sz val="11"/>
      <name val="Arial"/>
      <family val="2"/>
    </font>
    <font>
      <b/>
      <sz val="11"/>
      <color indexed="8"/>
      <name val="Arial"/>
      <family val="2"/>
    </font>
    <font>
      <sz val="9"/>
      <color indexed="8"/>
      <name val="Arial"/>
      <family val="2"/>
    </font>
    <font>
      <b/>
      <sz val="13"/>
      <name val="Arial"/>
      <family val="2"/>
    </font>
    <font>
      <b/>
      <sz val="13"/>
      <color indexed="8"/>
      <name val="Arial"/>
      <family val="2"/>
    </font>
    <font>
      <sz val="7"/>
      <color indexed="8"/>
      <name val="Arial"/>
      <family val="2"/>
    </font>
    <font>
      <b/>
      <sz val="8"/>
      <color indexed="8"/>
      <name val="Arial"/>
      <family val="2"/>
    </font>
    <font>
      <sz val="10"/>
      <color indexed="9"/>
      <name val="Arial"/>
      <family val="2"/>
    </font>
    <font>
      <sz val="11"/>
      <color indexed="8"/>
      <name val="Calibri"/>
      <family val="2"/>
    </font>
    <font>
      <b/>
      <sz val="9"/>
      <color indexed="8"/>
      <name val="Arial"/>
      <family val="2"/>
    </font>
    <font>
      <b/>
      <sz val="9"/>
      <color indexed="81"/>
      <name val="Tahoma"/>
      <family val="2"/>
    </font>
    <font>
      <sz val="11"/>
      <color indexed="23"/>
      <name val="Arial"/>
      <family val="2"/>
    </font>
    <font>
      <b/>
      <sz val="12"/>
      <color indexed="8"/>
      <name val="Arial"/>
      <family val="2"/>
    </font>
    <font>
      <sz val="9"/>
      <color indexed="81"/>
      <name val="Arial"/>
      <family val="2"/>
    </font>
    <font>
      <b/>
      <sz val="16"/>
      <color indexed="8"/>
      <name val="Calibri"/>
      <family val="2"/>
    </font>
    <font>
      <sz val="11"/>
      <color indexed="9"/>
      <name val="Calibri"/>
      <family val="2"/>
    </font>
    <font>
      <b/>
      <sz val="11"/>
      <color indexed="63"/>
      <name val="Calibri"/>
      <family val="2"/>
    </font>
    <font>
      <b/>
      <sz val="11"/>
      <color indexed="52"/>
      <name val="Calibri"/>
      <family val="2"/>
    </font>
    <font>
      <sz val="11"/>
      <color indexed="62"/>
      <name val="Calibri"/>
      <family val="2"/>
    </font>
    <font>
      <i/>
      <sz val="11"/>
      <color indexed="23"/>
      <name val="Calibri"/>
      <family val="2"/>
    </font>
    <font>
      <sz val="11"/>
      <color indexed="10"/>
      <name val="Calibri"/>
      <family val="2"/>
    </font>
    <font>
      <sz val="8"/>
      <name val="Calibri"/>
      <family val="2"/>
    </font>
    <font>
      <b/>
      <sz val="15"/>
      <color indexed="56"/>
      <name val="Calibri"/>
      <family val="2"/>
    </font>
    <font>
      <b/>
      <sz val="11"/>
      <color indexed="56"/>
      <name val="Calibri"/>
      <family val="2"/>
    </font>
    <font>
      <b/>
      <sz val="18"/>
      <color indexed="56"/>
      <name val="Cambria"/>
      <family val="2"/>
    </font>
    <font>
      <b/>
      <sz val="13"/>
      <color indexed="56"/>
      <name val="Calibri"/>
      <family val="2"/>
    </font>
    <font>
      <sz val="6"/>
      <color indexed="8"/>
      <name val="Arial"/>
      <family val="2"/>
    </font>
    <font>
      <sz val="11"/>
      <color indexed="17"/>
      <name val="Calibri"/>
      <family val="2"/>
    </font>
    <font>
      <sz val="11"/>
      <color indexed="20"/>
      <name val="Calibri"/>
      <family val="2"/>
    </font>
    <font>
      <sz val="11"/>
      <color indexed="52"/>
      <name val="Calibri"/>
      <family val="2"/>
    </font>
    <font>
      <b/>
      <sz val="11"/>
      <color indexed="9"/>
      <name val="Calibri"/>
      <family val="2"/>
    </font>
    <font>
      <sz val="8.8000000000000007"/>
      <color indexed="8"/>
      <name val="Arial"/>
      <family val="2"/>
    </font>
    <font>
      <b/>
      <sz val="10"/>
      <color indexed="8"/>
      <name val="Wingdings"/>
      <charset val="2"/>
    </font>
    <font>
      <sz val="11"/>
      <name val="Calibri"/>
      <family val="2"/>
    </font>
    <font>
      <b/>
      <u/>
      <sz val="8"/>
      <color indexed="8"/>
      <name val="Arial"/>
      <family val="2"/>
    </font>
    <font>
      <sz val="8"/>
      <color indexed="81"/>
      <name val="Arial"/>
      <family val="2"/>
    </font>
    <font>
      <sz val="11"/>
      <color indexed="10"/>
      <name val="Arial"/>
      <family val="2"/>
    </font>
    <font>
      <vertAlign val="superscript"/>
      <sz val="8"/>
      <name val="Arial"/>
      <family val="2"/>
    </font>
    <font>
      <sz val="6"/>
      <name val="Arial"/>
      <family val="2"/>
    </font>
    <font>
      <sz val="7"/>
      <name val="Arial"/>
      <family val="2"/>
    </font>
    <font>
      <sz val="10"/>
      <name val="Arial"/>
      <family val="2"/>
    </font>
    <font>
      <b/>
      <u/>
      <sz val="7"/>
      <color indexed="8"/>
      <name val="Arial"/>
      <family val="2"/>
    </font>
    <font>
      <sz val="8"/>
      <color indexed="40"/>
      <name val="Arial"/>
      <family val="2"/>
    </font>
    <font>
      <sz val="11"/>
      <color indexed="8"/>
      <name val="Calibri"/>
      <family val="2"/>
    </font>
    <font>
      <sz val="8"/>
      <color indexed="8"/>
      <name val="Arial"/>
      <family val="2"/>
    </font>
    <font>
      <sz val="11"/>
      <color indexed="8"/>
      <name val="Arial"/>
      <family val="2"/>
    </font>
    <font>
      <sz val="10"/>
      <color indexed="8"/>
      <name val="Arial"/>
      <family val="2"/>
    </font>
    <font>
      <b/>
      <sz val="10"/>
      <color indexed="10"/>
      <name val="Arial"/>
      <family val="2"/>
    </font>
    <font>
      <b/>
      <sz val="9"/>
      <color indexed="8"/>
      <name val="Arial"/>
      <family val="2"/>
    </font>
    <font>
      <sz val="9"/>
      <color indexed="8"/>
      <name val="Arial"/>
      <family val="2"/>
    </font>
    <font>
      <sz val="11"/>
      <name val="Calibri"/>
      <family val="2"/>
    </font>
    <font>
      <sz val="9"/>
      <color indexed="9"/>
      <name val="Arial"/>
      <family val="2"/>
    </font>
    <font>
      <sz val="8"/>
      <color indexed="8"/>
      <name val="Arial Narrow"/>
      <family val="2"/>
    </font>
    <font>
      <sz val="8"/>
      <name val="Arial Narrow"/>
      <family val="2"/>
    </font>
    <font>
      <b/>
      <sz val="8"/>
      <color indexed="8"/>
      <name val="Arial Narrow"/>
      <family val="2"/>
    </font>
    <font>
      <sz val="8"/>
      <color indexed="23"/>
      <name val="Arial"/>
      <family val="2"/>
    </font>
    <font>
      <sz val="11"/>
      <color theme="1"/>
      <name val="Calibri"/>
      <family val="2"/>
      <scheme val="minor"/>
    </font>
    <font>
      <sz val="11"/>
      <color theme="0"/>
      <name val="Calibri"/>
      <family val="2"/>
      <scheme val="minor"/>
    </font>
    <font>
      <b/>
      <sz val="11"/>
      <color indexed="8"/>
      <name val="Calibri"/>
      <family val="2"/>
      <scheme val="minor"/>
    </font>
    <font>
      <b/>
      <sz val="11"/>
      <color rgb="FF3F3F3F"/>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sz val="11"/>
      <color rgb="FF3F3F76"/>
      <name val="Calibri"/>
      <family val="2"/>
      <scheme val="minor"/>
    </font>
    <font>
      <b/>
      <sz val="11"/>
      <color theme="1"/>
      <name val="Calibri"/>
      <family val="2"/>
      <scheme val="minor"/>
    </font>
    <font>
      <i/>
      <sz val="11"/>
      <color rgb="FF7F7F7F"/>
      <name val="Calibri"/>
      <family val="2"/>
      <scheme val="minor"/>
    </font>
    <font>
      <sz val="11"/>
      <color rgb="FF006100"/>
      <name val="Calibri"/>
      <family val="2"/>
      <scheme val="minor"/>
    </font>
    <font>
      <b/>
      <sz val="15"/>
      <color indexed="62"/>
      <name val="Calibri"/>
      <family val="2"/>
      <scheme val="minor"/>
    </font>
    <font>
      <b/>
      <sz val="15"/>
      <color theme="3"/>
      <name val="Calibri"/>
      <family val="2"/>
      <scheme val="minor"/>
    </font>
    <font>
      <b/>
      <sz val="13"/>
      <color indexed="62"/>
      <name val="Calibri"/>
      <family val="2"/>
      <scheme val="minor"/>
    </font>
    <font>
      <b/>
      <sz val="13"/>
      <color theme="3"/>
      <name val="Calibri"/>
      <family val="2"/>
      <scheme val="minor"/>
    </font>
    <font>
      <b/>
      <sz val="11"/>
      <color indexed="62"/>
      <name val="Calibri"/>
      <family val="2"/>
      <scheme val="minor"/>
    </font>
    <font>
      <b/>
      <sz val="11"/>
      <color theme="3"/>
      <name val="Calibri"/>
      <family val="2"/>
      <scheme val="minor"/>
    </font>
    <font>
      <sz val="11"/>
      <color rgb="FFFA7D00"/>
      <name val="Calibri"/>
      <family val="2"/>
      <scheme val="minor"/>
    </font>
    <font>
      <sz val="11"/>
      <color rgb="FF9C6500"/>
      <name val="Calibri"/>
      <family val="2"/>
      <scheme val="minor"/>
    </font>
    <font>
      <sz val="8"/>
      <color theme="1"/>
      <name val="Calibri"/>
      <family val="2"/>
      <scheme val="minor"/>
    </font>
    <font>
      <b/>
      <sz val="18"/>
      <color indexed="62"/>
      <name val="Cambria"/>
      <family val="2"/>
      <scheme val="major"/>
    </font>
    <font>
      <b/>
      <sz val="18"/>
      <color theme="3"/>
      <name val="Cambria"/>
      <family val="2"/>
      <scheme val="major"/>
    </font>
    <font>
      <sz val="11"/>
      <color rgb="FFFF0000"/>
      <name val="Calibri"/>
      <family val="2"/>
      <scheme val="minor"/>
    </font>
    <font>
      <sz val="11"/>
      <color indexed="53"/>
      <name val="Calibri"/>
      <family val="2"/>
      <scheme val="minor"/>
    </font>
    <font>
      <sz val="9"/>
      <color theme="1"/>
      <name val="Arial"/>
      <family val="2"/>
    </font>
    <font>
      <b/>
      <sz val="9"/>
      <color theme="1"/>
      <name val="Arial"/>
      <family val="2"/>
    </font>
    <font>
      <sz val="11"/>
      <color theme="1"/>
      <name val="Arial"/>
      <family val="2"/>
    </font>
    <font>
      <sz val="10"/>
      <color theme="1"/>
      <name val="Arial"/>
      <family val="2"/>
    </font>
    <font>
      <sz val="8"/>
      <color theme="1"/>
      <name val="Arial"/>
      <family val="2"/>
    </font>
    <font>
      <b/>
      <sz val="8"/>
      <color theme="1"/>
      <name val="Arial"/>
      <family val="2"/>
    </font>
    <font>
      <sz val="9"/>
      <color rgb="FFFF0000"/>
      <name val="Calibri"/>
      <family val="2"/>
      <scheme val="minor"/>
    </font>
    <font>
      <sz val="8"/>
      <color theme="1"/>
      <name val="Arial Narrow"/>
      <family val="2"/>
    </font>
    <font>
      <b/>
      <sz val="8"/>
      <color theme="1"/>
      <name val="Arial Narrow"/>
      <family val="2"/>
    </font>
    <font>
      <b/>
      <sz val="15"/>
      <color indexed="62"/>
      <name val="Calibri"/>
      <family val="2"/>
    </font>
    <font>
      <b/>
      <sz val="13"/>
      <color indexed="62"/>
      <name val="Calibri"/>
      <family val="2"/>
    </font>
    <font>
      <b/>
      <sz val="11"/>
      <color indexed="62"/>
      <name val="Calibri"/>
      <family val="2"/>
    </font>
    <font>
      <b/>
      <sz val="18"/>
      <color indexed="62"/>
      <name val="Cambria"/>
      <family val="2"/>
    </font>
    <font>
      <sz val="11"/>
      <color indexed="53"/>
      <name val="Calibri"/>
      <family val="2"/>
    </font>
    <font>
      <sz val="8"/>
      <color rgb="FFFF0000"/>
      <name val="Arial"/>
      <family val="2"/>
    </font>
    <font>
      <b/>
      <u/>
      <sz val="8"/>
      <name val="Arial"/>
      <family val="2"/>
    </font>
    <font>
      <b/>
      <sz val="9"/>
      <color rgb="FFFF0000"/>
      <name val="Arial"/>
      <family val="2"/>
    </font>
    <font>
      <vertAlign val="superscript"/>
      <sz val="7"/>
      <name val="Arial"/>
      <family val="2"/>
    </font>
    <font>
      <b/>
      <sz val="9"/>
      <color indexed="81"/>
      <name val="Arial"/>
      <family val="2"/>
    </font>
    <font>
      <sz val="8"/>
      <name val="Calibri"/>
      <family val="2"/>
      <scheme val="minor"/>
    </font>
    <font>
      <sz val="8"/>
      <color theme="1" tint="0.499984740745262"/>
      <name val="Arial"/>
      <family val="2"/>
    </font>
    <font>
      <sz val="8"/>
      <color indexed="8"/>
      <name val="Calibri"/>
      <family val="2"/>
    </font>
    <font>
      <b/>
      <sz val="8"/>
      <color indexed="8"/>
      <name val="Calibri"/>
      <family val="2"/>
    </font>
    <font>
      <b/>
      <sz val="8"/>
      <color indexed="10"/>
      <name val="Arial"/>
      <family val="2"/>
    </font>
    <font>
      <sz val="8"/>
      <color indexed="10"/>
      <name val="Calibri"/>
      <family val="2"/>
    </font>
  </fonts>
  <fills count="86">
    <fill>
      <patternFill patternType="none"/>
    </fill>
    <fill>
      <patternFill patternType="gray125"/>
    </fill>
    <fill>
      <patternFill patternType="solid">
        <fgColor indexed="41"/>
      </patternFill>
    </fill>
    <fill>
      <patternFill patternType="solid">
        <fgColor indexed="31"/>
      </patternFill>
    </fill>
    <fill>
      <patternFill patternType="solid">
        <fgColor indexed="44"/>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9"/>
      </patternFill>
    </fill>
    <fill>
      <patternFill patternType="solid">
        <fgColor indexed="46"/>
      </patternFill>
    </fill>
    <fill>
      <patternFill patternType="solid">
        <fgColor indexed="27"/>
      </patternFill>
    </fill>
    <fill>
      <patternFill patternType="solid">
        <fgColor indexed="29"/>
      </patternFill>
    </fill>
    <fill>
      <patternFill patternType="solid">
        <fgColor indexed="43"/>
      </patternFill>
    </fill>
    <fill>
      <patternFill patternType="solid">
        <fgColor indexed="11"/>
      </patternFill>
    </fill>
    <fill>
      <patternFill patternType="solid">
        <fgColor indexed="22"/>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3"/>
      </patternFill>
    </fill>
    <fill>
      <patternFill patternType="solid">
        <fgColor indexed="57"/>
      </patternFill>
    </fill>
    <fill>
      <patternFill patternType="solid">
        <fgColor indexed="54"/>
      </patternFill>
    </fill>
    <fill>
      <patternFill patternType="solid">
        <fgColor indexed="55"/>
      </patternFill>
    </fill>
    <fill>
      <patternFill patternType="solid">
        <fgColor indexed="9"/>
        <bgColor indexed="64"/>
      </patternFill>
    </fill>
    <fill>
      <patternFill patternType="solid">
        <fgColor indexed="43"/>
        <bgColor indexed="64"/>
      </patternFill>
    </fill>
    <fill>
      <patternFill patternType="solid">
        <fgColor indexed="42"/>
        <bgColor indexed="64"/>
      </patternFill>
    </fill>
    <fill>
      <patternFill patternType="solid">
        <fgColor indexed="11"/>
        <bgColor indexed="64"/>
      </patternFill>
    </fill>
    <fill>
      <patternFill patternType="solid">
        <fgColor indexed="14"/>
        <bgColor indexed="64"/>
      </patternFill>
    </fill>
    <fill>
      <patternFill patternType="solid">
        <fgColor indexed="41"/>
        <bgColor indexed="64"/>
      </patternFill>
    </fill>
    <fill>
      <patternFill patternType="solid">
        <fgColor indexed="22"/>
        <bgColor indexed="64"/>
      </patternFill>
    </fill>
    <fill>
      <patternFill patternType="gray0625">
        <fgColor indexed="23"/>
        <bgColor indexed="9"/>
      </patternFill>
    </fill>
    <fill>
      <patternFill patternType="gray0625">
        <fgColor indexed="23"/>
      </patternFill>
    </fill>
    <fill>
      <patternFill patternType="gray0625"/>
    </fill>
    <fill>
      <patternFill patternType="solid">
        <fgColor indexed="41"/>
        <bgColor indexed="23"/>
      </patternFill>
    </fill>
    <fill>
      <patternFill patternType="solid">
        <fgColor indexed="47"/>
        <bgColor indexed="64"/>
      </patternFill>
    </fill>
    <fill>
      <patternFill patternType="solid">
        <fgColor indexed="65"/>
        <bgColor indexed="23"/>
      </patternFill>
    </fill>
    <fill>
      <patternFill patternType="gray0625">
        <bgColor indexed="9"/>
      </patternFill>
    </fill>
    <fill>
      <patternFill patternType="solid">
        <fgColor indexed="63"/>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2F2F2"/>
      </patternFill>
    </fill>
    <fill>
      <patternFill patternType="solid">
        <fgColor rgb="FFFFC7CE"/>
      </patternFill>
    </fill>
    <fill>
      <patternFill patternType="solid">
        <fgColor rgb="FFA5A5A5"/>
      </patternFill>
    </fill>
    <fill>
      <patternFill patternType="solid">
        <fgColor rgb="FFFFCC99"/>
      </patternFill>
    </fill>
    <fill>
      <patternFill patternType="solid">
        <fgColor rgb="FFC6EFCE"/>
      </patternFill>
    </fill>
    <fill>
      <patternFill patternType="solid">
        <fgColor rgb="FFFFEB9C"/>
      </patternFill>
    </fill>
    <fill>
      <patternFill patternType="solid">
        <fgColor rgb="FFFFFFCC"/>
      </patternFill>
    </fill>
    <fill>
      <patternFill patternType="solid">
        <fgColor theme="5" tint="0.79998168889431442"/>
        <bgColor indexed="64"/>
      </patternFill>
    </fill>
    <fill>
      <patternFill patternType="solid">
        <fgColor rgb="FFFFFF00"/>
        <bgColor indexed="64"/>
      </patternFill>
    </fill>
    <fill>
      <patternFill patternType="solid">
        <fgColor theme="0"/>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rgb="FFCCFFCC"/>
        <bgColor indexed="64"/>
      </patternFill>
    </fill>
    <fill>
      <patternFill patternType="solid">
        <fgColor theme="7" tint="0.59999389629810485"/>
        <bgColor indexed="64"/>
      </patternFill>
    </fill>
    <fill>
      <patternFill patternType="solid">
        <fgColor rgb="FF99FF66"/>
        <bgColor rgb="FF000000"/>
      </patternFill>
    </fill>
    <fill>
      <patternFill patternType="solid">
        <fgColor rgb="FFCCFFCC"/>
        <bgColor rgb="FF000000"/>
      </patternFill>
    </fill>
    <fill>
      <patternFill patternType="solid">
        <fgColor rgb="FFFFFF99"/>
        <bgColor rgb="FF000000"/>
      </patternFill>
    </fill>
    <fill>
      <patternFill patternType="solid">
        <fgColor rgb="FFFF7C80"/>
        <bgColor rgb="FF000000"/>
      </patternFill>
    </fill>
  </fills>
  <borders count="111">
    <border>
      <left/>
      <right/>
      <top/>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8"/>
      </left>
      <right style="double">
        <color indexed="8"/>
      </right>
      <top style="double">
        <color indexed="8"/>
      </top>
      <bottom style="double">
        <color indexed="8"/>
      </bottom>
      <diagonal/>
    </border>
    <border>
      <left style="double">
        <color indexed="63"/>
      </left>
      <right style="double">
        <color indexed="63"/>
      </right>
      <top style="double">
        <color indexed="63"/>
      </top>
      <bottom style="double">
        <color indexed="63"/>
      </bottom>
      <diagonal/>
    </border>
    <border>
      <left/>
      <right/>
      <top style="thin">
        <color indexed="49"/>
      </top>
      <bottom style="double">
        <color indexed="49"/>
      </bottom>
      <diagonal/>
    </border>
    <border>
      <left/>
      <right/>
      <top style="thin">
        <color indexed="62"/>
      </top>
      <bottom style="double">
        <color indexed="62"/>
      </bottom>
      <diagonal/>
    </border>
    <border>
      <left/>
      <right/>
      <top/>
      <bottom style="thick">
        <color indexed="49"/>
      </bottom>
      <diagonal/>
    </border>
    <border>
      <left/>
      <right/>
      <top/>
      <bottom style="thick">
        <color indexed="41"/>
      </bottom>
      <diagonal/>
    </border>
    <border>
      <left/>
      <right/>
      <top/>
      <bottom style="thick">
        <color indexed="44"/>
      </bottom>
      <diagonal/>
    </border>
    <border>
      <left/>
      <right/>
      <top/>
      <bottom style="medium">
        <color indexed="41"/>
      </bottom>
      <diagonal/>
    </border>
    <border>
      <left/>
      <right/>
      <top/>
      <bottom style="medium">
        <color indexed="4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ck">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thin">
        <color indexed="64"/>
      </bottom>
      <diagonal/>
    </border>
    <border>
      <left/>
      <right/>
      <top style="thin">
        <color indexed="64"/>
      </top>
      <bottom/>
      <diagonal/>
    </border>
    <border>
      <left/>
      <right style="medium">
        <color indexed="64"/>
      </right>
      <top/>
      <bottom/>
      <diagonal/>
    </border>
    <border>
      <left style="thick">
        <color indexed="64"/>
      </left>
      <right style="thick">
        <color indexed="64"/>
      </right>
      <top style="thick">
        <color indexed="64"/>
      </top>
      <bottom style="medium">
        <color indexed="64"/>
      </bottom>
      <diagonal/>
    </border>
    <border>
      <left/>
      <right style="medium">
        <color indexed="64"/>
      </right>
      <top style="thick">
        <color indexed="64"/>
      </top>
      <bottom style="medium">
        <color indexed="64"/>
      </bottom>
      <diagonal/>
    </border>
    <border>
      <left style="medium">
        <color indexed="64"/>
      </left>
      <right style="medium">
        <color indexed="64"/>
      </right>
      <top style="thick">
        <color indexed="64"/>
      </top>
      <bottom/>
      <diagonal/>
    </border>
    <border>
      <left style="medium">
        <color indexed="64"/>
      </left>
      <right style="thick">
        <color indexed="64"/>
      </right>
      <top style="medium">
        <color indexed="64"/>
      </top>
      <bottom style="medium">
        <color indexed="64"/>
      </bottom>
      <diagonal/>
    </border>
    <border>
      <left style="thick">
        <color indexed="64"/>
      </left>
      <right/>
      <top/>
      <bottom style="medium">
        <color indexed="64"/>
      </bottom>
      <diagonal/>
    </border>
    <border>
      <left style="thick">
        <color indexed="64"/>
      </left>
      <right/>
      <top/>
      <bottom/>
      <diagonal/>
    </border>
    <border>
      <left style="thick">
        <color indexed="64"/>
      </left>
      <right style="medium">
        <color indexed="64"/>
      </right>
      <top style="medium">
        <color indexed="64"/>
      </top>
      <bottom style="thick">
        <color indexed="64"/>
      </bottom>
      <diagonal/>
    </border>
    <border>
      <left style="medium">
        <color indexed="64"/>
      </left>
      <right style="medium">
        <color indexed="64"/>
      </right>
      <top style="medium">
        <color indexed="64"/>
      </top>
      <bottom style="thick">
        <color indexed="64"/>
      </bottom>
      <diagonal/>
    </border>
    <border>
      <left/>
      <right/>
      <top style="medium">
        <color indexed="64"/>
      </top>
      <bottom style="thick">
        <color indexed="64"/>
      </bottom>
      <diagonal/>
    </border>
    <border>
      <left/>
      <right style="thick">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diagonal/>
    </border>
    <border>
      <left style="medium">
        <color indexed="64"/>
      </left>
      <right/>
      <top/>
      <bottom/>
      <diagonal/>
    </border>
    <border>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style="medium">
        <color indexed="64"/>
      </bottom>
      <diagonal/>
    </border>
    <border>
      <left/>
      <right style="medium">
        <color indexed="64"/>
      </right>
      <top style="medium">
        <color indexed="64"/>
      </top>
      <bottom style="thick">
        <color indexed="64"/>
      </bottom>
      <diagonal/>
    </border>
    <border>
      <left style="medium">
        <color indexed="64"/>
      </left>
      <right/>
      <top style="medium">
        <color indexed="64"/>
      </top>
      <bottom style="thick">
        <color indexed="64"/>
      </bottom>
      <diagonal/>
    </border>
    <border>
      <left style="medium">
        <color indexed="64"/>
      </left>
      <right style="thick">
        <color indexed="64"/>
      </right>
      <top style="medium">
        <color indexed="64"/>
      </top>
      <bottom style="thick">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medium">
        <color indexed="64"/>
      </left>
      <right style="thick">
        <color indexed="64"/>
      </right>
      <top style="medium">
        <color indexed="64"/>
      </top>
      <bottom/>
      <diagonal/>
    </border>
    <border>
      <left style="medium">
        <color indexed="64"/>
      </left>
      <right style="thick">
        <color indexed="64"/>
      </right>
      <top/>
      <bottom/>
      <diagonal/>
    </border>
    <border>
      <left/>
      <right style="thin">
        <color indexed="64"/>
      </right>
      <top style="thick">
        <color indexed="64"/>
      </top>
      <bottom/>
      <diagonal/>
    </border>
    <border>
      <left style="thin">
        <color indexed="64"/>
      </left>
      <right style="thick">
        <color indexed="64"/>
      </right>
      <top style="thick">
        <color indexed="64"/>
      </top>
      <bottom/>
      <diagonal/>
    </border>
    <border>
      <left style="medium">
        <color indexed="64"/>
      </left>
      <right style="medium">
        <color indexed="64"/>
      </right>
      <top style="thick">
        <color indexed="64"/>
      </top>
      <bottom style="medium">
        <color indexed="64"/>
      </bottom>
      <diagonal/>
    </border>
    <border>
      <left style="thick">
        <color indexed="64"/>
      </left>
      <right style="medium">
        <color indexed="64"/>
      </right>
      <top style="medium">
        <color indexed="64"/>
      </top>
      <bottom/>
      <diagonal/>
    </border>
    <border>
      <left style="thick">
        <color indexed="64"/>
      </left>
      <right style="medium">
        <color indexed="64"/>
      </right>
      <top/>
      <bottom style="medium">
        <color indexed="64"/>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medium">
        <color indexed="64"/>
      </left>
      <right style="medium">
        <color indexed="64"/>
      </right>
      <top/>
      <bottom style="thick">
        <color indexed="64"/>
      </bottom>
      <diagonal/>
    </border>
    <border>
      <left style="thin">
        <color indexed="64"/>
      </left>
      <right/>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s>
  <cellStyleXfs count="1131">
    <xf numFmtId="0" fontId="0" fillId="0" borderId="0"/>
    <xf numFmtId="0" fontId="75" fillId="2" borderId="0" applyNumberFormat="0" applyBorder="0" applyAlignment="0" applyProtection="0"/>
    <xf numFmtId="0" fontId="75" fillId="3" borderId="0" applyNumberFormat="0" applyBorder="0" applyAlignment="0" applyProtection="0"/>
    <xf numFmtId="0" fontId="75" fillId="2" borderId="0" applyNumberFormat="0" applyBorder="0" applyAlignment="0" applyProtection="0"/>
    <xf numFmtId="0" fontId="75" fillId="42" borderId="0" applyNumberFormat="0" applyBorder="0" applyAlignment="0" applyProtection="0"/>
    <xf numFmtId="0" fontId="75" fillId="4" borderId="0" applyNumberFormat="0" applyBorder="0" applyAlignment="0" applyProtection="0"/>
    <xf numFmtId="0" fontId="11"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11"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75" fillId="5" borderId="0" applyNumberFormat="0" applyBorder="0" applyAlignment="0" applyProtection="0"/>
    <xf numFmtId="0" fontId="75" fillId="6" borderId="0" applyNumberFormat="0" applyBorder="0" applyAlignment="0" applyProtection="0"/>
    <xf numFmtId="0" fontId="75" fillId="5" borderId="0" applyNumberFormat="0" applyBorder="0" applyAlignment="0" applyProtection="0"/>
    <xf numFmtId="0" fontId="75" fillId="43" borderId="0" applyNumberFormat="0" applyBorder="0" applyAlignment="0" applyProtection="0"/>
    <xf numFmtId="0" fontId="75" fillId="5" borderId="0" applyNumberFormat="0" applyBorder="0" applyAlignment="0" applyProtection="0"/>
    <xf numFmtId="0" fontId="11"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11"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75" fillId="7" borderId="0" applyNumberFormat="0" applyBorder="0" applyAlignment="0" applyProtection="0"/>
    <xf numFmtId="0" fontId="75" fillId="8" borderId="0" applyNumberFormat="0" applyBorder="0" applyAlignment="0" applyProtection="0"/>
    <xf numFmtId="0" fontId="75" fillId="7" borderId="0" applyNumberFormat="0" applyBorder="0" applyAlignment="0" applyProtection="0"/>
    <xf numFmtId="0" fontId="75" fillId="44" borderId="0" applyNumberFormat="0" applyBorder="0" applyAlignment="0" applyProtection="0"/>
    <xf numFmtId="0" fontId="75" fillId="7" borderId="0" applyNumberFormat="0" applyBorder="0" applyAlignment="0" applyProtection="0"/>
    <xf numFmtId="0" fontId="11"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11"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75" fillId="9" borderId="0" applyNumberFormat="0" applyBorder="0" applyAlignment="0" applyProtection="0"/>
    <xf numFmtId="0" fontId="75" fillId="10" borderId="0" applyNumberFormat="0" applyBorder="0" applyAlignment="0" applyProtection="0"/>
    <xf numFmtId="0" fontId="75" fillId="9" borderId="0" applyNumberFormat="0" applyBorder="0" applyAlignment="0" applyProtection="0"/>
    <xf numFmtId="0" fontId="75" fillId="45" borderId="0" applyNumberFormat="0" applyBorder="0" applyAlignment="0" applyProtection="0"/>
    <xf numFmtId="0" fontId="75" fillId="9" borderId="0" applyNumberFormat="0" applyBorder="0" applyAlignment="0" applyProtection="0"/>
    <xf numFmtId="0" fontId="11"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11"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75" fillId="2" borderId="0" applyNumberFormat="0" applyBorder="0" applyAlignment="0" applyProtection="0"/>
    <xf numFmtId="0" fontId="75" fillId="46" borderId="0" applyNumberFormat="0" applyBorder="0" applyAlignment="0" applyProtection="0"/>
    <xf numFmtId="0" fontId="75" fillId="4" borderId="0" applyNumberFormat="0" applyBorder="0" applyAlignment="0" applyProtection="0"/>
    <xf numFmtId="0" fontId="11"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11"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75" fillId="47" borderId="0" applyNumberFormat="0" applyBorder="0" applyAlignment="0" applyProtection="0"/>
    <xf numFmtId="0" fontId="11"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11"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75" fillId="2" borderId="0" applyNumberFormat="0" applyBorder="0" applyAlignment="0" applyProtection="0"/>
    <xf numFmtId="0" fontId="75" fillId="48" borderId="0" applyNumberFormat="0" applyBorder="0" applyAlignment="0" applyProtection="0"/>
    <xf numFmtId="0" fontId="11"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11"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75" fillId="49" borderId="0" applyNumberFormat="0" applyBorder="0" applyAlignment="0" applyProtection="0"/>
    <xf numFmtId="0" fontId="11"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11"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75" fillId="13" borderId="0" applyNumberFormat="0" applyBorder="0" applyAlignment="0" applyProtection="0"/>
    <xf numFmtId="0" fontId="75" fillId="14" borderId="0" applyNumberFormat="0" applyBorder="0" applyAlignment="0" applyProtection="0"/>
    <xf numFmtId="0" fontId="75" fillId="13" borderId="0" applyNumberFormat="0" applyBorder="0" applyAlignment="0" applyProtection="0"/>
    <xf numFmtId="0" fontId="75" fillId="50" borderId="0" applyNumberFormat="0" applyBorder="0" applyAlignment="0" applyProtection="0"/>
    <xf numFmtId="0" fontId="75" fillId="13" borderId="0" applyNumberFormat="0" applyBorder="0" applyAlignment="0" applyProtection="0"/>
    <xf numFmtId="0" fontId="11"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11"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75" fillId="15" borderId="0" applyNumberFormat="0" applyBorder="0" applyAlignment="0" applyProtection="0"/>
    <xf numFmtId="0" fontId="75" fillId="51" borderId="0" applyNumberFormat="0" applyBorder="0" applyAlignment="0" applyProtection="0"/>
    <xf numFmtId="0" fontId="75" fillId="15" borderId="0" applyNumberFormat="0" applyBorder="0" applyAlignment="0" applyProtection="0"/>
    <xf numFmtId="0" fontId="11"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11"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75" fillId="2" borderId="0" applyNumberFormat="0" applyBorder="0" applyAlignment="0" applyProtection="0"/>
    <xf numFmtId="0" fontId="75" fillId="52" borderId="0" applyNumberFormat="0" applyBorder="0" applyAlignment="0" applyProtection="0"/>
    <xf numFmtId="0" fontId="11"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11"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75" fillId="5" borderId="0" applyNumberFormat="0" applyBorder="0" applyAlignment="0" applyProtection="0"/>
    <xf numFmtId="0" fontId="75" fillId="53" borderId="0" applyNumberFormat="0" applyBorder="0" applyAlignment="0" applyProtection="0"/>
    <xf numFmtId="0" fontId="75" fillId="5" borderId="0" applyNumberFormat="0" applyBorder="0" applyAlignment="0" applyProtection="0"/>
    <xf numFmtId="0" fontId="11"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11"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76" fillId="2" borderId="0" applyNumberFormat="0" applyBorder="0" applyAlignment="0" applyProtection="0"/>
    <xf numFmtId="0" fontId="76" fillId="54" borderId="0" applyNumberFormat="0" applyBorder="0" applyAlignment="0" applyProtection="0"/>
    <xf numFmtId="0" fontId="76" fillId="4"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76" fillId="55"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76" fillId="56"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76" fillId="15" borderId="0" applyNumberFormat="0" applyBorder="0" applyAlignment="0" applyProtection="0"/>
    <xf numFmtId="0" fontId="76" fillId="18" borderId="0" applyNumberFormat="0" applyBorder="0" applyAlignment="0" applyProtection="0"/>
    <xf numFmtId="0" fontId="76" fillId="15" borderId="0" applyNumberFormat="0" applyBorder="0" applyAlignment="0" applyProtection="0"/>
    <xf numFmtId="0" fontId="76" fillId="57" borderId="0" applyNumberFormat="0" applyBorder="0" applyAlignment="0" applyProtection="0"/>
    <xf numFmtId="0" fontId="76" fillId="15"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76" fillId="2" borderId="0" applyNumberFormat="0" applyBorder="0" applyAlignment="0" applyProtection="0"/>
    <xf numFmtId="0" fontId="76" fillId="58" borderId="0" applyNumberFormat="0" applyBorder="0" applyAlignment="0" applyProtection="0"/>
    <xf numFmtId="0" fontId="76" fillId="4"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76" fillId="5" borderId="0" applyNumberFormat="0" applyBorder="0" applyAlignment="0" applyProtection="0"/>
    <xf numFmtId="0" fontId="76" fillId="20" borderId="0" applyNumberFormat="0" applyBorder="0" applyAlignment="0" applyProtection="0"/>
    <xf numFmtId="0" fontId="76" fillId="5" borderId="0" applyNumberFormat="0" applyBorder="0" applyAlignment="0" applyProtection="0"/>
    <xf numFmtId="0" fontId="76" fillId="59" borderId="0" applyNumberFormat="0" applyBorder="0" applyAlignment="0" applyProtection="0"/>
    <xf numFmtId="0" fontId="76" fillId="5"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76" fillId="19" borderId="0" applyNumberFormat="0" applyBorder="0" applyAlignment="0" applyProtection="0"/>
    <xf numFmtId="0" fontId="34" fillId="21" borderId="0" applyNumberFormat="0" applyBorder="0" applyAlignment="0" applyProtection="0"/>
    <xf numFmtId="0" fontId="76" fillId="60" borderId="0" applyNumberFormat="0" applyBorder="0" applyAlignment="0" applyProtection="0"/>
    <xf numFmtId="0" fontId="76" fillId="19" borderId="0" applyNumberFormat="0" applyBorder="0" applyAlignment="0" applyProtection="0"/>
    <xf numFmtId="0" fontId="76" fillId="61" borderId="0" applyNumberFormat="0" applyBorder="0" applyAlignment="0" applyProtection="0"/>
    <xf numFmtId="0" fontId="34" fillId="22" borderId="0" applyNumberFormat="0" applyBorder="0" applyAlignment="0" applyProtection="0"/>
    <xf numFmtId="0" fontId="76" fillId="23" borderId="0" applyNumberFormat="0" applyBorder="0" applyAlignment="0" applyProtection="0"/>
    <xf numFmtId="0" fontId="34" fillId="24" borderId="0" applyNumberFormat="0" applyBorder="0" applyAlignment="0" applyProtection="0"/>
    <xf numFmtId="0" fontId="76" fillId="25" borderId="0" applyNumberFormat="0" applyBorder="0" applyAlignment="0" applyProtection="0"/>
    <xf numFmtId="0" fontId="34" fillId="18" borderId="0" applyNumberFormat="0" applyBorder="0" applyAlignment="0" applyProtection="0"/>
    <xf numFmtId="0" fontId="76" fillId="63" borderId="0" applyNumberFormat="0" applyBorder="0" applyAlignment="0" applyProtection="0"/>
    <xf numFmtId="0" fontId="76" fillId="25" borderId="0" applyNumberFormat="0" applyBorder="0" applyAlignment="0" applyProtection="0"/>
    <xf numFmtId="0" fontId="34" fillId="19" borderId="0" applyNumberFormat="0" applyBorder="0" applyAlignment="0" applyProtection="0"/>
    <xf numFmtId="0" fontId="34" fillId="23" borderId="0" applyNumberFormat="0" applyBorder="0" applyAlignment="0" applyProtection="0"/>
    <xf numFmtId="0" fontId="76" fillId="21" borderId="0" applyNumberFormat="0" applyBorder="0" applyAlignment="0" applyProtection="0"/>
    <xf numFmtId="0" fontId="76" fillId="21"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62" borderId="0" applyNumberFormat="0" applyBorder="0" applyAlignment="0" applyProtection="0"/>
    <xf numFmtId="0" fontId="76" fillId="62" borderId="0" applyNumberFormat="0" applyBorder="0" applyAlignment="0" applyProtection="0"/>
    <xf numFmtId="0" fontId="76" fillId="62"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64" borderId="0" applyNumberFormat="0" applyBorder="0" applyAlignment="0" applyProtection="0"/>
    <xf numFmtId="0" fontId="76" fillId="64" borderId="0" applyNumberFormat="0" applyBorder="0" applyAlignment="0" applyProtection="0"/>
    <xf numFmtId="0" fontId="76" fillId="64" borderId="0" applyNumberFormat="0" applyBorder="0" applyAlignment="0" applyProtection="0"/>
    <xf numFmtId="0" fontId="76" fillId="65" borderId="0" applyNumberFormat="0" applyBorder="0" applyAlignment="0" applyProtection="0"/>
    <xf numFmtId="0" fontId="76" fillId="65" borderId="0" applyNumberFormat="0" applyBorder="0" applyAlignment="0" applyProtection="0"/>
    <xf numFmtId="0" fontId="76" fillId="65" borderId="0" applyNumberFormat="0" applyBorder="0" applyAlignment="0" applyProtection="0"/>
    <xf numFmtId="0" fontId="77" fillId="9" borderId="1" applyNumberFormat="0" applyAlignment="0" applyProtection="0"/>
    <xf numFmtId="0" fontId="77" fillId="15" borderId="1" applyNumberFormat="0" applyAlignment="0" applyProtection="0"/>
    <xf numFmtId="0" fontId="78" fillId="15" borderId="92" applyNumberFormat="0" applyAlignment="0" applyProtection="0"/>
    <xf numFmtId="0" fontId="77" fillId="9" borderId="1" applyNumberFormat="0" applyAlignment="0" applyProtection="0"/>
    <xf numFmtId="0" fontId="78" fillId="66" borderId="92" applyNumberFormat="0" applyAlignment="0" applyProtection="0"/>
    <xf numFmtId="0" fontId="78" fillId="9" borderId="92" applyNumberFormat="0" applyAlignment="0" applyProtection="0"/>
    <xf numFmtId="0" fontId="78" fillId="15" borderId="92" applyNumberFormat="0" applyAlignment="0" applyProtection="0"/>
    <xf numFmtId="0" fontId="77" fillId="15" borderId="1" applyNumberFormat="0" applyAlignment="0" applyProtection="0"/>
    <xf numFmtId="0" fontId="78" fillId="15" borderId="92" applyNumberFormat="0" applyAlignment="0" applyProtection="0"/>
    <xf numFmtId="0" fontId="35" fillId="15" borderId="2" applyNumberFormat="0" applyAlignment="0" applyProtection="0"/>
    <xf numFmtId="0" fontId="35" fillId="15" borderId="2" applyNumberFormat="0" applyAlignment="0" applyProtection="0"/>
    <xf numFmtId="0" fontId="35" fillId="15" borderId="2" applyNumberFormat="0" applyAlignment="0" applyProtection="0"/>
    <xf numFmtId="0" fontId="35" fillId="15" borderId="2" applyNumberFormat="0" applyAlignment="0" applyProtection="0"/>
    <xf numFmtId="0" fontId="35" fillId="15" borderId="2" applyNumberFormat="0" applyAlignment="0" applyProtection="0"/>
    <xf numFmtId="0" fontId="77" fillId="15" borderId="1" applyNumberFormat="0" applyAlignment="0" applyProtection="0"/>
    <xf numFmtId="0" fontId="78" fillId="15" borderId="92" applyNumberFormat="0" applyAlignment="0" applyProtection="0"/>
    <xf numFmtId="0" fontId="78" fillId="15" borderId="92" applyNumberFormat="0" applyAlignment="0" applyProtection="0"/>
    <xf numFmtId="0" fontId="78" fillId="15" borderId="92" applyNumberFormat="0" applyAlignment="0" applyProtection="0"/>
    <xf numFmtId="0" fontId="35" fillId="15" borderId="2" applyNumberFormat="0" applyAlignment="0" applyProtection="0"/>
    <xf numFmtId="0" fontId="47" fillId="6" borderId="0" applyNumberFormat="0" applyBorder="0" applyAlignment="0" applyProtection="0"/>
    <xf numFmtId="0" fontId="80" fillId="9" borderId="93" applyNumberFormat="0" applyAlignment="0" applyProtection="0"/>
    <xf numFmtId="0" fontId="80" fillId="15" borderId="93" applyNumberFormat="0" applyAlignment="0" applyProtection="0"/>
    <xf numFmtId="0" fontId="80" fillId="9" borderId="93" applyNumberFormat="0" applyAlignment="0" applyProtection="0"/>
    <xf numFmtId="0" fontId="80" fillId="66" borderId="93" applyNumberFormat="0" applyAlignment="0" applyProtection="0"/>
    <xf numFmtId="0" fontId="80" fillId="9" borderId="93" applyNumberFormat="0" applyAlignment="0" applyProtection="0"/>
    <xf numFmtId="0" fontId="80" fillId="15" borderId="93" applyNumberFormat="0" applyAlignment="0" applyProtection="0"/>
    <xf numFmtId="0" fontId="36" fillId="15" borderId="3" applyNumberFormat="0" applyAlignment="0" applyProtection="0"/>
    <xf numFmtId="0" fontId="36" fillId="15" borderId="3" applyNumberFormat="0" applyAlignment="0" applyProtection="0"/>
    <xf numFmtId="0" fontId="36" fillId="15" borderId="3" applyNumberFormat="0" applyAlignment="0" applyProtection="0"/>
    <xf numFmtId="0" fontId="36" fillId="15" borderId="3" applyNumberFormat="0" applyAlignment="0" applyProtection="0"/>
    <xf numFmtId="0" fontId="36" fillId="15" borderId="3" applyNumberFormat="0" applyAlignment="0" applyProtection="0"/>
    <xf numFmtId="0" fontId="80" fillId="15" borderId="93" applyNumberFormat="0" applyAlignment="0" applyProtection="0"/>
    <xf numFmtId="0" fontId="36" fillId="15" borderId="3" applyNumberFormat="0" applyAlignment="0" applyProtection="0"/>
    <xf numFmtId="0" fontId="36" fillId="15" borderId="3" applyNumberFormat="0" applyAlignment="0" applyProtection="0"/>
    <xf numFmtId="0" fontId="49" fillId="26" borderId="5" applyNumberFormat="0" applyAlignment="0" applyProtection="0"/>
    <xf numFmtId="0" fontId="81" fillId="68" borderId="94" applyNumberFormat="0" applyAlignment="0" applyProtection="0"/>
    <xf numFmtId="0" fontId="82" fillId="69" borderId="93" applyNumberFormat="0" applyAlignment="0" applyProtection="0"/>
    <xf numFmtId="0" fontId="37" fillId="5" borderId="3" applyNumberFormat="0" applyAlignment="0" applyProtection="0"/>
    <xf numFmtId="0" fontId="37" fillId="5" borderId="3" applyNumberFormat="0" applyAlignment="0" applyProtection="0"/>
    <xf numFmtId="0" fontId="37" fillId="5" borderId="3" applyNumberFormat="0" applyAlignment="0" applyProtection="0"/>
    <xf numFmtId="0" fontId="37" fillId="5" borderId="3" applyNumberFormat="0" applyAlignment="0" applyProtection="0"/>
    <xf numFmtId="0" fontId="37" fillId="5" borderId="3" applyNumberFormat="0" applyAlignment="0" applyProtection="0"/>
    <xf numFmtId="0" fontId="83" fillId="0" borderId="6" applyNumberFormat="0" applyFill="0" applyAlignment="0" applyProtection="0"/>
    <xf numFmtId="0" fontId="83" fillId="0" borderId="7" applyNumberFormat="0" applyFill="0" applyAlignment="0" applyProtection="0"/>
    <xf numFmtId="0" fontId="83" fillId="0" borderId="7" applyNumberFormat="0" applyFill="0" applyAlignment="0" applyProtection="0"/>
    <xf numFmtId="0" fontId="83" fillId="0" borderId="7" applyNumberFormat="0" applyFill="0" applyAlignment="0" applyProtection="0"/>
    <xf numFmtId="0" fontId="83" fillId="0" borderId="6" applyNumberFormat="0" applyFill="0" applyAlignment="0" applyProtection="0"/>
    <xf numFmtId="0" fontId="83" fillId="0" borderId="95" applyNumberFormat="0" applyFill="0" applyAlignment="0" applyProtection="0"/>
    <xf numFmtId="0" fontId="83" fillId="0" borderId="6" applyNumberFormat="0" applyFill="0" applyAlignment="0" applyProtection="0"/>
    <xf numFmtId="0" fontId="83" fillId="0" borderId="7" applyNumberFormat="0" applyFill="0" applyAlignment="0" applyProtection="0"/>
    <xf numFmtId="0" fontId="83" fillId="0" borderId="7" applyNumberFormat="0" applyFill="0" applyAlignment="0" applyProtection="0"/>
    <xf numFmtId="0" fontId="12" fillId="0" borderId="7" applyNumberFormat="0" applyFill="0" applyAlignment="0" applyProtection="0"/>
    <xf numFmtId="0" fontId="12" fillId="0" borderId="7" applyNumberFormat="0" applyFill="0" applyAlignment="0" applyProtection="0"/>
    <xf numFmtId="0" fontId="83" fillId="0" borderId="7" applyNumberFormat="0" applyFill="0" applyAlignment="0" applyProtection="0"/>
    <xf numFmtId="0" fontId="12" fillId="0" borderId="7" applyNumberFormat="0" applyFill="0" applyAlignment="0" applyProtection="0"/>
    <xf numFmtId="0" fontId="12" fillId="0" borderId="7" applyNumberFormat="0" applyFill="0" applyAlignment="0" applyProtection="0"/>
    <xf numFmtId="0" fontId="12" fillId="0" borderId="7" applyNumberFormat="0" applyFill="0" applyAlignment="0" applyProtection="0"/>
    <xf numFmtId="0" fontId="12" fillId="0" borderId="7" applyNumberFormat="0" applyFill="0" applyAlignment="0" applyProtection="0"/>
    <xf numFmtId="0" fontId="83" fillId="0" borderId="7" applyNumberFormat="0" applyFill="0" applyAlignment="0" applyProtection="0"/>
    <xf numFmtId="0" fontId="12" fillId="0" borderId="7" applyNumberFormat="0" applyFill="0" applyAlignment="0" applyProtection="0"/>
    <xf numFmtId="0" fontId="84"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46" fillId="8" borderId="0" applyNumberFormat="0" applyBorder="0" applyAlignment="0" applyProtection="0"/>
    <xf numFmtId="0" fontId="85" fillId="70" borderId="0" applyNumberFormat="0" applyBorder="0" applyAlignment="0" applyProtection="0"/>
    <xf numFmtId="0" fontId="85" fillId="70" borderId="0" applyNumberFormat="0" applyBorder="0" applyAlignment="0" applyProtection="0"/>
    <xf numFmtId="0" fontId="85" fillId="70" borderId="0" applyNumberFormat="0" applyBorder="0" applyAlignment="0" applyProtection="0"/>
    <xf numFmtId="0" fontId="86" fillId="0" borderId="8" applyNumberFormat="0" applyFill="0" applyAlignment="0" applyProtection="0"/>
    <xf numFmtId="0" fontId="87" fillId="0" borderId="96" applyNumberFormat="0" applyFill="0" applyAlignment="0" applyProtection="0"/>
    <xf numFmtId="0" fontId="86" fillId="0" borderId="8" applyNumberFormat="0" applyFill="0" applyAlignment="0" applyProtection="0"/>
    <xf numFmtId="0" fontId="88" fillId="0" borderId="9" applyNumberFormat="0" applyFill="0" applyAlignment="0" applyProtection="0"/>
    <xf numFmtId="0" fontId="89" fillId="0" borderId="97" applyNumberFormat="0" applyFill="0" applyAlignment="0" applyProtection="0"/>
    <xf numFmtId="0" fontId="88" fillId="0" borderId="10" applyNumberFormat="0" applyFill="0" applyAlignment="0" applyProtection="0"/>
    <xf numFmtId="0" fontId="90" fillId="0" borderId="11" applyNumberFormat="0" applyFill="0" applyAlignment="0" applyProtection="0"/>
    <xf numFmtId="0" fontId="91" fillId="0" borderId="98" applyNumberFormat="0" applyFill="0" applyAlignment="0" applyProtection="0"/>
    <xf numFmtId="0" fontId="90" fillId="0" borderId="12" applyNumberFormat="0" applyFill="0" applyAlignment="0" applyProtection="0"/>
    <xf numFmtId="0" fontId="90" fillId="0" borderId="0" applyNumberFormat="0" applyFill="0" applyBorder="0" applyAlignment="0" applyProtection="0"/>
    <xf numFmtId="0" fontId="91" fillId="0" borderId="0" applyNumberFormat="0" applyFill="0" applyBorder="0" applyAlignment="0" applyProtection="0"/>
    <xf numFmtId="0" fontId="90" fillId="0" borderId="0" applyNumberFormat="0" applyFill="0" applyBorder="0" applyAlignment="0" applyProtection="0"/>
    <xf numFmtId="0" fontId="37" fillId="5" borderId="3" applyNumberFormat="0" applyAlignment="0" applyProtection="0"/>
    <xf numFmtId="0" fontId="48" fillId="0" borderId="13" applyNumberFormat="0" applyFill="0" applyAlignment="0" applyProtection="0"/>
    <xf numFmtId="0" fontId="93" fillId="71" borderId="0" applyNumberFormat="0" applyBorder="0" applyAlignment="0" applyProtection="0"/>
    <xf numFmtId="0" fontId="75" fillId="0" borderId="0"/>
    <xf numFmtId="0" fontId="62" fillId="72" borderId="100" applyNumberFormat="0" applyFont="0" applyAlignment="0" applyProtection="0"/>
    <xf numFmtId="0" fontId="3" fillId="7" borderId="14" applyNumberFormat="0" applyFont="0" applyAlignment="0" applyProtection="0"/>
    <xf numFmtId="0" fontId="3" fillId="7" borderId="14" applyNumberFormat="0" applyFont="0" applyAlignment="0" applyProtection="0"/>
    <xf numFmtId="0" fontId="2" fillId="72" borderId="100" applyNumberFormat="0" applyFont="0" applyAlignment="0" applyProtection="0"/>
    <xf numFmtId="0" fontId="2" fillId="72" borderId="100" applyNumberFormat="0" applyFont="0" applyAlignment="0" applyProtection="0"/>
    <xf numFmtId="0" fontId="75" fillId="72" borderId="100" applyNumberFormat="0" applyFont="0" applyAlignment="0" applyProtection="0"/>
    <xf numFmtId="0" fontId="11" fillId="72" borderId="100" applyNumberFormat="0" applyFont="0" applyAlignment="0" applyProtection="0"/>
    <xf numFmtId="0" fontId="62" fillId="72" borderId="100" applyNumberFormat="0" applyFont="0" applyAlignment="0" applyProtection="0"/>
    <xf numFmtId="0" fontId="11" fillId="72" borderId="100" applyNumberFormat="0" applyFont="0" applyAlignment="0" applyProtection="0"/>
    <xf numFmtId="0" fontId="11" fillId="72" borderId="100" applyNumberFormat="0" applyFont="0" applyAlignment="0" applyProtection="0"/>
    <xf numFmtId="0" fontId="2" fillId="72" borderId="100" applyNumberFormat="0" applyFont="0" applyAlignment="0" applyProtection="0"/>
    <xf numFmtId="0" fontId="2" fillId="72" borderId="100" applyNumberFormat="0" applyFont="0" applyAlignment="0" applyProtection="0"/>
    <xf numFmtId="0" fontId="11" fillId="72" borderId="100" applyNumberFormat="0" applyFont="0" applyAlignment="0" applyProtection="0"/>
    <xf numFmtId="0" fontId="2" fillId="72" borderId="100" applyNumberFormat="0" applyFont="0" applyAlignment="0" applyProtection="0"/>
    <xf numFmtId="0" fontId="2" fillId="72" borderId="100" applyNumberFormat="0" applyFont="0" applyAlignment="0" applyProtection="0"/>
    <xf numFmtId="0" fontId="2" fillId="72" borderId="100" applyNumberFormat="0" applyFont="0" applyAlignment="0" applyProtection="0"/>
    <xf numFmtId="0" fontId="62" fillId="72" borderId="100" applyNumberFormat="0" applyFont="0" applyAlignment="0" applyProtection="0"/>
    <xf numFmtId="0" fontId="2" fillId="72" borderId="100" applyNumberFormat="0" applyFont="0" applyAlignment="0" applyProtection="0"/>
    <xf numFmtId="0" fontId="75" fillId="72" borderId="100" applyNumberFormat="0" applyFont="0" applyAlignment="0" applyProtection="0"/>
    <xf numFmtId="0" fontId="62" fillId="72" borderId="100" applyNumberFormat="0" applyFont="0" applyAlignment="0" applyProtection="0"/>
    <xf numFmtId="0" fontId="2" fillId="72" borderId="100" applyNumberFormat="0" applyFont="0" applyAlignment="0" applyProtection="0"/>
    <xf numFmtId="0" fontId="2" fillId="72" borderId="100" applyNumberFormat="0" applyFont="0" applyAlignment="0" applyProtection="0"/>
    <xf numFmtId="0" fontId="75" fillId="72" borderId="100" applyNumberFormat="0" applyFont="0" applyAlignment="0" applyProtection="0"/>
    <xf numFmtId="0" fontId="11" fillId="72" borderId="100" applyNumberFormat="0" applyFont="0" applyAlignment="0" applyProtection="0"/>
    <xf numFmtId="0" fontId="11" fillId="72" borderId="100" applyNumberFormat="0" applyFont="0" applyAlignment="0" applyProtection="0"/>
    <xf numFmtId="0" fontId="2" fillId="72" borderId="100" applyNumberFormat="0" applyFont="0" applyAlignment="0" applyProtection="0"/>
    <xf numFmtId="0" fontId="2" fillId="72" borderId="100" applyNumberFormat="0" applyFont="0" applyAlignment="0" applyProtection="0"/>
    <xf numFmtId="0" fontId="11" fillId="72" borderId="100" applyNumberFormat="0" applyFont="0" applyAlignment="0" applyProtection="0"/>
    <xf numFmtId="0" fontId="2" fillId="72" borderId="100" applyNumberFormat="0" applyFont="0" applyAlignment="0" applyProtection="0"/>
    <xf numFmtId="0" fontId="2" fillId="72" borderId="100" applyNumberFormat="0" applyFont="0" applyAlignment="0" applyProtection="0"/>
    <xf numFmtId="0" fontId="11" fillId="72" borderId="100" applyNumberFormat="0" applyFont="0" applyAlignment="0" applyProtection="0"/>
    <xf numFmtId="0" fontId="11" fillId="72" borderId="100" applyNumberFormat="0" applyFont="0" applyAlignment="0" applyProtection="0"/>
    <xf numFmtId="0" fontId="11" fillId="72" borderId="100" applyNumberFormat="0" applyFont="0" applyAlignment="0" applyProtection="0"/>
    <xf numFmtId="0" fontId="2" fillId="72" borderId="100" applyNumberFormat="0" applyFont="0" applyAlignment="0" applyProtection="0"/>
    <xf numFmtId="0" fontId="2" fillId="72" borderId="100" applyNumberFormat="0" applyFont="0" applyAlignment="0" applyProtection="0"/>
    <xf numFmtId="0" fontId="11" fillId="72" borderId="100" applyNumberFormat="0" applyFont="0" applyAlignment="0" applyProtection="0"/>
    <xf numFmtId="0" fontId="2" fillId="72" borderId="100" applyNumberFormat="0" applyFont="0" applyAlignment="0" applyProtection="0"/>
    <xf numFmtId="0" fontId="2" fillId="72" borderId="100" applyNumberFormat="0" applyFont="0" applyAlignment="0" applyProtection="0"/>
    <xf numFmtId="0" fontId="11" fillId="72" borderId="100" applyNumberFormat="0" applyFont="0" applyAlignment="0" applyProtection="0"/>
    <xf numFmtId="0" fontId="11" fillId="72" borderId="100" applyNumberFormat="0" applyFont="0" applyAlignment="0" applyProtection="0"/>
    <xf numFmtId="0" fontId="2" fillId="72" borderId="100" applyNumberFormat="0" applyFont="0" applyAlignment="0" applyProtection="0"/>
    <xf numFmtId="0" fontId="2" fillId="72" borderId="100" applyNumberFormat="0" applyFont="0" applyAlignment="0" applyProtection="0"/>
    <xf numFmtId="0" fontId="11" fillId="72" borderId="100" applyNumberFormat="0" applyFont="0" applyAlignment="0" applyProtection="0"/>
    <xf numFmtId="0" fontId="11" fillId="72" borderId="100" applyNumberFormat="0" applyFont="0" applyAlignment="0" applyProtection="0"/>
    <xf numFmtId="0" fontId="2" fillId="72" borderId="100" applyNumberFormat="0" applyFont="0" applyAlignment="0" applyProtection="0"/>
    <xf numFmtId="0" fontId="2" fillId="72" borderId="100" applyNumberFormat="0" applyFont="0" applyAlignment="0" applyProtection="0"/>
    <xf numFmtId="0" fontId="11" fillId="72" borderId="100" applyNumberFormat="0" applyFont="0" applyAlignment="0" applyProtection="0"/>
    <xf numFmtId="0" fontId="2" fillId="72" borderId="100" applyNumberFormat="0" applyFont="0" applyAlignment="0" applyProtection="0"/>
    <xf numFmtId="0" fontId="2" fillId="72" borderId="100" applyNumberFormat="0" applyFont="0" applyAlignment="0" applyProtection="0"/>
    <xf numFmtId="0" fontId="2" fillId="72" borderId="100" applyNumberFormat="0" applyFont="0" applyAlignment="0" applyProtection="0"/>
    <xf numFmtId="0" fontId="35" fillId="15" borderId="2" applyNumberFormat="0" applyAlignment="0" applyProtection="0"/>
    <xf numFmtId="9" fontId="11" fillId="0" borderId="0" applyFont="0" applyFill="0" applyBorder="0" applyAlignment="0" applyProtection="0"/>
    <xf numFmtId="9" fontId="6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7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7" fillId="0" borderId="0" applyFont="0" applyFill="0" applyBorder="0" applyAlignment="0" applyProtection="0"/>
    <xf numFmtId="9" fontId="3"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1" fillId="0" borderId="0" applyFont="0" applyFill="0" applyBorder="0" applyAlignment="0" applyProtection="0"/>
    <xf numFmtId="9" fontId="27"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62"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6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75"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62"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62" fillId="0" borderId="0" applyFont="0" applyFill="0" applyBorder="0" applyAlignment="0" applyProtection="0"/>
    <xf numFmtId="9" fontId="2" fillId="0" borderId="0" applyFont="0" applyFill="0" applyBorder="0" applyAlignment="0" applyProtection="0"/>
    <xf numFmtId="9" fontId="75" fillId="0" borderId="0" applyFont="0" applyFill="0" applyBorder="0" applyAlignment="0" applyProtection="0"/>
    <xf numFmtId="9" fontId="6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75"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9"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79" fillId="67" borderId="0" applyNumberFormat="0" applyBorder="0" applyAlignment="0" applyProtection="0"/>
    <xf numFmtId="0" fontId="79" fillId="67" borderId="0" applyNumberFormat="0" applyBorder="0" applyAlignment="0" applyProtection="0"/>
    <xf numFmtId="0" fontId="79" fillId="67" borderId="0" applyNumberFormat="0" applyBorder="0" applyAlignment="0" applyProtection="0"/>
    <xf numFmtId="0" fontId="3" fillId="0" borderId="0"/>
    <xf numFmtId="0" fontId="75" fillId="0" borderId="0"/>
    <xf numFmtId="0" fontId="75" fillId="0" borderId="0"/>
    <xf numFmtId="0" fontId="94" fillId="0" borderId="0"/>
    <xf numFmtId="0" fontId="3" fillId="0" borderId="0"/>
    <xf numFmtId="0" fontId="75" fillId="0" borderId="0"/>
    <xf numFmtId="0" fontId="75" fillId="0" borderId="0"/>
    <xf numFmtId="0" fontId="94" fillId="0" borderId="0"/>
    <xf numFmtId="0" fontId="27" fillId="0" borderId="0"/>
    <xf numFmtId="0" fontId="3" fillId="0" borderId="0"/>
    <xf numFmtId="0" fontId="11" fillId="0" borderId="0"/>
    <xf numFmtId="0" fontId="11" fillId="0" borderId="0"/>
    <xf numFmtId="0" fontId="2" fillId="0" borderId="0"/>
    <xf numFmtId="0" fontId="2" fillId="0" borderId="0"/>
    <xf numFmtId="0" fontId="11" fillId="0" borderId="0"/>
    <xf numFmtId="0" fontId="2" fillId="0" borderId="0"/>
    <xf numFmtId="0" fontId="2" fillId="0" borderId="0"/>
    <xf numFmtId="0" fontId="2" fillId="0" borderId="0"/>
    <xf numFmtId="0" fontId="3" fillId="0" borderId="0"/>
    <xf numFmtId="0" fontId="3" fillId="0" borderId="0"/>
    <xf numFmtId="0" fontId="94" fillId="0" borderId="0"/>
    <xf numFmtId="0" fontId="11" fillId="0" borderId="0"/>
    <xf numFmtId="0" fontId="11" fillId="0" borderId="0"/>
    <xf numFmtId="0" fontId="2" fillId="0" borderId="0"/>
    <xf numFmtId="0" fontId="2" fillId="0" borderId="0"/>
    <xf numFmtId="0" fontId="11" fillId="0" borderId="0"/>
    <xf numFmtId="0" fontId="2" fillId="0" borderId="0"/>
    <xf numFmtId="0" fontId="2" fillId="0" borderId="0"/>
    <xf numFmtId="0" fontId="94" fillId="0" borderId="0"/>
    <xf numFmtId="0" fontId="75" fillId="0" borderId="0"/>
    <xf numFmtId="0" fontId="59" fillId="0" borderId="0"/>
    <xf numFmtId="0" fontId="3" fillId="0" borderId="0"/>
    <xf numFmtId="0" fontId="3" fillId="0" borderId="0"/>
    <xf numFmtId="0" fontId="95" fillId="0" borderId="0" applyNumberFormat="0" applyFill="0" applyBorder="0" applyAlignment="0" applyProtection="0"/>
    <xf numFmtId="0" fontId="96" fillId="0" borderId="0" applyNumberFormat="0" applyFill="0" applyBorder="0" applyAlignment="0" applyProtection="0"/>
    <xf numFmtId="0" fontId="95" fillId="0" borderId="0" applyNumberFormat="0" applyFill="0" applyBorder="0" applyAlignment="0" applyProtection="0"/>
    <xf numFmtId="0" fontId="12" fillId="0" borderId="7" applyNumberFormat="0" applyFill="0" applyAlignment="0" applyProtection="0"/>
    <xf numFmtId="0" fontId="41" fillId="0" borderId="15" applyNumberFormat="0" applyFill="0" applyAlignment="0" applyProtection="0"/>
    <xf numFmtId="0" fontId="41" fillId="0" borderId="15" applyNumberFormat="0" applyFill="0" applyAlignment="0" applyProtection="0"/>
    <xf numFmtId="0" fontId="44" fillId="0" borderId="16" applyNumberFormat="0" applyFill="0" applyAlignment="0" applyProtection="0"/>
    <xf numFmtId="0" fontId="44" fillId="0" borderId="16" applyNumberFormat="0" applyFill="0" applyAlignment="0" applyProtection="0"/>
    <xf numFmtId="0" fontId="42" fillId="0" borderId="17" applyNumberFormat="0" applyFill="0" applyAlignment="0" applyProtection="0"/>
    <xf numFmtId="0" fontId="42" fillId="0" borderId="17" applyNumberFormat="0" applyFill="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92" fillId="0" borderId="99" applyNumberFormat="0" applyFill="0" applyAlignment="0" applyProtection="0"/>
    <xf numFmtId="0" fontId="92" fillId="0" borderId="99" applyNumberFormat="0" applyFill="0" applyAlignment="0" applyProtection="0"/>
    <xf numFmtId="0" fontId="92" fillId="0" borderId="99" applyNumberFormat="0" applyFill="0" applyAlignment="0" applyProtection="0"/>
    <xf numFmtId="0" fontId="97" fillId="0" borderId="0" applyNumberFormat="0" applyFill="0" applyBorder="0" applyAlignment="0" applyProtection="0"/>
    <xf numFmtId="0" fontId="39" fillId="0" borderId="0" applyNumberFormat="0" applyFill="0" applyBorder="0" applyAlignment="0" applyProtection="0"/>
    <xf numFmtId="0" fontId="97" fillId="0" borderId="0" applyNumberFormat="0" applyFill="0" applyBorder="0" applyAlignment="0" applyProtection="0"/>
    <xf numFmtId="0" fontId="98"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81" fillId="68" borderId="4" applyNumberFormat="0" applyAlignment="0" applyProtection="0"/>
    <xf numFmtId="0" fontId="81" fillId="68" borderId="4" applyNumberFormat="0" applyAlignment="0" applyProtection="0"/>
    <xf numFmtId="0" fontId="81" fillId="68" borderId="94" applyNumberFormat="0" applyAlignment="0" applyProtection="0"/>
    <xf numFmtId="0" fontId="81" fillId="68" borderId="94" applyNumberFormat="0" applyAlignment="0" applyProtection="0"/>
    <xf numFmtId="0" fontId="75" fillId="3" borderId="0"/>
    <xf numFmtId="0" fontId="75" fillId="3" borderId="0"/>
    <xf numFmtId="0" fontId="75" fillId="42" borderId="0"/>
    <xf numFmtId="0" fontId="75" fillId="42" borderId="0"/>
    <xf numFmtId="0" fontId="75" fillId="4" borderId="0"/>
    <xf numFmtId="0" fontId="75" fillId="2" borderId="0"/>
    <xf numFmtId="0" fontId="75" fillId="2"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75" fillId="6" borderId="0"/>
    <xf numFmtId="0" fontId="75" fillId="6" borderId="0"/>
    <xf numFmtId="0" fontId="75" fillId="43" borderId="0"/>
    <xf numFmtId="0" fontId="75" fillId="43" borderId="0"/>
    <xf numFmtId="0" fontId="75" fillId="5" borderId="0"/>
    <xf numFmtId="0" fontId="75" fillId="5" borderId="0"/>
    <xf numFmtId="0" fontId="75" fillId="5" borderId="0"/>
    <xf numFmtId="0" fontId="2" fillId="6" borderId="0"/>
    <xf numFmtId="0" fontId="2" fillId="6" borderId="0"/>
    <xf numFmtId="0" fontId="2" fillId="6" borderId="0"/>
    <xf numFmtId="0" fontId="2" fillId="6" borderId="0"/>
    <xf numFmtId="0" fontId="2" fillId="6" borderId="0"/>
    <xf numFmtId="0" fontId="2" fillId="6" borderId="0"/>
    <xf numFmtId="0" fontId="2" fillId="6" borderId="0"/>
    <xf numFmtId="0" fontId="2" fillId="6" borderId="0"/>
    <xf numFmtId="0" fontId="2" fillId="6" borderId="0"/>
    <xf numFmtId="0" fontId="75" fillId="8" borderId="0"/>
    <xf numFmtId="0" fontId="75" fillId="8" borderId="0"/>
    <xf numFmtId="0" fontId="75" fillId="44" borderId="0"/>
    <xf numFmtId="0" fontId="75" fillId="44" borderId="0"/>
    <xf numFmtId="0" fontId="75" fillId="7" borderId="0"/>
    <xf numFmtId="0" fontId="75" fillId="7" borderId="0"/>
    <xf numFmtId="0" fontId="75" fillId="7" borderId="0"/>
    <xf numFmtId="0" fontId="2" fillId="8" borderId="0"/>
    <xf numFmtId="0" fontId="2" fillId="8" borderId="0"/>
    <xf numFmtId="0" fontId="2" fillId="8" borderId="0"/>
    <xf numFmtId="0" fontId="2" fillId="8" borderId="0"/>
    <xf numFmtId="0" fontId="2" fillId="8" borderId="0"/>
    <xf numFmtId="0" fontId="2" fillId="8" borderId="0"/>
    <xf numFmtId="0" fontId="2" fillId="8" borderId="0"/>
    <xf numFmtId="0" fontId="2" fillId="8" borderId="0"/>
    <xf numFmtId="0" fontId="2" fillId="8" borderId="0"/>
    <xf numFmtId="0" fontId="75" fillId="10" borderId="0"/>
    <xf numFmtId="0" fontId="75" fillId="10" borderId="0"/>
    <xf numFmtId="0" fontId="75" fillId="45" borderId="0"/>
    <xf numFmtId="0" fontId="75" fillId="45" borderId="0"/>
    <xf numFmtId="0" fontId="75" fillId="9" borderId="0"/>
    <xf numFmtId="0" fontId="75" fillId="9" borderId="0"/>
    <xf numFmtId="0" fontId="75" fillId="9" borderId="0"/>
    <xf numFmtId="0" fontId="2" fillId="10" borderId="0"/>
    <xf numFmtId="0" fontId="2" fillId="10" borderId="0"/>
    <xf numFmtId="0" fontId="2" fillId="10" borderId="0"/>
    <xf numFmtId="0" fontId="2" fillId="10" borderId="0"/>
    <xf numFmtId="0" fontId="2" fillId="10" borderId="0"/>
    <xf numFmtId="0" fontId="2" fillId="10" borderId="0"/>
    <xf numFmtId="0" fontId="2" fillId="10" borderId="0"/>
    <xf numFmtId="0" fontId="2" fillId="10" borderId="0"/>
    <xf numFmtId="0" fontId="2" fillId="10" borderId="0"/>
    <xf numFmtId="0" fontId="75" fillId="46" borderId="0"/>
    <xf numFmtId="0" fontId="75" fillId="46" borderId="0"/>
    <xf numFmtId="0" fontId="75" fillId="4" borderId="0"/>
    <xf numFmtId="0" fontId="75" fillId="2" borderId="0"/>
    <xf numFmtId="0" fontId="2" fillId="11" borderId="0"/>
    <xf numFmtId="0" fontId="2" fillId="11" borderId="0"/>
    <xf numFmtId="0" fontId="2" fillId="11" borderId="0"/>
    <xf numFmtId="0" fontId="2" fillId="11" borderId="0"/>
    <xf numFmtId="0" fontId="2" fillId="11" borderId="0"/>
    <xf numFmtId="0" fontId="2" fillId="11" borderId="0"/>
    <xf numFmtId="0" fontId="2" fillId="11" borderId="0"/>
    <xf numFmtId="0" fontId="2" fillId="11" borderId="0"/>
    <xf numFmtId="0" fontId="2" fillId="11" borderId="0"/>
    <xf numFmtId="0" fontId="75" fillId="47" borderId="0"/>
    <xf numFmtId="0" fontId="2" fillId="5" borderId="0"/>
    <xf numFmtId="0" fontId="2" fillId="5" borderId="0"/>
    <xf numFmtId="0" fontId="2" fillId="5" borderId="0"/>
    <xf numFmtId="0" fontId="2" fillId="5" borderId="0"/>
    <xf numFmtId="0" fontId="2" fillId="5" borderId="0"/>
    <xf numFmtId="0" fontId="2" fillId="5" borderId="0"/>
    <xf numFmtId="0" fontId="2" fillId="5" borderId="0"/>
    <xf numFmtId="0" fontId="2" fillId="5" borderId="0"/>
    <xf numFmtId="0" fontId="2" fillId="5" borderId="0"/>
    <xf numFmtId="0" fontId="75" fillId="48" borderId="0"/>
    <xf numFmtId="0" fontId="75" fillId="48" borderId="0"/>
    <xf numFmtId="0" fontId="75" fillId="2" borderId="0"/>
    <xf numFmtId="0" fontId="2" fillId="4" borderId="0"/>
    <xf numFmtId="0" fontId="2" fillId="4" borderId="0"/>
    <xf numFmtId="0" fontId="2" fillId="4" borderId="0"/>
    <xf numFmtId="0" fontId="2" fillId="4" borderId="0"/>
    <xf numFmtId="0" fontId="2" fillId="4" borderId="0"/>
    <xf numFmtId="0" fontId="2" fillId="4" borderId="0"/>
    <xf numFmtId="0" fontId="2" fillId="4" borderId="0"/>
    <xf numFmtId="0" fontId="2" fillId="4" borderId="0"/>
    <xf numFmtId="0" fontId="2" fillId="4" borderId="0"/>
    <xf numFmtId="0" fontId="75" fillId="49" borderId="0"/>
    <xf numFmtId="0" fontId="2" fillId="12" borderId="0"/>
    <xf numFmtId="0" fontId="2" fillId="12" borderId="0"/>
    <xf numFmtId="0" fontId="2" fillId="12" borderId="0"/>
    <xf numFmtId="0" fontId="2" fillId="12" borderId="0"/>
    <xf numFmtId="0" fontId="2" fillId="12" borderId="0"/>
    <xf numFmtId="0" fontId="2" fillId="12" borderId="0"/>
    <xf numFmtId="0" fontId="2" fillId="12" borderId="0"/>
    <xf numFmtId="0" fontId="2" fillId="12" borderId="0"/>
    <xf numFmtId="0" fontId="2" fillId="12" borderId="0"/>
    <xf numFmtId="0" fontId="75" fillId="14" borderId="0"/>
    <xf numFmtId="0" fontId="75" fillId="14" borderId="0"/>
    <xf numFmtId="0" fontId="75" fillId="50" borderId="0"/>
    <xf numFmtId="0" fontId="75" fillId="50" borderId="0"/>
    <xf numFmtId="0" fontId="75" fillId="13" borderId="0"/>
    <xf numFmtId="0" fontId="75" fillId="13" borderId="0"/>
    <xf numFmtId="0" fontId="75" fillId="13" borderId="0"/>
    <xf numFmtId="0" fontId="2" fillId="14" borderId="0"/>
    <xf numFmtId="0" fontId="2" fillId="14" borderId="0"/>
    <xf numFmtId="0" fontId="2" fillId="14" borderId="0"/>
    <xf numFmtId="0" fontId="2" fillId="14" borderId="0"/>
    <xf numFmtId="0" fontId="2" fillId="14" borderId="0"/>
    <xf numFmtId="0" fontId="2" fillId="14" borderId="0"/>
    <xf numFmtId="0" fontId="2" fillId="14" borderId="0"/>
    <xf numFmtId="0" fontId="2" fillId="14" borderId="0"/>
    <xf numFmtId="0" fontId="2" fillId="14" borderId="0"/>
    <xf numFmtId="0" fontId="75" fillId="51" borderId="0"/>
    <xf numFmtId="0" fontId="75" fillId="51" borderId="0"/>
    <xf numFmtId="0" fontId="75" fillId="15" borderId="0"/>
    <xf numFmtId="0" fontId="75" fillId="15" borderId="0"/>
    <xf numFmtId="0" fontId="2" fillId="10" borderId="0"/>
    <xf numFmtId="0" fontId="2" fillId="10" borderId="0"/>
    <xf numFmtId="0" fontId="2" fillId="10" borderId="0"/>
    <xf numFmtId="0" fontId="2" fillId="10" borderId="0"/>
    <xf numFmtId="0" fontId="2" fillId="10" borderId="0"/>
    <xf numFmtId="0" fontId="2" fillId="10" borderId="0"/>
    <xf numFmtId="0" fontId="2" fillId="10" borderId="0"/>
    <xf numFmtId="0" fontId="2" fillId="10" borderId="0"/>
    <xf numFmtId="0" fontId="2" fillId="10" borderId="0"/>
    <xf numFmtId="0" fontId="75" fillId="52" borderId="0"/>
    <xf numFmtId="0" fontId="75" fillId="52" borderId="0"/>
    <xf numFmtId="0" fontId="75" fillId="2" borderId="0"/>
    <xf numFmtId="0" fontId="2" fillId="4" borderId="0"/>
    <xf numFmtId="0" fontId="2" fillId="4" borderId="0"/>
    <xf numFmtId="0" fontId="2" fillId="4" borderId="0"/>
    <xf numFmtId="0" fontId="2" fillId="4" borderId="0"/>
    <xf numFmtId="0" fontId="2" fillId="4" borderId="0"/>
    <xf numFmtId="0" fontId="2" fillId="4" borderId="0"/>
    <xf numFmtId="0" fontId="2" fillId="4" borderId="0"/>
    <xf numFmtId="0" fontId="2" fillId="4" borderId="0"/>
    <xf numFmtId="0" fontId="2" fillId="4" borderId="0"/>
    <xf numFmtId="0" fontId="75" fillId="53" borderId="0"/>
    <xf numFmtId="0" fontId="75" fillId="53" borderId="0"/>
    <xf numFmtId="0" fontId="75" fillId="5" borderId="0"/>
    <xf numFmtId="0" fontId="75" fillId="5" borderId="0"/>
    <xf numFmtId="0" fontId="2" fillId="16" borderId="0"/>
    <xf numFmtId="0" fontId="2" fillId="16" borderId="0"/>
    <xf numFmtId="0" fontId="2" fillId="16" borderId="0"/>
    <xf numFmtId="0" fontId="2" fillId="16" borderId="0"/>
    <xf numFmtId="0" fontId="2" fillId="16" borderId="0"/>
    <xf numFmtId="0" fontId="2" fillId="16" borderId="0"/>
    <xf numFmtId="0" fontId="2" fillId="16" borderId="0"/>
    <xf numFmtId="0" fontId="2" fillId="16" borderId="0"/>
    <xf numFmtId="0" fontId="2" fillId="16" borderId="0"/>
    <xf numFmtId="0" fontId="76" fillId="54" borderId="0"/>
    <xf numFmtId="0" fontId="76" fillId="54" borderId="0"/>
    <xf numFmtId="0" fontId="76" fillId="4" borderId="0"/>
    <xf numFmtId="0" fontId="76" fillId="2" borderId="0"/>
    <xf numFmtId="0" fontId="34" fillId="17" borderId="0"/>
    <xf numFmtId="0" fontId="34" fillId="17" borderId="0"/>
    <xf numFmtId="0" fontId="34" fillId="17" borderId="0"/>
    <xf numFmtId="0" fontId="34" fillId="17" borderId="0"/>
    <xf numFmtId="0" fontId="76" fillId="55" borderId="0"/>
    <xf numFmtId="0" fontId="34" fillId="12" borderId="0"/>
    <xf numFmtId="0" fontId="34" fillId="12" borderId="0"/>
    <xf numFmtId="0" fontId="34" fillId="12" borderId="0"/>
    <xf numFmtId="0" fontId="34" fillId="12" borderId="0"/>
    <xf numFmtId="0" fontId="76" fillId="56" borderId="0"/>
    <xf numFmtId="0" fontId="34" fillId="14" borderId="0"/>
    <xf numFmtId="0" fontId="34" fillId="14" borderId="0"/>
    <xf numFmtId="0" fontId="34" fillId="14" borderId="0"/>
    <xf numFmtId="0" fontId="34" fillId="14" borderId="0"/>
    <xf numFmtId="0" fontId="76" fillId="18" borderId="0"/>
    <xf numFmtId="0" fontId="76" fillId="18" borderId="0"/>
    <xf numFmtId="0" fontId="76" fillId="57" borderId="0"/>
    <xf numFmtId="0" fontId="76" fillId="57" borderId="0"/>
    <xf numFmtId="0" fontId="76" fillId="15" borderId="0"/>
    <xf numFmtId="0" fontId="76" fillId="15" borderId="0"/>
    <xf numFmtId="0" fontId="76" fillId="15" borderId="0"/>
    <xf numFmtId="0" fontId="34" fillId="18" borderId="0"/>
    <xf numFmtId="0" fontId="34" fillId="18" borderId="0"/>
    <xf numFmtId="0" fontId="34" fillId="18" borderId="0"/>
    <xf numFmtId="0" fontId="34" fillId="18" borderId="0"/>
    <xf numFmtId="0" fontId="76" fillId="58" borderId="0"/>
    <xf numFmtId="0" fontId="76" fillId="58" borderId="0"/>
    <xf numFmtId="0" fontId="76" fillId="4" borderId="0"/>
    <xf numFmtId="0" fontId="76" fillId="2" borderId="0"/>
    <xf numFmtId="0" fontId="34" fillId="19" borderId="0"/>
    <xf numFmtId="0" fontId="34" fillId="19" borderId="0"/>
    <xf numFmtId="0" fontId="34" fillId="19" borderId="0"/>
    <xf numFmtId="0" fontId="34" fillId="19" borderId="0"/>
    <xf numFmtId="0" fontId="76" fillId="20" borderId="0"/>
    <xf numFmtId="0" fontId="76" fillId="20" borderId="0"/>
    <xf numFmtId="0" fontId="76" fillId="59" borderId="0"/>
    <xf numFmtId="0" fontId="76" fillId="59" borderId="0"/>
    <xf numFmtId="0" fontId="76" fillId="5" borderId="0"/>
    <xf numFmtId="0" fontId="76" fillId="5" borderId="0"/>
    <xf numFmtId="0" fontId="76" fillId="5" borderId="0"/>
    <xf numFmtId="0" fontId="34" fillId="20" borderId="0"/>
    <xf numFmtId="0" fontId="34" fillId="20" borderId="0"/>
    <xf numFmtId="0" fontId="34" fillId="20" borderId="0"/>
    <xf numFmtId="0" fontId="34" fillId="20" borderId="0"/>
    <xf numFmtId="0" fontId="76" fillId="21" borderId="0"/>
    <xf numFmtId="0" fontId="34" fillId="21" borderId="0"/>
    <xf numFmtId="0" fontId="76" fillId="60" borderId="0"/>
    <xf numFmtId="0" fontId="76" fillId="19" borderId="0"/>
    <xf numFmtId="0" fontId="76" fillId="19" borderId="0"/>
    <xf numFmtId="0" fontId="76" fillId="21" borderId="0"/>
    <xf numFmtId="0" fontId="76" fillId="22" borderId="0"/>
    <xf numFmtId="0" fontId="34" fillId="22" borderId="0"/>
    <xf numFmtId="0" fontId="76" fillId="23" borderId="0"/>
    <xf numFmtId="0" fontId="76" fillId="22" borderId="0"/>
    <xf numFmtId="0" fontId="76" fillId="62" borderId="0"/>
    <xf numFmtId="0" fontId="34" fillId="24" borderId="0"/>
    <xf numFmtId="0" fontId="76" fillId="18" borderId="0"/>
    <xf numFmtId="0" fontId="34" fillId="18" borderId="0"/>
    <xf numFmtId="0" fontId="76" fillId="63" borderId="0"/>
    <xf numFmtId="0" fontId="76" fillId="25" borderId="0"/>
    <xf numFmtId="0" fontId="76" fillId="25" borderId="0"/>
    <xf numFmtId="0" fontId="76" fillId="18" borderId="0"/>
    <xf numFmtId="0" fontId="76" fillId="64" borderId="0"/>
    <xf numFmtId="0" fontId="34" fillId="19" borderId="0"/>
    <xf numFmtId="0" fontId="76" fillId="65" borderId="0"/>
    <xf numFmtId="0" fontId="34" fillId="23" borderId="0"/>
    <xf numFmtId="0" fontId="76" fillId="21" borderId="0"/>
    <xf numFmtId="0" fontId="76" fillId="21" borderId="0"/>
    <xf numFmtId="0" fontId="76" fillId="22" borderId="0"/>
    <xf numFmtId="0" fontId="76" fillId="22" borderId="0"/>
    <xf numFmtId="0" fontId="76" fillId="62" borderId="0"/>
    <xf numFmtId="0" fontId="76" fillId="62" borderId="0"/>
    <xf numFmtId="0" fontId="76" fillId="18" borderId="0"/>
    <xf numFmtId="0" fontId="76" fillId="18" borderId="0"/>
    <xf numFmtId="0" fontId="76" fillId="64" borderId="0"/>
    <xf numFmtId="0" fontId="76" fillId="64" borderId="0"/>
    <xf numFmtId="0" fontId="76" fillId="65" borderId="0"/>
    <xf numFmtId="0" fontId="76" fillId="65" borderId="0"/>
    <xf numFmtId="0" fontId="78" fillId="15" borderId="92"/>
    <xf numFmtId="0" fontId="78" fillId="15" borderId="92"/>
    <xf numFmtId="0" fontId="78" fillId="15" borderId="92"/>
    <xf numFmtId="0" fontId="12" fillId="15" borderId="1"/>
    <xf numFmtId="0" fontId="12" fillId="15" borderId="1"/>
    <xf numFmtId="0" fontId="78" fillId="66" borderId="92"/>
    <xf numFmtId="0" fontId="78" fillId="66" borderId="92"/>
    <xf numFmtId="0" fontId="78" fillId="9" borderId="92"/>
    <xf numFmtId="0" fontId="12" fillId="9" borderId="1"/>
    <xf numFmtId="0" fontId="12" fillId="9" borderId="1"/>
    <xf numFmtId="0" fontId="78" fillId="15" borderId="92"/>
    <xf numFmtId="0" fontId="12" fillId="9" borderId="1"/>
    <xf numFmtId="0" fontId="12" fillId="9" borderId="1"/>
    <xf numFmtId="0" fontId="78" fillId="15" borderId="92"/>
    <xf numFmtId="0" fontId="78" fillId="15" borderId="92"/>
    <xf numFmtId="0" fontId="12" fillId="15" borderId="1"/>
    <xf numFmtId="0" fontId="12" fillId="15" borderId="1"/>
    <xf numFmtId="0" fontId="35" fillId="15" borderId="2"/>
    <xf numFmtId="0" fontId="35" fillId="15" borderId="2"/>
    <xf numFmtId="0" fontId="35" fillId="15" borderId="2"/>
    <xf numFmtId="0" fontId="78" fillId="15" borderId="92"/>
    <xf numFmtId="0" fontId="35" fillId="15" borderId="2"/>
    <xf numFmtId="0" fontId="12" fillId="15" borderId="1"/>
    <xf numFmtId="0" fontId="78" fillId="15" borderId="92"/>
    <xf numFmtId="0" fontId="12" fillId="15" borderId="1"/>
    <xf numFmtId="0" fontId="78" fillId="15" borderId="92"/>
    <xf numFmtId="0" fontId="78" fillId="15" borderId="92"/>
    <xf numFmtId="0" fontId="35" fillId="15" borderId="2"/>
    <xf numFmtId="0" fontId="79" fillId="67" borderId="0"/>
    <xf numFmtId="0" fontId="47" fillId="6" borderId="0"/>
    <xf numFmtId="0" fontId="80" fillId="15" borderId="93"/>
    <xf numFmtId="0" fontId="80" fillId="15" borderId="93"/>
    <xf numFmtId="0" fontId="80" fillId="66" borderId="93"/>
    <xf numFmtId="0" fontId="80" fillId="66" borderId="93"/>
    <xf numFmtId="0" fontId="80" fillId="9" borderId="93"/>
    <xf numFmtId="0" fontId="80" fillId="9" borderId="93"/>
    <xf numFmtId="0" fontId="80" fillId="9" borderId="93"/>
    <xf numFmtId="0" fontId="80" fillId="15" borderId="93"/>
    <xf numFmtId="0" fontId="36" fillId="15" borderId="3"/>
    <xf numFmtId="0" fontId="36" fillId="15" borderId="3"/>
    <xf numFmtId="0" fontId="36" fillId="15" borderId="3"/>
    <xf numFmtId="0" fontId="80" fillId="15" borderId="93"/>
    <xf numFmtId="0" fontId="36" fillId="15" borderId="3"/>
    <xf numFmtId="0" fontId="80" fillId="15" borderId="93"/>
    <xf numFmtId="0" fontId="36" fillId="15" borderId="3"/>
    <xf numFmtId="0" fontId="36" fillId="15" borderId="3"/>
    <xf numFmtId="0" fontId="81" fillId="68" borderId="94"/>
    <xf numFmtId="0" fontId="49" fillId="26" borderId="5"/>
    <xf numFmtId="0" fontId="81" fillId="68" borderId="94"/>
    <xf numFmtId="0" fontId="81" fillId="68" borderId="4"/>
    <xf numFmtId="164" fontId="2" fillId="0" borderId="0"/>
    <xf numFmtId="0" fontId="82" fillId="69" borderId="93"/>
    <xf numFmtId="0" fontId="37" fillId="5" borderId="3"/>
    <xf numFmtId="0" fontId="37" fillId="5" borderId="3"/>
    <xf numFmtId="0" fontId="37" fillId="5" borderId="3"/>
    <xf numFmtId="0" fontId="37" fillId="5" borderId="3"/>
    <xf numFmtId="0" fontId="37" fillId="5" borderId="3"/>
    <xf numFmtId="0" fontId="83" fillId="0" borderId="7"/>
    <xf numFmtId="0" fontId="83" fillId="0" borderId="7"/>
    <xf numFmtId="0" fontId="83" fillId="0" borderId="7"/>
    <xf numFmtId="0" fontId="83" fillId="0" borderId="7"/>
    <xf numFmtId="0" fontId="83" fillId="0" borderId="95"/>
    <xf numFmtId="0" fontId="83" fillId="0" borderId="95"/>
    <xf numFmtId="0" fontId="83" fillId="0" borderId="6"/>
    <xf numFmtId="0" fontId="83" fillId="0" borderId="6"/>
    <xf numFmtId="0" fontId="83" fillId="0" borderId="6"/>
    <xf numFmtId="0" fontId="83" fillId="0" borderId="7"/>
    <xf numFmtId="0" fontId="83" fillId="0" borderId="7"/>
    <xf numFmtId="0" fontId="12" fillId="0" borderId="7"/>
    <xf numFmtId="0" fontId="12" fillId="0" borderId="7"/>
    <xf numFmtId="0" fontId="83" fillId="0" borderId="7"/>
    <xf numFmtId="0" fontId="12" fillId="0" borderId="7"/>
    <xf numFmtId="0" fontId="12" fillId="0" borderId="7"/>
    <xf numFmtId="0" fontId="83" fillId="0" borderId="7"/>
    <xf numFmtId="0" fontId="12" fillId="0" borderId="7"/>
    <xf numFmtId="0" fontId="83" fillId="0" borderId="7"/>
    <xf numFmtId="0" fontId="12" fillId="0" borderId="7"/>
    <xf numFmtId="0" fontId="84" fillId="0" borderId="0"/>
    <xf numFmtId="0" fontId="38" fillId="0" borderId="0"/>
    <xf numFmtId="0" fontId="38" fillId="0" borderId="0"/>
    <xf numFmtId="0" fontId="38" fillId="0" borderId="0"/>
    <xf numFmtId="0" fontId="38" fillId="0" borderId="0"/>
    <xf numFmtId="0" fontId="85" fillId="70" borderId="0"/>
    <xf numFmtId="0" fontId="46" fillId="8" borderId="0"/>
    <xf numFmtId="0" fontId="85" fillId="70" borderId="0"/>
    <xf numFmtId="0" fontId="85" fillId="70" borderId="0"/>
    <xf numFmtId="0" fontId="41" fillId="0" borderId="15"/>
    <xf numFmtId="0" fontId="87" fillId="0" borderId="96"/>
    <xf numFmtId="0" fontId="108" fillId="0" borderId="8"/>
    <xf numFmtId="0" fontId="108" fillId="0" borderId="8"/>
    <xf numFmtId="0" fontId="41" fillId="0" borderId="15"/>
    <xf numFmtId="0" fontId="44" fillId="0" borderId="16"/>
    <xf numFmtId="0" fontId="89" fillId="0" borderId="97"/>
    <xf numFmtId="0" fontId="109" fillId="0" borderId="10"/>
    <xf numFmtId="0" fontId="109" fillId="0" borderId="9"/>
    <xf numFmtId="0" fontId="44" fillId="0" borderId="16"/>
    <xf numFmtId="0" fontId="42" fillId="0" borderId="17"/>
    <xf numFmtId="0" fontId="91" fillId="0" borderId="98"/>
    <xf numFmtId="0" fontId="110" fillId="0" borderId="12"/>
    <xf numFmtId="0" fontId="110" fillId="0" borderId="11"/>
    <xf numFmtId="0" fontId="42" fillId="0" borderId="17"/>
    <xf numFmtId="0" fontId="42" fillId="0" borderId="0"/>
    <xf numFmtId="0" fontId="91" fillId="0" borderId="0"/>
    <xf numFmtId="0" fontId="110" fillId="0" borderId="0"/>
    <xf numFmtId="0" fontId="110" fillId="0" borderId="0"/>
    <xf numFmtId="0" fontId="42" fillId="0" borderId="0"/>
    <xf numFmtId="0" fontId="37" fillId="5" borderId="3"/>
    <xf numFmtId="164" fontId="2" fillId="0" borderId="0"/>
    <xf numFmtId="0" fontId="92" fillId="0" borderId="99"/>
    <xf numFmtId="0" fontId="48" fillId="0" borderId="13"/>
    <xf numFmtId="0" fontId="93" fillId="71" borderId="0"/>
    <xf numFmtId="0" fontId="2" fillId="72" borderId="100"/>
    <xf numFmtId="0" fontId="3" fillId="7" borderId="14"/>
    <xf numFmtId="0" fontId="3" fillId="7" borderId="14"/>
    <xf numFmtId="0" fontId="2" fillId="72" borderId="100"/>
    <xf numFmtId="0" fontId="2" fillId="72" borderId="100"/>
    <xf numFmtId="0" fontId="2" fillId="72" borderId="100"/>
    <xf numFmtId="0" fontId="2" fillId="72" borderId="100"/>
    <xf numFmtId="0" fontId="2" fillId="72" borderId="100"/>
    <xf numFmtId="0" fontId="2" fillId="72" borderId="100"/>
    <xf numFmtId="0" fontId="2" fillId="72" borderId="100"/>
    <xf numFmtId="0" fontId="2" fillId="72" borderId="100"/>
    <xf numFmtId="0" fontId="2" fillId="72" borderId="100"/>
    <xf numFmtId="0" fontId="2" fillId="72" borderId="100"/>
    <xf numFmtId="0" fontId="2" fillId="72" borderId="100"/>
    <xf numFmtId="0" fontId="2" fillId="72" borderId="100"/>
    <xf numFmtId="0" fontId="2" fillId="72" borderId="100"/>
    <xf numFmtId="0" fontId="2" fillId="72" borderId="100"/>
    <xf numFmtId="0" fontId="2" fillId="72" borderId="100"/>
    <xf numFmtId="0" fontId="2" fillId="72" borderId="100"/>
    <xf numFmtId="0" fontId="2" fillId="72" borderId="100"/>
    <xf numFmtId="0" fontId="2" fillId="72" borderId="100"/>
    <xf numFmtId="0" fontId="2" fillId="72" borderId="100"/>
    <xf numFmtId="0" fontId="2" fillId="72" borderId="100"/>
    <xf numFmtId="0" fontId="2" fillId="72" borderId="100"/>
    <xf numFmtId="0" fontId="2" fillId="72" borderId="100"/>
    <xf numFmtId="0" fontId="2" fillId="72" borderId="100"/>
    <xf numFmtId="0" fontId="2" fillId="72" borderId="100"/>
    <xf numFmtId="0" fontId="2" fillId="72" borderId="100"/>
    <xf numFmtId="0" fontId="2" fillId="72" borderId="100"/>
    <xf numFmtId="0" fontId="2" fillId="72" borderId="100"/>
    <xf numFmtId="0" fontId="2" fillId="72" borderId="100"/>
    <xf numFmtId="0" fontId="2" fillId="72" borderId="100"/>
    <xf numFmtId="0" fontId="2" fillId="72" borderId="100"/>
    <xf numFmtId="0" fontId="2" fillId="72" borderId="100"/>
    <xf numFmtId="0" fontId="2" fillId="72" borderId="100"/>
    <xf numFmtId="0" fontId="2" fillId="72" borderId="100"/>
    <xf numFmtId="0" fontId="2" fillId="72" borderId="100"/>
    <xf numFmtId="0" fontId="2" fillId="72" borderId="100"/>
    <xf numFmtId="0" fontId="2" fillId="72" borderId="100"/>
    <xf numFmtId="0" fontId="2" fillId="72" borderId="100"/>
    <xf numFmtId="0" fontId="2" fillId="72" borderId="100"/>
    <xf numFmtId="0" fontId="2" fillId="72" borderId="100"/>
    <xf numFmtId="0" fontId="2" fillId="72" borderId="100"/>
    <xf numFmtId="0" fontId="2" fillId="72" borderId="100"/>
    <xf numFmtId="0" fontId="2" fillId="72" borderId="100"/>
    <xf numFmtId="0" fontId="2" fillId="72" borderId="100"/>
    <xf numFmtId="0" fontId="2" fillId="72" borderId="100"/>
    <xf numFmtId="0" fontId="2" fillId="72" borderId="100"/>
    <xf numFmtId="0" fontId="2" fillId="72" borderId="100"/>
    <xf numFmtId="0" fontId="2" fillId="72" borderId="100"/>
    <xf numFmtId="0" fontId="2" fillId="72" borderId="100"/>
    <xf numFmtId="0" fontId="2" fillId="72" borderId="100"/>
    <xf numFmtId="0" fontId="2" fillId="72" borderId="100"/>
    <xf numFmtId="0" fontId="2" fillId="72" borderId="100"/>
    <xf numFmtId="0" fontId="35" fillId="15" borderId="2"/>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3"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3" fillId="0" borderId="0"/>
    <xf numFmtId="9" fontId="3"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3" fillId="0" borderId="0"/>
    <xf numFmtId="9" fontId="3" fillId="0" borderId="0"/>
    <xf numFmtId="9" fontId="3" fillId="0" borderId="0"/>
    <xf numFmtId="9" fontId="3" fillId="0" borderId="0"/>
    <xf numFmtId="9" fontId="2" fillId="0" borderId="0"/>
    <xf numFmtId="9" fontId="2" fillId="0" borderId="0"/>
    <xf numFmtId="9" fontId="2" fillId="0" borderId="0"/>
    <xf numFmtId="9" fontId="3" fillId="0" borderId="0"/>
    <xf numFmtId="9" fontId="2" fillId="0" borderId="0"/>
    <xf numFmtId="0" fontId="79" fillId="67" borderId="0"/>
    <xf numFmtId="0" fontId="79" fillId="67" borderId="0"/>
    <xf numFmtId="0" fontId="52" fillId="0" borderId="0"/>
    <xf numFmtId="0" fontId="52" fillId="0" borderId="0"/>
    <xf numFmtId="0" fontId="52" fillId="0" borderId="0"/>
    <xf numFmtId="0" fontId="43" fillId="0" borderId="0"/>
    <xf numFmtId="0" fontId="96" fillId="0" borderId="0"/>
    <xf numFmtId="0" fontId="111" fillId="0" borderId="0"/>
    <xf numFmtId="0" fontId="111" fillId="0" borderId="0"/>
    <xf numFmtId="0" fontId="43" fillId="0" borderId="0"/>
    <xf numFmtId="0" fontId="12" fillId="0" borderId="7"/>
    <xf numFmtId="0" fontId="41" fillId="0" borderId="15"/>
    <xf numFmtId="0" fontId="41" fillId="0" borderId="15"/>
    <xf numFmtId="0" fontId="44" fillId="0" borderId="16"/>
    <xf numFmtId="0" fontId="44" fillId="0" borderId="16"/>
    <xf numFmtId="0" fontId="42" fillId="0" borderId="17"/>
    <xf numFmtId="0" fontId="42" fillId="0" borderId="17"/>
    <xf numFmtId="0" fontId="42" fillId="0" borderId="0"/>
    <xf numFmtId="0" fontId="42" fillId="0" borderId="0"/>
    <xf numFmtId="0" fontId="43" fillId="0" borderId="0"/>
    <xf numFmtId="0" fontId="43" fillId="0" borderId="0"/>
    <xf numFmtId="0" fontId="92" fillId="0" borderId="99"/>
    <xf numFmtId="0" fontId="92" fillId="0" borderId="99"/>
    <xf numFmtId="0" fontId="39" fillId="0" borderId="0"/>
    <xf numFmtId="0" fontId="39" fillId="0" borderId="0"/>
    <xf numFmtId="0" fontId="97" fillId="0" borderId="0"/>
    <xf numFmtId="0" fontId="112" fillId="0" borderId="0"/>
    <xf numFmtId="0" fontId="39" fillId="0" borderId="0"/>
    <xf numFmtId="0" fontId="39" fillId="0" borderId="0"/>
    <xf numFmtId="0" fontId="39" fillId="0" borderId="0"/>
    <xf numFmtId="0" fontId="39" fillId="0" borderId="0"/>
    <xf numFmtId="0" fontId="81" fillId="68" borderId="4"/>
    <xf numFmtId="0" fontId="81" fillId="68" borderId="94"/>
    <xf numFmtId="0" fontId="81" fillId="68" borderId="94"/>
    <xf numFmtId="0" fontId="81" fillId="68" borderId="4"/>
    <xf numFmtId="0" fontId="76" fillId="62" borderId="0" applyNumberFormat="0" applyBorder="0" applyAlignment="0" applyProtection="0"/>
    <xf numFmtId="0" fontId="76" fillId="64" borderId="0" applyNumberFormat="0" applyBorder="0" applyAlignment="0" applyProtection="0"/>
    <xf numFmtId="0" fontId="76" fillId="65" borderId="0" applyNumberFormat="0" applyBorder="0" applyAlignment="0" applyProtection="0"/>
    <xf numFmtId="0" fontId="12" fillId="9" borderId="1" applyNumberFormat="0" applyAlignment="0" applyProtection="0"/>
    <xf numFmtId="0" fontId="12" fillId="15" borderId="1" applyNumberFormat="0" applyAlignment="0" applyProtection="0"/>
    <xf numFmtId="0" fontId="12" fillId="9" borderId="1" applyNumberFormat="0" applyAlignment="0" applyProtection="0"/>
    <xf numFmtId="0" fontId="12" fillId="15" borderId="1" applyNumberFormat="0" applyAlignment="0" applyProtection="0"/>
    <xf numFmtId="0" fontId="12" fillId="15" borderId="1" applyNumberFormat="0" applyAlignment="0" applyProtection="0"/>
    <xf numFmtId="0" fontId="85" fillId="70" borderId="0" applyNumberFormat="0" applyBorder="0" applyAlignment="0" applyProtection="0"/>
    <xf numFmtId="0" fontId="108" fillId="0" borderId="8" applyNumberFormat="0" applyFill="0" applyAlignment="0" applyProtection="0"/>
    <xf numFmtId="0" fontId="108" fillId="0" borderId="8" applyNumberFormat="0" applyFill="0" applyAlignment="0" applyProtection="0"/>
    <xf numFmtId="0" fontId="109" fillId="0" borderId="9" applyNumberFormat="0" applyFill="0" applyAlignment="0" applyProtection="0"/>
    <xf numFmtId="0" fontId="109" fillId="0" borderId="10" applyNumberFormat="0" applyFill="0" applyAlignment="0" applyProtection="0"/>
    <xf numFmtId="0" fontId="110" fillId="0" borderId="11" applyNumberFormat="0" applyFill="0" applyAlignment="0" applyProtection="0"/>
    <xf numFmtId="0" fontId="110" fillId="0" borderId="12" applyNumberFormat="0" applyFill="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2" fillId="72" borderId="100" applyNumberFormat="0" applyFont="0" applyAlignment="0" applyProtection="0"/>
    <xf numFmtId="0" fontId="2" fillId="72" borderId="100" applyNumberFormat="0" applyFont="0" applyAlignment="0" applyProtection="0"/>
    <xf numFmtId="0" fontId="2" fillId="72" borderId="100"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79" fillId="67" borderId="0" applyNumberFormat="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92" fillId="0" borderId="99" applyNumberFormat="0" applyFill="0" applyAlignment="0" applyProtection="0"/>
    <xf numFmtId="0" fontId="112" fillId="0" borderId="0" applyNumberFormat="0" applyFill="0" applyBorder="0" applyAlignment="0" applyProtection="0"/>
    <xf numFmtId="0" fontId="81" fillId="68" borderId="4" applyNumberFormat="0" applyAlignment="0" applyProtection="0"/>
    <xf numFmtId="0" fontId="75" fillId="2" borderId="0" applyNumberFormat="0" applyBorder="0" applyAlignment="0" applyProtection="0"/>
    <xf numFmtId="0" fontId="75" fillId="2" borderId="0" applyNumberFormat="0" applyBorder="0" applyAlignment="0" applyProtection="0"/>
    <xf numFmtId="0" fontId="75" fillId="5" borderId="0" applyNumberFormat="0" applyBorder="0" applyAlignment="0" applyProtection="0"/>
    <xf numFmtId="0" fontId="75" fillId="5" borderId="0" applyNumberFormat="0" applyBorder="0" applyAlignment="0" applyProtection="0"/>
    <xf numFmtId="0" fontId="75" fillId="7" borderId="0" applyNumberFormat="0" applyBorder="0" applyAlignment="0" applyProtection="0"/>
    <xf numFmtId="0" fontId="75" fillId="7" borderId="0" applyNumberFormat="0" applyBorder="0" applyAlignment="0" applyProtection="0"/>
    <xf numFmtId="0" fontId="75" fillId="9" borderId="0" applyNumberFormat="0" applyBorder="0" applyAlignment="0" applyProtection="0"/>
    <xf numFmtId="0" fontId="75" fillId="9" borderId="0" applyNumberFormat="0" applyBorder="0" applyAlignment="0" applyProtection="0"/>
    <xf numFmtId="0" fontId="75" fillId="2" borderId="0" applyNumberFormat="0" applyBorder="0" applyAlignment="0" applyProtection="0"/>
    <xf numFmtId="0" fontId="75" fillId="2" borderId="0" applyNumberFormat="0" applyBorder="0" applyAlignment="0" applyProtection="0"/>
    <xf numFmtId="0" fontId="75" fillId="13" borderId="0" applyNumberFormat="0" applyBorder="0" applyAlignment="0" applyProtection="0"/>
    <xf numFmtId="0" fontId="75" fillId="13" borderId="0" applyNumberFormat="0" applyBorder="0" applyAlignment="0" applyProtection="0"/>
    <xf numFmtId="0" fontId="75" fillId="15" borderId="0" applyNumberFormat="0" applyBorder="0" applyAlignment="0" applyProtection="0"/>
    <xf numFmtId="0" fontId="75" fillId="2" borderId="0" applyNumberFormat="0" applyBorder="0" applyAlignment="0" applyProtection="0"/>
    <xf numFmtId="0" fontId="75" fillId="5" borderId="0" applyNumberFormat="0" applyBorder="0" applyAlignment="0" applyProtection="0"/>
    <xf numFmtId="0" fontId="76" fillId="2"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2" borderId="0" applyNumberFormat="0" applyBorder="0" applyAlignment="0" applyProtection="0"/>
    <xf numFmtId="0" fontId="76" fillId="5" borderId="0" applyNumberFormat="0" applyBorder="0" applyAlignment="0" applyProtection="0"/>
    <xf numFmtId="0" fontId="76" fillId="5" borderId="0" applyNumberFormat="0" applyBorder="0" applyAlignment="0" applyProtection="0"/>
    <xf numFmtId="0" fontId="76" fillId="19" borderId="0" applyNumberFormat="0" applyBorder="0" applyAlignment="0" applyProtection="0"/>
    <xf numFmtId="0" fontId="76" fillId="25" borderId="0" applyNumberFormat="0" applyBorder="0" applyAlignment="0" applyProtection="0"/>
    <xf numFmtId="0" fontId="76" fillId="21" borderId="0" applyNumberFormat="0" applyBorder="0" applyAlignment="0" applyProtection="0"/>
    <xf numFmtId="0" fontId="76" fillId="22" borderId="0" applyNumberFormat="0" applyBorder="0" applyAlignment="0" applyProtection="0"/>
    <xf numFmtId="0" fontId="76" fillId="18" borderId="0" applyNumberFormat="0" applyBorder="0" applyAlignment="0" applyProtection="0"/>
    <xf numFmtId="0" fontId="12" fillId="15" borderId="1" applyNumberFormat="0" applyAlignment="0" applyProtection="0"/>
    <xf numFmtId="0" fontId="12" fillId="9" borderId="1" applyNumberFormat="0" applyAlignment="0" applyProtection="0"/>
    <xf numFmtId="0" fontId="12" fillId="9" borderId="1" applyNumberFormat="0" applyAlignment="0" applyProtection="0"/>
    <xf numFmtId="0" fontId="12" fillId="15" borderId="1" applyNumberFormat="0" applyAlignment="0" applyProtection="0"/>
    <xf numFmtId="0" fontId="80" fillId="9" borderId="93" applyNumberFormat="0" applyAlignment="0" applyProtection="0"/>
    <xf numFmtId="0" fontId="80" fillId="9" borderId="93" applyNumberFormat="0" applyAlignment="0" applyProtection="0"/>
    <xf numFmtId="0" fontId="81" fillId="68" borderId="4" applyNumberFormat="0" applyAlignment="0" applyProtection="0"/>
    <xf numFmtId="0" fontId="83" fillId="0" borderId="6" applyNumberFormat="0" applyFill="0" applyAlignment="0" applyProtection="0"/>
    <xf numFmtId="0" fontId="83" fillId="0" borderId="6" applyNumberFormat="0" applyFill="0" applyAlignment="0" applyProtection="0"/>
    <xf numFmtId="0" fontId="108" fillId="0" borderId="8" applyNumberFormat="0" applyFill="0" applyAlignment="0" applyProtection="0"/>
    <xf numFmtId="0" fontId="109" fillId="0" borderId="9" applyNumberFormat="0" applyFill="0" applyAlignment="0" applyProtection="0"/>
    <xf numFmtId="0" fontId="110" fillId="0" borderId="11" applyNumberFormat="0" applyFill="0" applyAlignment="0" applyProtection="0"/>
    <xf numFmtId="0" fontId="110" fillId="0" borderId="0" applyNumberFormat="0" applyFill="0" applyBorder="0" applyAlignment="0" applyProtection="0"/>
    <xf numFmtId="0" fontId="2" fillId="72" borderId="100"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0" fontId="111" fillId="0" borderId="0" applyNumberFormat="0" applyFill="0" applyBorder="0" applyAlignment="0" applyProtection="0"/>
    <xf numFmtId="0" fontId="43" fillId="0" borderId="0" applyNumberFormat="0" applyFill="0" applyBorder="0" applyAlignment="0" applyProtection="0"/>
    <xf numFmtId="0" fontId="41" fillId="0" borderId="15" applyNumberFormat="0" applyFill="0" applyAlignment="0" applyProtection="0"/>
    <xf numFmtId="0" fontId="44" fillId="0" borderId="16" applyNumberFormat="0" applyFill="0" applyAlignment="0" applyProtection="0"/>
    <xf numFmtId="0" fontId="42" fillId="0" borderId="17" applyNumberFormat="0" applyFill="0" applyAlignment="0" applyProtection="0"/>
    <xf numFmtId="0" fontId="42" fillId="0" borderId="0" applyNumberFormat="0" applyFill="0" applyBorder="0" applyAlignment="0" applyProtection="0"/>
    <xf numFmtId="0" fontId="81" fillId="68" borderId="4" applyNumberFormat="0" applyAlignment="0" applyProtection="0"/>
    <xf numFmtId="0" fontId="12" fillId="15" borderId="1" applyNumberFormat="0" applyAlignment="0" applyProtection="0"/>
    <xf numFmtId="0" fontId="12" fillId="9" borderId="1" applyNumberFormat="0" applyAlignment="0" applyProtection="0"/>
    <xf numFmtId="0" fontId="12" fillId="9" borderId="1" applyNumberFormat="0" applyAlignment="0" applyProtection="0"/>
    <xf numFmtId="0" fontId="12" fillId="15" borderId="1" applyNumberFormat="0" applyAlignment="0" applyProtection="0"/>
    <xf numFmtId="0" fontId="12" fillId="15" borderId="1" applyNumberFormat="0" applyAlignment="0" applyProtection="0"/>
    <xf numFmtId="0" fontId="2" fillId="72" borderId="100" applyNumberFormat="0" applyFont="0" applyAlignment="0" applyProtection="0"/>
    <xf numFmtId="0" fontId="2" fillId="72" borderId="100" applyNumberFormat="0" applyFont="0" applyAlignment="0" applyProtection="0"/>
    <xf numFmtId="0" fontId="2" fillId="72" borderId="100"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cellStyleXfs>
  <cellXfs count="1108">
    <xf numFmtId="0" fontId="0" fillId="0" borderId="0" xfId="0"/>
    <xf numFmtId="0" fontId="0" fillId="0" borderId="0" xfId="0" applyProtection="1"/>
    <xf numFmtId="0" fontId="0" fillId="0" borderId="0" xfId="0" applyFill="1" applyProtection="1"/>
    <xf numFmtId="0" fontId="14" fillId="0" borderId="18" xfId="0" applyFont="1" applyFill="1" applyBorder="1" applyAlignment="1" applyProtection="1">
      <alignment horizontal="center" vertical="center" wrapText="1"/>
    </xf>
    <xf numFmtId="0" fontId="17" fillId="0" borderId="0" xfId="0" applyFont="1" applyProtection="1"/>
    <xf numFmtId="0" fontId="21" fillId="0" borderId="0" xfId="0" applyFont="1" applyProtection="1"/>
    <xf numFmtId="0" fontId="4" fillId="0" borderId="0" xfId="441" applyFont="1" applyProtection="1"/>
    <xf numFmtId="0" fontId="22" fillId="0" borderId="0" xfId="441" applyFont="1" applyProtection="1"/>
    <xf numFmtId="0" fontId="17" fillId="0" borderId="0" xfId="0" applyFont="1" applyFill="1" applyProtection="1"/>
    <xf numFmtId="0" fontId="13" fillId="0" borderId="0" xfId="0" applyFont="1" applyProtection="1"/>
    <xf numFmtId="0" fontId="21" fillId="0" borderId="0" xfId="0" applyFont="1" applyAlignment="1" applyProtection="1">
      <alignment vertical="center"/>
    </xf>
    <xf numFmtId="0" fontId="17" fillId="0" borderId="0" xfId="0" applyFont="1" applyBorder="1" applyAlignment="1" applyProtection="1">
      <alignment horizontal="center"/>
    </xf>
    <xf numFmtId="0" fontId="21" fillId="0" borderId="0" xfId="0" applyFont="1" applyAlignment="1" applyProtection="1"/>
    <xf numFmtId="0" fontId="17" fillId="0" borderId="0" xfId="0" applyFont="1" applyFill="1" applyAlignment="1" applyProtection="1">
      <alignment horizontal="center"/>
    </xf>
    <xf numFmtId="0" fontId="17" fillId="0" borderId="0" xfId="0" applyFont="1" applyBorder="1" applyAlignment="1" applyProtection="1">
      <alignment horizontal="center" vertical="center"/>
    </xf>
    <xf numFmtId="0" fontId="17" fillId="0" borderId="0" xfId="0" applyFont="1" applyAlignment="1" applyProtection="1">
      <alignment horizontal="center" vertical="center"/>
    </xf>
    <xf numFmtId="0" fontId="3" fillId="0" borderId="0" xfId="0" applyFont="1" applyProtection="1"/>
    <xf numFmtId="0" fontId="19" fillId="0" borderId="0" xfId="0" applyFont="1" applyFill="1" applyProtection="1"/>
    <xf numFmtId="0" fontId="10" fillId="0" borderId="18" xfId="0" applyFont="1" applyFill="1" applyBorder="1" applyAlignment="1" applyProtection="1">
      <alignment horizontal="center" vertical="center"/>
    </xf>
    <xf numFmtId="0" fontId="10" fillId="27" borderId="18" xfId="0" applyFont="1" applyFill="1" applyBorder="1" applyAlignment="1" applyProtection="1">
      <alignment horizontal="center" vertical="center"/>
    </xf>
    <xf numFmtId="0" fontId="31" fillId="0" borderId="0" xfId="0" applyFont="1" applyProtection="1"/>
    <xf numFmtId="0" fontId="17" fillId="0" borderId="0" xfId="0" applyFont="1" applyBorder="1" applyProtection="1"/>
    <xf numFmtId="0" fontId="5" fillId="0" borderId="0" xfId="0" applyFont="1" applyProtection="1"/>
    <xf numFmtId="0" fontId="6" fillId="0" borderId="0" xfId="0" applyFont="1" applyBorder="1" applyAlignment="1" applyProtection="1"/>
    <xf numFmtId="0" fontId="7" fillId="0" borderId="0" xfId="0" applyFont="1"/>
    <xf numFmtId="0" fontId="3" fillId="0" borderId="0" xfId="441" applyFont="1" applyProtection="1"/>
    <xf numFmtId="0" fontId="18" fillId="0" borderId="0" xfId="0" applyFont="1" applyFill="1" applyProtection="1"/>
    <xf numFmtId="0" fontId="14" fillId="0" borderId="0" xfId="0" applyFont="1" applyProtection="1"/>
    <xf numFmtId="0" fontId="3" fillId="0" borderId="0" xfId="441" applyFont="1" applyAlignment="1" applyProtection="1">
      <alignment horizontal="left"/>
    </xf>
    <xf numFmtId="0" fontId="15" fillId="0" borderId="0" xfId="0" applyFont="1" applyProtection="1"/>
    <xf numFmtId="0" fontId="16" fillId="0" borderId="0" xfId="441" applyFont="1" applyProtection="1"/>
    <xf numFmtId="0" fontId="4" fillId="0" borderId="0" xfId="441" applyFont="1" applyAlignment="1" applyProtection="1">
      <alignment horizontal="left"/>
    </xf>
    <xf numFmtId="0" fontId="16" fillId="0" borderId="0" xfId="441" applyFont="1" applyAlignment="1" applyProtection="1">
      <alignment vertical="center"/>
    </xf>
    <xf numFmtId="0" fontId="3" fillId="0" borderId="0" xfId="0" applyFont="1" applyAlignment="1" applyProtection="1">
      <alignment wrapText="1"/>
    </xf>
    <xf numFmtId="0" fontId="17" fillId="0" borderId="0" xfId="0" applyFont="1" applyBorder="1" applyAlignment="1" applyProtection="1"/>
    <xf numFmtId="0" fontId="20" fillId="0" borderId="0" xfId="0" applyFont="1" applyFill="1" applyProtection="1"/>
    <xf numFmtId="0" fontId="8" fillId="0" borderId="0" xfId="0" applyFont="1" applyBorder="1" applyAlignment="1" applyProtection="1">
      <alignment horizontal="center"/>
    </xf>
    <xf numFmtId="0" fontId="18" fillId="0" borderId="0" xfId="0" applyFont="1" applyBorder="1" applyProtection="1"/>
    <xf numFmtId="0" fontId="26" fillId="0" borderId="0" xfId="0" applyFont="1" applyProtection="1"/>
    <xf numFmtId="0" fontId="18" fillId="0" borderId="0" xfId="0" applyFont="1" applyProtection="1"/>
    <xf numFmtId="0" fontId="19" fillId="0" borderId="0" xfId="0" applyFont="1" applyProtection="1"/>
    <xf numFmtId="0" fontId="21" fillId="0" borderId="18" xfId="0" applyNumberFormat="1" applyFont="1" applyBorder="1" applyAlignment="1" applyProtection="1">
      <alignment horizontal="center" vertical="center" wrapText="1"/>
    </xf>
    <xf numFmtId="0" fontId="21" fillId="0" borderId="18" xfId="0" applyNumberFormat="1" applyFont="1" applyFill="1" applyBorder="1" applyAlignment="1" applyProtection="1">
      <alignment horizontal="center" vertical="center" wrapText="1"/>
    </xf>
    <xf numFmtId="0" fontId="21" fillId="28" borderId="19" xfId="0" applyFont="1" applyFill="1" applyBorder="1" applyAlignment="1" applyProtection="1">
      <alignment horizontal="center"/>
    </xf>
    <xf numFmtId="165" fontId="16" fillId="29" borderId="19" xfId="356" applyNumberFormat="1" applyFont="1" applyFill="1" applyBorder="1" applyAlignment="1" applyProtection="1">
      <alignment horizontal="center" wrapText="1"/>
    </xf>
    <xf numFmtId="0" fontId="7" fillId="0" borderId="0" xfId="0" applyFont="1" applyFill="1" applyBorder="1" applyAlignment="1" applyProtection="1">
      <alignment wrapText="1"/>
    </xf>
    <xf numFmtId="0" fontId="0" fillId="0" borderId="0" xfId="0" applyFill="1" applyBorder="1" applyProtection="1"/>
    <xf numFmtId="0" fontId="0" fillId="0" borderId="0" xfId="0" applyAlignment="1" applyProtection="1"/>
    <xf numFmtId="0" fontId="21" fillId="0" borderId="0" xfId="0" applyFont="1" applyFill="1" applyAlignment="1" applyProtection="1"/>
    <xf numFmtId="0" fontId="13" fillId="0" borderId="0" xfId="0" applyFont="1" applyFill="1"/>
    <xf numFmtId="0" fontId="13" fillId="0" borderId="0" xfId="0" applyFont="1" applyFill="1" applyProtection="1"/>
    <xf numFmtId="0" fontId="23" fillId="0" borderId="0" xfId="0" applyFont="1" applyProtection="1"/>
    <xf numFmtId="14" fontId="13" fillId="0" borderId="0" xfId="0" applyNumberFormat="1" applyFont="1" applyFill="1"/>
    <xf numFmtId="0" fontId="21" fillId="0" borderId="0" xfId="0" applyFont="1" applyFill="1" applyBorder="1" applyAlignment="1" applyProtection="1">
      <alignment horizontal="center" vertical="center"/>
    </xf>
    <xf numFmtId="0" fontId="17" fillId="0" borderId="0" xfId="0" applyFont="1" applyFill="1" applyBorder="1" applyAlignment="1" applyProtection="1">
      <alignment horizontal="center" vertical="center"/>
    </xf>
    <xf numFmtId="0" fontId="16" fillId="0" borderId="0" xfId="441" applyFont="1" applyAlignment="1" applyProtection="1">
      <alignment horizontal="center" vertical="center"/>
    </xf>
    <xf numFmtId="0" fontId="17" fillId="0" borderId="0" xfId="0" applyFont="1" applyFill="1" applyAlignment="1" applyProtection="1">
      <alignment vertical="center"/>
    </xf>
    <xf numFmtId="0" fontId="7" fillId="0" borderId="18" xfId="0" applyFont="1" applyBorder="1" applyAlignment="1" applyProtection="1">
      <alignment horizontal="center" vertical="center" wrapText="1"/>
    </xf>
    <xf numFmtId="0" fontId="21" fillId="0" borderId="0" xfId="0" applyFont="1" applyFill="1" applyProtection="1"/>
    <xf numFmtId="0" fontId="21" fillId="0" borderId="18" xfId="0" applyFont="1" applyFill="1" applyBorder="1" applyAlignment="1" applyProtection="1">
      <alignment horizontal="center" vertical="center"/>
    </xf>
    <xf numFmtId="0" fontId="21" fillId="0" borderId="18" xfId="0" applyFont="1" applyFill="1" applyBorder="1" applyAlignment="1" applyProtection="1">
      <alignment horizontal="center" vertical="center" wrapText="1"/>
    </xf>
    <xf numFmtId="0" fontId="7" fillId="0" borderId="0" xfId="0" applyFont="1" applyFill="1" applyBorder="1" applyAlignment="1" applyProtection="1">
      <alignment horizontal="center" wrapText="1"/>
    </xf>
    <xf numFmtId="165" fontId="7" fillId="0" borderId="0" xfId="356" applyNumberFormat="1" applyFont="1" applyFill="1" applyBorder="1" applyAlignment="1" applyProtection="1">
      <alignment horizontal="center" wrapText="1"/>
    </xf>
    <xf numFmtId="0" fontId="17" fillId="27" borderId="0" xfId="0" applyFont="1" applyFill="1" applyProtection="1"/>
    <xf numFmtId="0" fontId="20" fillId="0" borderId="0" xfId="0" applyFont="1" applyProtection="1"/>
    <xf numFmtId="0" fontId="30" fillId="0" borderId="0" xfId="0" applyFont="1" applyProtection="1"/>
    <xf numFmtId="0" fontId="30" fillId="0" borderId="0" xfId="0" applyFont="1" applyAlignment="1" applyProtection="1">
      <alignment wrapText="1"/>
    </xf>
    <xf numFmtId="0" fontId="13" fillId="0" borderId="20" xfId="0" applyFont="1" applyBorder="1" applyAlignment="1" applyProtection="1">
      <alignment vertical="center" wrapText="1"/>
    </xf>
    <xf numFmtId="0" fontId="17" fillId="0" borderId="0" xfId="0" applyFont="1" applyFill="1" applyAlignment="1" applyProtection="1">
      <alignment horizontal="center" vertical="center"/>
    </xf>
    <xf numFmtId="0" fontId="21" fillId="28" borderId="21" xfId="0" applyFont="1" applyFill="1" applyBorder="1" applyAlignment="1" applyProtection="1">
      <alignment horizontal="center" vertical="center"/>
    </xf>
    <xf numFmtId="0" fontId="16" fillId="0" borderId="0" xfId="473" applyFont="1"/>
    <xf numFmtId="0" fontId="16" fillId="0" borderId="0" xfId="0" applyFont="1"/>
    <xf numFmtId="0" fontId="16" fillId="0" borderId="0" xfId="0" applyFont="1" applyFill="1" applyBorder="1" applyAlignment="1">
      <alignment wrapText="1"/>
    </xf>
    <xf numFmtId="0" fontId="45" fillId="0" borderId="0" xfId="0" applyFont="1" applyProtection="1"/>
    <xf numFmtId="0" fontId="33" fillId="0" borderId="0" xfId="0" applyFont="1" applyAlignment="1" applyProtection="1"/>
    <xf numFmtId="0" fontId="21" fillId="30" borderId="19" xfId="0" applyFont="1" applyFill="1" applyBorder="1" applyAlignment="1" applyProtection="1">
      <alignment horizontal="center"/>
    </xf>
    <xf numFmtId="0" fontId="21" fillId="31" borderId="19" xfId="0" applyFont="1" applyFill="1" applyBorder="1" applyAlignment="1" applyProtection="1">
      <alignment horizontal="center"/>
    </xf>
    <xf numFmtId="0" fontId="21" fillId="31" borderId="22" xfId="0" applyFont="1" applyFill="1" applyBorder="1" applyAlignment="1" applyProtection="1">
      <alignment horizontal="center"/>
    </xf>
    <xf numFmtId="0" fontId="28" fillId="0" borderId="18" xfId="0" applyFont="1" applyBorder="1" applyAlignment="1" applyProtection="1">
      <alignment horizontal="center" vertical="center"/>
    </xf>
    <xf numFmtId="1" fontId="25" fillId="32" borderId="20" xfId="0" applyNumberFormat="1" applyFont="1" applyFill="1" applyBorder="1" applyAlignment="1" applyProtection="1">
      <alignment horizontal="center" vertical="center"/>
      <protection locked="0"/>
    </xf>
    <xf numFmtId="0" fontId="16" fillId="0" borderId="18" xfId="473" applyFont="1" applyBorder="1"/>
    <xf numFmtId="0" fontId="16" fillId="0" borderId="18" xfId="441" applyFont="1" applyFill="1" applyBorder="1"/>
    <xf numFmtId="0" fontId="10" fillId="0" borderId="23" xfId="473" applyFont="1" applyBorder="1"/>
    <xf numFmtId="0" fontId="13" fillId="0" borderId="18" xfId="0" applyFont="1" applyBorder="1"/>
    <xf numFmtId="14" fontId="13" fillId="0" borderId="18" xfId="0" applyNumberFormat="1" applyFont="1" applyBorder="1" applyAlignment="1">
      <alignment horizontal="left"/>
    </xf>
    <xf numFmtId="0" fontId="13" fillId="0" borderId="18" xfId="0" applyFont="1" applyBorder="1" applyAlignment="1">
      <alignment horizontal="left"/>
    </xf>
    <xf numFmtId="0" fontId="25" fillId="0" borderId="18" xfId="0" applyFont="1" applyBorder="1"/>
    <xf numFmtId="0" fontId="50" fillId="0" borderId="0" xfId="0" applyFont="1" applyProtection="1"/>
    <xf numFmtId="0" fontId="10" fillId="0" borderId="23" xfId="0" applyFont="1" applyFill="1" applyBorder="1" applyAlignment="1">
      <alignment wrapText="1"/>
    </xf>
    <xf numFmtId="0" fontId="16" fillId="0" borderId="18" xfId="0" applyFont="1" applyFill="1" applyBorder="1" applyAlignment="1" applyProtection="1">
      <alignment horizontal="center" vertical="center" wrapText="1"/>
    </xf>
    <xf numFmtId="0" fontId="10" fillId="0" borderId="18" xfId="0" applyFont="1" applyFill="1" applyBorder="1" applyAlignment="1" applyProtection="1">
      <alignment horizontal="center" vertical="center" wrapText="1"/>
    </xf>
    <xf numFmtId="0" fontId="8" fillId="0" borderId="18" xfId="0" applyFont="1" applyFill="1" applyBorder="1" applyAlignment="1" applyProtection="1">
      <alignment horizontal="center" wrapText="1"/>
    </xf>
    <xf numFmtId="0" fontId="28" fillId="0" borderId="18" xfId="0" applyFont="1" applyFill="1" applyBorder="1" applyAlignment="1" applyProtection="1">
      <alignment horizontal="center" vertical="center"/>
    </xf>
    <xf numFmtId="0" fontId="20" fillId="0" borderId="0" xfId="0" applyFont="1" applyFill="1" applyAlignment="1" applyProtection="1">
      <alignment vertical="center"/>
    </xf>
    <xf numFmtId="0" fontId="17" fillId="0" borderId="0" xfId="0" applyFont="1" applyFill="1" applyBorder="1" applyAlignment="1" applyProtection="1">
      <alignment horizontal="center"/>
    </xf>
    <xf numFmtId="0" fontId="7" fillId="0" borderId="0" xfId="473" applyFont="1" applyAlignment="1">
      <alignment horizontal="center" vertical="center"/>
    </xf>
    <xf numFmtId="0" fontId="7" fillId="0" borderId="0" xfId="0" applyFont="1" applyAlignment="1">
      <alignment horizontal="center" vertical="center"/>
    </xf>
    <xf numFmtId="0" fontId="13" fillId="0" borderId="0" xfId="0" applyFont="1" applyFill="1" applyAlignment="1">
      <alignment horizontal="center" vertical="center"/>
    </xf>
    <xf numFmtId="0" fontId="25" fillId="0" borderId="18" xfId="0" applyFont="1" applyBorder="1" applyAlignment="1" applyProtection="1">
      <alignment horizontal="center" vertical="center"/>
    </xf>
    <xf numFmtId="0" fontId="0" fillId="0" borderId="0" xfId="0" applyAlignment="1" applyProtection="1">
      <alignment vertical="center"/>
    </xf>
    <xf numFmtId="0" fontId="21" fillId="28" borderId="18" xfId="0" applyFont="1" applyFill="1" applyBorder="1" applyAlignment="1" applyProtection="1">
      <alignment horizontal="center" vertical="center"/>
    </xf>
    <xf numFmtId="0" fontId="21" fillId="28" borderId="18" xfId="356" applyNumberFormat="1" applyFont="1" applyFill="1" applyBorder="1" applyAlignment="1" applyProtection="1">
      <alignment horizontal="center" vertical="center"/>
    </xf>
    <xf numFmtId="1" fontId="21" fillId="28" borderId="18" xfId="0" applyNumberFormat="1" applyFont="1" applyFill="1" applyBorder="1" applyAlignment="1" applyProtection="1">
      <alignment horizontal="center" vertical="center"/>
    </xf>
    <xf numFmtId="49" fontId="21" fillId="0" borderId="18" xfId="0" applyNumberFormat="1" applyFont="1" applyBorder="1" applyAlignment="1" applyProtection="1">
      <alignment horizontal="center" vertical="center"/>
    </xf>
    <xf numFmtId="0" fontId="21" fillId="0" borderId="18" xfId="0" applyFont="1" applyBorder="1" applyAlignment="1" applyProtection="1">
      <alignment horizontal="center" vertical="center"/>
    </xf>
    <xf numFmtId="9" fontId="21" fillId="0" borderId="18" xfId="356" applyFont="1" applyBorder="1" applyAlignment="1" applyProtection="1">
      <alignment horizontal="center" vertical="center"/>
    </xf>
    <xf numFmtId="1" fontId="21" fillId="0" borderId="18" xfId="0" applyNumberFormat="1" applyFont="1" applyFill="1" applyBorder="1" applyAlignment="1" applyProtection="1">
      <alignment horizontal="center" vertical="center"/>
    </xf>
    <xf numFmtId="0" fontId="16" fillId="0" borderId="18" xfId="0" applyFont="1" applyFill="1" applyBorder="1" applyAlignment="1" applyProtection="1">
      <alignment vertical="center"/>
    </xf>
    <xf numFmtId="0" fontId="21" fillId="0" borderId="18" xfId="0" applyNumberFormat="1" applyFont="1" applyFill="1" applyBorder="1" applyAlignment="1" applyProtection="1">
      <alignment horizontal="center" vertical="center"/>
    </xf>
    <xf numFmtId="0" fontId="21" fillId="0" borderId="18" xfId="356" applyNumberFormat="1" applyFont="1" applyFill="1" applyBorder="1" applyAlignment="1" applyProtection="1">
      <alignment horizontal="center" vertical="center"/>
    </xf>
    <xf numFmtId="0" fontId="21" fillId="0" borderId="18" xfId="0" applyNumberFormat="1" applyFont="1" applyBorder="1" applyAlignment="1" applyProtection="1">
      <alignment horizontal="center" vertical="center"/>
    </xf>
    <xf numFmtId="0" fontId="21" fillId="0" borderId="18" xfId="356" applyNumberFormat="1" applyFont="1" applyBorder="1" applyAlignment="1" applyProtection="1">
      <alignment horizontal="center" vertical="center"/>
    </xf>
    <xf numFmtId="0" fontId="21" fillId="33" borderId="18" xfId="0" applyNumberFormat="1" applyFont="1" applyFill="1" applyBorder="1" applyAlignment="1" applyProtection="1">
      <alignment horizontal="center" vertical="center"/>
    </xf>
    <xf numFmtId="9" fontId="21" fillId="33" borderId="18" xfId="356" applyFont="1" applyFill="1" applyBorder="1" applyAlignment="1" applyProtection="1">
      <alignment horizontal="center" vertical="center"/>
    </xf>
    <xf numFmtId="0" fontId="21" fillId="33" borderId="18" xfId="356" applyNumberFormat="1" applyFont="1" applyFill="1" applyBorder="1" applyAlignment="1" applyProtection="1">
      <alignment horizontal="center" vertical="center"/>
    </xf>
    <xf numFmtId="0" fontId="21" fillId="33" borderId="18" xfId="0" applyFont="1" applyFill="1" applyBorder="1" applyAlignment="1" applyProtection="1">
      <alignment horizontal="center" vertical="center"/>
    </xf>
    <xf numFmtId="49" fontId="21" fillId="33" borderId="18" xfId="0" applyNumberFormat="1" applyFont="1" applyFill="1" applyBorder="1" applyAlignment="1" applyProtection="1">
      <alignment horizontal="center" vertical="center"/>
    </xf>
    <xf numFmtId="49" fontId="21" fillId="0" borderId="18" xfId="0" applyNumberFormat="1" applyFont="1" applyFill="1" applyBorder="1" applyAlignment="1" applyProtection="1">
      <alignment horizontal="center" vertical="center"/>
    </xf>
    <xf numFmtId="9" fontId="21" fillId="0" borderId="18" xfId="356" applyFont="1" applyFill="1" applyBorder="1" applyAlignment="1" applyProtection="1">
      <alignment horizontal="center" vertical="center"/>
    </xf>
    <xf numFmtId="0" fontId="0" fillId="0" borderId="0" xfId="0"/>
    <xf numFmtId="0" fontId="7" fillId="0" borderId="20" xfId="0" applyFont="1" applyBorder="1" applyAlignment="1" applyProtection="1">
      <alignment vertical="center" wrapText="1"/>
    </xf>
    <xf numFmtId="1" fontId="8" fillId="34" borderId="20" xfId="0" applyNumberFormat="1" applyFont="1" applyFill="1" applyBorder="1" applyAlignment="1" applyProtection="1">
      <alignment horizontal="center" vertical="center" wrapText="1"/>
    </xf>
    <xf numFmtId="0" fontId="4" fillId="0" borderId="0" xfId="441" applyFont="1" applyAlignment="1" applyProtection="1">
      <alignment horizontal="center" vertical="center"/>
    </xf>
    <xf numFmtId="0" fontId="13" fillId="0" borderId="0" xfId="0" applyFont="1" applyFill="1" applyAlignment="1" applyProtection="1">
      <alignment horizontal="center" vertical="center"/>
    </xf>
    <xf numFmtId="0" fontId="21" fillId="29" borderId="21" xfId="0" applyFont="1" applyFill="1" applyBorder="1" applyAlignment="1" applyProtection="1">
      <alignment horizontal="center" vertical="center" wrapText="1"/>
    </xf>
    <xf numFmtId="0" fontId="13" fillId="0" borderId="18" xfId="0" applyNumberFormat="1" applyFont="1" applyBorder="1" applyAlignment="1" applyProtection="1">
      <alignment horizontal="center" vertical="center" wrapText="1"/>
    </xf>
    <xf numFmtId="0" fontId="21" fillId="0" borderId="0" xfId="0" applyFont="1" applyFill="1" applyAlignment="1" applyProtection="1">
      <alignment vertical="center"/>
    </xf>
    <xf numFmtId="0" fontId="21" fillId="30" borderId="21" xfId="0" applyFont="1" applyFill="1" applyBorder="1" applyAlignment="1" applyProtection="1">
      <alignment horizontal="center" vertical="center" wrapText="1"/>
    </xf>
    <xf numFmtId="0" fontId="21" fillId="31" borderId="21" xfId="0" applyFont="1" applyFill="1" applyBorder="1" applyAlignment="1" applyProtection="1">
      <alignment horizontal="center" vertical="center"/>
    </xf>
    <xf numFmtId="0" fontId="21" fillId="31" borderId="24" xfId="0" applyFont="1" applyFill="1" applyBorder="1" applyAlignment="1" applyProtection="1">
      <alignment horizontal="center" vertical="center"/>
    </xf>
    <xf numFmtId="0" fontId="65" fillId="0" borderId="25" xfId="0" applyFont="1" applyBorder="1" applyAlignment="1" applyProtection="1"/>
    <xf numFmtId="0" fontId="14" fillId="0" borderId="23" xfId="0" applyFont="1" applyBorder="1" applyAlignment="1" applyProtection="1"/>
    <xf numFmtId="0" fontId="14" fillId="0" borderId="25" xfId="0" applyFont="1" applyBorder="1" applyAlignment="1" applyProtection="1"/>
    <xf numFmtId="0" fontId="14" fillId="0" borderId="26" xfId="0" applyFont="1" applyBorder="1" applyAlignment="1" applyProtection="1"/>
    <xf numFmtId="9" fontId="14" fillId="0" borderId="18" xfId="356" applyFont="1" applyBorder="1" applyAlignment="1" applyProtection="1">
      <alignment horizontal="left"/>
    </xf>
    <xf numFmtId="0" fontId="14" fillId="0" borderId="18" xfId="0" applyFont="1" applyBorder="1" applyAlignment="1" applyProtection="1"/>
    <xf numFmtId="166" fontId="14" fillId="0" borderId="18" xfId="0" applyNumberFormat="1" applyFont="1" applyBorder="1" applyAlignment="1" applyProtection="1">
      <alignment horizontal="left" vertical="top"/>
    </xf>
    <xf numFmtId="0" fontId="14" fillId="0" borderId="23" xfId="0" applyFont="1" applyBorder="1" applyProtection="1"/>
    <xf numFmtId="0" fontId="65" fillId="0" borderId="0" xfId="0" applyFont="1" applyAlignment="1" applyProtection="1"/>
    <xf numFmtId="0" fontId="65" fillId="0" borderId="23" xfId="0" applyFont="1" applyFill="1" applyBorder="1" applyAlignment="1" applyProtection="1"/>
    <xf numFmtId="0" fontId="65" fillId="0" borderId="18" xfId="0" applyFont="1" applyBorder="1" applyAlignment="1" applyProtection="1">
      <alignment wrapText="1"/>
    </xf>
    <xf numFmtId="0" fontId="65" fillId="0" borderId="18" xfId="0" applyFont="1" applyBorder="1" applyAlignment="1" applyProtection="1"/>
    <xf numFmtId="0" fontId="65" fillId="0" borderId="26" xfId="0" applyFont="1" applyBorder="1" applyAlignment="1" applyProtection="1">
      <alignment horizontal="center"/>
    </xf>
    <xf numFmtId="0" fontId="65" fillId="0" borderId="25" xfId="0" applyFont="1" applyFill="1" applyBorder="1" applyAlignment="1" applyProtection="1"/>
    <xf numFmtId="0" fontId="65" fillId="0" borderId="18" xfId="0" applyFont="1" applyFill="1" applyBorder="1" applyAlignment="1" applyProtection="1"/>
    <xf numFmtId="0" fontId="65" fillId="0" borderId="23" xfId="0" applyFont="1" applyBorder="1" applyAlignment="1" applyProtection="1"/>
    <xf numFmtId="0" fontId="31" fillId="0" borderId="0" xfId="0" applyFont="1" applyFill="1" applyProtection="1"/>
    <xf numFmtId="0" fontId="13" fillId="0" borderId="18" xfId="0" applyFont="1" applyBorder="1" applyAlignment="1" applyProtection="1">
      <alignment vertical="center"/>
    </xf>
    <xf numFmtId="0" fontId="0" fillId="0" borderId="0" xfId="0" applyFill="1" applyAlignment="1" applyProtection="1"/>
    <xf numFmtId="0" fontId="65" fillId="0" borderId="26" xfId="0" applyFont="1" applyFill="1" applyBorder="1" applyAlignment="1" applyProtection="1">
      <alignment horizontal="center"/>
    </xf>
    <xf numFmtId="0" fontId="65" fillId="0" borderId="25" xfId="0" applyFont="1" applyFill="1" applyBorder="1" applyProtection="1"/>
    <xf numFmtId="0" fontId="65" fillId="0" borderId="0" xfId="0" applyFont="1" applyFill="1" applyAlignment="1" applyProtection="1"/>
    <xf numFmtId="0" fontId="65" fillId="0" borderId="18" xfId="0" applyFont="1" applyBorder="1" applyAlignment="1" applyProtection="1">
      <alignment horizontal="center"/>
    </xf>
    <xf numFmtId="166" fontId="65" fillId="0" borderId="26" xfId="356" applyNumberFormat="1" applyFont="1" applyBorder="1" applyAlignment="1" applyProtection="1">
      <alignment horizontal="center"/>
    </xf>
    <xf numFmtId="166" fontId="65" fillId="0" borderId="18" xfId="356" applyNumberFormat="1" applyFont="1" applyBorder="1" applyAlignment="1" applyProtection="1">
      <alignment horizontal="center"/>
    </xf>
    <xf numFmtId="166" fontId="65" fillId="0" borderId="18" xfId="0" applyNumberFormat="1" applyFont="1" applyFill="1" applyBorder="1" applyAlignment="1" applyProtection="1">
      <alignment horizontal="center"/>
    </xf>
    <xf numFmtId="9" fontId="65" fillId="0" borderId="18" xfId="356" applyFont="1" applyBorder="1" applyAlignment="1" applyProtection="1">
      <alignment horizontal="center"/>
    </xf>
    <xf numFmtId="9" fontId="65" fillId="0" borderId="18" xfId="0" applyNumberFormat="1" applyFont="1" applyFill="1" applyBorder="1" applyAlignment="1" applyProtection="1">
      <alignment horizontal="center"/>
    </xf>
    <xf numFmtId="0" fontId="65" fillId="0" borderId="18" xfId="0" applyNumberFormat="1" applyFont="1" applyFill="1" applyBorder="1" applyAlignment="1" applyProtection="1">
      <alignment horizontal="center"/>
    </xf>
    <xf numFmtId="0" fontId="65" fillId="0" borderId="18" xfId="0" applyFont="1" applyFill="1" applyBorder="1" applyAlignment="1" applyProtection="1">
      <alignment horizontal="center"/>
    </xf>
    <xf numFmtId="9" fontId="65" fillId="0" borderId="18" xfId="356" applyFont="1" applyFill="1" applyBorder="1" applyAlignment="1" applyProtection="1">
      <alignment horizontal="center"/>
    </xf>
    <xf numFmtId="166" fontId="65" fillId="0" borderId="26" xfId="356" applyNumberFormat="1" applyFont="1" applyFill="1" applyBorder="1" applyAlignment="1" applyProtection="1">
      <alignment horizontal="center"/>
    </xf>
    <xf numFmtId="166" fontId="65" fillId="0" borderId="18" xfId="0" applyNumberFormat="1" applyFont="1" applyBorder="1" applyAlignment="1" applyProtection="1">
      <alignment horizontal="center"/>
    </xf>
    <xf numFmtId="0" fontId="14" fillId="0" borderId="18" xfId="0" applyFont="1" applyBorder="1" applyProtection="1"/>
    <xf numFmtId="0" fontId="15" fillId="0" borderId="18" xfId="0" applyFont="1" applyBorder="1" applyProtection="1"/>
    <xf numFmtId="1" fontId="25" fillId="35" borderId="20" xfId="0" applyNumberFormat="1" applyFont="1" applyFill="1" applyBorder="1" applyAlignment="1" applyProtection="1">
      <alignment horizontal="center" vertical="center"/>
    </xf>
    <xf numFmtId="0" fontId="21" fillId="0" borderId="0" xfId="0" applyFont="1" applyFill="1" applyAlignment="1" applyProtection="1">
      <alignment vertical="top"/>
    </xf>
    <xf numFmtId="0" fontId="16" fillId="0" borderId="0" xfId="441" applyFont="1" applyFill="1" applyAlignment="1" applyProtection="1">
      <alignment vertical="center"/>
    </xf>
    <xf numFmtId="0" fontId="13" fillId="0" borderId="27" xfId="0" applyFont="1" applyBorder="1" applyAlignment="1" applyProtection="1">
      <alignment vertical="center" wrapText="1"/>
    </xf>
    <xf numFmtId="0" fontId="13" fillId="0" borderId="18" xfId="0" applyFont="1" applyFill="1" applyBorder="1" applyAlignment="1" applyProtection="1">
      <alignment horizontal="center" vertical="center" wrapText="1"/>
    </xf>
    <xf numFmtId="0" fontId="10" fillId="0" borderId="0" xfId="0" applyFont="1" applyFill="1" applyBorder="1" applyAlignment="1" applyProtection="1">
      <alignment horizontal="center" vertical="center"/>
    </xf>
    <xf numFmtId="0" fontId="16" fillId="0" borderId="0" xfId="0" applyFont="1" applyFill="1" applyBorder="1" applyAlignment="1" applyProtection="1">
      <alignment horizontal="center" vertical="center" wrapText="1"/>
    </xf>
    <xf numFmtId="0" fontId="16" fillId="0" borderId="0" xfId="0" applyFont="1" applyFill="1" applyBorder="1" applyProtection="1"/>
    <xf numFmtId="1" fontId="8" fillId="32" borderId="20" xfId="0" applyNumberFormat="1" applyFont="1" applyFill="1" applyBorder="1" applyAlignment="1" applyProtection="1">
      <alignment horizontal="center" vertical="center"/>
      <protection locked="0"/>
    </xf>
    <xf numFmtId="0" fontId="28" fillId="0" borderId="0" xfId="0" applyFont="1" applyFill="1" applyBorder="1" applyAlignment="1" applyProtection="1">
      <alignment horizontal="center" vertical="center" wrapText="1"/>
    </xf>
    <xf numFmtId="0" fontId="22" fillId="0" borderId="0" xfId="441" applyFont="1" applyFill="1" applyProtection="1"/>
    <xf numFmtId="0" fontId="23" fillId="0" borderId="0" xfId="0" applyFont="1" applyFill="1" applyAlignment="1" applyProtection="1">
      <alignment horizontal="left" vertical="center"/>
    </xf>
    <xf numFmtId="0" fontId="23" fillId="0" borderId="0" xfId="0" applyFont="1" applyFill="1" applyAlignment="1" applyProtection="1">
      <alignment horizontal="left"/>
    </xf>
    <xf numFmtId="0" fontId="23" fillId="0" borderId="0" xfId="0" applyFont="1" applyFill="1" applyProtection="1"/>
    <xf numFmtId="0" fontId="14" fillId="0" borderId="0" xfId="0" applyFont="1" applyFill="1" applyProtection="1"/>
    <xf numFmtId="0" fontId="21" fillId="0" borderId="0" xfId="0" applyFont="1" applyFill="1" applyBorder="1" applyAlignment="1" applyProtection="1">
      <alignment horizontal="center" vertical="center" wrapText="1"/>
    </xf>
    <xf numFmtId="0" fontId="21" fillId="0" borderId="0" xfId="0" applyFont="1" applyFill="1" applyBorder="1" applyProtection="1"/>
    <xf numFmtId="0" fontId="3" fillId="0" borderId="0" xfId="441" applyFont="1" applyFill="1" applyProtection="1"/>
    <xf numFmtId="0" fontId="15" fillId="0" borderId="0" xfId="0" applyFont="1" applyFill="1" applyProtection="1"/>
    <xf numFmtId="0" fontId="3" fillId="0" borderId="0" xfId="441" applyFont="1" applyFill="1" applyAlignment="1" applyProtection="1">
      <alignment vertical="center"/>
    </xf>
    <xf numFmtId="0" fontId="3" fillId="0" borderId="0" xfId="441" applyFont="1" applyFill="1" applyBorder="1" applyProtection="1"/>
    <xf numFmtId="0" fontId="3" fillId="0" borderId="0" xfId="441" applyFont="1" applyFill="1" applyAlignment="1" applyProtection="1">
      <alignment horizontal="left"/>
    </xf>
    <xf numFmtId="0" fontId="15" fillId="0" borderId="0" xfId="0" applyFont="1" applyFill="1" applyAlignment="1" applyProtection="1">
      <alignment horizontal="left"/>
    </xf>
    <xf numFmtId="0" fontId="15" fillId="0" borderId="0" xfId="0" applyFont="1" applyFill="1" applyBorder="1" applyProtection="1"/>
    <xf numFmtId="0" fontId="15" fillId="0" borderId="0" xfId="0" applyFont="1" applyFill="1" applyBorder="1" applyAlignment="1" applyProtection="1">
      <alignment vertical="center"/>
    </xf>
    <xf numFmtId="0" fontId="15" fillId="0" borderId="0" xfId="0" applyFont="1" applyFill="1" applyAlignment="1" applyProtection="1">
      <alignment vertical="center"/>
    </xf>
    <xf numFmtId="0" fontId="3" fillId="0" borderId="0" xfId="441" applyFont="1" applyFill="1" applyBorder="1" applyAlignment="1" applyProtection="1">
      <alignment vertical="center"/>
    </xf>
    <xf numFmtId="0" fontId="31" fillId="0" borderId="0" xfId="0" applyFont="1" applyFill="1" applyAlignment="1" applyProtection="1">
      <alignment horizontal="left"/>
    </xf>
    <xf numFmtId="0" fontId="5" fillId="0" borderId="0" xfId="0" applyFont="1" applyFill="1" applyProtection="1"/>
    <xf numFmtId="0" fontId="17" fillId="0" borderId="0" xfId="0" applyFont="1" applyFill="1" applyBorder="1" applyAlignment="1" applyProtection="1"/>
    <xf numFmtId="0" fontId="4" fillId="0" borderId="0" xfId="441" applyFont="1" applyFill="1" applyProtection="1"/>
    <xf numFmtId="0" fontId="4" fillId="0" borderId="0" xfId="441" applyFont="1" applyFill="1" applyAlignment="1" applyProtection="1">
      <alignment horizontal="left"/>
    </xf>
    <xf numFmtId="0" fontId="55" fillId="0" borderId="0" xfId="0" applyFont="1" applyFill="1" applyProtection="1"/>
    <xf numFmtId="0" fontId="66" fillId="0" borderId="0" xfId="441" applyFont="1" applyProtection="1"/>
    <xf numFmtId="0" fontId="26" fillId="0" borderId="0" xfId="0" applyFont="1" applyFill="1" applyProtection="1"/>
    <xf numFmtId="0" fontId="21" fillId="27" borderId="0" xfId="0" applyFont="1" applyFill="1" applyBorder="1" applyAlignment="1" applyProtection="1"/>
    <xf numFmtId="0" fontId="26" fillId="0" borderId="0" xfId="0" applyFont="1" applyBorder="1" applyAlignment="1" applyProtection="1"/>
    <xf numFmtId="0" fontId="7" fillId="0" borderId="30" xfId="0" applyFont="1" applyBorder="1" applyAlignment="1" applyProtection="1">
      <alignment horizontal="center" vertical="center" wrapText="1"/>
    </xf>
    <xf numFmtId="0" fontId="7" fillId="0" borderId="20" xfId="0" applyFont="1" applyBorder="1" applyAlignment="1" applyProtection="1">
      <alignment horizontal="center" vertical="center" wrapText="1"/>
    </xf>
    <xf numFmtId="0" fontId="7" fillId="0" borderId="27" xfId="0" applyFont="1" applyBorder="1" applyAlignment="1" applyProtection="1">
      <alignment horizontal="center" vertical="center" wrapText="1"/>
    </xf>
    <xf numFmtId="0" fontId="7" fillId="0" borderId="31" xfId="0" applyFont="1" applyBorder="1" applyAlignment="1" applyProtection="1">
      <alignment horizontal="center" vertical="center" wrapText="1"/>
    </xf>
    <xf numFmtId="0" fontId="7" fillId="0" borderId="31" xfId="0" applyNumberFormat="1" applyFont="1" applyFill="1" applyBorder="1" applyAlignment="1" applyProtection="1">
      <alignment horizontal="center" vertical="center"/>
    </xf>
    <xf numFmtId="0" fontId="58" fillId="0" borderId="20" xfId="0" applyNumberFormat="1" applyFont="1" applyFill="1" applyBorder="1" applyAlignment="1" applyProtection="1">
      <alignment horizontal="center" vertical="center"/>
    </xf>
    <xf numFmtId="0" fontId="21" fillId="0" borderId="0" xfId="0" applyFont="1" applyFill="1" applyAlignment="1" applyProtection="1">
      <alignment horizontal="right"/>
    </xf>
    <xf numFmtId="0" fontId="13" fillId="0" borderId="19" xfId="0" applyFont="1" applyFill="1" applyBorder="1" applyAlignment="1" applyProtection="1">
      <alignment horizontal="center" vertical="center" wrapText="1"/>
    </xf>
    <xf numFmtId="0" fontId="0" fillId="29" borderId="32" xfId="0" applyFill="1" applyBorder="1" applyAlignment="1"/>
    <xf numFmtId="0" fontId="24" fillId="0" borderId="0" xfId="0" applyFont="1" applyProtection="1"/>
    <xf numFmtId="0" fontId="24" fillId="0" borderId="0" xfId="0" applyFont="1" applyAlignment="1">
      <alignment vertical="center"/>
    </xf>
    <xf numFmtId="0" fontId="7" fillId="0" borderId="34" xfId="0" applyFont="1" applyBorder="1" applyAlignment="1" applyProtection="1">
      <alignment horizontal="center" vertical="center" wrapText="1"/>
    </xf>
    <xf numFmtId="0" fontId="21" fillId="28" borderId="19" xfId="0" applyFont="1" applyFill="1" applyBorder="1" applyAlignment="1" applyProtection="1">
      <alignment horizontal="center" vertical="center"/>
    </xf>
    <xf numFmtId="0" fontId="21" fillId="31" borderId="22" xfId="0" applyFont="1" applyFill="1" applyBorder="1" applyAlignment="1" applyProtection="1">
      <alignment horizontal="center" vertical="center"/>
    </xf>
    <xf numFmtId="0" fontId="10" fillId="36" borderId="18" xfId="441" applyFont="1" applyFill="1" applyBorder="1" applyAlignment="1" applyProtection="1">
      <alignment vertical="center"/>
    </xf>
    <xf numFmtId="14" fontId="28" fillId="36" borderId="18" xfId="0" applyNumberFormat="1" applyFont="1" applyFill="1" applyBorder="1" applyAlignment="1" applyProtection="1">
      <alignment horizontal="center" vertical="center"/>
    </xf>
    <xf numFmtId="1" fontId="25" fillId="36" borderId="20" xfId="0" applyNumberFormat="1" applyFont="1" applyFill="1" applyBorder="1" applyAlignment="1" applyProtection="1">
      <alignment horizontal="center" vertical="center"/>
    </xf>
    <xf numFmtId="0" fontId="25" fillId="0" borderId="18" xfId="0" applyFont="1" applyFill="1" applyBorder="1" applyAlignment="1">
      <alignment horizontal="center"/>
    </xf>
    <xf numFmtId="0" fontId="25" fillId="0" borderId="18" xfId="0" applyFont="1" applyFill="1" applyBorder="1" applyAlignment="1">
      <alignment horizontal="center" vertical="center"/>
    </xf>
    <xf numFmtId="9" fontId="21" fillId="28" borderId="18" xfId="356" applyFont="1" applyFill="1" applyBorder="1" applyAlignment="1" applyProtection="1">
      <alignment horizontal="center" vertical="center"/>
    </xf>
    <xf numFmtId="1" fontId="21" fillId="27" borderId="18" xfId="0" applyNumberFormat="1" applyFont="1" applyFill="1" applyBorder="1" applyAlignment="1" applyProtection="1">
      <alignment horizontal="center" vertical="center"/>
    </xf>
    <xf numFmtId="0" fontId="21" fillId="27" borderId="18" xfId="0" applyFont="1" applyFill="1" applyBorder="1" applyAlignment="1" applyProtection="1">
      <alignment horizontal="center" vertical="center"/>
    </xf>
    <xf numFmtId="0" fontId="20" fillId="0" borderId="0" xfId="0" applyFont="1" applyFill="1" applyAlignment="1" applyProtection="1">
      <alignment vertical="top"/>
    </xf>
    <xf numFmtId="0" fontId="14" fillId="0" borderId="18" xfId="449" applyFont="1" applyBorder="1"/>
    <xf numFmtId="0" fontId="14" fillId="0" borderId="18" xfId="451" applyFont="1" applyBorder="1"/>
    <xf numFmtId="0" fontId="14" fillId="0" borderId="18" xfId="451" applyFont="1" applyFill="1" applyBorder="1"/>
    <xf numFmtId="0" fontId="65" fillId="0" borderId="18" xfId="0" applyFont="1" applyBorder="1"/>
    <xf numFmtId="0" fontId="67" fillId="0" borderId="18" xfId="0" applyFont="1" applyBorder="1" applyAlignment="1">
      <alignment horizontal="center" vertical="center"/>
    </xf>
    <xf numFmtId="0" fontId="68" fillId="0" borderId="0" xfId="0" applyFont="1" applyAlignment="1">
      <alignment horizontal="center" vertical="center"/>
    </xf>
    <xf numFmtId="0" fontId="16" fillId="0" borderId="24" xfId="441" applyFont="1" applyFill="1" applyBorder="1"/>
    <xf numFmtId="1" fontId="8" fillId="37" borderId="20" xfId="0" applyNumberFormat="1" applyFont="1" applyFill="1" applyBorder="1" applyAlignment="1" applyProtection="1">
      <alignment horizontal="center" vertical="center" wrapText="1"/>
      <protection locked="0"/>
    </xf>
    <xf numFmtId="0" fontId="68" fillId="31" borderId="24" xfId="0" applyFont="1" applyFill="1" applyBorder="1" applyAlignment="1" applyProtection="1">
      <alignment horizontal="center" vertical="center"/>
    </xf>
    <xf numFmtId="0" fontId="28" fillId="0" borderId="0" xfId="0" applyFont="1" applyFill="1" applyAlignment="1" applyProtection="1">
      <alignment horizontal="left" vertical="center"/>
    </xf>
    <xf numFmtId="0" fontId="68" fillId="0" borderId="0" xfId="0" applyFont="1" applyAlignment="1" applyProtection="1">
      <alignment horizontal="center" vertical="center"/>
    </xf>
    <xf numFmtId="0" fontId="68" fillId="0" borderId="0" xfId="0" applyFont="1" applyAlignment="1" applyProtection="1">
      <alignment horizontal="left" vertical="center"/>
    </xf>
    <xf numFmtId="0" fontId="68" fillId="0" borderId="0" xfId="0" applyFont="1" applyAlignment="1">
      <alignment horizontal="left" vertical="center"/>
    </xf>
    <xf numFmtId="0" fontId="28" fillId="0" borderId="18" xfId="0" applyFont="1" applyBorder="1" applyAlignment="1" applyProtection="1">
      <alignment horizontal="left" vertical="center"/>
    </xf>
    <xf numFmtId="49" fontId="68" fillId="0" borderId="18" xfId="0" applyNumberFormat="1" applyFont="1" applyFill="1" applyBorder="1" applyAlignment="1" applyProtection="1">
      <alignment horizontal="center" vertical="center"/>
    </xf>
    <xf numFmtId="0" fontId="68" fillId="0" borderId="18" xfId="0" applyFont="1" applyBorder="1" applyAlignment="1" applyProtection="1">
      <alignment horizontal="left" vertical="center"/>
    </xf>
    <xf numFmtId="0" fontId="0" fillId="0" borderId="0" xfId="0" applyAlignment="1" applyProtection="1">
      <alignment horizontal="center" vertical="center"/>
    </xf>
    <xf numFmtId="0" fontId="0" fillId="0" borderId="0" xfId="0" applyAlignment="1" applyProtection="1">
      <alignment horizontal="left" vertical="center"/>
    </xf>
    <xf numFmtId="0" fontId="0" fillId="0" borderId="0" xfId="0" applyAlignment="1">
      <alignment horizontal="left" vertical="center"/>
    </xf>
    <xf numFmtId="1" fontId="7" fillId="0" borderId="31" xfId="0" applyNumberFormat="1" applyFont="1" applyFill="1" applyBorder="1" applyAlignment="1" applyProtection="1">
      <alignment horizontal="center" vertical="center"/>
    </xf>
    <xf numFmtId="0" fontId="13" fillId="0" borderId="23" xfId="0" applyFont="1" applyBorder="1" applyAlignment="1" applyProtection="1"/>
    <xf numFmtId="165" fontId="21" fillId="33" borderId="18" xfId="356" applyNumberFormat="1" applyFont="1" applyFill="1" applyBorder="1" applyAlignment="1" applyProtection="1">
      <alignment horizontal="center" vertical="center"/>
    </xf>
    <xf numFmtId="0" fontId="3" fillId="0" borderId="0" xfId="441" applyFont="1" applyFill="1" applyBorder="1" applyAlignment="1" applyProtection="1">
      <alignment horizontal="left"/>
    </xf>
    <xf numFmtId="0" fontId="17" fillId="0" borderId="0" xfId="0" quotePrefix="1" applyFont="1" applyProtection="1"/>
    <xf numFmtId="0" fontId="25" fillId="0" borderId="0" xfId="0" applyFont="1" applyAlignment="1">
      <alignment vertical="center"/>
    </xf>
    <xf numFmtId="0" fontId="63" fillId="0" borderId="0" xfId="441" applyFont="1" applyFill="1" applyBorder="1" applyAlignment="1" applyProtection="1">
      <alignment horizontal="center" vertical="center"/>
    </xf>
    <xf numFmtId="0" fontId="0" fillId="0" borderId="0" xfId="0" applyFont="1" applyFill="1" applyBorder="1" applyAlignment="1"/>
    <xf numFmtId="1" fontId="63" fillId="0" borderId="0" xfId="441" applyNumberFormat="1" applyFont="1" applyFill="1" applyBorder="1" applyAlignment="1" applyProtection="1">
      <alignment horizontal="center" vertical="center"/>
    </xf>
    <xf numFmtId="0" fontId="63" fillId="0" borderId="0" xfId="0" applyFont="1" applyFill="1" applyBorder="1" applyAlignment="1" applyProtection="1">
      <alignment horizontal="center" wrapText="1"/>
    </xf>
    <xf numFmtId="165" fontId="63" fillId="0" borderId="0" xfId="366" applyNumberFormat="1" applyFont="1" applyFill="1" applyBorder="1" applyAlignment="1" applyProtection="1">
      <alignment horizontal="center" vertical="center"/>
    </xf>
    <xf numFmtId="0" fontId="63" fillId="0" borderId="0" xfId="441" applyNumberFormat="1" applyFont="1" applyFill="1" applyBorder="1" applyAlignment="1" applyProtection="1">
      <alignment horizontal="center" vertical="center"/>
    </xf>
    <xf numFmtId="0" fontId="64" fillId="0" borderId="0" xfId="0" applyFont="1" applyFill="1" applyProtection="1"/>
    <xf numFmtId="0" fontId="63" fillId="0" borderId="18" xfId="0" applyFont="1" applyBorder="1" applyAlignment="1">
      <alignment horizontal="center" vertical="center"/>
    </xf>
    <xf numFmtId="0" fontId="63" fillId="0" borderId="18" xfId="0" applyFont="1" applyBorder="1" applyAlignment="1">
      <alignment horizontal="left" vertical="center"/>
    </xf>
    <xf numFmtId="1" fontId="68" fillId="0" borderId="18" xfId="0" applyNumberFormat="1" applyFont="1" applyBorder="1" applyAlignment="1" applyProtection="1">
      <alignment horizontal="center" vertical="center"/>
    </xf>
    <xf numFmtId="1" fontId="68" fillId="33" borderId="18" xfId="0" applyNumberFormat="1" applyFont="1" applyFill="1" applyBorder="1" applyAlignment="1" applyProtection="1">
      <alignment horizontal="center" vertical="center"/>
    </xf>
    <xf numFmtId="1" fontId="68" fillId="0" borderId="18" xfId="0" applyNumberFormat="1" applyFont="1" applyFill="1" applyBorder="1" applyAlignment="1" applyProtection="1">
      <alignment horizontal="center" vertical="center"/>
    </xf>
    <xf numFmtId="0" fontId="21" fillId="0" borderId="18" xfId="0" applyFont="1" applyFill="1" applyBorder="1" applyAlignment="1" applyProtection="1">
      <alignment vertical="center" wrapText="1"/>
    </xf>
    <xf numFmtId="0" fontId="14" fillId="0" borderId="18" xfId="0" applyFont="1" applyFill="1" applyBorder="1" applyAlignment="1" applyProtection="1">
      <alignment horizontal="center" vertical="center"/>
    </xf>
    <xf numFmtId="0" fontId="28" fillId="0" borderId="18" xfId="0" applyFont="1" applyFill="1" applyBorder="1" applyAlignment="1" applyProtection="1">
      <alignment horizontal="left" vertical="center" wrapText="1"/>
    </xf>
    <xf numFmtId="0" fontId="28" fillId="0" borderId="18" xfId="0" applyFont="1" applyFill="1" applyBorder="1" applyAlignment="1" applyProtection="1">
      <alignment vertical="center" wrapText="1"/>
    </xf>
    <xf numFmtId="0" fontId="17" fillId="0" borderId="18" xfId="0" applyFont="1" applyFill="1" applyBorder="1" applyProtection="1"/>
    <xf numFmtId="9" fontId="14" fillId="0" borderId="23" xfId="356" applyFont="1" applyBorder="1" applyAlignment="1" applyProtection="1">
      <alignment horizontal="left"/>
    </xf>
    <xf numFmtId="0" fontId="14" fillId="0" borderId="26" xfId="0" applyFont="1" applyBorder="1" applyAlignment="1" applyProtection="1">
      <alignment horizontal="left"/>
    </xf>
    <xf numFmtId="0" fontId="14" fillId="0" borderId="22" xfId="0" applyFont="1" applyBorder="1" applyAlignment="1" applyProtection="1"/>
    <xf numFmtId="0" fontId="65" fillId="0" borderId="24" xfId="0" applyFont="1" applyBorder="1" applyAlignment="1" applyProtection="1">
      <alignment horizontal="center"/>
    </xf>
    <xf numFmtId="0" fontId="14" fillId="38" borderId="20" xfId="0" applyFont="1" applyFill="1" applyBorder="1" applyAlignment="1" applyProtection="1">
      <alignment horizontal="left"/>
    </xf>
    <xf numFmtId="0" fontId="13" fillId="31" borderId="0" xfId="0" applyFont="1" applyFill="1" applyAlignment="1" applyProtection="1">
      <alignment horizontal="left" vertical="center" wrapText="1"/>
    </xf>
    <xf numFmtId="0" fontId="7" fillId="0" borderId="18" xfId="0" applyFont="1" applyBorder="1" applyAlignment="1" applyProtection="1">
      <alignment vertical="center"/>
    </xf>
    <xf numFmtId="0" fontId="21" fillId="29" borderId="0" xfId="0" applyFont="1" applyFill="1" applyAlignment="1" applyProtection="1">
      <alignment vertical="center"/>
    </xf>
    <xf numFmtId="0" fontId="21" fillId="28" borderId="0" xfId="0" applyFont="1" applyFill="1" applyAlignment="1" applyProtection="1">
      <alignment vertical="center"/>
    </xf>
    <xf numFmtId="0" fontId="68" fillId="31" borderId="0" xfId="0" applyFont="1" applyFill="1" applyAlignment="1" applyProtection="1">
      <alignment vertical="center"/>
    </xf>
    <xf numFmtId="0" fontId="21" fillId="29" borderId="0" xfId="0" applyFont="1" applyFill="1" applyAlignment="1" applyProtection="1">
      <alignment vertical="center" wrapText="1"/>
    </xf>
    <xf numFmtId="0" fontId="21" fillId="29" borderId="37" xfId="0" applyFont="1" applyFill="1" applyBorder="1" applyAlignment="1" applyProtection="1">
      <alignment horizontal="center" vertical="center" wrapText="1"/>
    </xf>
    <xf numFmtId="165" fontId="16" fillId="29" borderId="38" xfId="356" applyNumberFormat="1" applyFont="1" applyFill="1" applyBorder="1" applyAlignment="1" applyProtection="1">
      <alignment horizontal="center" vertical="center" wrapText="1"/>
    </xf>
    <xf numFmtId="0" fontId="28" fillId="39" borderId="0" xfId="0" applyFont="1" applyFill="1" applyBorder="1" applyAlignment="1" applyProtection="1">
      <alignment horizontal="left" vertical="center"/>
    </xf>
    <xf numFmtId="0" fontId="21" fillId="0" borderId="0" xfId="0" applyFont="1" applyFill="1" applyAlignment="1" applyProtection="1">
      <alignment horizontal="left"/>
    </xf>
    <xf numFmtId="1" fontId="7" fillId="0" borderId="0" xfId="441" applyNumberFormat="1" applyFont="1" applyBorder="1" applyAlignment="1" applyProtection="1">
      <alignment horizontal="center" vertical="center"/>
    </xf>
    <xf numFmtId="0" fontId="7" fillId="0" borderId="0" xfId="441" applyFont="1" applyBorder="1" applyAlignment="1" applyProtection="1">
      <alignment horizontal="center" vertical="center"/>
    </xf>
    <xf numFmtId="0" fontId="7" fillId="0" borderId="0" xfId="441" applyNumberFormat="1" applyFont="1" applyBorder="1" applyAlignment="1" applyProtection="1">
      <alignment horizontal="center" vertical="center"/>
    </xf>
    <xf numFmtId="0" fontId="17" fillId="0" borderId="0" xfId="0" applyFont="1" applyFill="1" applyBorder="1" applyProtection="1"/>
    <xf numFmtId="0" fontId="0" fillId="0" borderId="0" xfId="0" applyFill="1" applyBorder="1" applyAlignment="1">
      <alignment horizontal="center"/>
    </xf>
    <xf numFmtId="0" fontId="45" fillId="0" borderId="0" xfId="0" applyFont="1" applyFill="1" applyProtection="1"/>
    <xf numFmtId="0" fontId="65" fillId="33" borderId="0" xfId="0" applyFont="1" applyFill="1" applyAlignment="1" applyProtection="1">
      <alignment horizontal="left"/>
    </xf>
    <xf numFmtId="0" fontId="65" fillId="33" borderId="0" xfId="0" applyFont="1" applyFill="1" applyBorder="1" applyAlignment="1" applyProtection="1">
      <alignment horizontal="center"/>
    </xf>
    <xf numFmtId="0" fontId="65" fillId="33" borderId="0" xfId="0" applyFont="1" applyFill="1" applyAlignment="1" applyProtection="1"/>
    <xf numFmtId="0" fontId="65" fillId="33" borderId="18" xfId="0" applyFont="1" applyFill="1" applyBorder="1" applyAlignment="1" applyProtection="1"/>
    <xf numFmtId="0" fontId="65" fillId="33" borderId="25" xfId="0" applyFont="1" applyFill="1" applyBorder="1" applyAlignment="1" applyProtection="1">
      <alignment horizontal="left"/>
    </xf>
    <xf numFmtId="0" fontId="65" fillId="33" borderId="26" xfId="0" applyFont="1" applyFill="1" applyBorder="1" applyAlignment="1" applyProtection="1">
      <alignment horizontal="center"/>
    </xf>
    <xf numFmtId="0" fontId="65" fillId="33" borderId="18" xfId="0" applyFont="1" applyFill="1" applyBorder="1" applyAlignment="1" applyProtection="1">
      <alignment horizontal="center" vertical="center"/>
    </xf>
    <xf numFmtId="0" fontId="65" fillId="33" borderId="26" xfId="0" applyFont="1" applyFill="1" applyBorder="1" applyAlignment="1" applyProtection="1">
      <alignment horizontal="center" vertical="center"/>
    </xf>
    <xf numFmtId="0" fontId="65" fillId="33" borderId="25" xfId="0" applyFont="1" applyFill="1" applyBorder="1" applyAlignment="1" applyProtection="1"/>
    <xf numFmtId="0" fontId="65" fillId="33" borderId="23" xfId="0" applyFont="1" applyFill="1" applyBorder="1" applyAlignment="1" applyProtection="1"/>
    <xf numFmtId="0" fontId="65" fillId="0" borderId="25" xfId="0" applyFont="1" applyBorder="1" applyAlignment="1" applyProtection="1">
      <alignment wrapText="1"/>
    </xf>
    <xf numFmtId="0" fontId="7" fillId="0" borderId="40" xfId="0" applyFont="1" applyBorder="1" applyAlignment="1" applyProtection="1">
      <alignment textRotation="90" wrapText="1"/>
    </xf>
    <xf numFmtId="0" fontId="17" fillId="0" borderId="41" xfId="0" applyFont="1" applyBorder="1" applyProtection="1"/>
    <xf numFmtId="0" fontId="7" fillId="0" borderId="43" xfId="0" applyFont="1" applyBorder="1" applyAlignment="1" applyProtection="1">
      <alignment horizontal="center" vertical="center" wrapText="1"/>
    </xf>
    <xf numFmtId="0" fontId="57" fillId="0" borderId="44" xfId="0" applyNumberFormat="1" applyFont="1" applyBorder="1" applyAlignment="1" applyProtection="1">
      <alignment horizontal="center" vertical="center" wrapText="1"/>
    </xf>
    <xf numFmtId="0" fontId="57" fillId="0" borderId="45" xfId="0" applyNumberFormat="1" applyFont="1" applyBorder="1" applyAlignment="1" applyProtection="1">
      <alignment horizontal="center" vertical="center" wrapText="1"/>
    </xf>
    <xf numFmtId="0" fontId="57" fillId="0" borderId="46" xfId="0" applyNumberFormat="1" applyFont="1" applyBorder="1" applyAlignment="1" applyProtection="1">
      <alignment horizontal="center" vertical="center" wrapText="1"/>
    </xf>
    <xf numFmtId="0" fontId="58" fillId="0" borderId="47" xfId="0" applyNumberFormat="1" applyFont="1" applyFill="1" applyBorder="1" applyAlignment="1" applyProtection="1">
      <alignment horizontal="center" vertical="center"/>
    </xf>
    <xf numFmtId="1" fontId="7" fillId="0" borderId="47" xfId="0" applyNumberFormat="1" applyFont="1" applyFill="1" applyBorder="1" applyAlignment="1" applyProtection="1">
      <alignment horizontal="center" vertical="center"/>
    </xf>
    <xf numFmtId="0" fontId="7" fillId="0" borderId="48" xfId="0" applyNumberFormat="1" applyFont="1" applyBorder="1" applyAlignment="1" applyProtection="1">
      <alignment horizontal="center" vertical="center"/>
    </xf>
    <xf numFmtId="0" fontId="13" fillId="0" borderId="0" xfId="0" applyFont="1" applyFill="1" applyAlignment="1">
      <alignment horizontal="center"/>
    </xf>
    <xf numFmtId="0" fontId="13" fillId="0" borderId="0" xfId="0" applyFont="1" applyFill="1" applyAlignment="1" applyProtection="1">
      <alignment horizontal="center"/>
    </xf>
    <xf numFmtId="10" fontId="13" fillId="32" borderId="27" xfId="366" applyNumberFormat="1" applyFont="1" applyFill="1" applyBorder="1" applyAlignment="1" applyProtection="1">
      <alignment horizontal="center" vertical="center"/>
      <protection locked="0"/>
    </xf>
    <xf numFmtId="10" fontId="13" fillId="32" borderId="49" xfId="366" applyNumberFormat="1" applyFont="1" applyFill="1" applyBorder="1" applyAlignment="1" applyProtection="1">
      <alignment horizontal="center" vertical="center"/>
      <protection locked="0"/>
    </xf>
    <xf numFmtId="0" fontId="0" fillId="0" borderId="0" xfId="0"/>
    <xf numFmtId="14" fontId="68" fillId="0" borderId="0" xfId="0" applyNumberFormat="1" applyFont="1" applyBorder="1" applyAlignment="1" applyProtection="1">
      <alignment horizontal="left" vertical="center"/>
    </xf>
    <xf numFmtId="0" fontId="63" fillId="0" borderId="0" xfId="0" applyFont="1" applyAlignment="1">
      <alignment vertical="center"/>
    </xf>
    <xf numFmtId="0" fontId="63" fillId="0" borderId="0" xfId="0" applyFont="1" applyAlignment="1">
      <alignment horizontal="center" vertical="center"/>
    </xf>
    <xf numFmtId="0" fontId="63" fillId="0" borderId="0" xfId="0" applyFont="1"/>
    <xf numFmtId="4" fontId="63" fillId="0" borderId="18" xfId="0" applyNumberFormat="1" applyFont="1" applyBorder="1" applyAlignment="1">
      <alignment horizontal="center" vertical="center"/>
    </xf>
    <xf numFmtId="0" fontId="10" fillId="0" borderId="18" xfId="441" applyFont="1" applyBorder="1" applyAlignment="1" applyProtection="1">
      <alignment horizontal="left" vertical="center"/>
    </xf>
    <xf numFmtId="0" fontId="21" fillId="0" borderId="18" xfId="0" applyFont="1" applyBorder="1" applyAlignment="1" applyProtection="1">
      <alignment horizontal="left" vertical="center"/>
    </xf>
    <xf numFmtId="0" fontId="68" fillId="0" borderId="18" xfId="0" applyFont="1" applyBorder="1" applyAlignment="1">
      <alignment horizontal="center" vertical="center"/>
    </xf>
    <xf numFmtId="0" fontId="28" fillId="0" borderId="18" xfId="0" applyFont="1" applyFill="1" applyBorder="1" applyAlignment="1" applyProtection="1">
      <alignment horizontal="center" vertical="center" wrapText="1"/>
    </xf>
    <xf numFmtId="0" fontId="68" fillId="0" borderId="18" xfId="0" applyFont="1" applyBorder="1" applyAlignment="1">
      <alignment vertical="center" wrapText="1"/>
    </xf>
    <xf numFmtId="165" fontId="3" fillId="0" borderId="0" xfId="441" applyNumberFormat="1" applyFont="1" applyFill="1" applyBorder="1" applyAlignment="1" applyProtection="1">
      <alignment horizontal="center" vertical="center"/>
    </xf>
    <xf numFmtId="0" fontId="16" fillId="0" borderId="0" xfId="0" applyFont="1" applyFill="1" applyProtection="1"/>
    <xf numFmtId="0" fontId="8" fillId="0" borderId="18" xfId="0" applyFont="1" applyBorder="1" applyAlignment="1" applyProtection="1">
      <alignment horizontal="center" vertical="center" wrapText="1"/>
    </xf>
    <xf numFmtId="0" fontId="67" fillId="0" borderId="18" xfId="0" applyFont="1" applyBorder="1" applyAlignment="1" applyProtection="1">
      <alignment horizontal="center" vertical="center"/>
    </xf>
    <xf numFmtId="0" fontId="67" fillId="0" borderId="18" xfId="0" applyFont="1" applyBorder="1" applyAlignment="1">
      <alignment horizontal="center" vertical="center" wrapText="1"/>
    </xf>
    <xf numFmtId="0" fontId="21" fillId="0" borderId="18" xfId="0" applyFont="1" applyBorder="1" applyAlignment="1" applyProtection="1">
      <alignment horizontal="left" vertical="center" wrapText="1"/>
    </xf>
    <xf numFmtId="0" fontId="21" fillId="0" borderId="0" xfId="0" applyNumberFormat="1" applyFont="1" applyBorder="1" applyAlignment="1" applyProtection="1">
      <alignment horizontal="center" vertical="center"/>
    </xf>
    <xf numFmtId="0" fontId="13" fillId="0" borderId="18" xfId="0" applyFont="1" applyBorder="1" applyAlignment="1" applyProtection="1">
      <alignment horizontal="left" vertical="center"/>
    </xf>
    <xf numFmtId="0" fontId="70" fillId="0" borderId="0" xfId="0" applyFont="1" applyAlignment="1" applyProtection="1">
      <alignment vertical="center"/>
    </xf>
    <xf numFmtId="0" fontId="21" fillId="0" borderId="18" xfId="0" applyFont="1" applyBorder="1" applyAlignment="1" applyProtection="1">
      <alignment vertical="center"/>
    </xf>
    <xf numFmtId="0" fontId="13" fillId="0" borderId="18" xfId="0" applyFont="1" applyBorder="1" applyAlignment="1" applyProtection="1">
      <alignment horizontal="center" vertical="center"/>
    </xf>
    <xf numFmtId="0" fontId="14" fillId="0" borderId="18" xfId="0" applyFont="1" applyBorder="1" applyAlignment="1" applyProtection="1">
      <alignment wrapText="1"/>
    </xf>
    <xf numFmtId="0" fontId="68" fillId="0" borderId="0" xfId="0" applyFont="1" applyAlignment="1">
      <alignment vertical="center"/>
    </xf>
    <xf numFmtId="0" fontId="21" fillId="0" borderId="50" xfId="0" applyFont="1" applyFill="1" applyBorder="1" applyAlignment="1" applyProtection="1">
      <alignment horizontal="center" vertical="center"/>
    </xf>
    <xf numFmtId="0" fontId="21" fillId="0" borderId="36" xfId="0" applyFont="1" applyFill="1" applyBorder="1" applyAlignment="1" applyProtection="1">
      <alignment horizontal="center" vertical="center"/>
    </xf>
    <xf numFmtId="0" fontId="63" fillId="29" borderId="20" xfId="0" applyFont="1" applyFill="1" applyBorder="1" applyAlignment="1">
      <alignment horizontal="center" vertical="center" wrapText="1"/>
    </xf>
    <xf numFmtId="0" fontId="63" fillId="29" borderId="33" xfId="0" applyFont="1" applyFill="1" applyBorder="1" applyAlignment="1">
      <alignment horizontal="center" vertical="center"/>
    </xf>
    <xf numFmtId="0" fontId="63" fillId="29" borderId="29" xfId="0" applyFont="1" applyFill="1" applyBorder="1" applyAlignment="1">
      <alignment horizontal="center" vertical="center"/>
    </xf>
    <xf numFmtId="0" fontId="13" fillId="38" borderId="33" xfId="0" applyNumberFormat="1" applyFont="1" applyFill="1" applyBorder="1" applyAlignment="1" applyProtection="1">
      <alignment horizontal="center" vertical="center" wrapText="1"/>
    </xf>
    <xf numFmtId="0" fontId="13" fillId="38" borderId="28" xfId="0" applyNumberFormat="1" applyFont="1" applyFill="1" applyBorder="1" applyAlignment="1" applyProtection="1">
      <alignment horizontal="center" vertical="center" wrapText="1"/>
    </xf>
    <xf numFmtId="0" fontId="13" fillId="38" borderId="29" xfId="0" applyNumberFormat="1" applyFont="1" applyFill="1" applyBorder="1" applyAlignment="1" applyProtection="1">
      <alignment horizontal="center" vertical="center" wrapText="1"/>
    </xf>
    <xf numFmtId="0" fontId="21" fillId="0" borderId="51" xfId="0" applyFont="1" applyFill="1" applyBorder="1" applyAlignment="1" applyProtection="1">
      <alignment horizontal="center" vertical="center"/>
    </xf>
    <xf numFmtId="0" fontId="21" fillId="0" borderId="52" xfId="0" applyFont="1" applyFill="1" applyBorder="1" applyAlignment="1" applyProtection="1">
      <alignment horizontal="center" vertical="center"/>
    </xf>
    <xf numFmtId="49" fontId="13" fillId="38" borderId="53" xfId="0" applyNumberFormat="1" applyFont="1" applyFill="1" applyBorder="1" applyAlignment="1" applyProtection="1">
      <alignment horizontal="center" vertical="center" wrapText="1"/>
    </xf>
    <xf numFmtId="0" fontId="21" fillId="0" borderId="54" xfId="0" applyFont="1" applyFill="1" applyBorder="1" applyAlignment="1" applyProtection="1">
      <alignment horizontal="center" vertical="center"/>
    </xf>
    <xf numFmtId="0" fontId="21" fillId="0" borderId="55" xfId="0" applyFont="1" applyFill="1" applyBorder="1" applyAlignment="1" applyProtection="1">
      <alignment horizontal="center" vertical="center"/>
    </xf>
    <xf numFmtId="0" fontId="21" fillId="0" borderId="35" xfId="0" applyFont="1" applyFill="1" applyBorder="1" applyAlignment="1" applyProtection="1">
      <alignment horizontal="center" vertical="center"/>
    </xf>
    <xf numFmtId="0" fontId="21" fillId="30" borderId="18" xfId="0" applyFont="1" applyFill="1" applyBorder="1" applyAlignment="1" applyProtection="1">
      <alignment horizontal="center" vertical="center"/>
    </xf>
    <xf numFmtId="0" fontId="21" fillId="38" borderId="18" xfId="0" applyFont="1" applyFill="1" applyBorder="1" applyAlignment="1" applyProtection="1">
      <alignment horizontal="center" vertical="center"/>
    </xf>
    <xf numFmtId="0" fontId="68" fillId="38" borderId="18" xfId="0" applyFont="1" applyFill="1" applyBorder="1" applyAlignment="1">
      <alignment horizontal="center" vertical="center"/>
    </xf>
    <xf numFmtId="0" fontId="99" fillId="0" borderId="0" xfId="0" applyFont="1" applyAlignment="1">
      <alignment horizontal="left" vertical="center"/>
    </xf>
    <xf numFmtId="0" fontId="99" fillId="0" borderId="0" xfId="0" applyFont="1" applyAlignment="1">
      <alignment vertical="center"/>
    </xf>
    <xf numFmtId="0" fontId="100" fillId="0" borderId="18" xfId="0" applyFont="1" applyBorder="1" applyAlignment="1">
      <alignment horizontal="center" vertical="center" wrapText="1"/>
    </xf>
    <xf numFmtId="0" fontId="100" fillId="0" borderId="18" xfId="0" applyFont="1" applyBorder="1" applyAlignment="1">
      <alignment horizontal="center" vertical="center"/>
    </xf>
    <xf numFmtId="0" fontId="99" fillId="0" borderId="0" xfId="0" applyFont="1" applyAlignment="1">
      <alignment horizontal="left" vertical="center" wrapText="1"/>
    </xf>
    <xf numFmtId="0" fontId="99" fillId="0" borderId="0" xfId="0" applyFont="1" applyAlignment="1">
      <alignment horizontal="center" vertical="center"/>
    </xf>
    <xf numFmtId="0" fontId="16" fillId="0" borderId="57" xfId="0" applyFont="1" applyBorder="1" applyAlignment="1" applyProtection="1">
      <alignment horizontal="left" vertical="center" wrapText="1"/>
    </xf>
    <xf numFmtId="0" fontId="21" fillId="0" borderId="54" xfId="0" applyFont="1" applyFill="1" applyBorder="1" applyAlignment="1" applyProtection="1">
      <alignment horizontal="left" vertical="center" wrapText="1"/>
    </xf>
    <xf numFmtId="0" fontId="16" fillId="0" borderId="23" xfId="0" applyFont="1" applyBorder="1" applyAlignment="1" applyProtection="1">
      <alignment horizontal="left" vertical="center" wrapText="1"/>
    </xf>
    <xf numFmtId="0" fontId="21" fillId="0" borderId="18" xfId="0" applyFont="1" applyFill="1" applyBorder="1" applyAlignment="1" applyProtection="1">
      <alignment horizontal="left" vertical="center" wrapText="1"/>
    </xf>
    <xf numFmtId="0" fontId="21" fillId="0" borderId="55" xfId="0" applyFont="1" applyFill="1" applyBorder="1" applyAlignment="1" applyProtection="1">
      <alignment horizontal="left" vertical="center" wrapText="1"/>
    </xf>
    <xf numFmtId="0" fontId="16" fillId="0" borderId="57" xfId="0" applyFont="1" applyFill="1" applyBorder="1" applyAlignment="1" applyProtection="1">
      <alignment horizontal="left" vertical="center" wrapText="1"/>
    </xf>
    <xf numFmtId="0" fontId="16" fillId="0" borderId="23" xfId="0" applyFont="1" applyFill="1" applyBorder="1" applyAlignment="1" applyProtection="1">
      <alignment horizontal="left" vertical="center" wrapText="1"/>
    </xf>
    <xf numFmtId="0" fontId="16" fillId="0" borderId="58" xfId="0" applyFont="1" applyFill="1" applyBorder="1" applyAlignment="1" applyProtection="1">
      <alignment horizontal="left" vertical="center" wrapText="1"/>
    </xf>
    <xf numFmtId="0" fontId="21" fillId="0" borderId="59" xfId="0" applyFont="1" applyFill="1" applyBorder="1" applyAlignment="1" applyProtection="1">
      <alignment horizontal="left" vertical="center" wrapText="1"/>
    </xf>
    <xf numFmtId="0" fontId="21" fillId="0" borderId="35" xfId="0" applyFont="1" applyFill="1" applyBorder="1" applyAlignment="1" applyProtection="1">
      <alignment horizontal="left" vertical="center" wrapText="1"/>
    </xf>
    <xf numFmtId="0" fontId="101" fillId="0" borderId="0" xfId="0" applyFont="1"/>
    <xf numFmtId="0" fontId="101" fillId="0" borderId="0" xfId="0" applyFont="1" applyAlignment="1">
      <alignment horizontal="center" vertical="center"/>
    </xf>
    <xf numFmtId="0" fontId="21" fillId="0" borderId="0" xfId="0" applyFont="1"/>
    <xf numFmtId="0" fontId="101" fillId="0" borderId="0" xfId="0" applyFont="1" applyFill="1"/>
    <xf numFmtId="0" fontId="13" fillId="0" borderId="18" xfId="0" applyFont="1" applyFill="1" applyBorder="1" applyAlignment="1">
      <alignment horizontal="left" vertical="center" wrapText="1"/>
    </xf>
    <xf numFmtId="14" fontId="13" fillId="0" borderId="0" xfId="0" applyNumberFormat="1" applyFont="1" applyFill="1" applyAlignment="1">
      <alignment horizontal="center"/>
    </xf>
    <xf numFmtId="0" fontId="101" fillId="0" borderId="0" xfId="0" applyFont="1" applyFill="1" applyAlignment="1">
      <alignment horizontal="center" vertical="center"/>
    </xf>
    <xf numFmtId="0" fontId="28" fillId="38" borderId="20" xfId="0" applyFont="1" applyFill="1" applyBorder="1" applyAlignment="1">
      <alignment horizontal="center"/>
    </xf>
    <xf numFmtId="0" fontId="28" fillId="38" borderId="20" xfId="0" applyFont="1" applyFill="1" applyBorder="1" applyAlignment="1">
      <alignment horizontal="center" vertical="center"/>
    </xf>
    <xf numFmtId="0" fontId="99" fillId="0" borderId="0" xfId="0" applyFont="1" applyAlignment="1">
      <alignment horizontal="center"/>
    </xf>
    <xf numFmtId="0" fontId="10" fillId="38" borderId="20" xfId="0" applyFont="1" applyFill="1" applyBorder="1" applyAlignment="1">
      <alignment horizontal="center"/>
    </xf>
    <xf numFmtId="0" fontId="99" fillId="38" borderId="20" xfId="0" applyFont="1" applyFill="1" applyBorder="1" applyAlignment="1">
      <alignment horizontal="center"/>
    </xf>
    <xf numFmtId="0" fontId="99" fillId="38" borderId="20" xfId="0" applyFont="1" applyFill="1" applyBorder="1" applyAlignment="1">
      <alignment horizontal="center" vertical="center"/>
    </xf>
    <xf numFmtId="14" fontId="99" fillId="38" borderId="20" xfId="0" applyNumberFormat="1" applyFont="1" applyFill="1" applyBorder="1" applyAlignment="1">
      <alignment horizontal="center"/>
    </xf>
    <xf numFmtId="0" fontId="65" fillId="0" borderId="18" xfId="0" applyFont="1" applyBorder="1" applyAlignment="1">
      <alignment horizontal="left" vertical="center"/>
    </xf>
    <xf numFmtId="14" fontId="65" fillId="0" borderId="18" xfId="0" applyNumberFormat="1" applyFont="1" applyBorder="1" applyAlignment="1">
      <alignment horizontal="left" vertical="center"/>
    </xf>
    <xf numFmtId="14" fontId="68" fillId="0" borderId="18" xfId="0" applyNumberFormat="1" applyFont="1" applyBorder="1" applyAlignment="1" applyProtection="1">
      <alignment horizontal="left" vertical="center"/>
    </xf>
    <xf numFmtId="0" fontId="21" fillId="0" borderId="62" xfId="0" applyFont="1" applyFill="1" applyBorder="1" applyAlignment="1" applyProtection="1">
      <alignment horizontal="center" vertical="center"/>
    </xf>
    <xf numFmtId="0" fontId="21" fillId="0" borderId="63" xfId="0" applyFont="1" applyFill="1" applyBorder="1" applyAlignment="1" applyProtection="1">
      <alignment horizontal="center" vertical="center"/>
    </xf>
    <xf numFmtId="0" fontId="21" fillId="0" borderId="64" xfId="0" applyFont="1" applyFill="1" applyBorder="1" applyAlignment="1" applyProtection="1">
      <alignment horizontal="center" vertical="center"/>
    </xf>
    <xf numFmtId="14" fontId="13" fillId="73" borderId="18" xfId="0" applyNumberFormat="1" applyFont="1" applyFill="1" applyBorder="1" applyAlignment="1">
      <alignment horizontal="center" vertical="center"/>
    </xf>
    <xf numFmtId="0" fontId="15" fillId="33" borderId="0" xfId="0" applyFont="1" applyFill="1" applyAlignment="1" applyProtection="1">
      <alignment horizontal="center" vertical="center"/>
    </xf>
    <xf numFmtId="0" fontId="15" fillId="33" borderId="0" xfId="0" applyFont="1" applyFill="1" applyBorder="1" applyAlignment="1" applyProtection="1">
      <alignment horizontal="center" vertical="center"/>
    </xf>
    <xf numFmtId="9" fontId="15" fillId="33" borderId="0" xfId="356" applyFont="1" applyFill="1" applyBorder="1" applyAlignment="1" applyProtection="1">
      <alignment horizontal="center" vertical="center"/>
    </xf>
    <xf numFmtId="0" fontId="15" fillId="33" borderId="26" xfId="0" applyFont="1" applyFill="1" applyBorder="1" applyAlignment="1" applyProtection="1">
      <alignment horizontal="center" vertical="center"/>
    </xf>
    <xf numFmtId="0" fontId="15" fillId="33" borderId="18" xfId="0" applyFont="1" applyFill="1" applyBorder="1" applyAlignment="1" applyProtection="1">
      <alignment horizontal="center" vertical="center"/>
    </xf>
    <xf numFmtId="166" fontId="15" fillId="33" borderId="18" xfId="0" applyNumberFormat="1" applyFont="1" applyFill="1" applyBorder="1" applyAlignment="1" applyProtection="1">
      <alignment horizontal="center" vertical="center"/>
    </xf>
    <xf numFmtId="166" fontId="15" fillId="33" borderId="26" xfId="356" applyNumberFormat="1" applyFont="1" applyFill="1" applyBorder="1" applyAlignment="1" applyProtection="1">
      <alignment horizontal="center"/>
    </xf>
    <xf numFmtId="166" fontId="15" fillId="33" borderId="18" xfId="356" applyNumberFormat="1" applyFont="1" applyFill="1" applyBorder="1" applyAlignment="1" applyProtection="1">
      <alignment horizontal="center" vertical="center"/>
    </xf>
    <xf numFmtId="166" fontId="102" fillId="33" borderId="18" xfId="0" applyNumberFormat="1" applyFont="1" applyFill="1" applyBorder="1" applyAlignment="1" applyProtection="1">
      <alignment horizontal="center" vertical="center"/>
    </xf>
    <xf numFmtId="9" fontId="102" fillId="33" borderId="18" xfId="0" applyNumberFormat="1" applyFont="1" applyFill="1" applyBorder="1" applyAlignment="1" applyProtection="1">
      <alignment horizontal="center" vertical="center"/>
    </xf>
    <xf numFmtId="9" fontId="15" fillId="33" borderId="18" xfId="366" applyFont="1" applyFill="1" applyBorder="1" applyAlignment="1" applyProtection="1">
      <alignment horizontal="center" vertical="center"/>
    </xf>
    <xf numFmtId="9" fontId="15" fillId="33" borderId="18" xfId="356" applyFont="1" applyFill="1" applyBorder="1" applyAlignment="1" applyProtection="1">
      <alignment horizontal="center" vertical="center"/>
    </xf>
    <xf numFmtId="166" fontId="15" fillId="33" borderId="18" xfId="356" applyNumberFormat="1" applyFont="1" applyFill="1" applyBorder="1" applyAlignment="1" applyProtection="1">
      <alignment horizontal="center"/>
    </xf>
    <xf numFmtId="166" fontId="102" fillId="33" borderId="18" xfId="0" applyNumberFormat="1" applyFont="1" applyFill="1" applyBorder="1" applyAlignment="1" applyProtection="1">
      <alignment horizontal="center"/>
    </xf>
    <xf numFmtId="9" fontId="102" fillId="33" borderId="18" xfId="0" applyNumberFormat="1" applyFont="1" applyFill="1" applyBorder="1" applyAlignment="1" applyProtection="1">
      <alignment horizontal="center"/>
    </xf>
    <xf numFmtId="9" fontId="15" fillId="33" borderId="18" xfId="366" applyFont="1" applyFill="1" applyBorder="1" applyAlignment="1" applyProtection="1">
      <alignment horizontal="center"/>
    </xf>
    <xf numFmtId="9" fontId="15" fillId="33" borderId="18" xfId="356" applyFont="1" applyFill="1" applyBorder="1" applyAlignment="1" applyProtection="1">
      <alignment horizontal="center"/>
    </xf>
    <xf numFmtId="166" fontId="65" fillId="0" borderId="18" xfId="356" applyNumberFormat="1" applyFont="1" applyFill="1" applyBorder="1" applyAlignment="1" applyProtection="1">
      <alignment horizontal="center"/>
    </xf>
    <xf numFmtId="0" fontId="7" fillId="0" borderId="0" xfId="0" applyFont="1" applyBorder="1"/>
    <xf numFmtId="0" fontId="13" fillId="0" borderId="0" xfId="0" applyFont="1" applyBorder="1"/>
    <xf numFmtId="0" fontId="101" fillId="0" borderId="0" xfId="0" applyFont="1" applyBorder="1"/>
    <xf numFmtId="0" fontId="17" fillId="0" borderId="0" xfId="0" applyFont="1" applyBorder="1"/>
    <xf numFmtId="0" fontId="10" fillId="0" borderId="0" xfId="0" applyFont="1" applyBorder="1" applyAlignment="1">
      <alignment horizontal="center" vertical="center"/>
    </xf>
    <xf numFmtId="0" fontId="10" fillId="0" borderId="0" xfId="0" applyFont="1" applyBorder="1"/>
    <xf numFmtId="0" fontId="7" fillId="0" borderId="18" xfId="0" applyFont="1" applyBorder="1" applyAlignment="1">
      <alignment horizontal="left"/>
    </xf>
    <xf numFmtId="0" fontId="103" fillId="0" borderId="18" xfId="0" applyFont="1" applyBorder="1" applyAlignment="1">
      <alignment horizontal="left"/>
    </xf>
    <xf numFmtId="0" fontId="7" fillId="0" borderId="26" xfId="0" applyFont="1" applyBorder="1" applyAlignment="1">
      <alignment horizontal="left"/>
    </xf>
    <xf numFmtId="0" fontId="7" fillId="0" borderId="23" xfId="0" applyFont="1" applyBorder="1" applyAlignment="1">
      <alignment horizontal="left"/>
    </xf>
    <xf numFmtId="0" fontId="103" fillId="0" borderId="23" xfId="0" applyFont="1" applyBorder="1" applyAlignment="1">
      <alignment horizontal="left"/>
    </xf>
    <xf numFmtId="0" fontId="8" fillId="0" borderId="32" xfId="0" applyFont="1" applyBorder="1" applyAlignment="1">
      <alignment horizontal="left"/>
    </xf>
    <xf numFmtId="0" fontId="8" fillId="0" borderId="24" xfId="0" applyFont="1" applyBorder="1" applyAlignment="1">
      <alignment horizontal="left"/>
    </xf>
    <xf numFmtId="0" fontId="8" fillId="0" borderId="21" xfId="0" applyFont="1" applyBorder="1" applyAlignment="1">
      <alignment horizontal="left"/>
    </xf>
    <xf numFmtId="0" fontId="7" fillId="0" borderId="65" xfId="0" applyFont="1" applyBorder="1" applyAlignment="1">
      <alignment horizontal="left"/>
    </xf>
    <xf numFmtId="0" fontId="103" fillId="0" borderId="22" xfId="0" applyFont="1" applyBorder="1" applyAlignment="1">
      <alignment horizontal="left"/>
    </xf>
    <xf numFmtId="0" fontId="103" fillId="0" borderId="19" xfId="0" applyFont="1" applyBorder="1" applyAlignment="1">
      <alignment horizontal="left"/>
    </xf>
    <xf numFmtId="0" fontId="25" fillId="0" borderId="20" xfId="0" applyFont="1" applyBorder="1" applyAlignment="1" applyProtection="1">
      <alignment horizontal="center" vertical="center" wrapText="1"/>
    </xf>
    <xf numFmtId="0" fontId="0" fillId="0" borderId="0" xfId="0" applyBorder="1" applyAlignment="1">
      <alignment horizontal="center"/>
    </xf>
    <xf numFmtId="0" fontId="17" fillId="0" borderId="0" xfId="0" applyFont="1" applyAlignment="1" applyProtection="1">
      <alignment horizontal="center"/>
    </xf>
    <xf numFmtId="14" fontId="28" fillId="0" borderId="0" xfId="0" applyNumberFormat="1" applyFont="1" applyFill="1" applyBorder="1" applyAlignment="1" applyProtection="1">
      <alignment horizontal="center" vertical="center"/>
    </xf>
    <xf numFmtId="0" fontId="104" fillId="0" borderId="18" xfId="0" applyNumberFormat="1" applyFont="1" applyBorder="1" applyAlignment="1">
      <alignment horizontal="center" vertical="center" wrapText="1"/>
    </xf>
    <xf numFmtId="0" fontId="103" fillId="74" borderId="18" xfId="0" applyFont="1" applyFill="1" applyBorder="1" applyAlignment="1">
      <alignment vertical="center"/>
    </xf>
    <xf numFmtId="0" fontId="104" fillId="0" borderId="0" xfId="0" applyFont="1" applyAlignment="1">
      <alignment vertical="center"/>
    </xf>
    <xf numFmtId="9" fontId="104" fillId="0" borderId="18" xfId="0" applyNumberFormat="1" applyFont="1" applyBorder="1" applyAlignment="1">
      <alignment horizontal="center" vertical="center" wrapText="1"/>
    </xf>
    <xf numFmtId="0" fontId="16" fillId="0" borderId="0" xfId="441" applyFont="1" applyAlignment="1" applyProtection="1">
      <alignment horizontal="left" vertical="center"/>
    </xf>
    <xf numFmtId="0" fontId="104" fillId="0" borderId="18" xfId="0" applyNumberFormat="1" applyFont="1" applyBorder="1" applyAlignment="1">
      <alignment horizontal="left" vertical="center" wrapText="1"/>
    </xf>
    <xf numFmtId="0" fontId="103" fillId="0" borderId="0" xfId="0" applyFont="1" applyAlignment="1">
      <alignment vertical="center"/>
    </xf>
    <xf numFmtId="0" fontId="103" fillId="0" borderId="0" xfId="0" applyFont="1" applyAlignment="1">
      <alignment vertical="center" wrapText="1"/>
    </xf>
    <xf numFmtId="0" fontId="103" fillId="0" borderId="0" xfId="0" applyFont="1" applyAlignment="1">
      <alignment horizontal="center" vertical="center"/>
    </xf>
    <xf numFmtId="0" fontId="103" fillId="0" borderId="0" xfId="0" applyFont="1" applyAlignment="1">
      <alignment horizontal="left" vertical="center"/>
    </xf>
    <xf numFmtId="0" fontId="103" fillId="0" borderId="18" xfId="0" applyFont="1" applyBorder="1" applyAlignment="1">
      <alignment horizontal="center" vertical="center"/>
    </xf>
    <xf numFmtId="0" fontId="103" fillId="0" borderId="18" xfId="0" applyFont="1" applyBorder="1" applyAlignment="1">
      <alignment vertical="center" wrapText="1"/>
    </xf>
    <xf numFmtId="0" fontId="103" fillId="0" borderId="18" xfId="0" applyFont="1" applyBorder="1" applyAlignment="1">
      <alignment horizontal="left" vertical="center"/>
    </xf>
    <xf numFmtId="0" fontId="103" fillId="0" borderId="18" xfId="0" applyFont="1" applyBorder="1" applyAlignment="1">
      <alignment vertical="center"/>
    </xf>
    <xf numFmtId="0" fontId="103" fillId="0" borderId="0" xfId="0" applyFont="1" applyAlignment="1">
      <alignment horizontal="center" vertical="center" wrapText="1"/>
    </xf>
    <xf numFmtId="9" fontId="103" fillId="0" borderId="18" xfId="0" applyNumberFormat="1" applyFont="1" applyBorder="1" applyAlignment="1">
      <alignment horizontal="center" vertical="center"/>
    </xf>
    <xf numFmtId="9" fontId="103" fillId="0" borderId="18" xfId="0" applyNumberFormat="1" applyFont="1" applyBorder="1" applyAlignment="1">
      <alignment horizontal="center" vertical="center" wrapText="1"/>
    </xf>
    <xf numFmtId="0" fontId="13" fillId="0" borderId="0" xfId="0" applyFont="1" applyBorder="1" applyAlignment="1">
      <alignment horizontal="left" vertical="center" wrapText="1"/>
    </xf>
    <xf numFmtId="0" fontId="21" fillId="74" borderId="18" xfId="0" applyFont="1" applyFill="1" applyBorder="1" applyAlignment="1" applyProtection="1">
      <alignment horizontal="center" vertical="center"/>
    </xf>
    <xf numFmtId="0" fontId="13" fillId="0" borderId="0" xfId="0" applyFont="1" applyAlignment="1" applyProtection="1">
      <alignment horizontal="left" vertical="top"/>
    </xf>
    <xf numFmtId="0" fontId="4" fillId="0" borderId="0" xfId="441" applyFont="1" applyAlignment="1" applyProtection="1">
      <alignment horizontal="left" vertical="center"/>
    </xf>
    <xf numFmtId="0" fontId="0" fillId="0" borderId="0" xfId="0" quotePrefix="1" applyAlignment="1">
      <alignment vertical="center"/>
    </xf>
    <xf numFmtId="0" fontId="14" fillId="0" borderId="0" xfId="0" applyFont="1" applyAlignment="1" applyProtection="1">
      <alignment vertical="center"/>
    </xf>
    <xf numFmtId="0" fontId="17" fillId="0" borderId="0" xfId="0" applyFont="1" applyAlignment="1" applyProtection="1">
      <alignment horizontal="left" vertical="center"/>
    </xf>
    <xf numFmtId="0" fontId="17" fillId="0" borderId="0" xfId="0" applyFont="1" applyFill="1" applyAlignment="1" applyProtection="1">
      <alignment horizontal="left" vertical="center"/>
    </xf>
    <xf numFmtId="0" fontId="15" fillId="74" borderId="0" xfId="0" applyFont="1" applyFill="1" applyAlignment="1" applyProtection="1">
      <alignment horizontal="center" vertical="center"/>
    </xf>
    <xf numFmtId="0" fontId="23" fillId="0" borderId="0" xfId="0" applyFont="1" applyAlignment="1" applyProtection="1">
      <alignment horizontal="left" vertical="center"/>
    </xf>
    <xf numFmtId="14" fontId="28" fillId="34" borderId="18" xfId="0" applyNumberFormat="1" applyFont="1" applyFill="1" applyBorder="1" applyAlignment="1" applyProtection="1">
      <alignment horizontal="center" vertical="center"/>
    </xf>
    <xf numFmtId="0" fontId="15" fillId="0" borderId="0" xfId="0" applyFont="1" applyAlignment="1" applyProtection="1">
      <alignment horizontal="center" vertical="center"/>
    </xf>
    <xf numFmtId="0" fontId="0" fillId="0" borderId="0" xfId="0" applyAlignment="1">
      <alignment horizontal="center" vertical="center"/>
    </xf>
    <xf numFmtId="0" fontId="17" fillId="0" borderId="0" xfId="0" applyFont="1" applyAlignment="1" applyProtection="1">
      <alignment vertical="center"/>
    </xf>
    <xf numFmtId="0" fontId="0" fillId="0" borderId="0" xfId="0" applyAlignment="1">
      <alignment vertical="center"/>
    </xf>
    <xf numFmtId="0" fontId="15" fillId="0" borderId="0" xfId="0" applyFont="1" applyAlignment="1" applyProtection="1">
      <alignment vertical="center"/>
    </xf>
    <xf numFmtId="0" fontId="103" fillId="0" borderId="22" xfId="0" applyFont="1" applyBorder="1" applyAlignment="1">
      <alignment horizontal="center" vertical="center" wrapText="1"/>
    </xf>
    <xf numFmtId="0" fontId="13" fillId="0" borderId="0" xfId="0" applyFont="1" applyBorder="1" applyAlignment="1">
      <alignment horizontal="center" vertical="center" wrapText="1"/>
    </xf>
    <xf numFmtId="10" fontId="13" fillId="0" borderId="0" xfId="0" applyNumberFormat="1" applyFont="1" applyBorder="1" applyAlignment="1">
      <alignment horizontal="center" vertical="center" wrapText="1"/>
    </xf>
    <xf numFmtId="9" fontId="13" fillId="0" borderId="0" xfId="0" applyNumberFormat="1" applyFont="1" applyBorder="1" applyAlignment="1">
      <alignment horizontal="center" vertical="center" wrapText="1"/>
    </xf>
    <xf numFmtId="0" fontId="105" fillId="0" borderId="0" xfId="0" applyFont="1" applyFill="1" applyBorder="1" applyAlignment="1">
      <alignment horizontal="center" vertical="center"/>
    </xf>
    <xf numFmtId="0" fontId="99" fillId="0" borderId="18" xfId="0" applyFont="1" applyBorder="1" applyAlignment="1" applyProtection="1">
      <alignment horizontal="center" vertical="center"/>
    </xf>
    <xf numFmtId="0" fontId="99" fillId="0" borderId="18" xfId="0" applyFont="1" applyBorder="1" applyAlignment="1" applyProtection="1">
      <alignment horizontal="left" vertical="center"/>
    </xf>
    <xf numFmtId="0" fontId="99" fillId="0" borderId="18" xfId="0" applyFont="1" applyBorder="1" applyAlignment="1">
      <alignment horizontal="left" vertical="center"/>
    </xf>
    <xf numFmtId="10" fontId="21" fillId="33" borderId="18" xfId="0" applyNumberFormat="1" applyFont="1" applyFill="1" applyBorder="1" applyAlignment="1" applyProtection="1">
      <alignment horizontal="center" vertical="center"/>
    </xf>
    <xf numFmtId="10" fontId="21" fillId="27" borderId="18" xfId="0" applyNumberFormat="1" applyFont="1" applyFill="1" applyBorder="1" applyAlignment="1" applyProtection="1">
      <alignment horizontal="center" vertical="center"/>
    </xf>
    <xf numFmtId="2" fontId="68" fillId="33" borderId="18" xfId="0" applyNumberFormat="1" applyFont="1" applyFill="1" applyBorder="1" applyAlignment="1" applyProtection="1">
      <alignment horizontal="center" vertical="center"/>
    </xf>
    <xf numFmtId="2" fontId="68" fillId="0" borderId="18" xfId="0" applyNumberFormat="1" applyFont="1" applyBorder="1" applyAlignment="1" applyProtection="1">
      <alignment horizontal="center" vertical="center"/>
    </xf>
    <xf numFmtId="2" fontId="99" fillId="0" borderId="18" xfId="0" applyNumberFormat="1" applyFont="1" applyBorder="1" applyAlignment="1" applyProtection="1">
      <alignment horizontal="center" vertical="center"/>
    </xf>
    <xf numFmtId="0" fontId="101" fillId="0" borderId="0" xfId="0" applyFont="1" applyFill="1" applyProtection="1"/>
    <xf numFmtId="10" fontId="7" fillId="0" borderId="34" xfId="366" applyNumberFormat="1" applyFont="1" applyFill="1" applyBorder="1" applyAlignment="1" applyProtection="1">
      <alignment horizontal="center" vertical="center"/>
    </xf>
    <xf numFmtId="10" fontId="13" fillId="0" borderId="20" xfId="366" applyNumberFormat="1" applyFont="1" applyFill="1" applyBorder="1" applyAlignment="1" applyProtection="1">
      <alignment horizontal="center" vertical="center"/>
    </xf>
    <xf numFmtId="10" fontId="25" fillId="27" borderId="20" xfId="356" applyNumberFormat="1" applyFont="1" applyFill="1" applyBorder="1" applyAlignment="1" applyProtection="1">
      <alignment horizontal="center" vertical="center" wrapText="1"/>
    </xf>
    <xf numFmtId="10" fontId="8" fillId="27" borderId="20" xfId="356" applyNumberFormat="1" applyFont="1" applyFill="1" applyBorder="1" applyAlignment="1" applyProtection="1">
      <alignment horizontal="center" vertical="center" wrapText="1"/>
    </xf>
    <xf numFmtId="0" fontId="17" fillId="0" borderId="18" xfId="0" applyFont="1" applyBorder="1" applyAlignment="1" applyProtection="1">
      <alignment horizontal="center" vertical="center"/>
    </xf>
    <xf numFmtId="0" fontId="17" fillId="0" borderId="23" xfId="0" applyFont="1" applyBorder="1" applyAlignment="1" applyProtection="1">
      <alignment horizontal="center" vertical="center"/>
    </xf>
    <xf numFmtId="0" fontId="99" fillId="74" borderId="0" xfId="0" applyFont="1" applyFill="1"/>
    <xf numFmtId="0" fontId="13" fillId="0" borderId="0" xfId="0" applyFont="1" applyBorder="1" applyAlignment="1">
      <alignment vertical="center" wrapText="1"/>
    </xf>
    <xf numFmtId="0" fontId="21" fillId="0" borderId="0" xfId="0" applyFont="1" applyAlignment="1" applyProtection="1">
      <alignment horizontal="left" vertical="center"/>
    </xf>
    <xf numFmtId="0" fontId="20" fillId="0" borderId="0" xfId="0" applyFont="1" applyAlignment="1" applyProtection="1">
      <alignment horizontal="left" vertical="center"/>
    </xf>
    <xf numFmtId="1" fontId="13" fillId="75" borderId="47" xfId="0" applyNumberFormat="1" applyFont="1" applyFill="1" applyBorder="1" applyAlignment="1" applyProtection="1">
      <alignment horizontal="center" vertical="center"/>
    </xf>
    <xf numFmtId="9" fontId="15" fillId="0" borderId="0" xfId="0" applyNumberFormat="1" applyFont="1" applyFill="1" applyBorder="1" applyAlignment="1" applyProtection="1">
      <alignment vertical="center"/>
    </xf>
    <xf numFmtId="10" fontId="8" fillId="0" borderId="20" xfId="0" applyNumberFormat="1" applyFont="1" applyBorder="1" applyAlignment="1" applyProtection="1">
      <alignment horizontal="center" vertical="center" wrapText="1"/>
    </xf>
    <xf numFmtId="0" fontId="7" fillId="0" borderId="18" xfId="0" applyFont="1" applyFill="1" applyBorder="1" applyAlignment="1">
      <alignment horizontal="left" vertical="center" wrapText="1"/>
    </xf>
    <xf numFmtId="0" fontId="21" fillId="74" borderId="18" xfId="0" applyNumberFormat="1" applyFont="1" applyFill="1" applyBorder="1" applyAlignment="1" applyProtection="1">
      <alignment horizontal="center" vertical="center"/>
    </xf>
    <xf numFmtId="0" fontId="103" fillId="0" borderId="0" xfId="0" applyFont="1" applyBorder="1" applyAlignment="1">
      <alignment vertical="center"/>
    </xf>
    <xf numFmtId="0" fontId="101" fillId="0" borderId="0" xfId="0" applyFont="1" applyFill="1" applyAlignment="1">
      <alignment horizontal="center"/>
    </xf>
    <xf numFmtId="0" fontId="7" fillId="0" borderId="0" xfId="0" applyFont="1" applyFill="1"/>
    <xf numFmtId="14" fontId="7" fillId="0" borderId="0" xfId="0" applyNumberFormat="1" applyFont="1" applyFill="1"/>
    <xf numFmtId="0" fontId="19" fillId="0" borderId="0" xfId="0" applyFont="1" applyFill="1"/>
    <xf numFmtId="0" fontId="13" fillId="0" borderId="18" xfId="0" quotePrefix="1" applyFont="1" applyFill="1" applyBorder="1" applyAlignment="1">
      <alignment horizontal="left" vertical="center" wrapText="1"/>
    </xf>
    <xf numFmtId="0" fontId="7" fillId="0" borderId="20" xfId="0" applyFont="1" applyFill="1" applyBorder="1" applyAlignment="1" applyProtection="1">
      <alignment vertical="center" wrapText="1"/>
    </xf>
    <xf numFmtId="0" fontId="13" fillId="0" borderId="27" xfId="0" applyFont="1" applyFill="1" applyBorder="1" applyAlignment="1" applyProtection="1">
      <alignment vertical="center" wrapText="1"/>
    </xf>
    <xf numFmtId="0" fontId="7" fillId="0" borderId="27" xfId="0" applyFont="1" applyFill="1" applyBorder="1" applyAlignment="1" applyProtection="1">
      <alignment vertical="center" wrapText="1"/>
    </xf>
    <xf numFmtId="0" fontId="103" fillId="0" borderId="24" xfId="0" applyFont="1" applyBorder="1" applyAlignment="1">
      <alignment horizontal="left"/>
    </xf>
    <xf numFmtId="0" fontId="103" fillId="0" borderId="0" xfId="0" applyFont="1" applyProtection="1"/>
    <xf numFmtId="0" fontId="103" fillId="0" borderId="21" xfId="0" applyFont="1" applyBorder="1" applyAlignment="1">
      <alignment horizontal="left"/>
    </xf>
    <xf numFmtId="166" fontId="65" fillId="74" borderId="18" xfId="0" applyNumberFormat="1" applyFont="1" applyFill="1" applyBorder="1" applyAlignment="1" applyProtection="1">
      <alignment horizontal="center"/>
    </xf>
    <xf numFmtId="166" fontId="65" fillId="74" borderId="18" xfId="356" applyNumberFormat="1" applyFont="1" applyFill="1" applyBorder="1" applyAlignment="1" applyProtection="1">
      <alignment horizontal="center"/>
    </xf>
    <xf numFmtId="0" fontId="65" fillId="74" borderId="26" xfId="0" applyFont="1" applyFill="1" applyBorder="1" applyAlignment="1" applyProtection="1">
      <alignment horizontal="center"/>
    </xf>
    <xf numFmtId="0" fontId="65" fillId="74" borderId="25" xfId="0" applyFont="1" applyFill="1" applyBorder="1" applyAlignment="1" applyProtection="1"/>
    <xf numFmtId="0" fontId="15" fillId="74" borderId="25" xfId="0" applyFont="1" applyFill="1" applyBorder="1" applyAlignment="1" applyProtection="1"/>
    <xf numFmtId="0" fontId="13" fillId="28" borderId="20" xfId="0" applyFont="1" applyFill="1" applyBorder="1" applyAlignment="1">
      <alignment horizontal="center" vertical="center" wrapText="1"/>
    </xf>
    <xf numFmtId="0" fontId="16" fillId="74" borderId="0" xfId="473" applyFont="1" applyFill="1"/>
    <xf numFmtId="10" fontId="16" fillId="0" borderId="18" xfId="356" applyNumberFormat="1" applyFont="1" applyFill="1" applyBorder="1" applyAlignment="1" applyProtection="1">
      <alignment horizontal="center" vertical="center" wrapText="1"/>
    </xf>
    <xf numFmtId="10" fontId="21" fillId="0" borderId="18" xfId="0" applyNumberFormat="1" applyFont="1" applyFill="1" applyBorder="1" applyAlignment="1" applyProtection="1">
      <alignment vertical="center"/>
    </xf>
    <xf numFmtId="0" fontId="103" fillId="0" borderId="18" xfId="0" applyFont="1" applyBorder="1"/>
    <xf numFmtId="14" fontId="103" fillId="0" borderId="18" xfId="0" applyNumberFormat="1" applyFont="1" applyBorder="1"/>
    <xf numFmtId="0" fontId="21" fillId="0" borderId="18" xfId="0" applyFont="1" applyFill="1" applyBorder="1" applyAlignment="1">
      <alignment vertical="center"/>
    </xf>
    <xf numFmtId="0" fontId="16" fillId="0" borderId="18" xfId="0" applyFont="1" applyFill="1" applyBorder="1" applyAlignment="1">
      <alignment vertical="center" wrapText="1"/>
    </xf>
    <xf numFmtId="0" fontId="15" fillId="0" borderId="23" xfId="0" applyFont="1" applyBorder="1" applyAlignment="1" applyProtection="1"/>
    <xf numFmtId="0" fontId="15" fillId="0" borderId="23" xfId="0" applyFont="1" applyFill="1" applyBorder="1" applyAlignment="1" applyProtection="1"/>
    <xf numFmtId="0" fontId="15" fillId="0" borderId="0" xfId="0" applyFont="1" applyFill="1" applyAlignment="1" applyProtection="1"/>
    <xf numFmtId="0" fontId="15" fillId="0" borderId="0" xfId="0" applyFont="1" applyFill="1" applyAlignment="1" applyProtection="1">
      <alignment vertical="top"/>
    </xf>
    <xf numFmtId="0" fontId="13" fillId="77" borderId="56" xfId="0" applyFont="1" applyFill="1" applyBorder="1" applyAlignment="1" applyProtection="1">
      <alignment horizontal="center" vertical="center" wrapText="1"/>
    </xf>
    <xf numFmtId="0" fontId="21" fillId="77" borderId="60" xfId="0" applyFont="1" applyFill="1" applyBorder="1" applyAlignment="1" applyProtection="1">
      <alignment horizontal="center" vertical="center"/>
    </xf>
    <xf numFmtId="0" fontId="21" fillId="77" borderId="35" xfId="0" applyFont="1" applyFill="1" applyBorder="1" applyAlignment="1" applyProtection="1">
      <alignment horizontal="center" vertical="center"/>
    </xf>
    <xf numFmtId="0" fontId="21" fillId="77" borderId="59" xfId="0" applyFont="1" applyFill="1" applyBorder="1" applyAlignment="1" applyProtection="1">
      <alignment horizontal="left" vertical="center" wrapText="1"/>
    </xf>
    <xf numFmtId="0" fontId="21" fillId="77" borderId="35" xfId="0" applyFont="1" applyFill="1" applyBorder="1" applyAlignment="1" applyProtection="1">
      <alignment horizontal="left" vertical="center" wrapText="1"/>
    </xf>
    <xf numFmtId="0" fontId="21" fillId="77" borderId="36" xfId="0" applyFont="1" applyFill="1" applyBorder="1" applyAlignment="1" applyProtection="1">
      <alignment horizontal="center" vertical="center"/>
    </xf>
    <xf numFmtId="0" fontId="24" fillId="74" borderId="0" xfId="0" applyFont="1" applyFill="1" applyProtection="1"/>
    <xf numFmtId="0" fontId="7" fillId="0" borderId="31" xfId="0" applyNumberFormat="1" applyFont="1" applyFill="1" applyBorder="1" applyAlignment="1" applyProtection="1">
      <alignment horizontal="center" vertical="center"/>
    </xf>
    <xf numFmtId="1" fontId="13" fillId="32" borderId="20" xfId="0" applyNumberFormat="1" applyFont="1" applyFill="1" applyBorder="1" applyAlignment="1" applyProtection="1">
      <alignment horizontal="center" vertical="center"/>
      <protection locked="0"/>
    </xf>
    <xf numFmtId="10" fontId="13" fillId="32" borderId="27" xfId="368" applyNumberFormat="1" applyFont="1" applyFill="1" applyBorder="1" applyAlignment="1" applyProtection="1">
      <alignment horizontal="center" vertical="center"/>
      <protection locked="0"/>
    </xf>
    <xf numFmtId="10" fontId="13" fillId="32" borderId="49" xfId="368" applyNumberFormat="1" applyFont="1" applyFill="1" applyBorder="1" applyAlignment="1" applyProtection="1">
      <alignment horizontal="center" vertical="center"/>
      <protection locked="0"/>
    </xf>
    <xf numFmtId="0" fontId="16" fillId="0" borderId="0" xfId="0" applyFont="1" applyFill="1" applyBorder="1" applyAlignment="1" applyProtection="1">
      <alignment horizontal="center" vertical="center"/>
    </xf>
    <xf numFmtId="0" fontId="104" fillId="0" borderId="66" xfId="0" applyFont="1" applyBorder="1" applyAlignment="1">
      <alignment horizontal="center" vertical="center" wrapText="1"/>
    </xf>
    <xf numFmtId="0" fontId="14" fillId="0" borderId="0" xfId="0" applyFont="1" applyBorder="1" applyAlignment="1" applyProtection="1">
      <alignment vertical="center"/>
    </xf>
    <xf numFmtId="0" fontId="0" fillId="0" borderId="0" xfId="0" applyBorder="1" applyAlignment="1">
      <alignment vertical="center"/>
    </xf>
    <xf numFmtId="0" fontId="104" fillId="0" borderId="102" xfId="0" applyFont="1" applyBorder="1" applyAlignment="1">
      <alignment horizontal="center" vertical="center" wrapText="1"/>
    </xf>
    <xf numFmtId="0" fontId="21" fillId="28" borderId="18" xfId="0" applyNumberFormat="1" applyFont="1" applyFill="1" applyBorder="1" applyAlignment="1" applyProtection="1">
      <alignment horizontal="center" vertical="center"/>
    </xf>
    <xf numFmtId="0" fontId="115" fillId="0" borderId="0" xfId="0" applyFont="1" applyFill="1" applyBorder="1" applyAlignment="1" applyProtection="1">
      <alignment horizontal="left" vertical="center" wrapText="1"/>
    </xf>
    <xf numFmtId="0" fontId="21" fillId="0" borderId="0" xfId="0" applyFont="1" applyFill="1" applyBorder="1" applyAlignment="1" applyProtection="1">
      <alignment vertical="center"/>
    </xf>
    <xf numFmtId="0" fontId="17" fillId="74" borderId="0" xfId="0" applyFont="1" applyFill="1" applyProtection="1"/>
    <xf numFmtId="0" fontId="17" fillId="0" borderId="18" xfId="0" applyFont="1" applyBorder="1" applyProtection="1"/>
    <xf numFmtId="0" fontId="17" fillId="0" borderId="18" xfId="0" applyFont="1" applyBorder="1" applyAlignment="1" applyProtection="1">
      <alignment horizontal="right"/>
    </xf>
    <xf numFmtId="0" fontId="19" fillId="78" borderId="0" xfId="0" applyFont="1" applyFill="1" applyProtection="1"/>
    <xf numFmtId="0" fontId="7" fillId="0" borderId="0" xfId="0" applyFont="1" applyFill="1" applyBorder="1" applyAlignment="1">
      <alignment vertical="center"/>
    </xf>
    <xf numFmtId="1" fontId="13" fillId="0" borderId="0" xfId="0" applyNumberFormat="1" applyFont="1" applyBorder="1"/>
    <xf numFmtId="14" fontId="103" fillId="0" borderId="18" xfId="0" applyNumberFormat="1" applyFont="1" applyBorder="1" applyAlignment="1">
      <alignment horizontal="right"/>
    </xf>
    <xf numFmtId="14" fontId="103" fillId="0" borderId="18" xfId="0" quotePrefix="1" applyNumberFormat="1" applyFont="1" applyBorder="1" applyAlignment="1">
      <alignment horizontal="right"/>
    </xf>
    <xf numFmtId="0" fontId="17" fillId="0" borderId="0" xfId="0" applyFont="1" applyFill="1" applyAlignment="1" applyProtection="1">
      <alignment horizontal="left" vertical="top"/>
    </xf>
    <xf numFmtId="0" fontId="1" fillId="0" borderId="0" xfId="0" applyFont="1" applyFill="1" applyAlignment="1" applyProtection="1">
      <alignment vertical="top"/>
    </xf>
    <xf numFmtId="0" fontId="16" fillId="32" borderId="55" xfId="0" applyFont="1" applyFill="1" applyBorder="1" applyAlignment="1" applyProtection="1">
      <alignment horizontal="center" vertical="center"/>
      <protection locked="0"/>
    </xf>
    <xf numFmtId="0" fontId="16" fillId="32" borderId="55" xfId="0" applyFont="1" applyFill="1" applyBorder="1" applyAlignment="1" applyProtection="1">
      <alignment horizontal="center" vertical="center" wrapText="1"/>
      <protection locked="0"/>
    </xf>
    <xf numFmtId="0" fontId="10" fillId="0" borderId="105" xfId="0" applyFont="1" applyFill="1" applyBorder="1" applyAlignment="1" applyProtection="1">
      <alignment horizontal="center" vertical="center"/>
    </xf>
    <xf numFmtId="0" fontId="14" fillId="0" borderId="54" xfId="0" applyFont="1" applyFill="1" applyBorder="1" applyAlignment="1" applyProtection="1">
      <alignment horizontal="center" vertical="center"/>
    </xf>
    <xf numFmtId="0" fontId="14" fillId="0" borderId="54" xfId="0" applyFont="1" applyFill="1" applyBorder="1" applyAlignment="1" applyProtection="1">
      <alignment horizontal="center" vertical="center" wrapText="1"/>
    </xf>
    <xf numFmtId="0" fontId="28" fillId="0" borderId="66" xfId="0" applyFont="1" applyFill="1" applyBorder="1" applyAlignment="1" applyProtection="1">
      <alignment horizontal="center"/>
    </xf>
    <xf numFmtId="0" fontId="28" fillId="0" borderId="66" xfId="0" applyFont="1" applyFill="1" applyBorder="1" applyAlignment="1" applyProtection="1">
      <alignment horizontal="center" vertical="center"/>
    </xf>
    <xf numFmtId="0" fontId="28" fillId="32" borderId="70" xfId="0" applyFont="1" applyFill="1" applyBorder="1" applyAlignment="1" applyProtection="1">
      <alignment horizontal="center" vertical="center"/>
      <protection locked="0"/>
    </xf>
    <xf numFmtId="0" fontId="28" fillId="32" borderId="105" xfId="0" applyFont="1" applyFill="1" applyBorder="1" applyAlignment="1" applyProtection="1">
      <alignment horizontal="center" vertical="center"/>
      <protection locked="0"/>
    </xf>
    <xf numFmtId="0" fontId="28" fillId="0" borderId="70" xfId="0" applyFont="1" applyFill="1" applyBorder="1" applyAlignment="1" applyProtection="1">
      <alignment horizontal="center" vertical="center"/>
    </xf>
    <xf numFmtId="0" fontId="28" fillId="0" borderId="105" xfId="0" applyFont="1" applyFill="1" applyBorder="1" applyAlignment="1" applyProtection="1">
      <alignment horizontal="center" vertical="center"/>
    </xf>
    <xf numFmtId="0" fontId="28" fillId="32" borderId="27" xfId="0" applyFont="1" applyFill="1" applyBorder="1" applyAlignment="1" applyProtection="1">
      <alignment horizontal="center" vertical="center"/>
      <protection locked="0"/>
    </xf>
    <xf numFmtId="0" fontId="28" fillId="0" borderId="66" xfId="0" applyFont="1" applyFill="1" applyBorder="1" applyAlignment="1" applyProtection="1">
      <alignment horizontal="center" vertical="top"/>
    </xf>
    <xf numFmtId="0" fontId="16" fillId="32" borderId="54" xfId="441" applyFont="1" applyFill="1" applyBorder="1" applyAlignment="1" applyProtection="1">
      <alignment horizontal="center" vertical="center" wrapText="1"/>
      <protection locked="0"/>
    </xf>
    <xf numFmtId="0" fontId="10" fillId="0" borderId="109" xfId="0" applyFont="1" applyFill="1" applyBorder="1" applyAlignment="1" applyProtection="1">
      <alignment horizontal="center" vertical="center"/>
    </xf>
    <xf numFmtId="0" fontId="7" fillId="77" borderId="101" xfId="0" applyFont="1" applyFill="1" applyBorder="1" applyAlignment="1" applyProtection="1">
      <alignment horizontal="center" wrapText="1"/>
    </xf>
    <xf numFmtId="0" fontId="7" fillId="0" borderId="81" xfId="0" applyNumberFormat="1" applyFont="1" applyBorder="1" applyAlignment="1" applyProtection="1">
      <alignment horizontal="center" vertical="center"/>
    </xf>
    <xf numFmtId="0" fontId="13" fillId="38" borderId="71" xfId="0" applyFont="1" applyFill="1" applyBorder="1" applyAlignment="1" applyProtection="1">
      <alignment horizontal="center" vertical="center" wrapText="1"/>
    </xf>
    <xf numFmtId="0" fontId="13" fillId="38" borderId="29" xfId="0" applyFont="1" applyFill="1" applyBorder="1" applyAlignment="1" applyProtection="1">
      <alignment horizontal="center" vertical="center" wrapText="1"/>
    </xf>
    <xf numFmtId="0" fontId="21" fillId="0" borderId="110" xfId="0" applyFont="1" applyFill="1" applyBorder="1" applyAlignment="1" applyProtection="1">
      <alignment horizontal="center" vertical="center"/>
    </xf>
    <xf numFmtId="0" fontId="16" fillId="0" borderId="19" xfId="0" applyFont="1" applyFill="1" applyBorder="1" applyAlignment="1" applyProtection="1">
      <alignment horizontal="left" vertical="center" wrapText="1"/>
    </xf>
    <xf numFmtId="0" fontId="63" fillId="29" borderId="28" xfId="0" applyFont="1" applyFill="1" applyBorder="1" applyAlignment="1">
      <alignment horizontal="center" vertical="center"/>
    </xf>
    <xf numFmtId="0" fontId="21" fillId="0" borderId="76" xfId="0" applyFont="1" applyFill="1" applyBorder="1" applyAlignment="1" applyProtection="1">
      <alignment horizontal="center" vertical="center"/>
    </xf>
    <xf numFmtId="0" fontId="21" fillId="0" borderId="22" xfId="0" applyFont="1" applyFill="1" applyBorder="1" applyAlignment="1" applyProtection="1">
      <alignment horizontal="left" vertical="center" wrapText="1"/>
    </xf>
    <xf numFmtId="0" fontId="16" fillId="0" borderId="19" xfId="0" applyFont="1" applyBorder="1" applyAlignment="1" applyProtection="1">
      <alignment horizontal="left" vertical="center" wrapText="1"/>
    </xf>
    <xf numFmtId="0" fontId="21" fillId="0" borderId="22" xfId="0" applyFont="1" applyFill="1" applyBorder="1" applyAlignment="1" applyProtection="1">
      <alignment horizontal="center" vertical="center"/>
    </xf>
    <xf numFmtId="0" fontId="7" fillId="0" borderId="80" xfId="0" applyNumberFormat="1" applyFont="1" applyBorder="1" applyAlignment="1" applyProtection="1">
      <alignment horizontal="center" vertical="center"/>
    </xf>
    <xf numFmtId="0" fontId="7" fillId="0" borderId="72" xfId="0" applyNumberFormat="1" applyFont="1" applyBorder="1" applyAlignment="1" applyProtection="1">
      <alignment horizontal="center" vertical="center"/>
    </xf>
    <xf numFmtId="1" fontId="7" fillId="0" borderId="33" xfId="0" applyNumberFormat="1" applyFont="1" applyFill="1" applyBorder="1" applyAlignment="1" applyProtection="1">
      <alignment horizontal="center" vertical="center"/>
    </xf>
    <xf numFmtId="0" fontId="58" fillId="0" borderId="33" xfId="0" applyNumberFormat="1" applyFont="1" applyFill="1" applyBorder="1" applyAlignment="1" applyProtection="1">
      <alignment horizontal="center" vertical="center"/>
    </xf>
    <xf numFmtId="0" fontId="57" fillId="0" borderId="90" xfId="0" applyNumberFormat="1" applyFont="1" applyBorder="1" applyAlignment="1" applyProtection="1">
      <alignment horizontal="center" vertical="center" wrapText="1"/>
    </xf>
    <xf numFmtId="1" fontId="13" fillId="0" borderId="0" xfId="0" applyNumberFormat="1" applyFont="1"/>
    <xf numFmtId="1" fontId="13" fillId="0" borderId="0" xfId="0" applyNumberFormat="1" applyFont="1" applyAlignment="1">
      <alignment vertical="center"/>
    </xf>
    <xf numFmtId="1" fontId="13" fillId="0" borderId="0" xfId="0" quotePrefix="1" applyNumberFormat="1" applyFont="1" applyAlignment="1">
      <alignment vertical="center"/>
    </xf>
    <xf numFmtId="0" fontId="7" fillId="0" borderId="0" xfId="0" applyFont="1" applyAlignment="1">
      <alignment vertical="center"/>
    </xf>
    <xf numFmtId="0" fontId="7" fillId="0" borderId="18" xfId="0" applyFont="1" applyBorder="1" applyAlignment="1">
      <alignment vertical="center"/>
    </xf>
    <xf numFmtId="0" fontId="7" fillId="0" borderId="0" xfId="0" applyFont="1"/>
    <xf numFmtId="0" fontId="13" fillId="0" borderId="0" xfId="0" applyFont="1"/>
    <xf numFmtId="0" fontId="21" fillId="0" borderId="0" xfId="0" applyFont="1" applyAlignment="1" applyProtection="1">
      <alignment vertical="center"/>
    </xf>
    <xf numFmtId="0" fontId="17" fillId="0" borderId="0" xfId="0" applyFont="1" applyAlignment="1" applyProtection="1">
      <alignment horizontal="center" vertical="center"/>
    </xf>
    <xf numFmtId="0" fontId="13" fillId="0" borderId="0" xfId="0" applyFont="1" applyAlignment="1">
      <alignment vertical="center"/>
    </xf>
    <xf numFmtId="0" fontId="45" fillId="0" borderId="0" xfId="0" applyFont="1" applyProtection="1"/>
    <xf numFmtId="0" fontId="21" fillId="0" borderId="18" xfId="0" applyFont="1" applyBorder="1" applyAlignment="1" applyProtection="1">
      <alignment horizontal="left" vertical="center"/>
    </xf>
    <xf numFmtId="0" fontId="13" fillId="0" borderId="18" xfId="0" applyFont="1" applyBorder="1"/>
    <xf numFmtId="0" fontId="7" fillId="0" borderId="31" xfId="0" applyNumberFormat="1" applyFont="1" applyFill="1" applyBorder="1" applyAlignment="1" applyProtection="1">
      <alignment horizontal="center" vertical="center"/>
    </xf>
    <xf numFmtId="0" fontId="94" fillId="0" borderId="0" xfId="0" applyFont="1" applyAlignment="1">
      <alignment horizontal="left" vertical="center"/>
    </xf>
    <xf numFmtId="0" fontId="21" fillId="0" borderId="18" xfId="0" applyFont="1" applyBorder="1" applyAlignment="1" applyProtection="1">
      <alignment horizontal="center" vertical="center"/>
    </xf>
    <xf numFmtId="0" fontId="7" fillId="80" borderId="18" xfId="0" applyFont="1" applyFill="1" applyBorder="1" applyAlignment="1">
      <alignment vertical="center"/>
    </xf>
    <xf numFmtId="0" fontId="7" fillId="79" borderId="18" xfId="0" applyFont="1" applyFill="1" applyBorder="1" applyAlignment="1">
      <alignment vertical="center"/>
    </xf>
    <xf numFmtId="0" fontId="13" fillId="79" borderId="18" xfId="0" applyFont="1" applyFill="1" applyBorder="1"/>
    <xf numFmtId="0" fontId="7" fillId="81" borderId="18" xfId="0" applyFont="1" applyFill="1" applyBorder="1" applyAlignment="1">
      <alignment vertical="center"/>
    </xf>
    <xf numFmtId="0" fontId="13" fillId="80" borderId="18" xfId="0" applyFont="1" applyFill="1" applyBorder="1"/>
    <xf numFmtId="0" fontId="13" fillId="79" borderId="0" xfId="0" applyFont="1" applyFill="1"/>
    <xf numFmtId="0" fontId="25" fillId="0" borderId="23" xfId="0" applyFont="1" applyFill="1" applyBorder="1" applyAlignment="1">
      <alignment horizontal="center"/>
    </xf>
    <xf numFmtId="0" fontId="101" fillId="0" borderId="0" xfId="0" applyFont="1" applyFill="1" applyBorder="1"/>
    <xf numFmtId="0" fontId="28" fillId="0" borderId="0" xfId="0" applyFont="1" applyFill="1" applyBorder="1" applyAlignment="1">
      <alignment horizontal="center"/>
    </xf>
    <xf numFmtId="0" fontId="99" fillId="0" borderId="0" xfId="0" applyFont="1" applyFill="1" applyBorder="1" applyAlignment="1">
      <alignment horizontal="center"/>
    </xf>
    <xf numFmtId="14" fontId="99" fillId="0" borderId="0" xfId="0" applyNumberFormat="1" applyFont="1" applyFill="1" applyBorder="1" applyAlignment="1">
      <alignment horizontal="center"/>
    </xf>
    <xf numFmtId="0" fontId="25" fillId="0" borderId="0" xfId="0" applyFont="1" applyFill="1" applyBorder="1" applyAlignment="1">
      <alignment horizontal="center"/>
    </xf>
    <xf numFmtId="0" fontId="17" fillId="0" borderId="0" xfId="0" applyFont="1" applyFill="1" applyAlignment="1" applyProtection="1">
      <alignment vertical="top"/>
    </xf>
    <xf numFmtId="10" fontId="17" fillId="0" borderId="0" xfId="0" applyNumberFormat="1" applyFont="1" applyFill="1" applyProtection="1"/>
    <xf numFmtId="10" fontId="21" fillId="0" borderId="0" xfId="0" applyNumberFormat="1" applyFont="1" applyFill="1" applyProtection="1"/>
    <xf numFmtId="0" fontId="21" fillId="78" borderId="18" xfId="0" applyNumberFormat="1" applyFont="1" applyFill="1" applyBorder="1" applyAlignment="1" applyProtection="1">
      <alignment horizontal="center" vertical="center"/>
    </xf>
    <xf numFmtId="0" fontId="21" fillId="78" borderId="18" xfId="0" applyFont="1" applyFill="1" applyBorder="1" applyAlignment="1" applyProtection="1">
      <alignment horizontal="center" vertical="center"/>
    </xf>
    <xf numFmtId="9" fontId="21" fillId="78" borderId="18" xfId="356" applyFont="1" applyFill="1" applyBorder="1" applyAlignment="1" applyProtection="1">
      <alignment horizontal="center" vertical="center"/>
    </xf>
    <xf numFmtId="10" fontId="21" fillId="78" borderId="18" xfId="0" applyNumberFormat="1" applyFont="1" applyFill="1" applyBorder="1" applyAlignment="1" applyProtection="1">
      <alignment horizontal="center" vertical="center"/>
    </xf>
    <xf numFmtId="0" fontId="21" fillId="78" borderId="18" xfId="356" applyNumberFormat="1" applyFont="1" applyFill="1" applyBorder="1" applyAlignment="1" applyProtection="1">
      <alignment horizontal="center" vertical="center"/>
    </xf>
    <xf numFmtId="1" fontId="21" fillId="78" borderId="18" xfId="0" applyNumberFormat="1" applyFont="1" applyFill="1" applyBorder="1" applyAlignment="1" applyProtection="1">
      <alignment horizontal="center" vertical="center"/>
    </xf>
    <xf numFmtId="2" fontId="99" fillId="78" borderId="18" xfId="0" applyNumberFormat="1" applyFont="1" applyFill="1" applyBorder="1" applyAlignment="1" applyProtection="1">
      <alignment horizontal="center" vertical="center"/>
    </xf>
    <xf numFmtId="1" fontId="68" fillId="78" borderId="18" xfId="0" applyNumberFormat="1" applyFont="1" applyFill="1" applyBorder="1" applyAlignment="1" applyProtection="1">
      <alignment horizontal="center" vertical="center"/>
    </xf>
    <xf numFmtId="0" fontId="13" fillId="0" borderId="0" xfId="0" applyFont="1" applyAlignment="1" applyProtection="1">
      <alignment horizontal="left" vertical="top" wrapText="1"/>
    </xf>
    <xf numFmtId="0" fontId="17" fillId="0" borderId="0" xfId="0" applyFont="1" applyProtection="1"/>
    <xf numFmtId="0" fontId="13" fillId="0" borderId="0" xfId="0" applyFont="1" applyFill="1" applyProtection="1"/>
    <xf numFmtId="0" fontId="20" fillId="0" borderId="0" xfId="0" applyFont="1" applyFill="1" applyAlignment="1" applyProtection="1">
      <alignment vertical="center"/>
    </xf>
    <xf numFmtId="0" fontId="13" fillId="0" borderId="0" xfId="0" applyFont="1" applyFill="1" applyAlignment="1" applyProtection="1">
      <alignment horizontal="center" vertical="center"/>
    </xf>
    <xf numFmtId="165" fontId="7" fillId="82" borderId="27" xfId="1058" applyNumberFormat="1" applyFont="1" applyFill="1" applyBorder="1" applyAlignment="1" applyProtection="1">
      <alignment horizontal="center" vertical="center"/>
    </xf>
    <xf numFmtId="9" fontId="7" fillId="82" borderId="20" xfId="1058" applyFont="1" applyFill="1" applyBorder="1" applyAlignment="1" applyProtection="1">
      <alignment horizontal="center" vertical="center"/>
    </xf>
    <xf numFmtId="165" fontId="7" fillId="83" borderId="70" xfId="1058" applyNumberFormat="1" applyFont="1" applyFill="1" applyBorder="1" applyAlignment="1" applyProtection="1">
      <alignment horizontal="center" vertical="center"/>
    </xf>
    <xf numFmtId="165" fontId="7" fillId="83" borderId="33" xfId="1058" applyNumberFormat="1" applyFont="1" applyFill="1" applyBorder="1" applyAlignment="1" applyProtection="1">
      <alignment horizontal="center" vertical="center"/>
    </xf>
    <xf numFmtId="165" fontId="7" fillId="85" borderId="31" xfId="1058" applyNumberFormat="1" applyFont="1" applyFill="1" applyBorder="1" applyAlignment="1" applyProtection="1">
      <alignment horizontal="center" vertical="center"/>
    </xf>
    <xf numFmtId="165" fontId="7" fillId="85" borderId="29" xfId="1058" applyNumberFormat="1" applyFont="1" applyFill="1" applyBorder="1" applyAlignment="1" applyProtection="1">
      <alignment horizontal="center" vertical="center"/>
    </xf>
    <xf numFmtId="165" fontId="7" fillId="85" borderId="27" xfId="1058" applyNumberFormat="1" applyFont="1" applyFill="1" applyBorder="1" applyAlignment="1" applyProtection="1">
      <alignment horizontal="center" vertical="center"/>
    </xf>
    <xf numFmtId="165" fontId="7" fillId="85" borderId="20" xfId="1058" applyNumberFormat="1" applyFont="1" applyFill="1" applyBorder="1" applyAlignment="1" applyProtection="1">
      <alignment horizontal="center" vertical="center"/>
    </xf>
    <xf numFmtId="165" fontId="7" fillId="0" borderId="20" xfId="1058" applyNumberFormat="1" applyFont="1" applyFill="1" applyBorder="1" applyAlignment="1" applyProtection="1">
      <alignment horizontal="center" vertical="center"/>
    </xf>
    <xf numFmtId="0" fontId="103" fillId="0" borderId="23" xfId="0" applyFont="1" applyBorder="1"/>
    <xf numFmtId="0" fontId="13" fillId="0" borderId="26" xfId="0" applyFont="1" applyFill="1" applyBorder="1" applyAlignment="1">
      <alignment horizontal="left" vertical="center" wrapText="1"/>
    </xf>
    <xf numFmtId="0" fontId="68" fillId="0" borderId="18" xfId="0" applyFont="1" applyFill="1" applyBorder="1" applyAlignment="1" applyProtection="1">
      <alignment horizontal="left" vertical="center"/>
    </xf>
    <xf numFmtId="0" fontId="25" fillId="0" borderId="18" xfId="0" applyFont="1" applyBorder="1" applyAlignment="1">
      <alignment horizontal="center" vertical="center" wrapText="1"/>
    </xf>
    <xf numFmtId="0" fontId="13" fillId="0" borderId="18" xfId="0" applyFont="1" applyFill="1" applyBorder="1" applyAlignment="1">
      <alignment horizontal="center" vertical="center"/>
    </xf>
    <xf numFmtId="0" fontId="13" fillId="0" borderId="22" xfId="0" applyFont="1" applyFill="1" applyBorder="1" applyAlignment="1">
      <alignment horizontal="center" vertical="center"/>
    </xf>
    <xf numFmtId="0" fontId="13" fillId="0" borderId="23" xfId="0" applyFont="1" applyFill="1" applyBorder="1" applyAlignment="1">
      <alignment horizontal="center" vertical="center"/>
    </xf>
    <xf numFmtId="0" fontId="13" fillId="0" borderId="21" xfId="0" applyFont="1" applyFill="1" applyBorder="1" applyAlignment="1">
      <alignment horizontal="center" vertical="center"/>
    </xf>
    <xf numFmtId="0" fontId="13" fillId="0" borderId="0" xfId="0" applyFont="1" applyBorder="1" applyAlignment="1" applyProtection="1">
      <alignment horizontal="left" vertical="center" wrapText="1"/>
    </xf>
    <xf numFmtId="0" fontId="7" fillId="0" borderId="0" xfId="0" applyFont="1" applyFill="1" applyAlignment="1" applyProtection="1">
      <alignment horizontal="justify" vertical="justify" wrapText="1"/>
    </xf>
    <xf numFmtId="0" fontId="14" fillId="0" borderId="77" xfId="0" applyFont="1" applyFill="1" applyBorder="1" applyAlignment="1" applyProtection="1">
      <alignment horizontal="center" vertical="center" wrapText="1"/>
    </xf>
    <xf numFmtId="0" fontId="14" fillId="0" borderId="106" xfId="0" applyFont="1" applyFill="1" applyBorder="1" applyAlignment="1" applyProtection="1">
      <alignment horizontal="center" vertical="center" wrapText="1"/>
    </xf>
    <xf numFmtId="0" fontId="14" fillId="0" borderId="78" xfId="0" applyFont="1" applyFill="1" applyBorder="1" applyAlignment="1" applyProtection="1">
      <alignment horizontal="center" vertical="center" wrapText="1"/>
    </xf>
    <xf numFmtId="0" fontId="14" fillId="0" borderId="66" xfId="0" applyFont="1" applyFill="1" applyBorder="1" applyAlignment="1" applyProtection="1">
      <alignment horizontal="center" vertical="center" wrapText="1"/>
    </xf>
    <xf numFmtId="0" fontId="10" fillId="0" borderId="77" xfId="0" applyFont="1" applyFill="1" applyBorder="1" applyAlignment="1" applyProtection="1">
      <alignment horizontal="left" vertical="center" wrapText="1"/>
    </xf>
    <xf numFmtId="0" fontId="10" fillId="0" borderId="106" xfId="0" applyFont="1" applyFill="1" applyBorder="1" applyAlignment="1" applyProtection="1">
      <alignment horizontal="left" vertical="center" wrapText="1"/>
    </xf>
    <xf numFmtId="0" fontId="10" fillId="0" borderId="64" xfId="0" applyFont="1" applyFill="1" applyBorder="1" applyAlignment="1" applyProtection="1">
      <alignment horizontal="left" vertical="center" wrapText="1"/>
    </xf>
    <xf numFmtId="0" fontId="10" fillId="0" borderId="55" xfId="0" applyFont="1" applyFill="1" applyBorder="1" applyAlignment="1" applyProtection="1">
      <alignment horizontal="left" vertical="center" wrapText="1"/>
    </xf>
    <xf numFmtId="14" fontId="3" fillId="0" borderId="0" xfId="441" applyNumberFormat="1" applyFont="1" applyFill="1" applyBorder="1" applyAlignment="1" applyProtection="1">
      <alignment horizontal="center" vertical="center"/>
    </xf>
    <xf numFmtId="0" fontId="3" fillId="32" borderId="23" xfId="441" applyFont="1" applyFill="1" applyBorder="1" applyAlignment="1" applyProtection="1">
      <alignment horizontal="left" vertical="center"/>
      <protection locked="0"/>
    </xf>
    <xf numFmtId="0" fontId="3" fillId="32" borderId="25" xfId="441" applyFont="1" applyFill="1" applyBorder="1" applyAlignment="1" applyProtection="1">
      <alignment horizontal="left" vertical="center"/>
      <protection locked="0"/>
    </xf>
    <xf numFmtId="0" fontId="3" fillId="32" borderId="26" xfId="441" applyFont="1" applyFill="1" applyBorder="1" applyAlignment="1" applyProtection="1">
      <alignment horizontal="left" vertical="center"/>
      <protection locked="0"/>
    </xf>
    <xf numFmtId="0" fontId="3" fillId="0" borderId="18" xfId="441"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xf>
    <xf numFmtId="14" fontId="15" fillId="32" borderId="23" xfId="0" applyNumberFormat="1" applyFont="1" applyFill="1" applyBorder="1" applyAlignment="1" applyProtection="1">
      <alignment horizontal="center" vertical="center"/>
      <protection locked="0"/>
    </xf>
    <xf numFmtId="0" fontId="15" fillId="32" borderId="26" xfId="0" applyFont="1" applyFill="1" applyBorder="1" applyAlignment="1" applyProtection="1">
      <alignment horizontal="center" vertical="center"/>
      <protection locked="0"/>
    </xf>
    <xf numFmtId="0" fontId="3" fillId="0" borderId="0" xfId="441" applyFont="1" applyFill="1" applyAlignment="1" applyProtection="1">
      <alignment horizontal="left"/>
    </xf>
    <xf numFmtId="0" fontId="3" fillId="0" borderId="67" xfId="441" applyFont="1" applyFill="1" applyBorder="1" applyAlignment="1" applyProtection="1">
      <alignment horizontal="left"/>
    </xf>
    <xf numFmtId="0" fontId="74" fillId="0" borderId="0" xfId="0" applyFont="1" applyFill="1" applyAlignment="1" applyProtection="1">
      <alignment horizontal="center" vertical="center"/>
    </xf>
    <xf numFmtId="0" fontId="3" fillId="0" borderId="23" xfId="441" applyFont="1" applyFill="1" applyBorder="1" applyAlignment="1" applyProtection="1">
      <alignment horizontal="left" vertical="center"/>
    </xf>
    <xf numFmtId="0" fontId="3" fillId="0" borderId="25" xfId="441" applyFont="1" applyFill="1" applyBorder="1" applyAlignment="1" applyProtection="1">
      <alignment horizontal="left" vertical="center"/>
    </xf>
    <xf numFmtId="0" fontId="3" fillId="0" borderId="26" xfId="441" applyFont="1" applyFill="1" applyBorder="1" applyAlignment="1" applyProtection="1">
      <alignment horizontal="left" vertical="center"/>
    </xf>
    <xf numFmtId="0" fontId="15" fillId="32" borderId="23" xfId="0" applyFont="1" applyFill="1" applyBorder="1" applyAlignment="1" applyProtection="1">
      <alignment horizontal="left" vertical="center"/>
      <protection locked="0"/>
    </xf>
    <xf numFmtId="0" fontId="15" fillId="32" borderId="25" xfId="0" applyFont="1" applyFill="1" applyBorder="1" applyAlignment="1" applyProtection="1">
      <alignment horizontal="left" vertical="center"/>
      <protection locked="0"/>
    </xf>
    <xf numFmtId="0" fontId="15" fillId="32" borderId="26" xfId="0" applyFont="1" applyFill="1" applyBorder="1" applyAlignment="1" applyProtection="1">
      <alignment horizontal="left" vertical="center"/>
      <protection locked="0"/>
    </xf>
    <xf numFmtId="0" fontId="3" fillId="0" borderId="0" xfId="441" applyFont="1" applyFill="1" applyBorder="1" applyAlignment="1" applyProtection="1">
      <alignment horizontal="left" vertical="center"/>
    </xf>
    <xf numFmtId="0" fontId="3" fillId="0" borderId="67" xfId="441" applyFont="1" applyFill="1" applyBorder="1" applyAlignment="1" applyProtection="1">
      <alignment horizontal="left" vertical="center"/>
    </xf>
    <xf numFmtId="0" fontId="3" fillId="0" borderId="0" xfId="0" applyFont="1" applyFill="1" applyAlignment="1" applyProtection="1">
      <alignment horizontal="left"/>
    </xf>
    <xf numFmtId="0" fontId="3" fillId="0" borderId="67" xfId="0" applyFont="1" applyFill="1" applyBorder="1" applyAlignment="1" applyProtection="1">
      <alignment horizontal="left"/>
    </xf>
    <xf numFmtId="0" fontId="3" fillId="32" borderId="23" xfId="441" applyFont="1" applyFill="1" applyBorder="1" applyAlignment="1" applyProtection="1">
      <alignment horizontal="center" vertical="center"/>
      <protection locked="0"/>
    </xf>
    <xf numFmtId="0" fontId="3" fillId="32" borderId="25" xfId="441" applyFont="1" applyFill="1" applyBorder="1" applyAlignment="1" applyProtection="1">
      <alignment horizontal="center" vertical="center"/>
      <protection locked="0"/>
    </xf>
    <xf numFmtId="0" fontId="3" fillId="32" borderId="26" xfId="441" applyFont="1" applyFill="1" applyBorder="1" applyAlignment="1" applyProtection="1">
      <alignment horizontal="center" vertical="center"/>
      <protection locked="0"/>
    </xf>
    <xf numFmtId="0" fontId="3" fillId="0" borderId="23" xfId="441" applyFont="1" applyFill="1" applyBorder="1" applyAlignment="1" applyProtection="1">
      <alignment horizontal="center" vertical="center"/>
    </xf>
    <xf numFmtId="0" fontId="3" fillId="0" borderId="25" xfId="441" applyFont="1" applyFill="1" applyBorder="1" applyAlignment="1" applyProtection="1">
      <alignment horizontal="center" vertical="center"/>
    </xf>
    <xf numFmtId="0" fontId="3" fillId="0" borderId="26" xfId="441" applyFont="1" applyFill="1" applyBorder="1" applyAlignment="1" applyProtection="1">
      <alignment horizontal="center" vertical="center"/>
    </xf>
    <xf numFmtId="0" fontId="113" fillId="0" borderId="34" xfId="0" applyFont="1" applyFill="1" applyBorder="1" applyAlignment="1" applyProtection="1">
      <alignment horizontal="left" vertical="center" wrapText="1"/>
    </xf>
    <xf numFmtId="0" fontId="113" fillId="0" borderId="34" xfId="0" applyFont="1" applyFill="1" applyBorder="1" applyAlignment="1" applyProtection="1">
      <alignment horizontal="left" vertical="center"/>
    </xf>
    <xf numFmtId="165" fontId="3" fillId="0" borderId="18" xfId="441" applyNumberFormat="1" applyFont="1" applyFill="1" applyBorder="1" applyAlignment="1" applyProtection="1">
      <alignment horizontal="center" vertical="center"/>
    </xf>
    <xf numFmtId="165" fontId="3" fillId="0" borderId="0" xfId="441" applyNumberFormat="1" applyFont="1" applyFill="1" applyBorder="1" applyAlignment="1" applyProtection="1">
      <alignment horizontal="center" vertical="center"/>
    </xf>
    <xf numFmtId="0" fontId="7" fillId="0" borderId="0" xfId="0" applyFont="1" applyFill="1" applyAlignment="1" applyProtection="1">
      <alignment horizontal="justify" vertical="top" wrapText="1"/>
    </xf>
    <xf numFmtId="14" fontId="3" fillId="0" borderId="18" xfId="441" applyNumberFormat="1" applyFont="1" applyFill="1" applyBorder="1" applyAlignment="1" applyProtection="1">
      <alignment horizontal="center" vertical="center"/>
    </xf>
    <xf numFmtId="0" fontId="3" fillId="0" borderId="18" xfId="441" applyNumberFormat="1" applyFont="1" applyFill="1" applyBorder="1" applyAlignment="1" applyProtection="1">
      <alignment horizontal="center" vertical="center"/>
    </xf>
    <xf numFmtId="0" fontId="10" fillId="0" borderId="56" xfId="441" applyFont="1" applyFill="1" applyBorder="1" applyAlignment="1" applyProtection="1">
      <alignment horizontal="left" vertical="center" wrapText="1"/>
    </xf>
    <xf numFmtId="0" fontId="10" fillId="0" borderId="69" xfId="441" applyFont="1" applyFill="1" applyBorder="1" applyAlignment="1" applyProtection="1">
      <alignment horizontal="left" vertical="center" wrapText="1"/>
    </xf>
    <xf numFmtId="0" fontId="10" fillId="0" borderId="68" xfId="441" applyFont="1" applyFill="1" applyBorder="1" applyAlignment="1" applyProtection="1">
      <alignment horizontal="left" vertical="center" wrapText="1"/>
    </xf>
    <xf numFmtId="0" fontId="10" fillId="0" borderId="103" xfId="0" applyFont="1" applyFill="1" applyBorder="1" applyAlignment="1" applyProtection="1">
      <alignment horizontal="left" vertical="center" wrapText="1"/>
    </xf>
    <xf numFmtId="0" fontId="10" fillId="0" borderId="104" xfId="0" applyFont="1" applyFill="1" applyBorder="1" applyAlignment="1" applyProtection="1">
      <alignment horizontal="left" vertical="center" wrapText="1"/>
    </xf>
    <xf numFmtId="0" fontId="28" fillId="0" borderId="66" xfId="0" applyFont="1" applyFill="1" applyBorder="1" applyAlignment="1" applyProtection="1">
      <alignment horizontal="center" vertical="center"/>
    </xf>
    <xf numFmtId="0" fontId="10" fillId="0" borderId="66" xfId="0" applyFont="1" applyFill="1" applyBorder="1" applyAlignment="1" applyProtection="1">
      <alignment horizontal="center" vertical="center" wrapText="1"/>
    </xf>
    <xf numFmtId="0" fontId="4" fillId="0" borderId="107" xfId="441" applyFont="1" applyFill="1" applyBorder="1" applyAlignment="1" applyProtection="1">
      <alignment horizontal="left" vertical="center" wrapText="1"/>
    </xf>
    <xf numFmtId="0" fontId="4" fillId="0" borderId="108" xfId="441" applyFont="1" applyFill="1" applyBorder="1" applyAlignment="1" applyProtection="1">
      <alignment horizontal="left" vertical="center" wrapText="1"/>
    </xf>
    <xf numFmtId="0" fontId="28" fillId="0" borderId="66" xfId="0" applyFont="1" applyFill="1" applyBorder="1" applyAlignment="1" applyProtection="1">
      <alignment horizontal="center" vertical="center" wrapText="1"/>
    </xf>
    <xf numFmtId="0" fontId="14" fillId="0" borderId="73" xfId="0" applyFont="1" applyFill="1" applyBorder="1" applyAlignment="1" applyProtection="1">
      <alignment horizontal="center" vertical="center" wrapText="1"/>
    </xf>
    <xf numFmtId="0" fontId="14" fillId="0" borderId="74" xfId="0" applyFont="1" applyFill="1" applyBorder="1" applyAlignment="1" applyProtection="1">
      <alignment horizontal="center" vertical="center" wrapText="1"/>
    </xf>
    <xf numFmtId="165" fontId="3" fillId="32" borderId="18" xfId="441" applyNumberFormat="1" applyFont="1" applyFill="1" applyBorder="1" applyAlignment="1" applyProtection="1">
      <alignment horizontal="center" vertical="center"/>
      <protection locked="0"/>
    </xf>
    <xf numFmtId="0" fontId="15" fillId="0" borderId="25" xfId="0" applyFont="1" applyFill="1" applyBorder="1" applyAlignment="1" applyProtection="1">
      <alignment horizontal="center" vertical="center"/>
    </xf>
    <xf numFmtId="0" fontId="15" fillId="0" borderId="26" xfId="0" applyFont="1" applyFill="1" applyBorder="1" applyAlignment="1" applyProtection="1">
      <alignment horizontal="center" vertical="center"/>
    </xf>
    <xf numFmtId="0" fontId="21" fillId="0" borderId="18" xfId="0" applyFont="1" applyBorder="1" applyAlignment="1">
      <alignment horizontal="left" vertical="center" wrapText="1"/>
    </xf>
    <xf numFmtId="0" fontId="68" fillId="0" borderId="18" xfId="0" applyFont="1" applyBorder="1" applyAlignment="1">
      <alignment horizontal="left" vertical="center" wrapText="1"/>
    </xf>
    <xf numFmtId="0" fontId="68" fillId="0" borderId="23" xfId="0" applyFont="1" applyBorder="1" applyAlignment="1">
      <alignment horizontal="left" vertical="center" wrapText="1"/>
    </xf>
    <xf numFmtId="0" fontId="68" fillId="0" borderId="25" xfId="0" applyFont="1" applyBorder="1" applyAlignment="1">
      <alignment horizontal="left" vertical="center" wrapText="1"/>
    </xf>
    <xf numFmtId="0" fontId="68" fillId="0" borderId="26" xfId="0" applyFont="1" applyBorder="1" applyAlignment="1">
      <alignment horizontal="left" vertical="center" wrapText="1"/>
    </xf>
    <xf numFmtId="16" fontId="13" fillId="0" borderId="33" xfId="0" applyNumberFormat="1" applyFont="1" applyBorder="1" applyAlignment="1" applyProtection="1">
      <alignment horizontal="center" vertical="center" wrapText="1"/>
    </xf>
    <xf numFmtId="16" fontId="13" fillId="0" borderId="28" xfId="0" applyNumberFormat="1" applyFont="1" applyBorder="1" applyAlignment="1" applyProtection="1">
      <alignment horizontal="center" vertical="center" wrapText="1"/>
    </xf>
    <xf numFmtId="16" fontId="13" fillId="0" borderId="29" xfId="0" applyNumberFormat="1" applyFont="1" applyBorder="1" applyAlignment="1" applyProtection="1">
      <alignment horizontal="center" vertical="center" wrapText="1"/>
    </xf>
    <xf numFmtId="1" fontId="25" fillId="32" borderId="33" xfId="0" applyNumberFormat="1" applyFont="1" applyFill="1" applyBorder="1" applyAlignment="1" applyProtection="1">
      <alignment horizontal="center" vertical="center"/>
      <protection locked="0"/>
    </xf>
    <xf numFmtId="1" fontId="25" fillId="32" borderId="28" xfId="0" applyNumberFormat="1" applyFont="1" applyFill="1" applyBorder="1" applyAlignment="1" applyProtection="1">
      <alignment horizontal="center" vertical="center"/>
      <protection locked="0"/>
    </xf>
    <xf numFmtId="1" fontId="25" fillId="32" borderId="29" xfId="0" applyNumberFormat="1" applyFont="1" applyFill="1" applyBorder="1" applyAlignment="1" applyProtection="1">
      <alignment horizontal="center" vertical="center"/>
      <protection locked="0"/>
    </xf>
    <xf numFmtId="0" fontId="45" fillId="30" borderId="33" xfId="0" applyFont="1" applyFill="1" applyBorder="1" applyAlignment="1" applyProtection="1">
      <alignment horizontal="center" vertical="center" wrapText="1"/>
    </xf>
    <xf numFmtId="0" fontId="45" fillId="30" borderId="28" xfId="0" applyFont="1" applyFill="1" applyBorder="1" applyAlignment="1" applyProtection="1">
      <alignment horizontal="center" vertical="center" wrapText="1"/>
    </xf>
    <xf numFmtId="0" fontId="45" fillId="30" borderId="29" xfId="0" applyFont="1" applyFill="1" applyBorder="1" applyAlignment="1" applyProtection="1">
      <alignment horizontal="center" vertical="center" wrapText="1"/>
    </xf>
    <xf numFmtId="0" fontId="13" fillId="32" borderId="33" xfId="0" applyNumberFormat="1" applyFont="1" applyFill="1" applyBorder="1" applyAlignment="1" applyProtection="1">
      <alignment horizontal="left" vertical="center" wrapText="1"/>
      <protection locked="0"/>
    </xf>
    <xf numFmtId="0" fontId="8" fillId="32" borderId="20" xfId="0" applyFont="1" applyFill="1" applyBorder="1" applyAlignment="1" applyProtection="1">
      <alignment horizontal="left" vertical="center" wrapText="1"/>
      <protection locked="0"/>
    </xf>
    <xf numFmtId="0" fontId="13" fillId="32" borderId="33" xfId="0" applyFont="1" applyFill="1" applyBorder="1" applyAlignment="1" applyProtection="1">
      <alignment horizontal="left" vertical="center" wrapText="1"/>
      <protection locked="0"/>
    </xf>
    <xf numFmtId="0" fontId="13" fillId="32" borderId="28" xfId="0" applyFont="1" applyFill="1" applyBorder="1" applyAlignment="1" applyProtection="1">
      <alignment horizontal="left" vertical="center" wrapText="1"/>
      <protection locked="0"/>
    </xf>
    <xf numFmtId="0" fontId="13" fillId="32" borderId="29" xfId="0" applyFont="1" applyFill="1" applyBorder="1" applyAlignment="1" applyProtection="1">
      <alignment horizontal="left" vertical="center" wrapText="1"/>
      <protection locked="0"/>
    </xf>
    <xf numFmtId="49" fontId="13" fillId="0" borderId="53" xfId="0" applyNumberFormat="1" applyFont="1" applyBorder="1" applyAlignment="1" applyProtection="1">
      <alignment horizontal="center" vertical="center" wrapText="1" readingOrder="1"/>
    </xf>
    <xf numFmtId="49" fontId="13" fillId="0" borderId="70" xfId="0" applyNumberFormat="1" applyFont="1" applyBorder="1" applyAlignment="1" applyProtection="1">
      <alignment horizontal="center" vertical="center" wrapText="1" readingOrder="1"/>
    </xf>
    <xf numFmtId="49" fontId="13" fillId="0" borderId="71" xfId="0" applyNumberFormat="1" applyFont="1" applyBorder="1" applyAlignment="1" applyProtection="1">
      <alignment horizontal="center" vertical="center" wrapText="1" readingOrder="1"/>
    </xf>
    <xf numFmtId="49" fontId="13" fillId="0" borderId="39" xfId="0" applyNumberFormat="1" applyFont="1" applyBorder="1" applyAlignment="1" applyProtection="1">
      <alignment horizontal="center" vertical="center" wrapText="1" readingOrder="1"/>
    </xf>
    <xf numFmtId="49" fontId="13" fillId="0" borderId="61" xfId="0" applyNumberFormat="1" applyFont="1" applyBorder="1" applyAlignment="1" applyProtection="1">
      <alignment horizontal="center" vertical="center" wrapText="1" readingOrder="1"/>
    </xf>
    <xf numFmtId="49" fontId="13" fillId="0" borderId="31" xfId="0" applyNumberFormat="1" applyFont="1" applyBorder="1" applyAlignment="1" applyProtection="1">
      <alignment horizontal="center" vertical="center" wrapText="1" readingOrder="1"/>
    </xf>
    <xf numFmtId="49" fontId="45" fillId="0" borderId="33" xfId="0" applyNumberFormat="1" applyFont="1" applyBorder="1" applyAlignment="1" applyProtection="1">
      <alignment horizontal="center" vertical="center" wrapText="1" readingOrder="1"/>
    </xf>
    <xf numFmtId="49" fontId="45" fillId="0" borderId="28" xfId="0" applyNumberFormat="1" applyFont="1" applyBorder="1" applyAlignment="1" applyProtection="1">
      <alignment horizontal="center" vertical="center" wrapText="1" readingOrder="1"/>
    </xf>
    <xf numFmtId="49" fontId="45" fillId="0" borderId="29" xfId="0" applyNumberFormat="1" applyFont="1" applyBorder="1" applyAlignment="1" applyProtection="1">
      <alignment horizontal="center" vertical="center" wrapText="1" readingOrder="1"/>
    </xf>
    <xf numFmtId="0" fontId="13" fillId="0" borderId="33" xfId="0" applyFont="1" applyBorder="1" applyAlignment="1" applyProtection="1">
      <alignment horizontal="left" vertical="center" wrapText="1" readingOrder="1"/>
    </xf>
    <xf numFmtId="0" fontId="13" fillId="0" borderId="28" xfId="0" applyFont="1" applyBorder="1" applyAlignment="1" applyProtection="1">
      <alignment horizontal="left" vertical="center" wrapText="1" readingOrder="1"/>
    </xf>
    <xf numFmtId="0" fontId="13" fillId="0" borderId="29" xfId="0" applyFont="1" applyBorder="1" applyAlignment="1" applyProtection="1">
      <alignment horizontal="left" vertical="center" wrapText="1" readingOrder="1"/>
    </xf>
    <xf numFmtId="0" fontId="13" fillId="0" borderId="53" xfId="0" quotePrefix="1" applyFont="1" applyBorder="1" applyAlignment="1" applyProtection="1">
      <alignment horizontal="left" vertical="center" wrapText="1" readingOrder="1"/>
    </xf>
    <xf numFmtId="0" fontId="13" fillId="0" borderId="70" xfId="0" applyFont="1" applyBorder="1" applyAlignment="1" applyProtection="1">
      <alignment horizontal="left" vertical="center" wrapText="1" readingOrder="1"/>
    </xf>
    <xf numFmtId="0" fontId="13" fillId="0" borderId="71" xfId="0" applyFont="1" applyBorder="1" applyAlignment="1" applyProtection="1">
      <alignment horizontal="left" vertical="center" wrapText="1" readingOrder="1"/>
    </xf>
    <xf numFmtId="0" fontId="13" fillId="0" borderId="39" xfId="0" applyFont="1" applyBorder="1" applyAlignment="1" applyProtection="1">
      <alignment horizontal="left" vertical="center" wrapText="1" readingOrder="1"/>
    </xf>
    <xf numFmtId="0" fontId="13" fillId="0" borderId="61" xfId="0" applyFont="1" applyBorder="1" applyAlignment="1" applyProtection="1">
      <alignment horizontal="left" vertical="center" wrapText="1" readingOrder="1"/>
    </xf>
    <xf numFmtId="0" fontId="13" fillId="0" borderId="31" xfId="0" applyFont="1" applyBorder="1" applyAlignment="1" applyProtection="1">
      <alignment horizontal="left" vertical="center" wrapText="1" readingOrder="1"/>
    </xf>
    <xf numFmtId="0" fontId="13" fillId="0" borderId="53" xfId="0" applyFont="1" applyBorder="1" applyAlignment="1" applyProtection="1">
      <alignment horizontal="left" vertical="center" wrapText="1" readingOrder="1"/>
    </xf>
    <xf numFmtId="0" fontId="13" fillId="0" borderId="72" xfId="0" applyFont="1" applyBorder="1" applyAlignment="1" applyProtection="1">
      <alignment horizontal="left" vertical="center" wrapText="1" readingOrder="1"/>
    </xf>
    <xf numFmtId="0" fontId="13" fillId="0" borderId="0" xfId="0" applyFont="1" applyBorder="1" applyAlignment="1" applyProtection="1">
      <alignment horizontal="left" vertical="center" wrapText="1" readingOrder="1"/>
    </xf>
    <xf numFmtId="0" fontId="13" fillId="0" borderId="34" xfId="0" applyFont="1" applyBorder="1" applyAlignment="1" applyProtection="1">
      <alignment horizontal="left" vertical="center" wrapText="1" readingOrder="1"/>
    </xf>
    <xf numFmtId="0" fontId="71" fillId="0" borderId="33" xfId="0" applyFont="1" applyFill="1" applyBorder="1" applyAlignment="1" applyProtection="1">
      <alignment horizontal="center" vertical="center" wrapText="1" readingOrder="1"/>
    </xf>
    <xf numFmtId="0" fontId="71" fillId="0" borderId="28" xfId="0" applyFont="1" applyFill="1" applyBorder="1" applyAlignment="1" applyProtection="1">
      <alignment horizontal="center" vertical="center" wrapText="1" readingOrder="1"/>
    </xf>
    <xf numFmtId="0" fontId="71" fillId="0" borderId="29" xfId="0" applyFont="1" applyFill="1" applyBorder="1" applyAlignment="1" applyProtection="1">
      <alignment horizontal="center" vertical="center" wrapText="1" readingOrder="1"/>
    </xf>
    <xf numFmtId="0" fontId="71" fillId="0" borderId="53" xfId="0" applyFont="1" applyFill="1" applyBorder="1" applyAlignment="1" applyProtection="1">
      <alignment horizontal="center" vertical="center" wrapText="1" readingOrder="1"/>
    </xf>
    <xf numFmtId="0" fontId="71" fillId="0" borderId="70" xfId="0" applyFont="1" applyFill="1" applyBorder="1" applyAlignment="1" applyProtection="1">
      <alignment horizontal="center" vertical="center" wrapText="1" readingOrder="1"/>
    </xf>
    <xf numFmtId="0" fontId="71" fillId="0" borderId="71" xfId="0" applyFont="1" applyFill="1" applyBorder="1" applyAlignment="1" applyProtection="1">
      <alignment horizontal="center" vertical="center" wrapText="1" readingOrder="1"/>
    </xf>
    <xf numFmtId="0" fontId="71" fillId="0" borderId="39" xfId="0" applyFont="1" applyFill="1" applyBorder="1" applyAlignment="1" applyProtection="1">
      <alignment horizontal="center" vertical="center" wrapText="1" readingOrder="1"/>
    </xf>
    <xf numFmtId="0" fontId="71" fillId="0" borderId="61" xfId="0" applyFont="1" applyFill="1" applyBorder="1" applyAlignment="1" applyProtection="1">
      <alignment horizontal="center" vertical="center" wrapText="1" readingOrder="1"/>
    </xf>
    <xf numFmtId="0" fontId="71" fillId="0" borderId="31" xfId="0" applyFont="1" applyFill="1" applyBorder="1" applyAlignment="1" applyProtection="1">
      <alignment horizontal="center" vertical="center" wrapText="1" readingOrder="1"/>
    </xf>
    <xf numFmtId="0" fontId="7" fillId="76" borderId="70" xfId="0" applyFont="1" applyFill="1" applyBorder="1" applyAlignment="1" applyProtection="1">
      <alignment horizontal="left" vertical="center" wrapText="1"/>
      <protection locked="0"/>
    </xf>
    <xf numFmtId="0" fontId="7" fillId="76" borderId="39" xfId="0" applyFont="1" applyFill="1" applyBorder="1" applyAlignment="1" applyProtection="1">
      <alignment horizontal="left" vertical="center" wrapText="1"/>
      <protection locked="0"/>
    </xf>
    <xf numFmtId="0" fontId="7" fillId="76" borderId="31" xfId="0" applyFont="1" applyFill="1" applyBorder="1" applyAlignment="1" applyProtection="1">
      <alignment horizontal="left" vertical="center" wrapText="1"/>
      <protection locked="0"/>
    </xf>
    <xf numFmtId="0" fontId="13" fillId="32" borderId="33" xfId="0" quotePrefix="1" applyNumberFormat="1" applyFont="1" applyFill="1" applyBorder="1" applyAlignment="1" applyProtection="1">
      <alignment horizontal="left" vertical="center" wrapText="1"/>
      <protection locked="0"/>
    </xf>
    <xf numFmtId="0" fontId="13" fillId="32" borderId="28" xfId="0" applyNumberFormat="1" applyFont="1" applyFill="1" applyBorder="1" applyAlignment="1" applyProtection="1">
      <alignment horizontal="left" vertical="center" wrapText="1"/>
      <protection locked="0"/>
    </xf>
    <xf numFmtId="0" fontId="13" fillId="32" borderId="29" xfId="0" applyNumberFormat="1" applyFont="1" applyFill="1" applyBorder="1" applyAlignment="1" applyProtection="1">
      <alignment horizontal="left" vertical="center" wrapText="1"/>
      <protection locked="0"/>
    </xf>
    <xf numFmtId="0" fontId="7" fillId="76" borderId="33" xfId="0" applyFont="1" applyFill="1" applyBorder="1" applyAlignment="1" applyProtection="1">
      <alignment horizontal="left" vertical="center" wrapText="1"/>
      <protection locked="0"/>
    </xf>
    <xf numFmtId="0" fontId="7" fillId="76" borderId="28" xfId="0" applyFont="1" applyFill="1" applyBorder="1" applyAlignment="1" applyProtection="1">
      <alignment horizontal="left" vertical="center" wrapText="1"/>
      <protection locked="0"/>
    </xf>
    <xf numFmtId="0" fontId="7" fillId="76" borderId="29" xfId="0" applyFont="1" applyFill="1" applyBorder="1" applyAlignment="1" applyProtection="1">
      <alignment horizontal="left" vertical="center" wrapText="1"/>
      <protection locked="0"/>
    </xf>
    <xf numFmtId="0" fontId="106" fillId="0" borderId="33" xfId="0" quotePrefix="1" applyFont="1" applyFill="1" applyBorder="1" applyAlignment="1">
      <alignment horizontal="center" vertical="center" wrapText="1" readingOrder="1"/>
    </xf>
    <xf numFmtId="0" fontId="106" fillId="0" borderId="28" xfId="0" applyFont="1" applyFill="1" applyBorder="1" applyAlignment="1">
      <alignment horizontal="center" vertical="center" wrapText="1" readingOrder="1"/>
    </xf>
    <xf numFmtId="0" fontId="106" fillId="0" borderId="29" xfId="0" applyFont="1" applyFill="1" applyBorder="1" applyAlignment="1">
      <alignment horizontal="center" vertical="center" wrapText="1" readingOrder="1"/>
    </xf>
    <xf numFmtId="9" fontId="71" fillId="0" borderId="33" xfId="0" applyNumberFormat="1" applyFont="1" applyFill="1" applyBorder="1" applyAlignment="1" applyProtection="1">
      <alignment horizontal="center" vertical="center" wrapText="1" readingOrder="1"/>
    </xf>
    <xf numFmtId="0" fontId="13" fillId="0" borderId="20" xfId="0" applyFont="1" applyBorder="1" applyAlignment="1" applyProtection="1">
      <alignment horizontal="left" vertical="center" wrapText="1" readingOrder="1"/>
    </xf>
    <xf numFmtId="0" fontId="0" fillId="0" borderId="20" xfId="0" applyFont="1" applyBorder="1" applyAlignment="1">
      <alignment horizontal="left" vertical="center" wrapText="1" readingOrder="1"/>
    </xf>
    <xf numFmtId="0" fontId="57" fillId="0" borderId="33" xfId="0" applyFont="1" applyBorder="1" applyAlignment="1" applyProtection="1">
      <alignment horizontal="center" vertical="center" wrapText="1"/>
    </xf>
    <xf numFmtId="0" fontId="57" fillId="0" borderId="28" xfId="0" applyFont="1" applyBorder="1" applyAlignment="1" applyProtection="1">
      <alignment horizontal="center" vertical="center" wrapText="1"/>
    </xf>
    <xf numFmtId="0" fontId="57" fillId="0" borderId="29" xfId="0" applyFont="1" applyBorder="1" applyAlignment="1" applyProtection="1">
      <alignment horizontal="center" vertical="center" wrapText="1"/>
    </xf>
    <xf numFmtId="0" fontId="7" fillId="0" borderId="53" xfId="0" applyFont="1" applyBorder="1" applyAlignment="1">
      <alignment horizontal="center" vertical="center" wrapText="1"/>
    </xf>
    <xf numFmtId="0" fontId="7" fillId="0" borderId="70" xfId="0" applyFont="1" applyBorder="1" applyAlignment="1">
      <alignment horizontal="center" vertical="center" wrapText="1"/>
    </xf>
    <xf numFmtId="0" fontId="7" fillId="0" borderId="71" xfId="0" applyFont="1" applyBorder="1" applyAlignment="1">
      <alignment horizontal="center" vertical="center" wrapText="1"/>
    </xf>
    <xf numFmtId="0" fontId="7" fillId="0" borderId="39" xfId="0" applyFont="1" applyBorder="1" applyAlignment="1">
      <alignment horizontal="center" vertical="center" wrapText="1"/>
    </xf>
    <xf numFmtId="0" fontId="7" fillId="0" borderId="61" xfId="0" applyFont="1" applyBorder="1" applyAlignment="1">
      <alignment horizontal="center" vertical="center" wrapText="1"/>
    </xf>
    <xf numFmtId="0" fontId="7" fillId="0" borderId="31" xfId="0" applyFont="1" applyBorder="1" applyAlignment="1">
      <alignment horizontal="center" vertical="center" wrapText="1"/>
    </xf>
    <xf numFmtId="0" fontId="7" fillId="0" borderId="53" xfId="0" applyFont="1" applyBorder="1" applyAlignment="1" applyProtection="1">
      <alignment horizontal="left" vertical="center" wrapText="1"/>
    </xf>
    <xf numFmtId="0" fontId="7" fillId="0" borderId="72" xfId="0" applyFont="1" applyBorder="1" applyAlignment="1" applyProtection="1">
      <alignment horizontal="left" vertical="center" wrapText="1"/>
    </xf>
    <xf numFmtId="0" fontId="7" fillId="0" borderId="70" xfId="0" applyFont="1" applyBorder="1" applyAlignment="1" applyProtection="1">
      <alignment horizontal="left" vertical="center" wrapText="1"/>
    </xf>
    <xf numFmtId="0" fontId="7" fillId="0" borderId="71" xfId="0" applyFont="1" applyBorder="1" applyAlignment="1" applyProtection="1">
      <alignment horizontal="left" vertical="center" wrapText="1"/>
    </xf>
    <xf numFmtId="0" fontId="7" fillId="0" borderId="0" xfId="0" applyFont="1" applyBorder="1" applyAlignment="1" applyProtection="1">
      <alignment horizontal="left" vertical="center" wrapText="1"/>
    </xf>
    <xf numFmtId="0" fontId="7" fillId="0" borderId="39" xfId="0" applyFont="1" applyBorder="1" applyAlignment="1" applyProtection="1">
      <alignment horizontal="left" vertical="center" wrapText="1"/>
    </xf>
    <xf numFmtId="0" fontId="7" fillId="0" borderId="61" xfId="0" applyFont="1" applyBorder="1" applyAlignment="1" applyProtection="1">
      <alignment horizontal="left" vertical="center" wrapText="1"/>
    </xf>
    <xf numFmtId="0" fontId="7" fillId="0" borderId="34" xfId="0" applyFont="1" applyBorder="1" applyAlignment="1" applyProtection="1">
      <alignment horizontal="left" vertical="center" wrapText="1"/>
    </xf>
    <xf numFmtId="0" fontId="7" fillId="0" borderId="31" xfId="0" applyFont="1" applyBorder="1" applyAlignment="1" applyProtection="1">
      <alignment horizontal="left" vertical="center" wrapText="1"/>
    </xf>
    <xf numFmtId="0" fontId="7" fillId="0" borderId="20" xfId="0" applyFont="1" applyBorder="1" applyAlignment="1" applyProtection="1">
      <alignment horizontal="left" vertical="center" wrapText="1" readingOrder="1"/>
    </xf>
    <xf numFmtId="0" fontId="7" fillId="0" borderId="33" xfId="0" applyFont="1" applyBorder="1" applyAlignment="1" applyProtection="1">
      <alignment horizontal="left" vertical="center" wrapText="1" readingOrder="1"/>
    </xf>
    <xf numFmtId="0" fontId="7" fillId="0" borderId="28" xfId="0" applyFont="1" applyBorder="1" applyAlignment="1" applyProtection="1">
      <alignment horizontal="left" vertical="center" wrapText="1" readingOrder="1"/>
    </xf>
    <xf numFmtId="0" fontId="7" fillId="0" borderId="29" xfId="0" applyFont="1" applyBorder="1" applyAlignment="1" applyProtection="1">
      <alignment horizontal="left" vertical="center" wrapText="1" readingOrder="1"/>
    </xf>
    <xf numFmtId="0" fontId="71" fillId="0" borderId="33" xfId="0" quotePrefix="1" applyFont="1" applyFill="1" applyBorder="1" applyAlignment="1" applyProtection="1">
      <alignment horizontal="center" vertical="center" wrapText="1" readingOrder="1"/>
    </xf>
    <xf numFmtId="0" fontId="71" fillId="0" borderId="28" xfId="0" quotePrefix="1" applyFont="1" applyFill="1" applyBorder="1" applyAlignment="1" applyProtection="1">
      <alignment horizontal="center" vertical="center" wrapText="1" readingOrder="1"/>
    </xf>
    <xf numFmtId="0" fontId="71" fillId="0" borderId="29" xfId="0" quotePrefix="1" applyFont="1" applyFill="1" applyBorder="1" applyAlignment="1" applyProtection="1">
      <alignment horizontal="center" vertical="center" wrapText="1" readingOrder="1"/>
    </xf>
    <xf numFmtId="0" fontId="106" fillId="0" borderId="33" xfId="0" applyFont="1" applyFill="1" applyBorder="1" applyAlignment="1">
      <alignment horizontal="center" vertical="center" wrapText="1" readingOrder="1"/>
    </xf>
    <xf numFmtId="0" fontId="107" fillId="0" borderId="33" xfId="0" applyFont="1" applyBorder="1" applyAlignment="1">
      <alignment horizontal="center" vertical="center" wrapText="1"/>
    </xf>
    <xf numFmtId="0" fontId="107" fillId="0" borderId="29" xfId="0" applyFont="1" applyBorder="1" applyAlignment="1">
      <alignment horizontal="center" vertical="center" wrapText="1"/>
    </xf>
    <xf numFmtId="0" fontId="13" fillId="0" borderId="0" xfId="0" applyFont="1" applyAlignment="1" applyProtection="1">
      <alignment horizontal="justify" vertical="center" wrapText="1"/>
    </xf>
    <xf numFmtId="0" fontId="13" fillId="0" borderId="0" xfId="0" applyFont="1" applyAlignment="1" applyProtection="1">
      <alignment horizontal="justify" vertical="center"/>
    </xf>
    <xf numFmtId="0" fontId="7" fillId="0" borderId="33" xfId="0" applyFont="1" applyBorder="1" applyAlignment="1" applyProtection="1">
      <alignment horizontal="center" vertical="center" wrapText="1"/>
    </xf>
    <xf numFmtId="0" fontId="7" fillId="0" borderId="28" xfId="0" applyFont="1" applyBorder="1" applyAlignment="1" applyProtection="1">
      <alignment horizontal="center" vertical="center" wrapText="1"/>
    </xf>
    <xf numFmtId="0" fontId="7" fillId="0" borderId="29" xfId="0" applyFont="1" applyBorder="1" applyAlignment="1" applyProtection="1">
      <alignment horizontal="center" vertical="center" wrapText="1"/>
    </xf>
    <xf numFmtId="1" fontId="8" fillId="35" borderId="20" xfId="0" applyNumberFormat="1" applyFont="1" applyFill="1" applyBorder="1" applyAlignment="1" applyProtection="1">
      <alignment horizontal="center" vertical="center"/>
    </xf>
    <xf numFmtId="1" fontId="69" fillId="35" borderId="20" xfId="0" applyNumberFormat="1" applyFont="1" applyFill="1" applyBorder="1" applyAlignment="1" applyProtection="1">
      <alignment horizontal="center" vertical="center"/>
    </xf>
    <xf numFmtId="0" fontId="71" fillId="0" borderId="20" xfId="0" applyFont="1" applyFill="1" applyBorder="1" applyAlignment="1" applyProtection="1">
      <alignment horizontal="center" vertical="center" wrapText="1" readingOrder="1"/>
    </xf>
    <xf numFmtId="0" fontId="106" fillId="0" borderId="20" xfId="0" applyFont="1" applyFill="1" applyBorder="1" applyAlignment="1">
      <alignment horizontal="center" vertical="center" wrapText="1" readingOrder="1"/>
    </xf>
    <xf numFmtId="0" fontId="72" fillId="0" borderId="20" xfId="0" applyFont="1" applyFill="1" applyBorder="1" applyAlignment="1" applyProtection="1">
      <alignment horizontal="center" vertical="center" wrapText="1" readingOrder="1"/>
    </xf>
    <xf numFmtId="0" fontId="72" fillId="0" borderId="20" xfId="0" applyFont="1" applyFill="1" applyBorder="1" applyAlignment="1">
      <alignment horizontal="center" vertical="center" wrapText="1" readingOrder="1"/>
    </xf>
    <xf numFmtId="0" fontId="72" fillId="0" borderId="33" xfId="0" applyFont="1" applyFill="1" applyBorder="1" applyAlignment="1">
      <alignment horizontal="center" vertical="center" wrapText="1" readingOrder="1"/>
    </xf>
    <xf numFmtId="0" fontId="72" fillId="0" borderId="28" xfId="0" applyFont="1" applyFill="1" applyBorder="1" applyAlignment="1">
      <alignment horizontal="center" vertical="center" wrapText="1" readingOrder="1"/>
    </xf>
    <xf numFmtId="0" fontId="72" fillId="0" borderId="29" xfId="0" applyFont="1" applyFill="1" applyBorder="1" applyAlignment="1">
      <alignment horizontal="center" vertical="center" wrapText="1" readingOrder="1"/>
    </xf>
    <xf numFmtId="0" fontId="72" fillId="0" borderId="33" xfId="0" quotePrefix="1" applyFont="1" applyFill="1" applyBorder="1" applyAlignment="1">
      <alignment horizontal="center" vertical="center" wrapText="1" readingOrder="1"/>
    </xf>
    <xf numFmtId="0" fontId="7" fillId="0" borderId="53" xfId="0" quotePrefix="1" applyFont="1" applyBorder="1" applyAlignment="1" applyProtection="1">
      <alignment horizontal="left" vertical="center" wrapText="1" readingOrder="1"/>
    </xf>
    <xf numFmtId="0" fontId="7" fillId="0" borderId="70" xfId="0" quotePrefix="1" applyFont="1" applyBorder="1" applyAlignment="1" applyProtection="1">
      <alignment horizontal="left" vertical="center" wrapText="1" readingOrder="1"/>
    </xf>
    <xf numFmtId="0" fontId="7" fillId="0" borderId="71" xfId="0" quotePrefix="1" applyFont="1" applyBorder="1" applyAlignment="1" applyProtection="1">
      <alignment horizontal="left" vertical="center" wrapText="1" readingOrder="1"/>
    </xf>
    <xf numFmtId="0" fontId="7" fillId="0" borderId="39" xfId="0" quotePrefix="1" applyFont="1" applyBorder="1" applyAlignment="1" applyProtection="1">
      <alignment horizontal="left" vertical="center" wrapText="1" readingOrder="1"/>
    </xf>
    <xf numFmtId="1" fontId="25" fillId="40" borderId="20" xfId="356" applyNumberFormat="1" applyFont="1" applyFill="1" applyBorder="1" applyAlignment="1" applyProtection="1">
      <alignment horizontal="center" vertical="center" wrapText="1"/>
    </xf>
    <xf numFmtId="0" fontId="7" fillId="0" borderId="73" xfId="0" applyFont="1" applyBorder="1" applyAlignment="1" applyProtection="1">
      <alignment horizontal="left" vertical="center" wrapText="1" readingOrder="1"/>
    </xf>
    <xf numFmtId="0" fontId="7" fillId="0" borderId="74" xfId="0" applyFont="1" applyBorder="1" applyAlignment="1" applyProtection="1">
      <alignment horizontal="left" vertical="center" wrapText="1" readingOrder="1"/>
    </xf>
    <xf numFmtId="0" fontId="7" fillId="0" borderId="75" xfId="0" applyFont="1" applyBorder="1" applyAlignment="1" applyProtection="1">
      <alignment horizontal="left" vertical="center" wrapText="1" readingOrder="1"/>
    </xf>
    <xf numFmtId="0" fontId="7" fillId="0" borderId="76" xfId="0" applyFont="1" applyBorder="1" applyAlignment="1" applyProtection="1">
      <alignment horizontal="left" vertical="center" wrapText="1" readingOrder="1"/>
    </xf>
    <xf numFmtId="49" fontId="13" fillId="0" borderId="73" xfId="0" applyNumberFormat="1" applyFont="1" applyBorder="1" applyAlignment="1" applyProtection="1">
      <alignment horizontal="center" vertical="center" wrapText="1" readingOrder="1"/>
    </xf>
    <xf numFmtId="49" fontId="13" fillId="0" borderId="74" xfId="0" applyNumberFormat="1" applyFont="1" applyBorder="1" applyAlignment="1" applyProtection="1">
      <alignment horizontal="center" vertical="center" wrapText="1" readingOrder="1"/>
    </xf>
    <xf numFmtId="49" fontId="13" fillId="0" borderId="75" xfId="0" applyNumberFormat="1" applyFont="1" applyBorder="1" applyAlignment="1" applyProtection="1">
      <alignment horizontal="center" vertical="center" wrapText="1" readingOrder="1"/>
    </xf>
    <xf numFmtId="49" fontId="13" fillId="0" borderId="76" xfId="0" applyNumberFormat="1" applyFont="1" applyBorder="1" applyAlignment="1" applyProtection="1">
      <alignment horizontal="center" vertical="center" wrapText="1" readingOrder="1"/>
    </xf>
    <xf numFmtId="49" fontId="13" fillId="0" borderId="53" xfId="0" applyNumberFormat="1" applyFont="1" applyFill="1" applyBorder="1" applyAlignment="1" applyProtection="1">
      <alignment horizontal="center" vertical="center" wrapText="1" readingOrder="1"/>
    </xf>
    <xf numFmtId="49" fontId="13" fillId="0" borderId="70" xfId="0" applyNumberFormat="1" applyFont="1" applyFill="1" applyBorder="1" applyAlignment="1" applyProtection="1">
      <alignment horizontal="center" vertical="center" wrapText="1" readingOrder="1"/>
    </xf>
    <xf numFmtId="49" fontId="13" fillId="0" borderId="71" xfId="0" applyNumberFormat="1" applyFont="1" applyFill="1" applyBorder="1" applyAlignment="1" applyProtection="1">
      <alignment horizontal="center" vertical="center" wrapText="1" readingOrder="1"/>
    </xf>
    <xf numFmtId="49" fontId="13" fillId="0" borderId="39" xfId="0" applyNumberFormat="1" applyFont="1" applyFill="1" applyBorder="1" applyAlignment="1" applyProtection="1">
      <alignment horizontal="center" vertical="center" wrapText="1" readingOrder="1"/>
    </xf>
    <xf numFmtId="49" fontId="13" fillId="0" borderId="61" xfId="0" applyNumberFormat="1" applyFont="1" applyFill="1" applyBorder="1" applyAlignment="1" applyProtection="1">
      <alignment horizontal="center" vertical="center" wrapText="1" readingOrder="1"/>
    </xf>
    <xf numFmtId="49" fontId="13" fillId="0" borderId="31" xfId="0" applyNumberFormat="1" applyFont="1" applyFill="1" applyBorder="1" applyAlignment="1" applyProtection="1">
      <alignment horizontal="center" vertical="center" wrapText="1" readingOrder="1"/>
    </xf>
    <xf numFmtId="49" fontId="13" fillId="0" borderId="77" xfId="0" applyNumberFormat="1" applyFont="1" applyBorder="1" applyAlignment="1" applyProtection="1">
      <alignment horizontal="center" vertical="center" wrapText="1" readingOrder="1"/>
    </xf>
    <xf numFmtId="49" fontId="13" fillId="0" borderId="78" xfId="0" applyNumberFormat="1" applyFont="1" applyBorder="1" applyAlignment="1" applyProtection="1">
      <alignment horizontal="center" vertical="center" wrapText="1" readingOrder="1"/>
    </xf>
    <xf numFmtId="0" fontId="28" fillId="0" borderId="53" xfId="0" applyFont="1" applyBorder="1" applyAlignment="1" applyProtection="1">
      <alignment horizontal="center" vertical="center" wrapText="1"/>
    </xf>
    <xf numFmtId="0" fontId="28" fillId="0" borderId="70" xfId="0" applyFont="1" applyBorder="1" applyAlignment="1" applyProtection="1">
      <alignment horizontal="center" vertical="center" wrapText="1"/>
    </xf>
    <xf numFmtId="0" fontId="28" fillId="0" borderId="61" xfId="0" applyFont="1" applyBorder="1" applyAlignment="1" applyProtection="1">
      <alignment horizontal="center" vertical="center" wrapText="1"/>
    </xf>
    <xf numFmtId="0" fontId="28" fillId="0" borderId="31" xfId="0" applyFont="1" applyBorder="1" applyAlignment="1" applyProtection="1">
      <alignment horizontal="center" vertical="center" wrapText="1"/>
    </xf>
    <xf numFmtId="0" fontId="28" fillId="0" borderId="33" xfId="0" applyFont="1" applyBorder="1" applyAlignment="1" applyProtection="1">
      <alignment horizontal="center" vertical="center" wrapText="1"/>
    </xf>
    <xf numFmtId="0" fontId="28" fillId="0" borderId="29" xfId="0" applyFont="1" applyBorder="1" applyAlignment="1" applyProtection="1">
      <alignment horizontal="center" vertical="center" wrapText="1"/>
    </xf>
    <xf numFmtId="0" fontId="28" fillId="0" borderId="20" xfId="0" applyFont="1" applyBorder="1" applyAlignment="1" applyProtection="1">
      <alignment horizontal="center" vertical="center" wrapText="1"/>
    </xf>
    <xf numFmtId="0" fontId="21" fillId="0" borderId="20" xfId="0" applyFont="1" applyBorder="1" applyAlignment="1" applyProtection="1">
      <alignment horizontal="center" vertical="center" wrapText="1"/>
    </xf>
    <xf numFmtId="0" fontId="0" fillId="0" borderId="20" xfId="0" applyBorder="1" applyAlignment="1">
      <alignment horizontal="center" vertical="center" wrapText="1"/>
    </xf>
    <xf numFmtId="0" fontId="28" fillId="0" borderId="56" xfId="0" applyFont="1" applyBorder="1" applyAlignment="1" applyProtection="1">
      <alignment horizontal="center" vertical="center"/>
    </xf>
    <xf numFmtId="0" fontId="28" fillId="0" borderId="27" xfId="0" applyFont="1" applyBorder="1" applyAlignment="1" applyProtection="1">
      <alignment horizontal="center" vertical="center"/>
    </xf>
    <xf numFmtId="0" fontId="28" fillId="0" borderId="33" xfId="0" applyFont="1" applyFill="1" applyBorder="1" applyAlignment="1" applyProtection="1">
      <alignment horizontal="center" vertical="center" wrapText="1"/>
    </xf>
    <xf numFmtId="0" fontId="21" fillId="0" borderId="29" xfId="0" applyFont="1" applyFill="1" applyBorder="1" applyAlignment="1" applyProtection="1">
      <alignment horizontal="center" vertical="center" wrapText="1"/>
    </xf>
    <xf numFmtId="0" fontId="73" fillId="0" borderId="20" xfId="0" applyFont="1" applyBorder="1" applyAlignment="1" applyProtection="1">
      <alignment horizontal="center" vertical="center" wrapText="1"/>
    </xf>
    <xf numFmtId="0" fontId="107" fillId="0" borderId="20" xfId="0" applyFont="1" applyBorder="1" applyAlignment="1">
      <alignment horizontal="center" vertical="center" wrapText="1"/>
    </xf>
    <xf numFmtId="0" fontId="21" fillId="0" borderId="70" xfId="0" applyFont="1" applyBorder="1" applyAlignment="1" applyProtection="1">
      <alignment horizontal="center" vertical="center" wrapText="1"/>
    </xf>
    <xf numFmtId="0" fontId="21" fillId="0" borderId="61" xfId="0" applyFont="1" applyBorder="1" applyAlignment="1" applyProtection="1">
      <alignment horizontal="center" vertical="center" wrapText="1"/>
    </xf>
    <xf numFmtId="0" fontId="21" fillId="0" borderId="31" xfId="0" applyFont="1" applyBorder="1" applyAlignment="1" applyProtection="1">
      <alignment horizontal="center" vertical="center" wrapText="1"/>
    </xf>
    <xf numFmtId="0" fontId="7" fillId="0" borderId="53" xfId="0" applyFont="1" applyBorder="1" applyAlignment="1" applyProtection="1">
      <alignment horizontal="left" vertical="center" wrapText="1" readingOrder="1"/>
    </xf>
    <xf numFmtId="0" fontId="7" fillId="0" borderId="72" xfId="0" applyFont="1" applyBorder="1" applyAlignment="1" applyProtection="1">
      <alignment horizontal="left" vertical="center" wrapText="1" readingOrder="1"/>
    </xf>
    <xf numFmtId="0" fontId="7" fillId="0" borderId="71" xfId="0" applyFont="1" applyBorder="1" applyAlignment="1" applyProtection="1">
      <alignment horizontal="left" vertical="center" wrapText="1" readingOrder="1"/>
    </xf>
    <xf numFmtId="0" fontId="7" fillId="0" borderId="0" xfId="0" applyFont="1" applyBorder="1" applyAlignment="1" applyProtection="1">
      <alignment horizontal="left" vertical="center" wrapText="1" readingOrder="1"/>
    </xf>
    <xf numFmtId="0" fontId="10" fillId="34" borderId="23" xfId="441" applyFont="1" applyFill="1" applyBorder="1" applyAlignment="1" applyProtection="1">
      <alignment vertical="center"/>
    </xf>
    <xf numFmtId="0" fontId="10" fillId="34" borderId="25" xfId="441" applyFont="1" applyFill="1" applyBorder="1" applyAlignment="1" applyProtection="1">
      <alignment vertical="center"/>
    </xf>
    <xf numFmtId="0" fontId="28" fillId="34" borderId="25" xfId="0" applyFont="1" applyFill="1" applyBorder="1" applyAlignment="1" applyProtection="1"/>
    <xf numFmtId="0" fontId="0" fillId="0" borderId="26" xfId="0" applyBorder="1" applyAlignment="1"/>
    <xf numFmtId="0" fontId="0" fillId="0" borderId="26" xfId="0" applyBorder="1" applyAlignment="1">
      <alignment vertical="center"/>
    </xf>
    <xf numFmtId="0" fontId="15" fillId="0" borderId="0" xfId="0" applyFont="1" applyAlignment="1" applyProtection="1">
      <alignment horizontal="center"/>
    </xf>
    <xf numFmtId="0" fontId="15" fillId="0" borderId="67" xfId="0" applyFont="1" applyBorder="1" applyAlignment="1" applyProtection="1">
      <alignment horizontal="center"/>
    </xf>
    <xf numFmtId="14" fontId="28" fillId="34" borderId="23" xfId="0" applyNumberFormat="1" applyFont="1" applyFill="1" applyBorder="1" applyAlignment="1" applyProtection="1">
      <alignment horizontal="center" vertical="center"/>
    </xf>
    <xf numFmtId="14" fontId="28" fillId="34" borderId="25" xfId="0" applyNumberFormat="1" applyFont="1" applyFill="1" applyBorder="1" applyAlignment="1" applyProtection="1">
      <alignment horizontal="center" vertical="center"/>
    </xf>
    <xf numFmtId="14" fontId="28" fillId="34" borderId="26" xfId="0" applyNumberFormat="1" applyFont="1" applyFill="1" applyBorder="1" applyAlignment="1" applyProtection="1">
      <alignment horizontal="center" vertical="center"/>
    </xf>
    <xf numFmtId="0" fontId="28" fillId="0" borderId="72" xfId="0" applyFont="1" applyBorder="1" applyAlignment="1" applyProtection="1">
      <alignment horizontal="center" vertical="center" wrapText="1"/>
    </xf>
    <xf numFmtId="0" fontId="28" fillId="0" borderId="34" xfId="0" applyFont="1" applyBorder="1" applyAlignment="1" applyProtection="1">
      <alignment horizontal="center" vertical="center" wrapText="1"/>
    </xf>
    <xf numFmtId="0" fontId="7" fillId="0" borderId="53" xfId="0" applyFont="1" applyFill="1" applyBorder="1" applyAlignment="1" applyProtection="1">
      <alignment horizontal="left" vertical="center" wrapText="1" readingOrder="1"/>
    </xf>
    <xf numFmtId="0" fontId="7" fillId="0" borderId="72" xfId="0" applyFont="1" applyFill="1" applyBorder="1" applyAlignment="1" applyProtection="1">
      <alignment horizontal="left" vertical="center" wrapText="1" readingOrder="1"/>
    </xf>
    <xf numFmtId="0" fontId="7" fillId="0" borderId="70" xfId="0" applyFont="1" applyFill="1" applyBorder="1" applyAlignment="1" applyProtection="1">
      <alignment horizontal="left" vertical="center" wrapText="1" readingOrder="1"/>
    </xf>
    <xf numFmtId="0" fontId="7" fillId="0" borderId="71" xfId="0" applyFont="1" applyFill="1" applyBorder="1" applyAlignment="1" applyProtection="1">
      <alignment horizontal="left" vertical="center" wrapText="1" readingOrder="1"/>
    </xf>
    <xf numFmtId="0" fontId="7" fillId="0" borderId="0" xfId="0" applyFont="1" applyFill="1" applyBorder="1" applyAlignment="1" applyProtection="1">
      <alignment horizontal="left" vertical="center" wrapText="1" readingOrder="1"/>
    </xf>
    <xf numFmtId="0" fontId="7" fillId="0" borderId="39" xfId="0" applyFont="1" applyFill="1" applyBorder="1" applyAlignment="1" applyProtection="1">
      <alignment horizontal="left" vertical="center" wrapText="1" readingOrder="1"/>
    </xf>
    <xf numFmtId="0" fontId="7" fillId="0" borderId="61" xfId="0" applyFont="1" applyFill="1" applyBorder="1" applyAlignment="1" applyProtection="1">
      <alignment horizontal="left" vertical="center" wrapText="1" readingOrder="1"/>
    </xf>
    <xf numFmtId="0" fontId="7" fillId="0" borderId="34" xfId="0" applyFont="1" applyFill="1" applyBorder="1" applyAlignment="1" applyProtection="1">
      <alignment horizontal="left" vertical="center" wrapText="1" readingOrder="1"/>
    </xf>
    <xf numFmtId="0" fontId="7" fillId="0" borderId="31" xfId="0" applyFont="1" applyFill="1" applyBorder="1" applyAlignment="1" applyProtection="1">
      <alignment horizontal="left" vertical="center" wrapText="1" readingOrder="1"/>
    </xf>
    <xf numFmtId="0" fontId="7" fillId="0" borderId="20" xfId="0" applyFont="1" applyFill="1" applyBorder="1" applyAlignment="1" applyProtection="1">
      <alignment horizontal="left" vertical="center" wrapText="1" readingOrder="1"/>
    </xf>
    <xf numFmtId="0" fontId="52" fillId="0" borderId="20" xfId="0" applyFont="1" applyFill="1" applyBorder="1" applyAlignment="1">
      <alignment horizontal="left" vertical="center" wrapText="1" readingOrder="1"/>
    </xf>
    <xf numFmtId="0" fontId="13" fillId="0" borderId="20" xfId="0" quotePrefix="1" applyFont="1" applyBorder="1" applyAlignment="1" applyProtection="1">
      <alignment horizontal="left" vertical="center" wrapText="1" readingOrder="1"/>
    </xf>
    <xf numFmtId="0" fontId="13" fillId="0" borderId="29" xfId="0" quotePrefix="1" applyFont="1" applyBorder="1" applyAlignment="1" applyProtection="1">
      <alignment horizontal="left" vertical="center" wrapText="1" readingOrder="1"/>
    </xf>
    <xf numFmtId="0" fontId="7" fillId="0" borderId="70" xfId="0" applyFont="1" applyBorder="1" applyAlignment="1" applyProtection="1">
      <alignment horizontal="left" vertical="center" wrapText="1" readingOrder="1"/>
    </xf>
    <xf numFmtId="0" fontId="7" fillId="0" borderId="39" xfId="0" applyFont="1" applyBorder="1" applyAlignment="1" applyProtection="1">
      <alignment horizontal="left" vertical="center" wrapText="1" readingOrder="1"/>
    </xf>
    <xf numFmtId="0" fontId="7" fillId="0" borderId="61" xfId="0" applyFont="1" applyBorder="1" applyAlignment="1" applyProtection="1">
      <alignment horizontal="left" vertical="center" wrapText="1" readingOrder="1"/>
    </xf>
    <xf numFmtId="0" fontId="7" fillId="0" borderId="34" xfId="0" applyFont="1" applyBorder="1" applyAlignment="1" applyProtection="1">
      <alignment horizontal="left" vertical="center" wrapText="1" readingOrder="1"/>
    </xf>
    <xf numFmtId="0" fontId="7" fillId="0" borderId="31" xfId="0" applyFont="1" applyBorder="1" applyAlignment="1" applyProtection="1">
      <alignment horizontal="left" vertical="center" wrapText="1" readingOrder="1"/>
    </xf>
    <xf numFmtId="0" fontId="17" fillId="0" borderId="23" xfId="0" applyFont="1" applyBorder="1" applyAlignment="1" applyProtection="1">
      <alignment horizontal="left"/>
    </xf>
    <xf numFmtId="0" fontId="17" fillId="0" borderId="25" xfId="0" applyFont="1" applyBorder="1" applyAlignment="1" applyProtection="1">
      <alignment horizontal="left"/>
    </xf>
    <xf numFmtId="0" fontId="17" fillId="0" borderId="26" xfId="0" applyFont="1" applyBorder="1" applyAlignment="1" applyProtection="1">
      <alignment horizontal="left"/>
    </xf>
    <xf numFmtId="0" fontId="20" fillId="0" borderId="23" xfId="0" applyFont="1" applyBorder="1" applyAlignment="1" applyProtection="1">
      <alignment horizontal="left"/>
    </xf>
    <xf numFmtId="0" fontId="20" fillId="0" borderId="25" xfId="0" applyFont="1" applyBorder="1" applyAlignment="1" applyProtection="1">
      <alignment horizontal="left"/>
    </xf>
    <xf numFmtId="0" fontId="20" fillId="0" borderId="26" xfId="0" applyFont="1" applyBorder="1" applyAlignment="1" applyProtection="1">
      <alignment horizontal="left"/>
    </xf>
    <xf numFmtId="0" fontId="17" fillId="0" borderId="18" xfId="0" applyFont="1" applyBorder="1" applyAlignment="1" applyProtection="1">
      <alignment horizontal="left"/>
    </xf>
    <xf numFmtId="0" fontId="13" fillId="0" borderId="53" xfId="0" applyNumberFormat="1" applyFont="1" applyBorder="1" applyAlignment="1" applyProtection="1">
      <alignment horizontal="center" vertical="center" wrapText="1" readingOrder="1"/>
    </xf>
    <xf numFmtId="49" fontId="57" fillId="0" borderId="33" xfId="0" applyNumberFormat="1" applyFont="1" applyFill="1" applyBorder="1" applyAlignment="1" applyProtection="1">
      <alignment horizontal="center" vertical="center" wrapText="1" readingOrder="1"/>
    </xf>
    <xf numFmtId="49" fontId="57" fillId="0" borderId="28" xfId="0" applyNumberFormat="1" applyFont="1" applyFill="1" applyBorder="1" applyAlignment="1" applyProtection="1">
      <alignment horizontal="center" vertical="center" wrapText="1" readingOrder="1"/>
    </xf>
    <xf numFmtId="49" fontId="57" fillId="0" borderId="29" xfId="0" applyNumberFormat="1" applyFont="1" applyFill="1" applyBorder="1" applyAlignment="1" applyProtection="1">
      <alignment horizontal="center" vertical="center" wrapText="1" readingOrder="1"/>
    </xf>
    <xf numFmtId="0" fontId="52" fillId="0" borderId="20" xfId="0" applyFont="1" applyBorder="1" applyAlignment="1">
      <alignment horizontal="left" vertical="center" wrapText="1" readingOrder="1"/>
    </xf>
    <xf numFmtId="0" fontId="13" fillId="0" borderId="0" xfId="0" applyFont="1" applyAlignment="1" applyProtection="1">
      <alignment horizontal="left" vertical="top" wrapText="1"/>
    </xf>
    <xf numFmtId="0" fontId="72" fillId="0" borderId="53" xfId="0" applyFont="1" applyFill="1" applyBorder="1" applyAlignment="1" applyProtection="1">
      <alignment horizontal="center" vertical="center" wrapText="1"/>
    </xf>
    <xf numFmtId="0" fontId="72" fillId="0" borderId="70" xfId="0" applyFont="1" applyFill="1" applyBorder="1" applyAlignment="1" applyProtection="1">
      <alignment horizontal="center" vertical="center" wrapText="1"/>
    </xf>
    <xf numFmtId="0" fontId="72" fillId="0" borderId="71" xfId="0" applyFont="1" applyFill="1" applyBorder="1" applyAlignment="1" applyProtection="1">
      <alignment horizontal="center" vertical="center" wrapText="1"/>
    </xf>
    <xf numFmtId="0" fontId="72" fillId="0" borderId="39" xfId="0" applyFont="1" applyFill="1" applyBorder="1" applyAlignment="1" applyProtection="1">
      <alignment horizontal="center" vertical="center" wrapText="1"/>
    </xf>
    <xf numFmtId="0" fontId="72" fillId="0" borderId="61" xfId="0" applyFont="1" applyFill="1" applyBorder="1" applyAlignment="1" applyProtection="1">
      <alignment horizontal="center" vertical="center" wrapText="1"/>
    </xf>
    <xf numFmtId="0" fontId="72" fillId="0" borderId="31" xfId="0" applyFont="1" applyFill="1" applyBorder="1" applyAlignment="1" applyProtection="1">
      <alignment horizontal="center" vertical="center" wrapText="1"/>
    </xf>
    <xf numFmtId="0" fontId="72" fillId="0" borderId="33" xfId="0" applyFont="1" applyFill="1" applyBorder="1" applyAlignment="1">
      <alignment horizontal="center" vertical="center" wrapText="1"/>
    </xf>
    <xf numFmtId="0" fontId="72" fillId="0" borderId="28" xfId="0" applyFont="1" applyFill="1" applyBorder="1" applyAlignment="1">
      <alignment horizontal="center" vertical="center" wrapText="1"/>
    </xf>
    <xf numFmtId="0" fontId="72" fillId="0" borderId="29" xfId="0" applyFont="1" applyFill="1" applyBorder="1" applyAlignment="1">
      <alignment horizontal="center" vertical="center" wrapText="1"/>
    </xf>
    <xf numFmtId="0" fontId="53" fillId="0" borderId="0" xfId="0" applyFont="1" applyAlignment="1" applyProtection="1">
      <alignment horizontal="left" vertical="center" wrapText="1"/>
    </xf>
    <xf numFmtId="0" fontId="119" fillId="76" borderId="70" xfId="0" applyFont="1" applyFill="1" applyBorder="1" applyAlignment="1" applyProtection="1">
      <alignment horizontal="left" vertical="center" wrapText="1"/>
      <protection locked="0"/>
    </xf>
    <xf numFmtId="0" fontId="119" fillId="76" borderId="39" xfId="0" applyFont="1" applyFill="1" applyBorder="1" applyAlignment="1" applyProtection="1">
      <alignment horizontal="left" vertical="center" wrapText="1"/>
      <protection locked="0"/>
    </xf>
    <xf numFmtId="0" fontId="119" fillId="76" borderId="31" xfId="0" applyFont="1" applyFill="1" applyBorder="1" applyAlignment="1" applyProtection="1">
      <alignment horizontal="left" vertical="center" wrapText="1"/>
      <protection locked="0"/>
    </xf>
    <xf numFmtId="0" fontId="72" fillId="0" borderId="53" xfId="0" applyFont="1" applyFill="1" applyBorder="1" applyAlignment="1" applyProtection="1">
      <alignment horizontal="center" vertical="center" wrapText="1" readingOrder="1"/>
    </xf>
    <xf numFmtId="0" fontId="72" fillId="0" borderId="70" xfId="0" applyFont="1" applyFill="1" applyBorder="1" applyAlignment="1" applyProtection="1">
      <alignment horizontal="center" vertical="center" wrapText="1" readingOrder="1"/>
    </xf>
    <xf numFmtId="0" fontId="72" fillId="0" borderId="71" xfId="0" applyFont="1" applyFill="1" applyBorder="1" applyAlignment="1" applyProtection="1">
      <alignment horizontal="center" vertical="center" wrapText="1" readingOrder="1"/>
    </xf>
    <xf numFmtId="0" fontId="72" fillId="0" borderId="39" xfId="0" applyFont="1" applyFill="1" applyBorder="1" applyAlignment="1" applyProtection="1">
      <alignment horizontal="center" vertical="center" wrapText="1" readingOrder="1"/>
    </xf>
    <xf numFmtId="0" fontId="72" fillId="0" borderId="61" xfId="0" applyFont="1" applyFill="1" applyBorder="1" applyAlignment="1" applyProtection="1">
      <alignment horizontal="center" vertical="center" wrapText="1" readingOrder="1"/>
    </xf>
    <xf numFmtId="0" fontId="72" fillId="0" borderId="31" xfId="0" applyFont="1" applyFill="1" applyBorder="1" applyAlignment="1" applyProtection="1">
      <alignment horizontal="center" vertical="center" wrapText="1" readingOrder="1"/>
    </xf>
    <xf numFmtId="9" fontId="72" fillId="0" borderId="33" xfId="0" applyNumberFormat="1" applyFont="1" applyFill="1" applyBorder="1" applyAlignment="1" applyProtection="1">
      <alignment horizontal="center" vertical="center" wrapText="1" readingOrder="1"/>
    </xf>
    <xf numFmtId="0" fontId="72" fillId="0" borderId="28" xfId="0" applyFont="1" applyFill="1" applyBorder="1" applyAlignment="1" applyProtection="1">
      <alignment horizontal="center" vertical="center" wrapText="1" readingOrder="1"/>
    </xf>
    <xf numFmtId="0" fontId="72" fillId="0" borderId="29" xfId="0" applyFont="1" applyFill="1" applyBorder="1" applyAlignment="1" applyProtection="1">
      <alignment horizontal="center" vertical="center" wrapText="1" readingOrder="1"/>
    </xf>
    <xf numFmtId="0" fontId="57" fillId="0" borderId="33" xfId="0" applyFont="1" applyFill="1" applyBorder="1" applyAlignment="1" applyProtection="1">
      <alignment horizontal="center" vertical="center" wrapText="1"/>
    </xf>
    <xf numFmtId="0" fontId="57" fillId="0" borderId="28" xfId="0" applyFont="1" applyFill="1" applyBorder="1" applyAlignment="1" applyProtection="1">
      <alignment horizontal="center" vertical="center" wrapText="1"/>
    </xf>
    <xf numFmtId="0" fontId="57" fillId="0" borderId="29" xfId="0" applyFont="1" applyFill="1" applyBorder="1" applyAlignment="1" applyProtection="1">
      <alignment horizontal="center" vertical="center" wrapText="1"/>
    </xf>
    <xf numFmtId="0" fontId="13" fillId="0" borderId="0" xfId="0" applyFont="1" applyAlignment="1" applyProtection="1">
      <alignment horizontal="left" wrapText="1"/>
    </xf>
    <xf numFmtId="0" fontId="13" fillId="0" borderId="0" xfId="0" applyFont="1" applyAlignment="1" applyProtection="1">
      <alignment horizontal="left" vertical="center" wrapText="1"/>
    </xf>
    <xf numFmtId="0" fontId="13" fillId="0" borderId="0" xfId="0" applyFont="1" applyAlignment="1" applyProtection="1">
      <alignment horizontal="left" vertical="center"/>
    </xf>
    <xf numFmtId="165" fontId="7" fillId="82" borderId="53" xfId="1058" applyNumberFormat="1" applyFont="1" applyFill="1" applyBorder="1" applyAlignment="1" applyProtection="1">
      <alignment horizontal="center" vertical="center"/>
    </xf>
    <xf numFmtId="165" fontId="7" fillId="82" borderId="70" xfId="1058" applyNumberFormat="1" applyFont="1" applyFill="1" applyBorder="1" applyAlignment="1" applyProtection="1">
      <alignment horizontal="center" vertical="center"/>
    </xf>
    <xf numFmtId="165" fontId="7" fillId="82" borderId="71" xfId="1058" applyNumberFormat="1" applyFont="1" applyFill="1" applyBorder="1" applyAlignment="1" applyProtection="1">
      <alignment horizontal="center" vertical="center"/>
    </xf>
    <xf numFmtId="165" fontId="7" fillId="82" borderId="39" xfId="1058" applyNumberFormat="1" applyFont="1" applyFill="1" applyBorder="1" applyAlignment="1" applyProtection="1">
      <alignment horizontal="center" vertical="center"/>
    </xf>
    <xf numFmtId="165" fontId="7" fillId="0" borderId="20" xfId="1058" applyNumberFormat="1" applyFont="1" applyFill="1" applyBorder="1" applyAlignment="1" applyProtection="1">
      <alignment horizontal="center" vertical="center"/>
    </xf>
    <xf numFmtId="165" fontId="7" fillId="84" borderId="56" xfId="1058" applyNumberFormat="1" applyFont="1" applyFill="1" applyBorder="1" applyAlignment="1" applyProtection="1">
      <alignment horizontal="left" vertical="center" wrapText="1"/>
    </xf>
    <xf numFmtId="165" fontId="7" fillId="84" borderId="69" xfId="1058" applyNumberFormat="1" applyFont="1" applyFill="1" applyBorder="1" applyAlignment="1" applyProtection="1">
      <alignment horizontal="left" vertical="center" wrapText="1"/>
    </xf>
    <xf numFmtId="165" fontId="7" fillId="84" borderId="27" xfId="1058" applyNumberFormat="1" applyFont="1" applyFill="1" applyBorder="1" applyAlignment="1" applyProtection="1">
      <alignment horizontal="left" vertical="center" wrapText="1"/>
    </xf>
    <xf numFmtId="165" fontId="7" fillId="85" borderId="53" xfId="1058" applyNumberFormat="1" applyFont="1" applyFill="1" applyBorder="1" applyAlignment="1" applyProtection="1">
      <alignment horizontal="center" vertical="center"/>
    </xf>
    <xf numFmtId="165" fontId="7" fillId="85" borderId="70" xfId="1058" applyNumberFormat="1" applyFont="1" applyFill="1" applyBorder="1" applyAlignment="1" applyProtection="1">
      <alignment horizontal="center" vertical="center"/>
    </xf>
    <xf numFmtId="165" fontId="7" fillId="85" borderId="61" xfId="1058" applyNumberFormat="1" applyFont="1" applyFill="1" applyBorder="1" applyAlignment="1" applyProtection="1">
      <alignment horizontal="center" vertical="center"/>
    </xf>
    <xf numFmtId="165" fontId="7" fillId="85" borderId="31" xfId="1058" applyNumberFormat="1" applyFont="1" applyFill="1" applyBorder="1" applyAlignment="1" applyProtection="1">
      <alignment horizontal="center" vertical="center"/>
    </xf>
    <xf numFmtId="0" fontId="53" fillId="0" borderId="0" xfId="0" applyFont="1" applyAlignment="1" applyProtection="1">
      <alignment horizontal="left" vertical="top"/>
    </xf>
    <xf numFmtId="165" fontId="7" fillId="0" borderId="61" xfId="1058" applyNumberFormat="1" applyFont="1" applyFill="1" applyBorder="1" applyAlignment="1" applyProtection="1">
      <alignment horizontal="center" vertical="top" wrapText="1"/>
    </xf>
    <xf numFmtId="165" fontId="7" fillId="0" borderId="31" xfId="1058" applyNumberFormat="1" applyFont="1" applyFill="1" applyBorder="1" applyAlignment="1" applyProtection="1">
      <alignment horizontal="center" vertical="top" wrapText="1"/>
    </xf>
    <xf numFmtId="165" fontId="7" fillId="0" borderId="53" xfId="1058" applyNumberFormat="1" applyFont="1" applyFill="1" applyBorder="1" applyAlignment="1" applyProtection="1">
      <alignment horizontal="center" wrapText="1"/>
    </xf>
    <xf numFmtId="165" fontId="7" fillId="0" borderId="70" xfId="1058" applyNumberFormat="1" applyFont="1" applyFill="1" applyBorder="1" applyAlignment="1" applyProtection="1">
      <alignment horizontal="center" wrapText="1"/>
    </xf>
    <xf numFmtId="165" fontId="7" fillId="0" borderId="71" xfId="1058" applyNumberFormat="1" applyFont="1" applyFill="1" applyBorder="1" applyAlignment="1" applyProtection="1">
      <alignment horizontal="center" wrapText="1"/>
    </xf>
    <xf numFmtId="165" fontId="7" fillId="0" borderId="39" xfId="1058" applyNumberFormat="1" applyFont="1" applyFill="1" applyBorder="1" applyAlignment="1" applyProtection="1">
      <alignment horizontal="center" wrapText="1"/>
    </xf>
    <xf numFmtId="0" fontId="28" fillId="0" borderId="18" xfId="0" applyFont="1" applyFill="1" applyBorder="1" applyAlignment="1" applyProtection="1">
      <alignment horizontal="left" vertical="center" wrapText="1"/>
    </xf>
    <xf numFmtId="0" fontId="10" fillId="34" borderId="23" xfId="441" applyFont="1" applyFill="1" applyBorder="1" applyAlignment="1" applyProtection="1">
      <alignment horizontal="left" vertical="center"/>
    </xf>
    <xf numFmtId="0" fontId="10" fillId="34" borderId="25" xfId="441" applyFont="1" applyFill="1" applyBorder="1" applyAlignment="1" applyProtection="1">
      <alignment horizontal="left" vertical="center"/>
    </xf>
    <xf numFmtId="0" fontId="10" fillId="34" borderId="26" xfId="441" applyFont="1" applyFill="1" applyBorder="1" applyAlignment="1" applyProtection="1">
      <alignment horizontal="left" vertical="center"/>
    </xf>
    <xf numFmtId="0" fontId="104" fillId="0" borderId="22" xfId="0" applyFont="1" applyBorder="1" applyAlignment="1">
      <alignment horizontal="center" vertical="center" wrapText="1"/>
    </xf>
    <xf numFmtId="0" fontId="104" fillId="0" borderId="66" xfId="0" applyFont="1" applyBorder="1" applyAlignment="1">
      <alignment horizontal="center" vertical="center" wrapText="1"/>
    </xf>
    <xf numFmtId="0" fontId="104" fillId="0" borderId="18" xfId="0" applyFont="1" applyBorder="1" applyAlignment="1">
      <alignment horizontal="center" vertical="center" wrapText="1"/>
    </xf>
    <xf numFmtId="0" fontId="104" fillId="0" borderId="23" xfId="0" applyFont="1" applyBorder="1" applyAlignment="1">
      <alignment horizontal="center" vertical="center" wrapText="1"/>
    </xf>
    <xf numFmtId="0" fontId="104" fillId="0" borderId="0" xfId="0" applyFont="1" applyBorder="1" applyAlignment="1">
      <alignment horizontal="center" vertical="center"/>
    </xf>
    <xf numFmtId="165" fontId="7" fillId="0" borderId="47" xfId="366" applyNumberFormat="1" applyFont="1" applyFill="1" applyBorder="1" applyAlignment="1" applyProtection="1">
      <alignment vertical="center"/>
    </xf>
    <xf numFmtId="165" fontId="7" fillId="0" borderId="82" xfId="366" applyNumberFormat="1" applyFont="1" applyFill="1" applyBorder="1" applyAlignment="1" applyProtection="1">
      <alignment vertical="center"/>
    </xf>
    <xf numFmtId="0" fontId="13" fillId="0" borderId="0" xfId="0" applyFont="1" applyFill="1" applyAlignment="1">
      <alignment horizontal="justify" wrapText="1"/>
    </xf>
    <xf numFmtId="0" fontId="24" fillId="0" borderId="0" xfId="0" applyFont="1" applyFill="1" applyAlignment="1">
      <alignment horizontal="justify" wrapText="1"/>
    </xf>
    <xf numFmtId="0" fontId="13" fillId="0" borderId="23" xfId="0" applyFont="1" applyBorder="1" applyAlignment="1">
      <alignment horizontal="left" vertical="center"/>
    </xf>
    <xf numFmtId="0" fontId="13" fillId="0" borderId="25" xfId="0" applyFont="1" applyBorder="1" applyAlignment="1">
      <alignment horizontal="left" vertical="center"/>
    </xf>
    <xf numFmtId="0" fontId="13" fillId="0" borderId="26" xfId="0" applyFont="1" applyBorder="1" applyAlignment="1">
      <alignment horizontal="left" vertical="center"/>
    </xf>
    <xf numFmtId="0" fontId="17" fillId="0" borderId="0" xfId="0" applyFont="1" applyFill="1" applyBorder="1" applyAlignment="1" applyProtection="1">
      <alignment horizontal="center"/>
    </xf>
    <xf numFmtId="0" fontId="0" fillId="0" borderId="0" xfId="0" applyFill="1" applyBorder="1" applyAlignment="1">
      <alignment horizontal="center"/>
    </xf>
    <xf numFmtId="0" fontId="7" fillId="0" borderId="33" xfId="0" applyFont="1" applyFill="1" applyBorder="1" applyAlignment="1" applyProtection="1">
      <alignment horizontal="center" textRotation="90" wrapText="1"/>
    </xf>
    <xf numFmtId="0" fontId="7" fillId="0" borderId="29" xfId="0" applyFont="1" applyFill="1" applyBorder="1" applyAlignment="1" applyProtection="1">
      <alignment horizontal="center" textRotation="90" wrapText="1"/>
    </xf>
    <xf numFmtId="0" fontId="7" fillId="0" borderId="0" xfId="441" applyFont="1" applyFill="1" applyAlignment="1" applyProtection="1">
      <alignment horizontal="justify" vertical="center" wrapText="1"/>
    </xf>
    <xf numFmtId="0" fontId="7" fillId="0" borderId="53" xfId="441" applyFont="1" applyFill="1" applyBorder="1" applyAlignment="1" applyProtection="1">
      <alignment horizontal="center" textRotation="90" wrapText="1"/>
    </xf>
    <xf numFmtId="0" fontId="7" fillId="0" borderId="29" xfId="441" applyFont="1" applyFill="1" applyBorder="1" applyAlignment="1" applyProtection="1">
      <alignment horizontal="center" textRotation="90" wrapText="1"/>
    </xf>
    <xf numFmtId="0" fontId="13" fillId="0" borderId="18" xfId="0" applyFont="1" applyFill="1" applyBorder="1" applyAlignment="1">
      <alignment horizontal="center" vertical="center"/>
    </xf>
    <xf numFmtId="0" fontId="120" fillId="0" borderId="18" xfId="0" applyFont="1" applyFill="1" applyBorder="1" applyAlignment="1"/>
    <xf numFmtId="0" fontId="120" fillId="0" borderId="23" xfId="0" applyFont="1" applyFill="1" applyBorder="1" applyAlignment="1"/>
    <xf numFmtId="0" fontId="13" fillId="31" borderId="18" xfId="0" applyFont="1" applyFill="1" applyBorder="1" applyAlignment="1" applyProtection="1">
      <alignment horizontal="center" vertical="center" wrapText="1"/>
    </xf>
    <xf numFmtId="0" fontId="120" fillId="31" borderId="18" xfId="0" applyFont="1" applyFill="1" applyBorder="1" applyAlignment="1">
      <alignment horizontal="center" vertical="center" wrapText="1"/>
    </xf>
    <xf numFmtId="0" fontId="122" fillId="41" borderId="19" xfId="0" applyFont="1" applyFill="1" applyBorder="1" applyAlignment="1" applyProtection="1">
      <alignment horizontal="center"/>
    </xf>
    <xf numFmtId="0" fontId="123" fillId="41" borderId="38" xfId="0" applyFont="1" applyFill="1" applyBorder="1" applyAlignment="1"/>
    <xf numFmtId="0" fontId="123" fillId="41" borderId="65" xfId="0" applyFont="1" applyFill="1" applyBorder="1" applyAlignment="1"/>
    <xf numFmtId="0" fontId="8" fillId="27" borderId="85" xfId="0" applyFont="1" applyFill="1" applyBorder="1" applyAlignment="1" applyProtection="1">
      <alignment horizontal="center" textRotation="90" wrapText="1"/>
    </xf>
    <xf numFmtId="0" fontId="8" fillId="27" borderId="86" xfId="0" applyFont="1" applyFill="1" applyBorder="1" applyAlignment="1" applyProtection="1">
      <alignment horizontal="center" textRotation="90" wrapText="1"/>
    </xf>
    <xf numFmtId="0" fontId="7" fillId="77" borderId="42" xfId="0" applyFont="1" applyFill="1" applyBorder="1" applyAlignment="1" applyProtection="1">
      <alignment horizontal="center" wrapText="1"/>
    </xf>
    <xf numFmtId="0" fontId="7" fillId="77" borderId="28" xfId="0" applyFont="1" applyFill="1" applyBorder="1" applyAlignment="1" applyProtection="1">
      <alignment horizontal="center" wrapText="1"/>
    </xf>
    <xf numFmtId="0" fontId="8" fillId="0" borderId="53" xfId="0" applyFont="1" applyFill="1" applyBorder="1" applyAlignment="1" applyProtection="1">
      <alignment horizontal="center" textRotation="90" wrapText="1"/>
    </xf>
    <xf numFmtId="0" fontId="8" fillId="0" borderId="61" xfId="0" applyFont="1" applyFill="1" applyBorder="1" applyAlignment="1" applyProtection="1">
      <alignment horizontal="center" textRotation="90" wrapText="1"/>
    </xf>
    <xf numFmtId="0" fontId="61" fillId="0" borderId="70" xfId="0" applyFont="1" applyBorder="1" applyAlignment="1" applyProtection="1">
      <alignment horizontal="center" textRotation="90" wrapText="1"/>
    </xf>
    <xf numFmtId="0" fontId="7" fillId="0" borderId="31" xfId="0" applyFont="1" applyBorder="1" applyAlignment="1" applyProtection="1">
      <alignment horizontal="center" textRotation="90" wrapText="1"/>
    </xf>
    <xf numFmtId="0" fontId="7" fillId="77" borderId="33" xfId="0" applyFont="1" applyFill="1" applyBorder="1" applyAlignment="1" applyProtection="1">
      <alignment horizontal="center" wrapText="1"/>
    </xf>
    <xf numFmtId="0" fontId="7" fillId="0" borderId="47" xfId="0" quotePrefix="1" applyNumberFormat="1" applyFont="1" applyBorder="1" applyAlignment="1" applyProtection="1">
      <alignment horizontal="center" vertical="center"/>
    </xf>
    <xf numFmtId="0" fontId="7" fillId="0" borderId="47" xfId="0" applyNumberFormat="1" applyFont="1" applyBorder="1" applyAlignment="1" applyProtection="1">
      <alignment horizontal="center" vertical="center"/>
    </xf>
    <xf numFmtId="14" fontId="28" fillId="36" borderId="23" xfId="0" applyNumberFormat="1" applyFont="1" applyFill="1" applyBorder="1" applyAlignment="1" applyProtection="1">
      <alignment horizontal="center" vertical="center"/>
    </xf>
    <xf numFmtId="14" fontId="28" fillId="36" borderId="25" xfId="0" applyNumberFormat="1" applyFont="1" applyFill="1" applyBorder="1" applyAlignment="1" applyProtection="1">
      <alignment horizontal="center" vertical="center"/>
    </xf>
    <xf numFmtId="14" fontId="28" fillId="36" borderId="26" xfId="0" applyNumberFormat="1" applyFont="1" applyFill="1" applyBorder="1" applyAlignment="1" applyProtection="1">
      <alignment horizontal="center" vertical="center"/>
    </xf>
    <xf numFmtId="0" fontId="28" fillId="35" borderId="23" xfId="0" applyFont="1" applyFill="1" applyBorder="1" applyAlignment="1" applyProtection="1">
      <alignment horizontal="left" vertical="center"/>
    </xf>
    <xf numFmtId="0" fontId="28" fillId="35" borderId="25" xfId="0" applyFont="1" applyFill="1" applyBorder="1" applyAlignment="1" applyProtection="1">
      <alignment horizontal="left" vertical="center"/>
    </xf>
    <xf numFmtId="0" fontId="28" fillId="35" borderId="26" xfId="0" applyFont="1" applyFill="1" applyBorder="1" applyAlignment="1" applyProtection="1">
      <alignment horizontal="left" vertical="center"/>
    </xf>
    <xf numFmtId="0" fontId="21" fillId="31" borderId="21" xfId="0" applyFont="1" applyFill="1" applyBorder="1" applyAlignment="1" applyProtection="1">
      <alignment horizontal="center" vertical="center"/>
    </xf>
    <xf numFmtId="0" fontId="21" fillId="31" borderId="37" xfId="0" applyFont="1" applyFill="1" applyBorder="1" applyAlignment="1" applyProtection="1">
      <alignment horizontal="center" vertical="center"/>
    </xf>
    <xf numFmtId="0" fontId="21" fillId="31" borderId="32" xfId="0" applyFont="1" applyFill="1" applyBorder="1" applyAlignment="1" applyProtection="1">
      <alignment horizontal="center" vertical="center"/>
    </xf>
    <xf numFmtId="0" fontId="7" fillId="0" borderId="70" xfId="0" quotePrefix="1" applyNumberFormat="1" applyFont="1" applyBorder="1" applyAlignment="1" applyProtection="1">
      <alignment horizontal="center" vertical="center"/>
    </xf>
    <xf numFmtId="0" fontId="7" fillId="0" borderId="33" xfId="0" applyNumberFormat="1" applyFont="1" applyBorder="1" applyAlignment="1" applyProtection="1">
      <alignment horizontal="center" vertical="center"/>
    </xf>
    <xf numFmtId="0" fontId="7" fillId="0" borderId="53" xfId="0" applyNumberFormat="1" applyFont="1" applyBorder="1" applyAlignment="1" applyProtection="1">
      <alignment horizontal="center" vertical="center"/>
    </xf>
    <xf numFmtId="0" fontId="68" fillId="28" borderId="19" xfId="0" applyFont="1" applyFill="1" applyBorder="1" applyAlignment="1">
      <alignment horizontal="center" vertical="center"/>
    </xf>
    <xf numFmtId="0" fontId="68" fillId="28" borderId="38" xfId="0" applyFont="1" applyFill="1" applyBorder="1" applyAlignment="1">
      <alignment horizontal="center" vertical="center"/>
    </xf>
    <xf numFmtId="0" fontId="68" fillId="28" borderId="65" xfId="0" applyFont="1" applyFill="1" applyBorder="1" applyAlignment="1">
      <alignment horizontal="center" vertical="center"/>
    </xf>
    <xf numFmtId="0" fontId="21" fillId="31" borderId="19" xfId="0" applyFont="1" applyFill="1" applyBorder="1" applyAlignment="1" applyProtection="1">
      <alignment horizontal="center" vertical="center"/>
    </xf>
    <xf numFmtId="0" fontId="21" fillId="31" borderId="38" xfId="0" applyFont="1" applyFill="1" applyBorder="1" applyAlignment="1" applyProtection="1">
      <alignment horizontal="center" vertical="center"/>
    </xf>
    <xf numFmtId="0" fontId="21" fillId="31" borderId="65" xfId="0" applyFont="1" applyFill="1" applyBorder="1" applyAlignment="1" applyProtection="1">
      <alignment horizontal="center" vertical="center"/>
    </xf>
    <xf numFmtId="0" fontId="7" fillId="0" borderId="73" xfId="441" applyFont="1" applyBorder="1" applyAlignment="1" applyProtection="1">
      <alignment horizontal="center" textRotation="90" wrapText="1"/>
    </xf>
    <xf numFmtId="0" fontId="0" fillId="0" borderId="79" xfId="0" applyBorder="1" applyAlignment="1">
      <alignment horizontal="center" textRotation="90" wrapText="1"/>
    </xf>
    <xf numFmtId="0" fontId="68" fillId="28" borderId="21" xfId="0" applyFont="1" applyFill="1" applyBorder="1" applyAlignment="1">
      <alignment horizontal="center" vertical="center"/>
    </xf>
    <xf numFmtId="0" fontId="68" fillId="28" borderId="37" xfId="0" applyFont="1" applyFill="1" applyBorder="1" applyAlignment="1">
      <alignment horizontal="center" vertical="center"/>
    </xf>
    <xf numFmtId="0" fontId="68" fillId="28" borderId="32" xfId="0" applyFont="1" applyFill="1" applyBorder="1" applyAlignment="1">
      <alignment horizontal="center" vertical="center"/>
    </xf>
    <xf numFmtId="0" fontId="7" fillId="0" borderId="83" xfId="0" applyFont="1" applyBorder="1" applyAlignment="1" applyProtection="1">
      <alignment horizontal="center" vertical="center" wrapText="1"/>
    </xf>
    <xf numFmtId="0" fontId="7" fillId="0" borderId="84" xfId="0" applyFont="1" applyBorder="1" applyAlignment="1" applyProtection="1">
      <alignment horizontal="center" vertical="center" wrapText="1"/>
    </xf>
    <xf numFmtId="0" fontId="7" fillId="0" borderId="41" xfId="0" applyFont="1" applyBorder="1" applyAlignment="1" applyProtection="1">
      <alignment horizontal="center" vertical="center" wrapText="1"/>
    </xf>
    <xf numFmtId="0" fontId="7" fillId="0" borderId="87" xfId="0" applyFont="1" applyFill="1" applyBorder="1" applyAlignment="1" applyProtection="1">
      <alignment horizontal="center" vertical="center" wrapText="1"/>
    </xf>
    <xf numFmtId="0" fontId="7" fillId="0" borderId="88" xfId="0" applyFont="1" applyFill="1" applyBorder="1" applyAlignment="1" applyProtection="1">
      <alignment horizontal="center" vertical="center" wrapText="1"/>
    </xf>
    <xf numFmtId="165" fontId="7" fillId="0" borderId="70" xfId="366" applyNumberFormat="1" applyFont="1" applyFill="1" applyBorder="1" applyAlignment="1" applyProtection="1">
      <alignment vertical="center"/>
    </xf>
    <xf numFmtId="165" fontId="7" fillId="0" borderId="85" xfId="366" applyNumberFormat="1" applyFont="1" applyFill="1" applyBorder="1" applyAlignment="1" applyProtection="1">
      <alignment vertical="center"/>
    </xf>
    <xf numFmtId="0" fontId="7" fillId="0" borderId="33" xfId="441" applyFont="1" applyFill="1" applyBorder="1" applyAlignment="1" applyProtection="1">
      <alignment horizontal="center" textRotation="90" wrapText="1"/>
    </xf>
    <xf numFmtId="0" fontId="13" fillId="0" borderId="53" xfId="441" applyFont="1" applyFill="1" applyBorder="1" applyAlignment="1" applyProtection="1">
      <alignment horizontal="center" textRotation="90" wrapText="1"/>
    </xf>
    <xf numFmtId="0" fontId="63" fillId="0" borderId="29" xfId="441" applyFont="1" applyFill="1" applyBorder="1" applyAlignment="1" applyProtection="1">
      <alignment horizontal="center" textRotation="90" wrapText="1"/>
    </xf>
    <xf numFmtId="0" fontId="16" fillId="0" borderId="0" xfId="441" applyFont="1" applyAlignment="1" applyProtection="1">
      <alignment horizontal="left" vertical="center"/>
    </xf>
    <xf numFmtId="0" fontId="16" fillId="0" borderId="0" xfId="441" applyFont="1" applyAlignment="1" applyProtection="1">
      <alignment horizontal="left"/>
    </xf>
    <xf numFmtId="1" fontId="25" fillId="33" borderId="23" xfId="0" applyNumberFormat="1" applyFont="1" applyFill="1" applyBorder="1" applyAlignment="1" applyProtection="1">
      <alignment horizontal="center" vertical="center"/>
    </xf>
    <xf numFmtId="1" fontId="25" fillId="33" borderId="25" xfId="0" applyNumberFormat="1" applyFont="1" applyFill="1" applyBorder="1" applyAlignment="1" applyProtection="1">
      <alignment horizontal="center" vertical="center"/>
    </xf>
    <xf numFmtId="1" fontId="25" fillId="33" borderId="26" xfId="0" applyNumberFormat="1" applyFont="1" applyFill="1" applyBorder="1" applyAlignment="1" applyProtection="1">
      <alignment horizontal="center" vertical="center"/>
    </xf>
    <xf numFmtId="0" fontId="13" fillId="31" borderId="24" xfId="0" applyFont="1" applyFill="1" applyBorder="1" applyAlignment="1" applyProtection="1">
      <alignment horizontal="center" vertical="center" wrapText="1"/>
    </xf>
    <xf numFmtId="0" fontId="120" fillId="31" borderId="24" xfId="0" applyFont="1" applyFill="1" applyBorder="1" applyAlignment="1">
      <alignment horizontal="center" vertical="center" wrapText="1"/>
    </xf>
    <xf numFmtId="0" fontId="25" fillId="0" borderId="23" xfId="0" applyFont="1" applyBorder="1" applyAlignment="1">
      <alignment vertical="center"/>
    </xf>
    <xf numFmtId="0" fontId="25" fillId="0" borderId="25" xfId="0" applyFont="1" applyBorder="1" applyAlignment="1">
      <alignment vertical="center"/>
    </xf>
    <xf numFmtId="0" fontId="25" fillId="0" borderId="26" xfId="0" applyFont="1" applyBorder="1" applyAlignment="1">
      <alignment vertical="center"/>
    </xf>
    <xf numFmtId="0" fontId="7" fillId="0" borderId="33" xfId="471" applyFont="1" applyBorder="1" applyAlignment="1" applyProtection="1">
      <alignment horizontal="center" textRotation="90" wrapText="1"/>
    </xf>
    <xf numFmtId="0" fontId="7" fillId="0" borderId="29" xfId="471" applyFont="1" applyBorder="1" applyAlignment="1" applyProtection="1">
      <alignment horizontal="center" textRotation="90" wrapText="1"/>
    </xf>
    <xf numFmtId="0" fontId="7" fillId="0" borderId="0" xfId="441" applyFont="1" applyBorder="1" applyAlignment="1" applyProtection="1">
      <alignment horizontal="center" vertical="center"/>
    </xf>
    <xf numFmtId="0" fontId="0" fillId="0" borderId="0" xfId="0" applyBorder="1" applyAlignment="1"/>
    <xf numFmtId="0" fontId="25" fillId="0" borderId="18" xfId="0" applyFont="1" applyBorder="1" applyAlignment="1">
      <alignment horizontal="center" vertical="center"/>
    </xf>
    <xf numFmtId="0" fontId="120" fillId="0" borderId="18" xfId="0" applyFont="1" applyBorder="1" applyAlignment="1"/>
    <xf numFmtId="0" fontId="25" fillId="0" borderId="23" xfId="0" applyFont="1" applyBorder="1" applyAlignment="1" applyProtection="1">
      <alignment horizontal="center" vertical="center"/>
    </xf>
    <xf numFmtId="0" fontId="121" fillId="0" borderId="25" xfId="0" applyFont="1" applyBorder="1" applyAlignment="1">
      <alignment vertical="center"/>
    </xf>
    <xf numFmtId="0" fontId="121" fillId="0" borderId="26" xfId="0" applyFont="1" applyBorder="1" applyAlignment="1">
      <alignment vertical="center"/>
    </xf>
    <xf numFmtId="0" fontId="7" fillId="27" borderId="33" xfId="0" applyFont="1" applyFill="1" applyBorder="1" applyAlignment="1" applyProtection="1">
      <alignment horizontal="center" textRotation="90" wrapText="1"/>
    </xf>
    <xf numFmtId="0" fontId="7" fillId="27" borderId="29" xfId="0" applyFont="1" applyFill="1" applyBorder="1" applyAlignment="1" applyProtection="1">
      <alignment horizontal="center" textRotation="90" wrapText="1"/>
    </xf>
    <xf numFmtId="0" fontId="7" fillId="0" borderId="53" xfId="0" applyFont="1" applyBorder="1" applyAlignment="1" applyProtection="1">
      <alignment horizontal="center" textRotation="90" wrapText="1"/>
    </xf>
    <xf numFmtId="0" fontId="7" fillId="0" borderId="61" xfId="0" applyFont="1" applyBorder="1" applyAlignment="1" applyProtection="1">
      <alignment horizontal="center" textRotation="90" wrapText="1"/>
    </xf>
    <xf numFmtId="0" fontId="8" fillId="27" borderId="70" xfId="0" applyFont="1" applyFill="1" applyBorder="1" applyAlignment="1" applyProtection="1">
      <alignment horizontal="center" textRotation="90" wrapText="1"/>
    </xf>
    <xf numFmtId="0" fontId="8" fillId="27" borderId="39" xfId="0" applyFont="1" applyFill="1" applyBorder="1" applyAlignment="1" applyProtection="1">
      <alignment horizontal="center" textRotation="90" wrapText="1"/>
    </xf>
    <xf numFmtId="0" fontId="7" fillId="0" borderId="70" xfId="441" applyFont="1" applyBorder="1" applyAlignment="1" applyProtection="1">
      <alignment horizontal="center" textRotation="90" wrapText="1"/>
    </xf>
    <xf numFmtId="0" fontId="0" fillId="0" borderId="31" xfId="0" applyBorder="1" applyAlignment="1">
      <alignment horizontal="center" textRotation="90" wrapText="1"/>
    </xf>
    <xf numFmtId="0" fontId="13" fillId="0" borderId="18" xfId="0" quotePrefix="1" applyFont="1" applyFill="1" applyBorder="1" applyAlignment="1">
      <alignment horizontal="center" vertical="center"/>
    </xf>
    <xf numFmtId="0" fontId="13" fillId="0" borderId="19" xfId="0" applyFont="1" applyFill="1" applyBorder="1" applyAlignment="1">
      <alignment horizontal="left" vertical="center" wrapText="1"/>
    </xf>
    <xf numFmtId="0" fontId="13" fillId="0" borderId="38" xfId="0" applyFont="1" applyFill="1" applyBorder="1" applyAlignment="1">
      <alignment horizontal="left" vertical="center" wrapText="1"/>
    </xf>
    <xf numFmtId="0" fontId="13" fillId="0" borderId="65" xfId="0" applyFont="1" applyFill="1" applyBorder="1" applyAlignment="1">
      <alignment horizontal="left" vertical="center" wrapText="1"/>
    </xf>
    <xf numFmtId="0" fontId="13" fillId="0" borderId="21" xfId="0" applyFont="1" applyFill="1" applyBorder="1" applyAlignment="1">
      <alignment horizontal="left" vertical="center" wrapText="1"/>
    </xf>
    <xf numFmtId="0" fontId="13" fillId="0" borderId="37" xfId="0" applyFont="1" applyFill="1" applyBorder="1" applyAlignment="1">
      <alignment horizontal="left" vertical="center" wrapText="1"/>
    </xf>
    <xf numFmtId="0" fontId="13" fillId="0" borderId="32" xfId="0" applyFont="1" applyFill="1" applyBorder="1" applyAlignment="1">
      <alignment horizontal="left" vertical="center" wrapText="1"/>
    </xf>
    <xf numFmtId="0" fontId="13" fillId="29" borderId="26" xfId="0" applyFont="1" applyFill="1" applyBorder="1" applyAlignment="1" applyProtection="1">
      <alignment horizontal="center" vertical="center" wrapText="1"/>
    </xf>
    <xf numFmtId="0" fontId="120" fillId="29" borderId="18" xfId="0" applyFont="1" applyFill="1" applyBorder="1" applyAlignment="1">
      <alignment horizontal="center" vertical="center" wrapText="1"/>
    </xf>
    <xf numFmtId="0" fontId="13" fillId="0" borderId="26" xfId="0" applyFont="1" applyFill="1" applyBorder="1" applyAlignment="1" applyProtection="1">
      <alignment horizontal="center" vertical="center" wrapText="1"/>
    </xf>
    <xf numFmtId="0" fontId="120" fillId="0" borderId="18" xfId="0" applyFont="1" applyFill="1" applyBorder="1" applyAlignment="1">
      <alignment horizontal="center" vertical="center" wrapText="1"/>
    </xf>
    <xf numFmtId="0" fontId="13" fillId="0" borderId="23" xfId="0" applyFont="1" applyFill="1" applyBorder="1" applyAlignment="1">
      <alignment horizontal="left" vertical="center"/>
    </xf>
    <xf numFmtId="0" fontId="13" fillId="0" borderId="25" xfId="0" applyFont="1" applyFill="1" applyBorder="1" applyAlignment="1">
      <alignment horizontal="left" vertical="center"/>
    </xf>
    <xf numFmtId="0" fontId="13" fillId="0" borderId="26" xfId="0" applyFont="1" applyFill="1" applyBorder="1" applyAlignment="1">
      <alignment horizontal="left" vertical="center"/>
    </xf>
    <xf numFmtId="0" fontId="13" fillId="0" borderId="22" xfId="0" applyFont="1" applyFill="1" applyBorder="1" applyAlignment="1">
      <alignment horizontal="center" vertical="center"/>
    </xf>
    <xf numFmtId="0" fontId="120" fillId="0" borderId="22" xfId="0" applyFont="1" applyFill="1" applyBorder="1" applyAlignment="1"/>
    <xf numFmtId="0" fontId="13" fillId="31" borderId="22" xfId="0" applyFont="1" applyFill="1" applyBorder="1" applyAlignment="1" applyProtection="1">
      <alignment horizontal="center" vertical="center" wrapText="1"/>
    </xf>
    <xf numFmtId="0" fontId="120" fillId="31" borderId="22" xfId="0" applyFont="1" applyFill="1" applyBorder="1" applyAlignment="1">
      <alignment horizontal="center" vertical="center" wrapText="1"/>
    </xf>
    <xf numFmtId="0" fontId="13" fillId="28" borderId="18" xfId="0" applyFont="1" applyFill="1" applyBorder="1" applyAlignment="1" applyProtection="1">
      <alignment horizontal="center" vertical="center" wrapText="1"/>
    </xf>
    <xf numFmtId="0" fontId="120" fillId="28" borderId="18" xfId="0" applyFont="1" applyFill="1" applyBorder="1" applyAlignment="1">
      <alignment horizontal="center" vertical="center" wrapText="1"/>
    </xf>
    <xf numFmtId="0" fontId="21" fillId="30" borderId="19" xfId="0" applyFont="1" applyFill="1" applyBorder="1" applyAlignment="1" applyProtection="1">
      <alignment horizontal="center" vertical="center"/>
    </xf>
    <xf numFmtId="0" fontId="21" fillId="30" borderId="38" xfId="0" applyFont="1" applyFill="1" applyBorder="1" applyAlignment="1" applyProtection="1">
      <alignment horizontal="center" vertical="center"/>
    </xf>
    <xf numFmtId="0" fontId="21" fillId="30" borderId="65" xfId="0" applyFont="1" applyFill="1" applyBorder="1" applyAlignment="1" applyProtection="1">
      <alignment horizontal="center" vertical="center"/>
    </xf>
    <xf numFmtId="0" fontId="24" fillId="30" borderId="21" xfId="0" applyFont="1" applyFill="1" applyBorder="1" applyAlignment="1" applyProtection="1">
      <alignment horizontal="center" vertical="center" wrapText="1"/>
    </xf>
    <xf numFmtId="0" fontId="24" fillId="30" borderId="37" xfId="0" applyFont="1" applyFill="1" applyBorder="1" applyAlignment="1" applyProtection="1">
      <alignment horizontal="center" vertical="center" wrapText="1"/>
    </xf>
    <xf numFmtId="0" fontId="24" fillId="30" borderId="32" xfId="0" applyFont="1" applyFill="1" applyBorder="1" applyAlignment="1" applyProtection="1">
      <alignment horizontal="center" vertical="center" wrapText="1"/>
    </xf>
    <xf numFmtId="0" fontId="21" fillId="29" borderId="19" xfId="0" applyFont="1" applyFill="1" applyBorder="1" applyAlignment="1" applyProtection="1">
      <alignment horizontal="center" vertical="center"/>
    </xf>
    <xf numFmtId="0" fontId="21" fillId="29" borderId="38" xfId="0" applyFont="1" applyFill="1" applyBorder="1" applyAlignment="1" applyProtection="1">
      <alignment horizontal="center" vertical="center"/>
    </xf>
    <xf numFmtId="0" fontId="21" fillId="29" borderId="65" xfId="0" applyFont="1" applyFill="1" applyBorder="1" applyAlignment="1" applyProtection="1">
      <alignment horizontal="center" vertical="center"/>
    </xf>
    <xf numFmtId="0" fontId="21" fillId="29" borderId="21" xfId="0" applyFont="1" applyFill="1" applyBorder="1" applyAlignment="1" applyProtection="1">
      <alignment horizontal="center" vertical="center"/>
    </xf>
    <xf numFmtId="0" fontId="21" fillId="29" borderId="37" xfId="0" applyFont="1" applyFill="1" applyBorder="1" applyAlignment="1" applyProtection="1">
      <alignment horizontal="center" vertical="center"/>
    </xf>
    <xf numFmtId="0" fontId="7" fillId="0" borderId="90" xfId="0" applyFont="1" applyBorder="1" applyAlignment="1" applyProtection="1">
      <alignment horizontal="center" textRotation="90" wrapText="1"/>
    </xf>
    <xf numFmtId="0" fontId="7" fillId="0" borderId="91" xfId="0" applyFont="1" applyBorder="1" applyAlignment="1" applyProtection="1">
      <alignment horizontal="center" textRotation="90" wrapText="1"/>
    </xf>
    <xf numFmtId="0" fontId="7" fillId="0" borderId="33" xfId="441" applyFont="1" applyBorder="1" applyAlignment="1" applyProtection="1">
      <alignment horizontal="center" textRotation="90" wrapText="1"/>
    </xf>
    <xf numFmtId="0" fontId="7" fillId="0" borderId="29" xfId="441" applyFont="1" applyBorder="1" applyAlignment="1" applyProtection="1">
      <alignment horizontal="center" textRotation="90" wrapText="1"/>
    </xf>
    <xf numFmtId="0" fontId="7" fillId="27" borderId="89" xfId="0" applyFont="1" applyFill="1" applyBorder="1" applyAlignment="1" applyProtection="1">
      <alignment horizontal="center" vertical="center" wrapText="1"/>
    </xf>
    <xf numFmtId="0" fontId="0" fillId="0" borderId="89" xfId="0" applyBorder="1" applyAlignment="1">
      <alignment wrapText="1"/>
    </xf>
    <xf numFmtId="0" fontId="28" fillId="0" borderId="18" xfId="0" applyFont="1" applyBorder="1" applyAlignment="1" applyProtection="1">
      <alignment horizontal="center" vertical="center"/>
    </xf>
    <xf numFmtId="0" fontId="12" fillId="0" borderId="18" xfId="0" applyFont="1" applyBorder="1" applyAlignment="1">
      <alignment horizontal="center" vertical="center"/>
    </xf>
    <xf numFmtId="0" fontId="28" fillId="0" borderId="19" xfId="0" applyFont="1" applyBorder="1" applyAlignment="1" applyProtection="1">
      <alignment horizontal="center" vertical="center" wrapText="1"/>
    </xf>
    <xf numFmtId="0" fontId="12" fillId="0" borderId="21" xfId="0" applyFont="1" applyBorder="1" applyAlignment="1">
      <alignment horizontal="center" vertical="center"/>
    </xf>
    <xf numFmtId="0" fontId="28" fillId="0" borderId="22" xfId="0" applyFont="1" applyBorder="1" applyAlignment="1" applyProtection="1">
      <alignment horizontal="center" vertical="center" wrapText="1"/>
    </xf>
    <xf numFmtId="0" fontId="28" fillId="0" borderId="24" xfId="0" applyFont="1" applyBorder="1" applyAlignment="1" applyProtection="1">
      <alignment horizontal="center" vertical="center" wrapText="1"/>
    </xf>
    <xf numFmtId="0" fontId="20" fillId="0" borderId="22" xfId="0" applyFont="1" applyFill="1" applyBorder="1" applyAlignment="1" applyProtection="1">
      <alignment horizontal="center" vertical="center"/>
    </xf>
    <xf numFmtId="0" fontId="20" fillId="0" borderId="24" xfId="0" applyFont="1" applyFill="1" applyBorder="1" applyAlignment="1" applyProtection="1">
      <alignment horizontal="center" vertical="center"/>
    </xf>
    <xf numFmtId="0" fontId="15" fillId="28" borderId="18" xfId="0" applyFont="1" applyFill="1" applyBorder="1" applyAlignment="1">
      <alignment horizontal="right" vertical="center"/>
    </xf>
    <xf numFmtId="0" fontId="15" fillId="38" borderId="18" xfId="0" applyFont="1" applyFill="1" applyBorder="1" applyAlignment="1" applyProtection="1">
      <alignment horizontal="right" vertical="center"/>
    </xf>
    <xf numFmtId="0" fontId="15" fillId="38" borderId="18" xfId="0" applyFont="1" applyFill="1" applyBorder="1" applyAlignment="1">
      <alignment horizontal="right" vertical="center"/>
    </xf>
    <xf numFmtId="0" fontId="13" fillId="38" borderId="71" xfId="0" applyFont="1" applyFill="1" applyBorder="1" applyAlignment="1" applyProtection="1">
      <alignment horizontal="center" vertical="center" wrapText="1"/>
    </xf>
    <xf numFmtId="0" fontId="63" fillId="29" borderId="28" xfId="0" applyFont="1" applyFill="1" applyBorder="1" applyAlignment="1">
      <alignment horizontal="center" vertical="center" wrapText="1"/>
    </xf>
    <xf numFmtId="0" fontId="15" fillId="30" borderId="18" xfId="0" applyFont="1" applyFill="1" applyBorder="1" applyAlignment="1">
      <alignment horizontal="right" vertical="center"/>
    </xf>
    <xf numFmtId="0" fontId="21" fillId="0" borderId="18" xfId="0" applyFont="1" applyFill="1" applyBorder="1" applyAlignment="1" applyProtection="1">
      <alignment horizontal="left" vertical="center" wrapText="1"/>
      <protection locked="0"/>
    </xf>
    <xf numFmtId="0" fontId="68" fillId="0" borderId="18" xfId="0" applyFont="1" applyFill="1" applyBorder="1" applyAlignment="1" applyProtection="1">
      <alignment horizontal="left" vertical="center"/>
      <protection locked="0"/>
    </xf>
    <xf numFmtId="0" fontId="0" fillId="0" borderId="18" xfId="0" applyBorder="1" applyAlignment="1" applyProtection="1">
      <protection locked="0"/>
    </xf>
    <xf numFmtId="0" fontId="12" fillId="0" borderId="18" xfId="0" applyFont="1" applyFill="1" applyBorder="1" applyAlignment="1" applyProtection="1">
      <alignment horizontal="left" vertical="center"/>
    </xf>
    <xf numFmtId="0" fontId="0" fillId="0" borderId="18" xfId="0" applyBorder="1" applyAlignment="1"/>
    <xf numFmtId="0" fontId="10" fillId="36" borderId="23" xfId="441" applyFont="1" applyFill="1" applyBorder="1" applyAlignment="1" applyProtection="1">
      <alignment horizontal="left" vertical="center"/>
    </xf>
    <xf numFmtId="0" fontId="10" fillId="36" borderId="25" xfId="441" applyFont="1" applyFill="1" applyBorder="1" applyAlignment="1" applyProtection="1">
      <alignment horizontal="left" vertical="center"/>
    </xf>
    <xf numFmtId="0" fontId="10" fillId="36" borderId="26" xfId="441" applyFont="1" applyFill="1" applyBorder="1" applyAlignment="1" applyProtection="1">
      <alignment horizontal="left" vertical="center"/>
    </xf>
    <xf numFmtId="0" fontId="68" fillId="30" borderId="22" xfId="0" applyFont="1" applyFill="1" applyBorder="1" applyAlignment="1" applyProtection="1">
      <alignment horizontal="center"/>
    </xf>
    <xf numFmtId="0" fontId="28" fillId="0" borderId="19" xfId="0" applyFont="1" applyFill="1" applyBorder="1" applyAlignment="1" applyProtection="1">
      <alignment horizontal="center" vertical="center" wrapText="1"/>
    </xf>
    <xf numFmtId="0" fontId="12" fillId="0" borderId="21" xfId="0" applyFont="1" applyFill="1" applyBorder="1" applyAlignment="1" applyProtection="1">
      <alignment horizontal="center" vertical="center"/>
    </xf>
    <xf numFmtId="0" fontId="28" fillId="0" borderId="19" xfId="0" applyFont="1" applyFill="1" applyBorder="1" applyAlignment="1" applyProtection="1">
      <alignment horizontal="center" vertical="center"/>
    </xf>
    <xf numFmtId="0" fontId="13" fillId="30" borderId="21" xfId="0" applyFont="1" applyFill="1" applyBorder="1" applyAlignment="1" applyProtection="1">
      <alignment horizontal="center" vertical="center" wrapText="1"/>
    </xf>
    <xf numFmtId="0" fontId="13" fillId="30" borderId="32" xfId="0" applyFont="1" applyFill="1" applyBorder="1" applyAlignment="1" applyProtection="1">
      <alignment horizontal="center" vertical="center" wrapText="1"/>
    </xf>
  </cellXfs>
  <cellStyles count="1131">
    <cellStyle name="20 % - Akzent1 2" xfId="1" xr:uid="{00000000-0005-0000-0000-000000000000}"/>
    <cellStyle name="20 % - Akzent1 2 2" xfId="2" xr:uid="{00000000-0005-0000-0000-000001000000}"/>
    <cellStyle name="20 % - Akzent1 2 2 2" xfId="504" xr:uid="{00000000-0005-0000-0000-000002000000}"/>
    <cellStyle name="20 % - Akzent1 2 3" xfId="3" xr:uid="{00000000-0005-0000-0000-000003000000}"/>
    <cellStyle name="20 % - Akzent1 2 3 2" xfId="4" xr:uid="{00000000-0005-0000-0000-000004000000}"/>
    <cellStyle name="20 % - Akzent1 2 3 2 2" xfId="5" xr:uid="{00000000-0005-0000-0000-000005000000}"/>
    <cellStyle name="20 % - Akzent1 2 3 2 2 2" xfId="507" xr:uid="{00000000-0005-0000-0000-000006000000}"/>
    <cellStyle name="20 % - Akzent1 2 3 2 3" xfId="506" xr:uid="{00000000-0005-0000-0000-000007000000}"/>
    <cellStyle name="20 % - Akzent1 2 3 3" xfId="508" xr:uid="{00000000-0005-0000-0000-000008000000}"/>
    <cellStyle name="20 % - Akzent1 2 3 3 2" xfId="1069" xr:uid="{00000000-0005-0000-0000-000009000000}"/>
    <cellStyle name="20 % - Akzent1 2 3 4" xfId="505" xr:uid="{00000000-0005-0000-0000-00000A000000}"/>
    <cellStyle name="20 % - Akzent1 2 4" xfId="509" xr:uid="{00000000-0005-0000-0000-00000B000000}"/>
    <cellStyle name="20 % - Akzent1 2 4 2" xfId="1070" xr:uid="{00000000-0005-0000-0000-00000C000000}"/>
    <cellStyle name="20 % - Akzent1 2 5" xfId="503" xr:uid="{00000000-0005-0000-0000-00000D000000}"/>
    <cellStyle name="20 % - Akzent1 3" xfId="6" xr:uid="{00000000-0005-0000-0000-00000E000000}"/>
    <cellStyle name="20 % - Akzent1 3 2" xfId="7" xr:uid="{00000000-0005-0000-0000-00000F000000}"/>
    <cellStyle name="20 % - Akzent1 3 2 2" xfId="511" xr:uid="{00000000-0005-0000-0000-000010000000}"/>
    <cellStyle name="20 % - Akzent1 3 3" xfId="8" xr:uid="{00000000-0005-0000-0000-000011000000}"/>
    <cellStyle name="20 % - Akzent1 3 3 2" xfId="512" xr:uid="{00000000-0005-0000-0000-000012000000}"/>
    <cellStyle name="20 % - Akzent1 3 4" xfId="510" xr:uid="{00000000-0005-0000-0000-000013000000}"/>
    <cellStyle name="20 % - Akzent1 4" xfId="9" xr:uid="{00000000-0005-0000-0000-000014000000}"/>
    <cellStyle name="20 % - Akzent1 4 2" xfId="10" xr:uid="{00000000-0005-0000-0000-000015000000}"/>
    <cellStyle name="20 % - Akzent1 4 2 2" xfId="514" xr:uid="{00000000-0005-0000-0000-000016000000}"/>
    <cellStyle name="20 % - Akzent1 4 3" xfId="11" xr:uid="{00000000-0005-0000-0000-000017000000}"/>
    <cellStyle name="20 % - Akzent1 4 3 2" xfId="515" xr:uid="{00000000-0005-0000-0000-000018000000}"/>
    <cellStyle name="20 % - Akzent1 4 4" xfId="513" xr:uid="{00000000-0005-0000-0000-000019000000}"/>
    <cellStyle name="20 % - Akzent1 5" xfId="12" xr:uid="{00000000-0005-0000-0000-00001A000000}"/>
    <cellStyle name="20 % - Akzent1 5 2" xfId="516" xr:uid="{00000000-0005-0000-0000-00001B000000}"/>
    <cellStyle name="20 % - Akzent1 6" xfId="13" xr:uid="{00000000-0005-0000-0000-00001C000000}"/>
    <cellStyle name="20 % - Akzent1 6 2" xfId="517" xr:uid="{00000000-0005-0000-0000-00001D000000}"/>
    <cellStyle name="20 % - Akzent1 7" xfId="14" xr:uid="{00000000-0005-0000-0000-00001E000000}"/>
    <cellStyle name="20 % - Akzent1 7 2" xfId="518" xr:uid="{00000000-0005-0000-0000-00001F000000}"/>
    <cellStyle name="20 % - Akzent2 2" xfId="15" xr:uid="{00000000-0005-0000-0000-000020000000}"/>
    <cellStyle name="20 % - Akzent2 2 2" xfId="16" xr:uid="{00000000-0005-0000-0000-000021000000}"/>
    <cellStyle name="20 % - Akzent2 2 2 2" xfId="520" xr:uid="{00000000-0005-0000-0000-000022000000}"/>
    <cellStyle name="20 % - Akzent2 2 3" xfId="17" xr:uid="{00000000-0005-0000-0000-000023000000}"/>
    <cellStyle name="20 % - Akzent2 2 3 2" xfId="18" xr:uid="{00000000-0005-0000-0000-000024000000}"/>
    <cellStyle name="20 % - Akzent2 2 3 2 2" xfId="19" xr:uid="{00000000-0005-0000-0000-000025000000}"/>
    <cellStyle name="20 % - Akzent2 2 3 2 2 2" xfId="523" xr:uid="{00000000-0005-0000-0000-000026000000}"/>
    <cellStyle name="20 % - Akzent2 2 3 2 3" xfId="522" xr:uid="{00000000-0005-0000-0000-000027000000}"/>
    <cellStyle name="20 % - Akzent2 2 3 3" xfId="524" xr:uid="{00000000-0005-0000-0000-000028000000}"/>
    <cellStyle name="20 % - Akzent2 2 3 3 2" xfId="1071" xr:uid="{00000000-0005-0000-0000-000029000000}"/>
    <cellStyle name="20 % - Akzent2 2 3 4" xfId="521" xr:uid="{00000000-0005-0000-0000-00002A000000}"/>
    <cellStyle name="20 % - Akzent2 2 4" xfId="525" xr:uid="{00000000-0005-0000-0000-00002B000000}"/>
    <cellStyle name="20 % - Akzent2 2 4 2" xfId="1072" xr:uid="{00000000-0005-0000-0000-00002C000000}"/>
    <cellStyle name="20 % - Akzent2 2 5" xfId="519" xr:uid="{00000000-0005-0000-0000-00002D000000}"/>
    <cellStyle name="20 % - Akzent2 3" xfId="20" xr:uid="{00000000-0005-0000-0000-00002E000000}"/>
    <cellStyle name="20 % - Akzent2 3 2" xfId="21" xr:uid="{00000000-0005-0000-0000-00002F000000}"/>
    <cellStyle name="20 % - Akzent2 3 2 2" xfId="527" xr:uid="{00000000-0005-0000-0000-000030000000}"/>
    <cellStyle name="20 % - Akzent2 3 3" xfId="22" xr:uid="{00000000-0005-0000-0000-000031000000}"/>
    <cellStyle name="20 % - Akzent2 3 3 2" xfId="528" xr:uid="{00000000-0005-0000-0000-000032000000}"/>
    <cellStyle name="20 % - Akzent2 3 4" xfId="526" xr:uid="{00000000-0005-0000-0000-000033000000}"/>
    <cellStyle name="20 % - Akzent2 4" xfId="23" xr:uid="{00000000-0005-0000-0000-000034000000}"/>
    <cellStyle name="20 % - Akzent2 4 2" xfId="24" xr:uid="{00000000-0005-0000-0000-000035000000}"/>
    <cellStyle name="20 % - Akzent2 4 2 2" xfId="530" xr:uid="{00000000-0005-0000-0000-000036000000}"/>
    <cellStyle name="20 % - Akzent2 4 3" xfId="25" xr:uid="{00000000-0005-0000-0000-000037000000}"/>
    <cellStyle name="20 % - Akzent2 4 3 2" xfId="531" xr:uid="{00000000-0005-0000-0000-000038000000}"/>
    <cellStyle name="20 % - Akzent2 4 4" xfId="529" xr:uid="{00000000-0005-0000-0000-000039000000}"/>
    <cellStyle name="20 % - Akzent2 5" xfId="26" xr:uid="{00000000-0005-0000-0000-00003A000000}"/>
    <cellStyle name="20 % - Akzent2 5 2" xfId="532" xr:uid="{00000000-0005-0000-0000-00003B000000}"/>
    <cellStyle name="20 % - Akzent2 6" xfId="27" xr:uid="{00000000-0005-0000-0000-00003C000000}"/>
    <cellStyle name="20 % - Akzent2 6 2" xfId="533" xr:uid="{00000000-0005-0000-0000-00003D000000}"/>
    <cellStyle name="20 % - Akzent2 7" xfId="28" xr:uid="{00000000-0005-0000-0000-00003E000000}"/>
    <cellStyle name="20 % - Akzent2 7 2" xfId="534" xr:uid="{00000000-0005-0000-0000-00003F000000}"/>
    <cellStyle name="20 % - Akzent3 2" xfId="29" xr:uid="{00000000-0005-0000-0000-000040000000}"/>
    <cellStyle name="20 % - Akzent3 2 2" xfId="30" xr:uid="{00000000-0005-0000-0000-000041000000}"/>
    <cellStyle name="20 % - Akzent3 2 2 2" xfId="536" xr:uid="{00000000-0005-0000-0000-000042000000}"/>
    <cellStyle name="20 % - Akzent3 2 3" xfId="31" xr:uid="{00000000-0005-0000-0000-000043000000}"/>
    <cellStyle name="20 % - Akzent3 2 3 2" xfId="32" xr:uid="{00000000-0005-0000-0000-000044000000}"/>
    <cellStyle name="20 % - Akzent3 2 3 2 2" xfId="33" xr:uid="{00000000-0005-0000-0000-000045000000}"/>
    <cellStyle name="20 % - Akzent3 2 3 2 2 2" xfId="539" xr:uid="{00000000-0005-0000-0000-000046000000}"/>
    <cellStyle name="20 % - Akzent3 2 3 2 3" xfId="538" xr:uid="{00000000-0005-0000-0000-000047000000}"/>
    <cellStyle name="20 % - Akzent3 2 3 3" xfId="540" xr:uid="{00000000-0005-0000-0000-000048000000}"/>
    <cellStyle name="20 % - Akzent3 2 3 3 2" xfId="1073" xr:uid="{00000000-0005-0000-0000-000049000000}"/>
    <cellStyle name="20 % - Akzent3 2 3 4" xfId="537" xr:uid="{00000000-0005-0000-0000-00004A000000}"/>
    <cellStyle name="20 % - Akzent3 2 4" xfId="541" xr:uid="{00000000-0005-0000-0000-00004B000000}"/>
    <cellStyle name="20 % - Akzent3 2 4 2" xfId="1074" xr:uid="{00000000-0005-0000-0000-00004C000000}"/>
    <cellStyle name="20 % - Akzent3 2 5" xfId="535" xr:uid="{00000000-0005-0000-0000-00004D000000}"/>
    <cellStyle name="20 % - Akzent3 3" xfId="34" xr:uid="{00000000-0005-0000-0000-00004E000000}"/>
    <cellStyle name="20 % - Akzent3 3 2" xfId="35" xr:uid="{00000000-0005-0000-0000-00004F000000}"/>
    <cellStyle name="20 % - Akzent3 3 2 2" xfId="543" xr:uid="{00000000-0005-0000-0000-000050000000}"/>
    <cellStyle name="20 % - Akzent3 3 3" xfId="36" xr:uid="{00000000-0005-0000-0000-000051000000}"/>
    <cellStyle name="20 % - Akzent3 3 3 2" xfId="544" xr:uid="{00000000-0005-0000-0000-000052000000}"/>
    <cellStyle name="20 % - Akzent3 3 4" xfId="542" xr:uid="{00000000-0005-0000-0000-000053000000}"/>
    <cellStyle name="20 % - Akzent3 4" xfId="37" xr:uid="{00000000-0005-0000-0000-000054000000}"/>
    <cellStyle name="20 % - Akzent3 4 2" xfId="38" xr:uid="{00000000-0005-0000-0000-000055000000}"/>
    <cellStyle name="20 % - Akzent3 4 2 2" xfId="546" xr:uid="{00000000-0005-0000-0000-000056000000}"/>
    <cellStyle name="20 % - Akzent3 4 3" xfId="39" xr:uid="{00000000-0005-0000-0000-000057000000}"/>
    <cellStyle name="20 % - Akzent3 4 3 2" xfId="547" xr:uid="{00000000-0005-0000-0000-000058000000}"/>
    <cellStyle name="20 % - Akzent3 4 4" xfId="545" xr:uid="{00000000-0005-0000-0000-000059000000}"/>
    <cellStyle name="20 % - Akzent3 5" xfId="40" xr:uid="{00000000-0005-0000-0000-00005A000000}"/>
    <cellStyle name="20 % - Akzent3 5 2" xfId="548" xr:uid="{00000000-0005-0000-0000-00005B000000}"/>
    <cellStyle name="20 % - Akzent3 6" xfId="41" xr:uid="{00000000-0005-0000-0000-00005C000000}"/>
    <cellStyle name="20 % - Akzent3 6 2" xfId="549" xr:uid="{00000000-0005-0000-0000-00005D000000}"/>
    <cellStyle name="20 % - Akzent3 7" xfId="42" xr:uid="{00000000-0005-0000-0000-00005E000000}"/>
    <cellStyle name="20 % - Akzent3 7 2" xfId="550" xr:uid="{00000000-0005-0000-0000-00005F000000}"/>
    <cellStyle name="20 % - Akzent4 2" xfId="43" xr:uid="{00000000-0005-0000-0000-000060000000}"/>
    <cellStyle name="20 % - Akzent4 2 2" xfId="44" xr:uid="{00000000-0005-0000-0000-000061000000}"/>
    <cellStyle name="20 % - Akzent4 2 2 2" xfId="552" xr:uid="{00000000-0005-0000-0000-000062000000}"/>
    <cellStyle name="20 % - Akzent4 2 3" xfId="45" xr:uid="{00000000-0005-0000-0000-000063000000}"/>
    <cellStyle name="20 % - Akzent4 2 3 2" xfId="46" xr:uid="{00000000-0005-0000-0000-000064000000}"/>
    <cellStyle name="20 % - Akzent4 2 3 2 2" xfId="47" xr:uid="{00000000-0005-0000-0000-000065000000}"/>
    <cellStyle name="20 % - Akzent4 2 3 2 2 2" xfId="555" xr:uid="{00000000-0005-0000-0000-000066000000}"/>
    <cellStyle name="20 % - Akzent4 2 3 2 3" xfId="554" xr:uid="{00000000-0005-0000-0000-000067000000}"/>
    <cellStyle name="20 % - Akzent4 2 3 3" xfId="556" xr:uid="{00000000-0005-0000-0000-000068000000}"/>
    <cellStyle name="20 % - Akzent4 2 3 3 2" xfId="1075" xr:uid="{00000000-0005-0000-0000-000069000000}"/>
    <cellStyle name="20 % - Akzent4 2 3 4" xfId="553" xr:uid="{00000000-0005-0000-0000-00006A000000}"/>
    <cellStyle name="20 % - Akzent4 2 4" xfId="557" xr:uid="{00000000-0005-0000-0000-00006B000000}"/>
    <cellStyle name="20 % - Akzent4 2 4 2" xfId="1076" xr:uid="{00000000-0005-0000-0000-00006C000000}"/>
    <cellStyle name="20 % - Akzent4 2 5" xfId="551" xr:uid="{00000000-0005-0000-0000-00006D000000}"/>
    <cellStyle name="20 % - Akzent4 3" xfId="48" xr:uid="{00000000-0005-0000-0000-00006E000000}"/>
    <cellStyle name="20 % - Akzent4 3 2" xfId="49" xr:uid="{00000000-0005-0000-0000-00006F000000}"/>
    <cellStyle name="20 % - Akzent4 3 2 2" xfId="559" xr:uid="{00000000-0005-0000-0000-000070000000}"/>
    <cellStyle name="20 % - Akzent4 3 3" xfId="50" xr:uid="{00000000-0005-0000-0000-000071000000}"/>
    <cellStyle name="20 % - Akzent4 3 3 2" xfId="560" xr:uid="{00000000-0005-0000-0000-000072000000}"/>
    <cellStyle name="20 % - Akzent4 3 4" xfId="558" xr:uid="{00000000-0005-0000-0000-000073000000}"/>
    <cellStyle name="20 % - Akzent4 4" xfId="51" xr:uid="{00000000-0005-0000-0000-000074000000}"/>
    <cellStyle name="20 % - Akzent4 4 2" xfId="52" xr:uid="{00000000-0005-0000-0000-000075000000}"/>
    <cellStyle name="20 % - Akzent4 4 2 2" xfId="562" xr:uid="{00000000-0005-0000-0000-000076000000}"/>
    <cellStyle name="20 % - Akzent4 4 3" xfId="53" xr:uid="{00000000-0005-0000-0000-000077000000}"/>
    <cellStyle name="20 % - Akzent4 4 3 2" xfId="563" xr:uid="{00000000-0005-0000-0000-000078000000}"/>
    <cellStyle name="20 % - Akzent4 4 4" xfId="561" xr:uid="{00000000-0005-0000-0000-000079000000}"/>
    <cellStyle name="20 % - Akzent4 5" xfId="54" xr:uid="{00000000-0005-0000-0000-00007A000000}"/>
    <cellStyle name="20 % - Akzent4 5 2" xfId="564" xr:uid="{00000000-0005-0000-0000-00007B000000}"/>
    <cellStyle name="20 % - Akzent4 6" xfId="55" xr:uid="{00000000-0005-0000-0000-00007C000000}"/>
    <cellStyle name="20 % - Akzent4 6 2" xfId="565" xr:uid="{00000000-0005-0000-0000-00007D000000}"/>
    <cellStyle name="20 % - Akzent4 7" xfId="56" xr:uid="{00000000-0005-0000-0000-00007E000000}"/>
    <cellStyle name="20 % - Akzent4 7 2" xfId="566" xr:uid="{00000000-0005-0000-0000-00007F000000}"/>
    <cellStyle name="20 % - Akzent5 2" xfId="57" xr:uid="{00000000-0005-0000-0000-000080000000}"/>
    <cellStyle name="20 % - Akzent5 2 2" xfId="58" xr:uid="{00000000-0005-0000-0000-000081000000}"/>
    <cellStyle name="20 % - Akzent5 2 2 2" xfId="59" xr:uid="{00000000-0005-0000-0000-000082000000}"/>
    <cellStyle name="20 % - Akzent5 2 2 2 2" xfId="569" xr:uid="{00000000-0005-0000-0000-000083000000}"/>
    <cellStyle name="20 % - Akzent5 2 2 3" xfId="568" xr:uid="{00000000-0005-0000-0000-000084000000}"/>
    <cellStyle name="20 % - Akzent5 2 3" xfId="570" xr:uid="{00000000-0005-0000-0000-000085000000}"/>
    <cellStyle name="20 % - Akzent5 2 3 2" xfId="1077" xr:uid="{00000000-0005-0000-0000-000086000000}"/>
    <cellStyle name="20 % - Akzent5 2 4" xfId="567" xr:uid="{00000000-0005-0000-0000-000087000000}"/>
    <cellStyle name="20 % - Akzent5 3" xfId="60" xr:uid="{00000000-0005-0000-0000-000088000000}"/>
    <cellStyle name="20 % - Akzent5 3 2" xfId="61" xr:uid="{00000000-0005-0000-0000-000089000000}"/>
    <cellStyle name="20 % - Akzent5 3 2 2" xfId="572" xr:uid="{00000000-0005-0000-0000-00008A000000}"/>
    <cellStyle name="20 % - Akzent5 3 3" xfId="62" xr:uid="{00000000-0005-0000-0000-00008B000000}"/>
    <cellStyle name="20 % - Akzent5 3 3 2" xfId="573" xr:uid="{00000000-0005-0000-0000-00008C000000}"/>
    <cellStyle name="20 % - Akzent5 3 4" xfId="571" xr:uid="{00000000-0005-0000-0000-00008D000000}"/>
    <cellStyle name="20 % - Akzent5 4" xfId="63" xr:uid="{00000000-0005-0000-0000-00008E000000}"/>
    <cellStyle name="20 % - Akzent5 4 2" xfId="64" xr:uid="{00000000-0005-0000-0000-00008F000000}"/>
    <cellStyle name="20 % - Akzent5 4 2 2" xfId="575" xr:uid="{00000000-0005-0000-0000-000090000000}"/>
    <cellStyle name="20 % - Akzent5 4 3" xfId="65" xr:uid="{00000000-0005-0000-0000-000091000000}"/>
    <cellStyle name="20 % - Akzent5 4 3 2" xfId="576" xr:uid="{00000000-0005-0000-0000-000092000000}"/>
    <cellStyle name="20 % - Akzent5 4 4" xfId="574" xr:uid="{00000000-0005-0000-0000-000093000000}"/>
    <cellStyle name="20 % - Akzent5 5" xfId="66" xr:uid="{00000000-0005-0000-0000-000094000000}"/>
    <cellStyle name="20 % - Akzent5 5 2" xfId="577" xr:uid="{00000000-0005-0000-0000-000095000000}"/>
    <cellStyle name="20 % - Akzent5 6" xfId="67" xr:uid="{00000000-0005-0000-0000-000096000000}"/>
    <cellStyle name="20 % - Akzent5 6 2" xfId="578" xr:uid="{00000000-0005-0000-0000-000097000000}"/>
    <cellStyle name="20 % - Akzent5 7" xfId="68" xr:uid="{00000000-0005-0000-0000-000098000000}"/>
    <cellStyle name="20 % - Akzent5 7 2" xfId="579" xr:uid="{00000000-0005-0000-0000-000099000000}"/>
    <cellStyle name="20 % - Akzent6 2" xfId="69" xr:uid="{00000000-0005-0000-0000-00009A000000}"/>
    <cellStyle name="20 % - Akzent6 2 2" xfId="580" xr:uid="{00000000-0005-0000-0000-00009B000000}"/>
    <cellStyle name="20 % - Akzent6 3" xfId="70" xr:uid="{00000000-0005-0000-0000-00009C000000}"/>
    <cellStyle name="20 % - Akzent6 3 2" xfId="71" xr:uid="{00000000-0005-0000-0000-00009D000000}"/>
    <cellStyle name="20 % - Akzent6 3 2 2" xfId="582" xr:uid="{00000000-0005-0000-0000-00009E000000}"/>
    <cellStyle name="20 % - Akzent6 3 3" xfId="72" xr:uid="{00000000-0005-0000-0000-00009F000000}"/>
    <cellStyle name="20 % - Akzent6 3 3 2" xfId="583" xr:uid="{00000000-0005-0000-0000-0000A0000000}"/>
    <cellStyle name="20 % - Akzent6 3 4" xfId="581" xr:uid="{00000000-0005-0000-0000-0000A1000000}"/>
    <cellStyle name="20 % - Akzent6 4" xfId="73" xr:uid="{00000000-0005-0000-0000-0000A2000000}"/>
    <cellStyle name="20 % - Akzent6 4 2" xfId="74" xr:uid="{00000000-0005-0000-0000-0000A3000000}"/>
    <cellStyle name="20 % - Akzent6 4 2 2" xfId="585" xr:uid="{00000000-0005-0000-0000-0000A4000000}"/>
    <cellStyle name="20 % - Akzent6 4 3" xfId="75" xr:uid="{00000000-0005-0000-0000-0000A5000000}"/>
    <cellStyle name="20 % - Akzent6 4 3 2" xfId="586" xr:uid="{00000000-0005-0000-0000-0000A6000000}"/>
    <cellStyle name="20 % - Akzent6 4 4" xfId="584" xr:uid="{00000000-0005-0000-0000-0000A7000000}"/>
    <cellStyle name="20 % - Akzent6 5" xfId="76" xr:uid="{00000000-0005-0000-0000-0000A8000000}"/>
    <cellStyle name="20 % - Akzent6 5 2" xfId="587" xr:uid="{00000000-0005-0000-0000-0000A9000000}"/>
    <cellStyle name="20 % - Akzent6 6" xfId="77" xr:uid="{00000000-0005-0000-0000-0000AA000000}"/>
    <cellStyle name="20 % - Akzent6 6 2" xfId="588" xr:uid="{00000000-0005-0000-0000-0000AB000000}"/>
    <cellStyle name="20 % - Akzent6 7" xfId="78" xr:uid="{00000000-0005-0000-0000-0000AC000000}"/>
    <cellStyle name="20 % - Akzent6 7 2" xfId="589" xr:uid="{00000000-0005-0000-0000-0000AD000000}"/>
    <cellStyle name="40 % - Akzent1 2" xfId="79" xr:uid="{00000000-0005-0000-0000-0000AE000000}"/>
    <cellStyle name="40 % - Akzent1 2 2" xfId="80" xr:uid="{00000000-0005-0000-0000-0000AF000000}"/>
    <cellStyle name="40 % - Akzent1 2 2 2" xfId="591" xr:uid="{00000000-0005-0000-0000-0000B0000000}"/>
    <cellStyle name="40 % - Akzent1 2 3" xfId="592" xr:uid="{00000000-0005-0000-0000-0000B1000000}"/>
    <cellStyle name="40 % - Akzent1 2 3 2" xfId="1078" xr:uid="{00000000-0005-0000-0000-0000B2000000}"/>
    <cellStyle name="40 % - Akzent1 2 4" xfId="590" xr:uid="{00000000-0005-0000-0000-0000B3000000}"/>
    <cellStyle name="40 % - Akzent1 3" xfId="81" xr:uid="{00000000-0005-0000-0000-0000B4000000}"/>
    <cellStyle name="40 % - Akzent1 3 2" xfId="82" xr:uid="{00000000-0005-0000-0000-0000B5000000}"/>
    <cellStyle name="40 % - Akzent1 3 2 2" xfId="594" xr:uid="{00000000-0005-0000-0000-0000B6000000}"/>
    <cellStyle name="40 % - Akzent1 3 3" xfId="83" xr:uid="{00000000-0005-0000-0000-0000B7000000}"/>
    <cellStyle name="40 % - Akzent1 3 3 2" xfId="595" xr:uid="{00000000-0005-0000-0000-0000B8000000}"/>
    <cellStyle name="40 % - Akzent1 3 4" xfId="593" xr:uid="{00000000-0005-0000-0000-0000B9000000}"/>
    <cellStyle name="40 % - Akzent1 4" xfId="84" xr:uid="{00000000-0005-0000-0000-0000BA000000}"/>
    <cellStyle name="40 % - Akzent1 4 2" xfId="85" xr:uid="{00000000-0005-0000-0000-0000BB000000}"/>
    <cellStyle name="40 % - Akzent1 4 2 2" xfId="597" xr:uid="{00000000-0005-0000-0000-0000BC000000}"/>
    <cellStyle name="40 % - Akzent1 4 3" xfId="86" xr:uid="{00000000-0005-0000-0000-0000BD000000}"/>
    <cellStyle name="40 % - Akzent1 4 3 2" xfId="598" xr:uid="{00000000-0005-0000-0000-0000BE000000}"/>
    <cellStyle name="40 % - Akzent1 4 4" xfId="596" xr:uid="{00000000-0005-0000-0000-0000BF000000}"/>
    <cellStyle name="40 % - Akzent1 5" xfId="87" xr:uid="{00000000-0005-0000-0000-0000C0000000}"/>
    <cellStyle name="40 % - Akzent1 5 2" xfId="599" xr:uid="{00000000-0005-0000-0000-0000C1000000}"/>
    <cellStyle name="40 % - Akzent1 6" xfId="88" xr:uid="{00000000-0005-0000-0000-0000C2000000}"/>
    <cellStyle name="40 % - Akzent1 6 2" xfId="600" xr:uid="{00000000-0005-0000-0000-0000C3000000}"/>
    <cellStyle name="40 % - Akzent1 7" xfId="89" xr:uid="{00000000-0005-0000-0000-0000C4000000}"/>
    <cellStyle name="40 % - Akzent1 7 2" xfId="601" xr:uid="{00000000-0005-0000-0000-0000C5000000}"/>
    <cellStyle name="40 % - Akzent2 2" xfId="90" xr:uid="{00000000-0005-0000-0000-0000C6000000}"/>
    <cellStyle name="40 % - Akzent2 2 2" xfId="602" xr:uid="{00000000-0005-0000-0000-0000C7000000}"/>
    <cellStyle name="40 % - Akzent2 3" xfId="91" xr:uid="{00000000-0005-0000-0000-0000C8000000}"/>
    <cellStyle name="40 % - Akzent2 3 2" xfId="92" xr:uid="{00000000-0005-0000-0000-0000C9000000}"/>
    <cellStyle name="40 % - Akzent2 3 2 2" xfId="604" xr:uid="{00000000-0005-0000-0000-0000CA000000}"/>
    <cellStyle name="40 % - Akzent2 3 3" xfId="93" xr:uid="{00000000-0005-0000-0000-0000CB000000}"/>
    <cellStyle name="40 % - Akzent2 3 3 2" xfId="605" xr:uid="{00000000-0005-0000-0000-0000CC000000}"/>
    <cellStyle name="40 % - Akzent2 3 4" xfId="603" xr:uid="{00000000-0005-0000-0000-0000CD000000}"/>
    <cellStyle name="40 % - Akzent2 4" xfId="94" xr:uid="{00000000-0005-0000-0000-0000CE000000}"/>
    <cellStyle name="40 % - Akzent2 4 2" xfId="95" xr:uid="{00000000-0005-0000-0000-0000CF000000}"/>
    <cellStyle name="40 % - Akzent2 4 2 2" xfId="607" xr:uid="{00000000-0005-0000-0000-0000D0000000}"/>
    <cellStyle name="40 % - Akzent2 4 3" xfId="96" xr:uid="{00000000-0005-0000-0000-0000D1000000}"/>
    <cellStyle name="40 % - Akzent2 4 3 2" xfId="608" xr:uid="{00000000-0005-0000-0000-0000D2000000}"/>
    <cellStyle name="40 % - Akzent2 4 4" xfId="606" xr:uid="{00000000-0005-0000-0000-0000D3000000}"/>
    <cellStyle name="40 % - Akzent2 5" xfId="97" xr:uid="{00000000-0005-0000-0000-0000D4000000}"/>
    <cellStyle name="40 % - Akzent2 5 2" xfId="609" xr:uid="{00000000-0005-0000-0000-0000D5000000}"/>
    <cellStyle name="40 % - Akzent2 6" xfId="98" xr:uid="{00000000-0005-0000-0000-0000D6000000}"/>
    <cellStyle name="40 % - Akzent2 6 2" xfId="610" xr:uid="{00000000-0005-0000-0000-0000D7000000}"/>
    <cellStyle name="40 % - Akzent2 7" xfId="99" xr:uid="{00000000-0005-0000-0000-0000D8000000}"/>
    <cellStyle name="40 % - Akzent2 7 2" xfId="611" xr:uid="{00000000-0005-0000-0000-0000D9000000}"/>
    <cellStyle name="40 % - Akzent3 2" xfId="100" xr:uid="{00000000-0005-0000-0000-0000DA000000}"/>
    <cellStyle name="40 % - Akzent3 2 2" xfId="101" xr:uid="{00000000-0005-0000-0000-0000DB000000}"/>
    <cellStyle name="40 % - Akzent3 2 2 2" xfId="613" xr:uid="{00000000-0005-0000-0000-0000DC000000}"/>
    <cellStyle name="40 % - Akzent3 2 3" xfId="102" xr:uid="{00000000-0005-0000-0000-0000DD000000}"/>
    <cellStyle name="40 % - Akzent3 2 3 2" xfId="103" xr:uid="{00000000-0005-0000-0000-0000DE000000}"/>
    <cellStyle name="40 % - Akzent3 2 3 2 2" xfId="104" xr:uid="{00000000-0005-0000-0000-0000DF000000}"/>
    <cellStyle name="40 % - Akzent3 2 3 2 2 2" xfId="616" xr:uid="{00000000-0005-0000-0000-0000E0000000}"/>
    <cellStyle name="40 % - Akzent3 2 3 2 3" xfId="615" xr:uid="{00000000-0005-0000-0000-0000E1000000}"/>
    <cellStyle name="40 % - Akzent3 2 3 3" xfId="617" xr:uid="{00000000-0005-0000-0000-0000E2000000}"/>
    <cellStyle name="40 % - Akzent3 2 3 3 2" xfId="1079" xr:uid="{00000000-0005-0000-0000-0000E3000000}"/>
    <cellStyle name="40 % - Akzent3 2 3 4" xfId="614" xr:uid="{00000000-0005-0000-0000-0000E4000000}"/>
    <cellStyle name="40 % - Akzent3 2 4" xfId="618" xr:uid="{00000000-0005-0000-0000-0000E5000000}"/>
    <cellStyle name="40 % - Akzent3 2 4 2" xfId="1080" xr:uid="{00000000-0005-0000-0000-0000E6000000}"/>
    <cellStyle name="40 % - Akzent3 2 5" xfId="612" xr:uid="{00000000-0005-0000-0000-0000E7000000}"/>
    <cellStyle name="40 % - Akzent3 3" xfId="105" xr:uid="{00000000-0005-0000-0000-0000E8000000}"/>
    <cellStyle name="40 % - Akzent3 3 2" xfId="106" xr:uid="{00000000-0005-0000-0000-0000E9000000}"/>
    <cellStyle name="40 % - Akzent3 3 2 2" xfId="620" xr:uid="{00000000-0005-0000-0000-0000EA000000}"/>
    <cellStyle name="40 % - Akzent3 3 3" xfId="107" xr:uid="{00000000-0005-0000-0000-0000EB000000}"/>
    <cellStyle name="40 % - Akzent3 3 3 2" xfId="621" xr:uid="{00000000-0005-0000-0000-0000EC000000}"/>
    <cellStyle name="40 % - Akzent3 3 4" xfId="619" xr:uid="{00000000-0005-0000-0000-0000ED000000}"/>
    <cellStyle name="40 % - Akzent3 4" xfId="108" xr:uid="{00000000-0005-0000-0000-0000EE000000}"/>
    <cellStyle name="40 % - Akzent3 4 2" xfId="109" xr:uid="{00000000-0005-0000-0000-0000EF000000}"/>
    <cellStyle name="40 % - Akzent3 4 2 2" xfId="623" xr:uid="{00000000-0005-0000-0000-0000F0000000}"/>
    <cellStyle name="40 % - Akzent3 4 3" xfId="110" xr:uid="{00000000-0005-0000-0000-0000F1000000}"/>
    <cellStyle name="40 % - Akzent3 4 3 2" xfId="624" xr:uid="{00000000-0005-0000-0000-0000F2000000}"/>
    <cellStyle name="40 % - Akzent3 4 4" xfId="622" xr:uid="{00000000-0005-0000-0000-0000F3000000}"/>
    <cellStyle name="40 % - Akzent3 5" xfId="111" xr:uid="{00000000-0005-0000-0000-0000F4000000}"/>
    <cellStyle name="40 % - Akzent3 5 2" xfId="625" xr:uid="{00000000-0005-0000-0000-0000F5000000}"/>
    <cellStyle name="40 % - Akzent3 6" xfId="112" xr:uid="{00000000-0005-0000-0000-0000F6000000}"/>
    <cellStyle name="40 % - Akzent3 6 2" xfId="626" xr:uid="{00000000-0005-0000-0000-0000F7000000}"/>
    <cellStyle name="40 % - Akzent3 7" xfId="113" xr:uid="{00000000-0005-0000-0000-0000F8000000}"/>
    <cellStyle name="40 % - Akzent3 7 2" xfId="627" xr:uid="{00000000-0005-0000-0000-0000F9000000}"/>
    <cellStyle name="40 % - Akzent4 2" xfId="114" xr:uid="{00000000-0005-0000-0000-0000FA000000}"/>
    <cellStyle name="40 % - Akzent4 2 2" xfId="115" xr:uid="{00000000-0005-0000-0000-0000FB000000}"/>
    <cellStyle name="40 % - Akzent4 2 2 2" xfId="116" xr:uid="{00000000-0005-0000-0000-0000FC000000}"/>
    <cellStyle name="40 % - Akzent4 2 2 2 2" xfId="630" xr:uid="{00000000-0005-0000-0000-0000FD000000}"/>
    <cellStyle name="40 % - Akzent4 2 2 3" xfId="629" xr:uid="{00000000-0005-0000-0000-0000FE000000}"/>
    <cellStyle name="40 % - Akzent4 2 3" xfId="631" xr:uid="{00000000-0005-0000-0000-0000FF000000}"/>
    <cellStyle name="40 % - Akzent4 2 3 2" xfId="1081" xr:uid="{00000000-0005-0000-0000-000000010000}"/>
    <cellStyle name="40 % - Akzent4 2 4" xfId="628" xr:uid="{00000000-0005-0000-0000-000001010000}"/>
    <cellStyle name="40 % - Akzent4 3" xfId="117" xr:uid="{00000000-0005-0000-0000-000002010000}"/>
    <cellStyle name="40 % - Akzent4 3 2" xfId="118" xr:uid="{00000000-0005-0000-0000-000003010000}"/>
    <cellStyle name="40 % - Akzent4 3 2 2" xfId="633" xr:uid="{00000000-0005-0000-0000-000004010000}"/>
    <cellStyle name="40 % - Akzent4 3 3" xfId="119" xr:uid="{00000000-0005-0000-0000-000005010000}"/>
    <cellStyle name="40 % - Akzent4 3 3 2" xfId="634" xr:uid="{00000000-0005-0000-0000-000006010000}"/>
    <cellStyle name="40 % - Akzent4 3 4" xfId="632" xr:uid="{00000000-0005-0000-0000-000007010000}"/>
    <cellStyle name="40 % - Akzent4 4" xfId="120" xr:uid="{00000000-0005-0000-0000-000008010000}"/>
    <cellStyle name="40 % - Akzent4 4 2" xfId="121" xr:uid="{00000000-0005-0000-0000-000009010000}"/>
    <cellStyle name="40 % - Akzent4 4 2 2" xfId="636" xr:uid="{00000000-0005-0000-0000-00000A010000}"/>
    <cellStyle name="40 % - Akzent4 4 3" xfId="122" xr:uid="{00000000-0005-0000-0000-00000B010000}"/>
    <cellStyle name="40 % - Akzent4 4 3 2" xfId="637" xr:uid="{00000000-0005-0000-0000-00000C010000}"/>
    <cellStyle name="40 % - Akzent4 4 4" xfId="635" xr:uid="{00000000-0005-0000-0000-00000D010000}"/>
    <cellStyle name="40 % - Akzent4 5" xfId="123" xr:uid="{00000000-0005-0000-0000-00000E010000}"/>
    <cellStyle name="40 % - Akzent4 5 2" xfId="638" xr:uid="{00000000-0005-0000-0000-00000F010000}"/>
    <cellStyle name="40 % - Akzent4 6" xfId="124" xr:uid="{00000000-0005-0000-0000-000010010000}"/>
    <cellStyle name="40 % - Akzent4 6 2" xfId="639" xr:uid="{00000000-0005-0000-0000-000011010000}"/>
    <cellStyle name="40 % - Akzent4 7" xfId="125" xr:uid="{00000000-0005-0000-0000-000012010000}"/>
    <cellStyle name="40 % - Akzent4 7 2" xfId="640" xr:uid="{00000000-0005-0000-0000-000013010000}"/>
    <cellStyle name="40 % - Akzent5 2" xfId="126" xr:uid="{00000000-0005-0000-0000-000014010000}"/>
    <cellStyle name="40 % - Akzent5 2 2" xfId="127" xr:uid="{00000000-0005-0000-0000-000015010000}"/>
    <cellStyle name="40 % - Akzent5 2 2 2" xfId="642" xr:uid="{00000000-0005-0000-0000-000016010000}"/>
    <cellStyle name="40 % - Akzent5 2 3" xfId="643" xr:uid="{00000000-0005-0000-0000-000017010000}"/>
    <cellStyle name="40 % - Akzent5 2 3 2" xfId="1082" xr:uid="{00000000-0005-0000-0000-000018010000}"/>
    <cellStyle name="40 % - Akzent5 2 4" xfId="641" xr:uid="{00000000-0005-0000-0000-000019010000}"/>
    <cellStyle name="40 % - Akzent5 3" xfId="128" xr:uid="{00000000-0005-0000-0000-00001A010000}"/>
    <cellStyle name="40 % - Akzent5 3 2" xfId="129" xr:uid="{00000000-0005-0000-0000-00001B010000}"/>
    <cellStyle name="40 % - Akzent5 3 2 2" xfId="645" xr:uid="{00000000-0005-0000-0000-00001C010000}"/>
    <cellStyle name="40 % - Akzent5 3 3" xfId="130" xr:uid="{00000000-0005-0000-0000-00001D010000}"/>
    <cellStyle name="40 % - Akzent5 3 3 2" xfId="646" xr:uid="{00000000-0005-0000-0000-00001E010000}"/>
    <cellStyle name="40 % - Akzent5 3 4" xfId="644" xr:uid="{00000000-0005-0000-0000-00001F010000}"/>
    <cellStyle name="40 % - Akzent5 4" xfId="131" xr:uid="{00000000-0005-0000-0000-000020010000}"/>
    <cellStyle name="40 % - Akzent5 4 2" xfId="132" xr:uid="{00000000-0005-0000-0000-000021010000}"/>
    <cellStyle name="40 % - Akzent5 4 2 2" xfId="648" xr:uid="{00000000-0005-0000-0000-000022010000}"/>
    <cellStyle name="40 % - Akzent5 4 3" xfId="133" xr:uid="{00000000-0005-0000-0000-000023010000}"/>
    <cellStyle name="40 % - Akzent5 4 3 2" xfId="649" xr:uid="{00000000-0005-0000-0000-000024010000}"/>
    <cellStyle name="40 % - Akzent5 4 4" xfId="647" xr:uid="{00000000-0005-0000-0000-000025010000}"/>
    <cellStyle name="40 % - Akzent5 5" xfId="134" xr:uid="{00000000-0005-0000-0000-000026010000}"/>
    <cellStyle name="40 % - Akzent5 5 2" xfId="650" xr:uid="{00000000-0005-0000-0000-000027010000}"/>
    <cellStyle name="40 % - Akzent5 6" xfId="135" xr:uid="{00000000-0005-0000-0000-000028010000}"/>
    <cellStyle name="40 % - Akzent5 6 2" xfId="651" xr:uid="{00000000-0005-0000-0000-000029010000}"/>
    <cellStyle name="40 % - Akzent5 7" xfId="136" xr:uid="{00000000-0005-0000-0000-00002A010000}"/>
    <cellStyle name="40 % - Akzent5 7 2" xfId="652" xr:uid="{00000000-0005-0000-0000-00002B010000}"/>
    <cellStyle name="40 % - Akzent6 2" xfId="137" xr:uid="{00000000-0005-0000-0000-00002C010000}"/>
    <cellStyle name="40 % - Akzent6 2 2" xfId="138" xr:uid="{00000000-0005-0000-0000-00002D010000}"/>
    <cellStyle name="40 % - Akzent6 2 2 2" xfId="139" xr:uid="{00000000-0005-0000-0000-00002E010000}"/>
    <cellStyle name="40 % - Akzent6 2 2 2 2" xfId="655" xr:uid="{00000000-0005-0000-0000-00002F010000}"/>
    <cellStyle name="40 % - Akzent6 2 2 3" xfId="654" xr:uid="{00000000-0005-0000-0000-000030010000}"/>
    <cellStyle name="40 % - Akzent6 2 3" xfId="656" xr:uid="{00000000-0005-0000-0000-000031010000}"/>
    <cellStyle name="40 % - Akzent6 2 3 2" xfId="1083" xr:uid="{00000000-0005-0000-0000-000032010000}"/>
    <cellStyle name="40 % - Akzent6 2 4" xfId="653" xr:uid="{00000000-0005-0000-0000-000033010000}"/>
    <cellStyle name="40 % - Akzent6 3" xfId="140" xr:uid="{00000000-0005-0000-0000-000034010000}"/>
    <cellStyle name="40 % - Akzent6 3 2" xfId="141" xr:uid="{00000000-0005-0000-0000-000035010000}"/>
    <cellStyle name="40 % - Akzent6 3 2 2" xfId="658" xr:uid="{00000000-0005-0000-0000-000036010000}"/>
    <cellStyle name="40 % - Akzent6 3 3" xfId="142" xr:uid="{00000000-0005-0000-0000-000037010000}"/>
    <cellStyle name="40 % - Akzent6 3 3 2" xfId="659" xr:uid="{00000000-0005-0000-0000-000038010000}"/>
    <cellStyle name="40 % - Akzent6 3 4" xfId="657" xr:uid="{00000000-0005-0000-0000-000039010000}"/>
    <cellStyle name="40 % - Akzent6 4" xfId="143" xr:uid="{00000000-0005-0000-0000-00003A010000}"/>
    <cellStyle name="40 % - Akzent6 4 2" xfId="144" xr:uid="{00000000-0005-0000-0000-00003B010000}"/>
    <cellStyle name="40 % - Akzent6 4 2 2" xfId="661" xr:uid="{00000000-0005-0000-0000-00003C010000}"/>
    <cellStyle name="40 % - Akzent6 4 3" xfId="145" xr:uid="{00000000-0005-0000-0000-00003D010000}"/>
    <cellStyle name="40 % - Akzent6 4 3 2" xfId="662" xr:uid="{00000000-0005-0000-0000-00003E010000}"/>
    <cellStyle name="40 % - Akzent6 4 4" xfId="660" xr:uid="{00000000-0005-0000-0000-00003F010000}"/>
    <cellStyle name="40 % - Akzent6 5" xfId="146" xr:uid="{00000000-0005-0000-0000-000040010000}"/>
    <cellStyle name="40 % - Akzent6 5 2" xfId="663" xr:uid="{00000000-0005-0000-0000-000041010000}"/>
    <cellStyle name="40 % - Akzent6 6" xfId="147" xr:uid="{00000000-0005-0000-0000-000042010000}"/>
    <cellStyle name="40 % - Akzent6 6 2" xfId="664" xr:uid="{00000000-0005-0000-0000-000043010000}"/>
    <cellStyle name="40 % - Akzent6 7" xfId="148" xr:uid="{00000000-0005-0000-0000-000044010000}"/>
    <cellStyle name="40 % - Akzent6 7 2" xfId="665" xr:uid="{00000000-0005-0000-0000-000045010000}"/>
    <cellStyle name="60 % - Akzent1 2" xfId="149" xr:uid="{00000000-0005-0000-0000-000046010000}"/>
    <cellStyle name="60 % - Akzent1 2 2" xfId="150" xr:uid="{00000000-0005-0000-0000-000047010000}"/>
    <cellStyle name="60 % - Akzent1 2 2 2" xfId="151" xr:uid="{00000000-0005-0000-0000-000048010000}"/>
    <cellStyle name="60 % - Akzent1 2 2 2 2" xfId="668" xr:uid="{00000000-0005-0000-0000-000049010000}"/>
    <cellStyle name="60 % - Akzent1 2 2 3" xfId="667" xr:uid="{00000000-0005-0000-0000-00004A010000}"/>
    <cellStyle name="60 % - Akzent1 2 3" xfId="669" xr:uid="{00000000-0005-0000-0000-00004B010000}"/>
    <cellStyle name="60 % - Akzent1 2 3 2" xfId="1084" xr:uid="{00000000-0005-0000-0000-00004C010000}"/>
    <cellStyle name="60 % - Akzent1 2 4" xfId="666" xr:uid="{00000000-0005-0000-0000-00004D010000}"/>
    <cellStyle name="60 % - Akzent1 3" xfId="152" xr:uid="{00000000-0005-0000-0000-00004E010000}"/>
    <cellStyle name="60 % - Akzent1 3 2" xfId="670" xr:uid="{00000000-0005-0000-0000-00004F010000}"/>
    <cellStyle name="60 % - Akzent1 4" xfId="153" xr:uid="{00000000-0005-0000-0000-000050010000}"/>
    <cellStyle name="60 % - Akzent1 4 2" xfId="671" xr:uid="{00000000-0005-0000-0000-000051010000}"/>
    <cellStyle name="60 % - Akzent1 5" xfId="154" xr:uid="{00000000-0005-0000-0000-000052010000}"/>
    <cellStyle name="60 % - Akzent1 5 2" xfId="672" xr:uid="{00000000-0005-0000-0000-000053010000}"/>
    <cellStyle name="60 % - Akzent1 6" xfId="155" xr:uid="{00000000-0005-0000-0000-000054010000}"/>
    <cellStyle name="60 % - Akzent1 6 2" xfId="673" xr:uid="{00000000-0005-0000-0000-000055010000}"/>
    <cellStyle name="60 % - Akzent2 2" xfId="156" xr:uid="{00000000-0005-0000-0000-000056010000}"/>
    <cellStyle name="60 % - Akzent2 2 2" xfId="674" xr:uid="{00000000-0005-0000-0000-000057010000}"/>
    <cellStyle name="60 % - Akzent2 3" xfId="157" xr:uid="{00000000-0005-0000-0000-000058010000}"/>
    <cellStyle name="60 % - Akzent2 3 2" xfId="675" xr:uid="{00000000-0005-0000-0000-000059010000}"/>
    <cellStyle name="60 % - Akzent2 4" xfId="158" xr:uid="{00000000-0005-0000-0000-00005A010000}"/>
    <cellStyle name="60 % - Akzent2 4 2" xfId="676" xr:uid="{00000000-0005-0000-0000-00005B010000}"/>
    <cellStyle name="60 % - Akzent2 5" xfId="159" xr:uid="{00000000-0005-0000-0000-00005C010000}"/>
    <cellStyle name="60 % - Akzent2 5 2" xfId="677" xr:uid="{00000000-0005-0000-0000-00005D010000}"/>
    <cellStyle name="60 % - Akzent2 6" xfId="160" xr:uid="{00000000-0005-0000-0000-00005E010000}"/>
    <cellStyle name="60 % - Akzent2 6 2" xfId="678" xr:uid="{00000000-0005-0000-0000-00005F010000}"/>
    <cellStyle name="60 % - Akzent3 2" xfId="161" xr:uid="{00000000-0005-0000-0000-000060010000}"/>
    <cellStyle name="60 % - Akzent3 2 2" xfId="679" xr:uid="{00000000-0005-0000-0000-000061010000}"/>
    <cellStyle name="60 % - Akzent3 3" xfId="162" xr:uid="{00000000-0005-0000-0000-000062010000}"/>
    <cellStyle name="60 % - Akzent3 3 2" xfId="680" xr:uid="{00000000-0005-0000-0000-000063010000}"/>
    <cellStyle name="60 % - Akzent3 4" xfId="163" xr:uid="{00000000-0005-0000-0000-000064010000}"/>
    <cellStyle name="60 % - Akzent3 4 2" xfId="681" xr:uid="{00000000-0005-0000-0000-000065010000}"/>
    <cellStyle name="60 % - Akzent3 5" xfId="164" xr:uid="{00000000-0005-0000-0000-000066010000}"/>
    <cellStyle name="60 % - Akzent3 5 2" xfId="682" xr:uid="{00000000-0005-0000-0000-000067010000}"/>
    <cellStyle name="60 % - Akzent3 6" xfId="165" xr:uid="{00000000-0005-0000-0000-000068010000}"/>
    <cellStyle name="60 % - Akzent3 6 2" xfId="683" xr:uid="{00000000-0005-0000-0000-000069010000}"/>
    <cellStyle name="60 % - Akzent4 2" xfId="166" xr:uid="{00000000-0005-0000-0000-00006A010000}"/>
    <cellStyle name="60 % - Akzent4 2 2" xfId="167" xr:uid="{00000000-0005-0000-0000-00006B010000}"/>
    <cellStyle name="60 % - Akzent4 2 2 2" xfId="685" xr:uid="{00000000-0005-0000-0000-00006C010000}"/>
    <cellStyle name="60 % - Akzent4 2 3" xfId="168" xr:uid="{00000000-0005-0000-0000-00006D010000}"/>
    <cellStyle name="60 % - Akzent4 2 3 2" xfId="169" xr:uid="{00000000-0005-0000-0000-00006E010000}"/>
    <cellStyle name="60 % - Akzent4 2 3 2 2" xfId="170" xr:uid="{00000000-0005-0000-0000-00006F010000}"/>
    <cellStyle name="60 % - Akzent4 2 3 2 2 2" xfId="688" xr:uid="{00000000-0005-0000-0000-000070010000}"/>
    <cellStyle name="60 % - Akzent4 2 3 2 3" xfId="687" xr:uid="{00000000-0005-0000-0000-000071010000}"/>
    <cellStyle name="60 % - Akzent4 2 3 3" xfId="689" xr:uid="{00000000-0005-0000-0000-000072010000}"/>
    <cellStyle name="60 % - Akzent4 2 3 3 2" xfId="1085" xr:uid="{00000000-0005-0000-0000-000073010000}"/>
    <cellStyle name="60 % - Akzent4 2 3 4" xfId="686" xr:uid="{00000000-0005-0000-0000-000074010000}"/>
    <cellStyle name="60 % - Akzent4 2 4" xfId="690" xr:uid="{00000000-0005-0000-0000-000075010000}"/>
    <cellStyle name="60 % - Akzent4 2 4 2" xfId="1086" xr:uid="{00000000-0005-0000-0000-000076010000}"/>
    <cellStyle name="60 % - Akzent4 2 5" xfId="684" xr:uid="{00000000-0005-0000-0000-000077010000}"/>
    <cellStyle name="60 % - Akzent4 3" xfId="171" xr:uid="{00000000-0005-0000-0000-000078010000}"/>
    <cellStyle name="60 % - Akzent4 3 2" xfId="691" xr:uid="{00000000-0005-0000-0000-000079010000}"/>
    <cellStyle name="60 % - Akzent4 4" xfId="172" xr:uid="{00000000-0005-0000-0000-00007A010000}"/>
    <cellStyle name="60 % - Akzent4 4 2" xfId="692" xr:uid="{00000000-0005-0000-0000-00007B010000}"/>
    <cellStyle name="60 % - Akzent4 5" xfId="173" xr:uid="{00000000-0005-0000-0000-00007C010000}"/>
    <cellStyle name="60 % - Akzent4 5 2" xfId="693" xr:uid="{00000000-0005-0000-0000-00007D010000}"/>
    <cellStyle name="60 % - Akzent4 6" xfId="174" xr:uid="{00000000-0005-0000-0000-00007E010000}"/>
    <cellStyle name="60 % - Akzent4 6 2" xfId="694" xr:uid="{00000000-0005-0000-0000-00007F010000}"/>
    <cellStyle name="60 % - Akzent5 2" xfId="175" xr:uid="{00000000-0005-0000-0000-000080010000}"/>
    <cellStyle name="60 % - Akzent5 2 2" xfId="176" xr:uid="{00000000-0005-0000-0000-000081010000}"/>
    <cellStyle name="60 % - Akzent5 2 2 2" xfId="177" xr:uid="{00000000-0005-0000-0000-000082010000}"/>
    <cellStyle name="60 % - Akzent5 2 2 2 2" xfId="697" xr:uid="{00000000-0005-0000-0000-000083010000}"/>
    <cellStyle name="60 % - Akzent5 2 2 3" xfId="696" xr:uid="{00000000-0005-0000-0000-000084010000}"/>
    <cellStyle name="60 % - Akzent5 2 3" xfId="698" xr:uid="{00000000-0005-0000-0000-000085010000}"/>
    <cellStyle name="60 % - Akzent5 2 3 2" xfId="1087" xr:uid="{00000000-0005-0000-0000-000086010000}"/>
    <cellStyle name="60 % - Akzent5 2 4" xfId="695" xr:uid="{00000000-0005-0000-0000-000087010000}"/>
    <cellStyle name="60 % - Akzent5 3" xfId="178" xr:uid="{00000000-0005-0000-0000-000088010000}"/>
    <cellStyle name="60 % - Akzent5 3 2" xfId="699" xr:uid="{00000000-0005-0000-0000-000089010000}"/>
    <cellStyle name="60 % - Akzent5 4" xfId="179" xr:uid="{00000000-0005-0000-0000-00008A010000}"/>
    <cellStyle name="60 % - Akzent5 4 2" xfId="700" xr:uid="{00000000-0005-0000-0000-00008B010000}"/>
    <cellStyle name="60 % - Akzent5 5" xfId="180" xr:uid="{00000000-0005-0000-0000-00008C010000}"/>
    <cellStyle name="60 % - Akzent5 5 2" xfId="701" xr:uid="{00000000-0005-0000-0000-00008D010000}"/>
    <cellStyle name="60 % - Akzent5 6" xfId="181" xr:uid="{00000000-0005-0000-0000-00008E010000}"/>
    <cellStyle name="60 % - Akzent5 6 2" xfId="702" xr:uid="{00000000-0005-0000-0000-00008F010000}"/>
    <cellStyle name="60 % - Akzent6 2" xfId="182" xr:uid="{00000000-0005-0000-0000-000090010000}"/>
    <cellStyle name="60 % - Akzent6 2 2" xfId="183" xr:uid="{00000000-0005-0000-0000-000091010000}"/>
    <cellStyle name="60 % - Akzent6 2 2 2" xfId="704" xr:uid="{00000000-0005-0000-0000-000092010000}"/>
    <cellStyle name="60 % - Akzent6 2 3" xfId="184" xr:uid="{00000000-0005-0000-0000-000093010000}"/>
    <cellStyle name="60 % - Akzent6 2 3 2" xfId="185" xr:uid="{00000000-0005-0000-0000-000094010000}"/>
    <cellStyle name="60 % - Akzent6 2 3 2 2" xfId="186" xr:uid="{00000000-0005-0000-0000-000095010000}"/>
    <cellStyle name="60 % - Akzent6 2 3 2 2 2" xfId="707" xr:uid="{00000000-0005-0000-0000-000096010000}"/>
    <cellStyle name="60 % - Akzent6 2 3 2 3" xfId="706" xr:uid="{00000000-0005-0000-0000-000097010000}"/>
    <cellStyle name="60 % - Akzent6 2 3 3" xfId="708" xr:uid="{00000000-0005-0000-0000-000098010000}"/>
    <cellStyle name="60 % - Akzent6 2 3 3 2" xfId="1088" xr:uid="{00000000-0005-0000-0000-000099010000}"/>
    <cellStyle name="60 % - Akzent6 2 3 4" xfId="705" xr:uid="{00000000-0005-0000-0000-00009A010000}"/>
    <cellStyle name="60 % - Akzent6 2 4" xfId="709" xr:uid="{00000000-0005-0000-0000-00009B010000}"/>
    <cellStyle name="60 % - Akzent6 2 4 2" xfId="1089" xr:uid="{00000000-0005-0000-0000-00009C010000}"/>
    <cellStyle name="60 % - Akzent6 2 5" xfId="703" xr:uid="{00000000-0005-0000-0000-00009D010000}"/>
    <cellStyle name="60 % - Akzent6 3" xfId="187" xr:uid="{00000000-0005-0000-0000-00009E010000}"/>
    <cellStyle name="60 % - Akzent6 3 2" xfId="710" xr:uid="{00000000-0005-0000-0000-00009F010000}"/>
    <cellStyle name="60 % - Akzent6 4" xfId="188" xr:uid="{00000000-0005-0000-0000-0000A0010000}"/>
    <cellStyle name="60 % - Akzent6 4 2" xfId="711" xr:uid="{00000000-0005-0000-0000-0000A1010000}"/>
    <cellStyle name="60 % - Akzent6 5" xfId="189" xr:uid="{00000000-0005-0000-0000-0000A2010000}"/>
    <cellStyle name="60 % - Akzent6 5 2" xfId="712" xr:uid="{00000000-0005-0000-0000-0000A3010000}"/>
    <cellStyle name="60 % - Akzent6 6" xfId="190" xr:uid="{00000000-0005-0000-0000-0000A4010000}"/>
    <cellStyle name="60 % - Akzent6 6 2" xfId="713" xr:uid="{00000000-0005-0000-0000-0000A5010000}"/>
    <cellStyle name="Accent1" xfId="191" xr:uid="{00000000-0005-0000-0000-0000A6010000}"/>
    <cellStyle name="Accent1 2" xfId="192" xr:uid="{00000000-0005-0000-0000-0000A7010000}"/>
    <cellStyle name="Accent1 2 2" xfId="715" xr:uid="{00000000-0005-0000-0000-0000A8010000}"/>
    <cellStyle name="Accent1 3" xfId="193" xr:uid="{00000000-0005-0000-0000-0000A9010000}"/>
    <cellStyle name="Accent1 3 2" xfId="194" xr:uid="{00000000-0005-0000-0000-0000AA010000}"/>
    <cellStyle name="Accent1 3 2 2" xfId="717" xr:uid="{00000000-0005-0000-0000-0000AB010000}"/>
    <cellStyle name="Accent1 3 3" xfId="716" xr:uid="{00000000-0005-0000-0000-0000AC010000}"/>
    <cellStyle name="Accent1 4" xfId="718" xr:uid="{00000000-0005-0000-0000-0000AD010000}"/>
    <cellStyle name="Accent1 4 2" xfId="1090" xr:uid="{00000000-0005-0000-0000-0000AE010000}"/>
    <cellStyle name="Accent1 5" xfId="719" xr:uid="{00000000-0005-0000-0000-0000AF010000}"/>
    <cellStyle name="Accent1 6" xfId="714" xr:uid="{00000000-0005-0000-0000-0000B0010000}"/>
    <cellStyle name="Accent1 7" xfId="1092" xr:uid="{00000000-0005-0000-0000-0000B1010000}"/>
    <cellStyle name="Accent2" xfId="195" xr:uid="{00000000-0005-0000-0000-0000B2010000}"/>
    <cellStyle name="Accent2 2" xfId="196" xr:uid="{00000000-0005-0000-0000-0000B3010000}"/>
    <cellStyle name="Accent2 2 2" xfId="721" xr:uid="{00000000-0005-0000-0000-0000B4010000}"/>
    <cellStyle name="Accent2 3" xfId="197" xr:uid="{00000000-0005-0000-0000-0000B5010000}"/>
    <cellStyle name="Accent2 3 2" xfId="722" xr:uid="{00000000-0005-0000-0000-0000B6010000}"/>
    <cellStyle name="Accent2 4" xfId="723" xr:uid="{00000000-0005-0000-0000-0000B7010000}"/>
    <cellStyle name="Accent2 5" xfId="720" xr:uid="{00000000-0005-0000-0000-0000B8010000}"/>
    <cellStyle name="Accent2 6" xfId="1093" xr:uid="{00000000-0005-0000-0000-0000B9010000}"/>
    <cellStyle name="Accent3" xfId="209" xr:uid="{00000000-0005-0000-0000-0000BA010000}"/>
    <cellStyle name="Accent3 2" xfId="198" xr:uid="{00000000-0005-0000-0000-0000BB010000}"/>
    <cellStyle name="Accent3 2 2" xfId="725" xr:uid="{00000000-0005-0000-0000-0000BC010000}"/>
    <cellStyle name="Accent3 3" xfId="724" xr:uid="{00000000-0005-0000-0000-0000BD010000}"/>
    <cellStyle name="Accent3 4" xfId="1038" xr:uid="{00000000-0005-0000-0000-0000BE010000}"/>
    <cellStyle name="Accent4" xfId="199" xr:uid="{00000000-0005-0000-0000-0000BF010000}"/>
    <cellStyle name="Accent4 2" xfId="200" xr:uid="{00000000-0005-0000-0000-0000C0010000}"/>
    <cellStyle name="Accent4 2 2" xfId="727" xr:uid="{00000000-0005-0000-0000-0000C1010000}"/>
    <cellStyle name="Accent4 3" xfId="201" xr:uid="{00000000-0005-0000-0000-0000C2010000}"/>
    <cellStyle name="Accent4 3 2" xfId="202" xr:uid="{00000000-0005-0000-0000-0000C3010000}"/>
    <cellStyle name="Accent4 3 2 2" xfId="729" xr:uid="{00000000-0005-0000-0000-0000C4010000}"/>
    <cellStyle name="Accent4 3 3" xfId="728" xr:uid="{00000000-0005-0000-0000-0000C5010000}"/>
    <cellStyle name="Accent4 4" xfId="730" xr:uid="{00000000-0005-0000-0000-0000C6010000}"/>
    <cellStyle name="Accent4 4 2" xfId="1091" xr:uid="{00000000-0005-0000-0000-0000C7010000}"/>
    <cellStyle name="Accent4 5" xfId="731" xr:uid="{00000000-0005-0000-0000-0000C8010000}"/>
    <cellStyle name="Accent4 6" xfId="726" xr:uid="{00000000-0005-0000-0000-0000C9010000}"/>
    <cellStyle name="Accent4 7" xfId="1094" xr:uid="{00000000-0005-0000-0000-0000CA010000}"/>
    <cellStyle name="Accent5" xfId="214" xr:uid="{00000000-0005-0000-0000-0000CB010000}"/>
    <cellStyle name="Accent5 2" xfId="203" xr:uid="{00000000-0005-0000-0000-0000CC010000}"/>
    <cellStyle name="Accent5 2 2" xfId="733" xr:uid="{00000000-0005-0000-0000-0000CD010000}"/>
    <cellStyle name="Accent5 3" xfId="732" xr:uid="{00000000-0005-0000-0000-0000CE010000}"/>
    <cellStyle name="Accent5 4" xfId="1039" xr:uid="{00000000-0005-0000-0000-0000CF010000}"/>
    <cellStyle name="Accent6" xfId="217" xr:uid="{00000000-0005-0000-0000-0000D0010000}"/>
    <cellStyle name="Accent6 2" xfId="204" xr:uid="{00000000-0005-0000-0000-0000D1010000}"/>
    <cellStyle name="Accent6 2 2" xfId="735" xr:uid="{00000000-0005-0000-0000-0000D2010000}"/>
    <cellStyle name="Accent6 3" xfId="734" xr:uid="{00000000-0005-0000-0000-0000D3010000}"/>
    <cellStyle name="Accent6 4" xfId="1040" xr:uid="{00000000-0005-0000-0000-0000D4010000}"/>
    <cellStyle name="Akzent1 2" xfId="205" xr:uid="{00000000-0005-0000-0000-0000D5010000}"/>
    <cellStyle name="Akzent1 2 2" xfId="736" xr:uid="{00000000-0005-0000-0000-0000D6010000}"/>
    <cellStyle name="Akzent1 3" xfId="206" xr:uid="{00000000-0005-0000-0000-0000D7010000}"/>
    <cellStyle name="Akzent1 3 2" xfId="737" xr:uid="{00000000-0005-0000-0000-0000D8010000}"/>
    <cellStyle name="Akzent2 2" xfId="207" xr:uid="{00000000-0005-0000-0000-0000D9010000}"/>
    <cellStyle name="Akzent2 2 2" xfId="738" xr:uid="{00000000-0005-0000-0000-0000DA010000}"/>
    <cellStyle name="Akzent2 3" xfId="208" xr:uid="{00000000-0005-0000-0000-0000DB010000}"/>
    <cellStyle name="Akzent2 3 2" xfId="739" xr:uid="{00000000-0005-0000-0000-0000DC010000}"/>
    <cellStyle name="Akzent3 2" xfId="210" xr:uid="{00000000-0005-0000-0000-0000DD010000}"/>
    <cellStyle name="Akzent3 2 2" xfId="740" xr:uid="{00000000-0005-0000-0000-0000DE010000}"/>
    <cellStyle name="Akzent3 3" xfId="211" xr:uid="{00000000-0005-0000-0000-0000DF010000}"/>
    <cellStyle name="Akzent3 3 2" xfId="741" xr:uid="{00000000-0005-0000-0000-0000E0010000}"/>
    <cellStyle name="Akzent4 2" xfId="212" xr:uid="{00000000-0005-0000-0000-0000E1010000}"/>
    <cellStyle name="Akzent4 2 2" xfId="742" xr:uid="{00000000-0005-0000-0000-0000E2010000}"/>
    <cellStyle name="Akzent4 3" xfId="213" xr:uid="{00000000-0005-0000-0000-0000E3010000}"/>
    <cellStyle name="Akzent4 3 2" xfId="743" xr:uid="{00000000-0005-0000-0000-0000E4010000}"/>
    <cellStyle name="Akzent5 2" xfId="215" xr:uid="{00000000-0005-0000-0000-0000E5010000}"/>
    <cellStyle name="Akzent5 2 2" xfId="744" xr:uid="{00000000-0005-0000-0000-0000E6010000}"/>
    <cellStyle name="Akzent5 3" xfId="216" xr:uid="{00000000-0005-0000-0000-0000E7010000}"/>
    <cellStyle name="Akzent5 3 2" xfId="745" xr:uid="{00000000-0005-0000-0000-0000E8010000}"/>
    <cellStyle name="Akzent6 2" xfId="218" xr:uid="{00000000-0005-0000-0000-0000E9010000}"/>
    <cellStyle name="Akzent6 2 2" xfId="746" xr:uid="{00000000-0005-0000-0000-0000EA010000}"/>
    <cellStyle name="Akzent6 3" xfId="219" xr:uid="{00000000-0005-0000-0000-0000EB010000}"/>
    <cellStyle name="Akzent6 3 2" xfId="747" xr:uid="{00000000-0005-0000-0000-0000EC010000}"/>
    <cellStyle name="Ausgabe 2" xfId="220" xr:uid="{00000000-0005-0000-0000-0000ED010000}"/>
    <cellStyle name="Ausgabe 2 2" xfId="221" xr:uid="{00000000-0005-0000-0000-0000EE010000}"/>
    <cellStyle name="Ausgabe 2 2 2" xfId="222" xr:uid="{00000000-0005-0000-0000-0000EF010000}"/>
    <cellStyle name="Ausgabe 2 2 2 2" xfId="750" xr:uid="{00000000-0005-0000-0000-0000F0010000}"/>
    <cellStyle name="Ausgabe 2 2 3" xfId="751" xr:uid="{00000000-0005-0000-0000-0000F1010000}"/>
    <cellStyle name="Ausgabe 2 2 3 2" xfId="752" xr:uid="{00000000-0005-0000-0000-0000F2010000}"/>
    <cellStyle name="Ausgabe 2 2 3 2 2" xfId="1119" xr:uid="{00000000-0005-0000-0000-0000F3010000}"/>
    <cellStyle name="Ausgabe 2 2 3 3" xfId="1095" xr:uid="{00000000-0005-0000-0000-0000F4010000}"/>
    <cellStyle name="Ausgabe 2 2 4" xfId="749" xr:uid="{00000000-0005-0000-0000-0000F5010000}"/>
    <cellStyle name="Ausgabe 2 2 5" xfId="1042" xr:uid="{00000000-0005-0000-0000-0000F6010000}"/>
    <cellStyle name="Ausgabe 2 3" xfId="223" xr:uid="{00000000-0005-0000-0000-0000F7010000}"/>
    <cellStyle name="Ausgabe 2 3 2" xfId="224" xr:uid="{00000000-0005-0000-0000-0000F8010000}"/>
    <cellStyle name="Ausgabe 2 3 2 2" xfId="225" xr:uid="{00000000-0005-0000-0000-0000F9010000}"/>
    <cellStyle name="Ausgabe 2 3 2 2 2" xfId="755" xr:uid="{00000000-0005-0000-0000-0000FA010000}"/>
    <cellStyle name="Ausgabe 2 3 2 3" xfId="754" xr:uid="{00000000-0005-0000-0000-0000FB010000}"/>
    <cellStyle name="Ausgabe 2 3 3" xfId="756" xr:uid="{00000000-0005-0000-0000-0000FC010000}"/>
    <cellStyle name="Ausgabe 2 3 3 2" xfId="757" xr:uid="{00000000-0005-0000-0000-0000FD010000}"/>
    <cellStyle name="Ausgabe 2 3 3 2 2" xfId="1120" xr:uid="{00000000-0005-0000-0000-0000FE010000}"/>
    <cellStyle name="Ausgabe 2 3 3 3" xfId="1096" xr:uid="{00000000-0005-0000-0000-0000FF010000}"/>
    <cellStyle name="Ausgabe 2 3 4" xfId="753" xr:uid="{00000000-0005-0000-0000-000000020000}"/>
    <cellStyle name="Ausgabe 2 3 5" xfId="1043" xr:uid="{00000000-0005-0000-0000-000001020000}"/>
    <cellStyle name="Ausgabe 2 4" xfId="226" xr:uid="{00000000-0005-0000-0000-000002020000}"/>
    <cellStyle name="Ausgabe 2 4 2" xfId="758" xr:uid="{00000000-0005-0000-0000-000003020000}"/>
    <cellStyle name="Ausgabe 2 5" xfId="759" xr:uid="{00000000-0005-0000-0000-000004020000}"/>
    <cellStyle name="Ausgabe 2 5 2" xfId="760" xr:uid="{00000000-0005-0000-0000-000005020000}"/>
    <cellStyle name="Ausgabe 2 5 2 2" xfId="1121" xr:uid="{00000000-0005-0000-0000-000006020000}"/>
    <cellStyle name="Ausgabe 2 5 3" xfId="1097" xr:uid="{00000000-0005-0000-0000-000007020000}"/>
    <cellStyle name="Ausgabe 2 6" xfId="748" xr:uid="{00000000-0005-0000-0000-000008020000}"/>
    <cellStyle name="Ausgabe 2 7" xfId="1041" xr:uid="{00000000-0005-0000-0000-000009020000}"/>
    <cellStyle name="Ausgabe 3" xfId="227" xr:uid="{00000000-0005-0000-0000-00000A020000}"/>
    <cellStyle name="Ausgabe 3 2" xfId="228" xr:uid="{00000000-0005-0000-0000-00000B020000}"/>
    <cellStyle name="Ausgabe 3 2 2" xfId="762" xr:uid="{00000000-0005-0000-0000-00000C020000}"/>
    <cellStyle name="Ausgabe 3 3" xfId="763" xr:uid="{00000000-0005-0000-0000-00000D020000}"/>
    <cellStyle name="Ausgabe 3 3 2" xfId="764" xr:uid="{00000000-0005-0000-0000-00000E020000}"/>
    <cellStyle name="Ausgabe 3 3 2 2" xfId="1122" xr:uid="{00000000-0005-0000-0000-00000F020000}"/>
    <cellStyle name="Ausgabe 3 3 3" xfId="1098" xr:uid="{00000000-0005-0000-0000-000010020000}"/>
    <cellStyle name="Ausgabe 3 4" xfId="761" xr:uid="{00000000-0005-0000-0000-000011020000}"/>
    <cellStyle name="Ausgabe 3 5" xfId="1044" xr:uid="{00000000-0005-0000-0000-000012020000}"/>
    <cellStyle name="Ausgabe 4" xfId="229" xr:uid="{00000000-0005-0000-0000-000013020000}"/>
    <cellStyle name="Ausgabe 4 2" xfId="765" xr:uid="{00000000-0005-0000-0000-000014020000}"/>
    <cellStyle name="Ausgabe 5" xfId="230" xr:uid="{00000000-0005-0000-0000-000015020000}"/>
    <cellStyle name="Ausgabe 5 2" xfId="766" xr:uid="{00000000-0005-0000-0000-000016020000}"/>
    <cellStyle name="Ausgabe 6" xfId="231" xr:uid="{00000000-0005-0000-0000-000017020000}"/>
    <cellStyle name="Ausgabe 6 2" xfId="767" xr:uid="{00000000-0005-0000-0000-000018020000}"/>
    <cellStyle name="Ausgabe 7" xfId="232" xr:uid="{00000000-0005-0000-0000-000019020000}"/>
    <cellStyle name="Ausgabe 7 2" xfId="233" xr:uid="{00000000-0005-0000-0000-00001A020000}"/>
    <cellStyle name="Ausgabe 7 2 2" xfId="769" xr:uid="{00000000-0005-0000-0000-00001B020000}"/>
    <cellStyle name="Ausgabe 7 3" xfId="234" xr:uid="{00000000-0005-0000-0000-00001C020000}"/>
    <cellStyle name="Ausgabe 7 3 2" xfId="235" xr:uid="{00000000-0005-0000-0000-00001D020000}"/>
    <cellStyle name="Ausgabe 7 3 2 2" xfId="771" xr:uid="{00000000-0005-0000-0000-00001E020000}"/>
    <cellStyle name="Ausgabe 7 3 3" xfId="772" xr:uid="{00000000-0005-0000-0000-00001F020000}"/>
    <cellStyle name="Ausgabe 7 3 3 2" xfId="1123" xr:uid="{00000000-0005-0000-0000-000020020000}"/>
    <cellStyle name="Ausgabe 7 3 4" xfId="770" xr:uid="{00000000-0005-0000-0000-000021020000}"/>
    <cellStyle name="Ausgabe 7 3 5" xfId="1045" xr:uid="{00000000-0005-0000-0000-000022020000}"/>
    <cellStyle name="Ausgabe 7 4" xfId="236" xr:uid="{00000000-0005-0000-0000-000023020000}"/>
    <cellStyle name="Ausgabe 7 4 2" xfId="773" xr:uid="{00000000-0005-0000-0000-000024020000}"/>
    <cellStyle name="Ausgabe 7 5" xfId="768" xr:uid="{00000000-0005-0000-0000-000025020000}"/>
    <cellStyle name="Ausgabe 8" xfId="237" xr:uid="{00000000-0005-0000-0000-000026020000}"/>
    <cellStyle name="Ausgabe 8 2" xfId="238" xr:uid="{00000000-0005-0000-0000-000027020000}"/>
    <cellStyle name="Ausgabe 8 2 2" xfId="775" xr:uid="{00000000-0005-0000-0000-000028020000}"/>
    <cellStyle name="Ausgabe 8 3" xfId="774" xr:uid="{00000000-0005-0000-0000-000029020000}"/>
    <cellStyle name="Bad" xfId="438" xr:uid="{00000000-0005-0000-0000-00002A020000}"/>
    <cellStyle name="Bad 2" xfId="239" xr:uid="{00000000-0005-0000-0000-00002B020000}"/>
    <cellStyle name="Bad 2 2" xfId="777" xr:uid="{00000000-0005-0000-0000-00002C020000}"/>
    <cellStyle name="Bad 3" xfId="776" xr:uid="{00000000-0005-0000-0000-00002D020000}"/>
    <cellStyle name="Bad 4" xfId="1063" xr:uid="{00000000-0005-0000-0000-00002E020000}"/>
    <cellStyle name="Berechnung 2" xfId="240" xr:uid="{00000000-0005-0000-0000-00002F020000}"/>
    <cellStyle name="Berechnung 2 2" xfId="241" xr:uid="{00000000-0005-0000-0000-000030020000}"/>
    <cellStyle name="Berechnung 2 2 2" xfId="779" xr:uid="{00000000-0005-0000-0000-000031020000}"/>
    <cellStyle name="Berechnung 2 3" xfId="242" xr:uid="{00000000-0005-0000-0000-000032020000}"/>
    <cellStyle name="Berechnung 2 3 2" xfId="243" xr:uid="{00000000-0005-0000-0000-000033020000}"/>
    <cellStyle name="Berechnung 2 3 2 2" xfId="244" xr:uid="{00000000-0005-0000-0000-000034020000}"/>
    <cellStyle name="Berechnung 2 3 2 2 2" xfId="782" xr:uid="{00000000-0005-0000-0000-000035020000}"/>
    <cellStyle name="Berechnung 2 3 2 3" xfId="781" xr:uid="{00000000-0005-0000-0000-000036020000}"/>
    <cellStyle name="Berechnung 2 3 3" xfId="783" xr:uid="{00000000-0005-0000-0000-000037020000}"/>
    <cellStyle name="Berechnung 2 3 3 2" xfId="1099" xr:uid="{00000000-0005-0000-0000-000038020000}"/>
    <cellStyle name="Berechnung 2 3 4" xfId="780" xr:uid="{00000000-0005-0000-0000-000039020000}"/>
    <cellStyle name="Berechnung 2 4" xfId="784" xr:uid="{00000000-0005-0000-0000-00003A020000}"/>
    <cellStyle name="Berechnung 2 4 2" xfId="1100" xr:uid="{00000000-0005-0000-0000-00003B020000}"/>
    <cellStyle name="Berechnung 2 5" xfId="778" xr:uid="{00000000-0005-0000-0000-00003C020000}"/>
    <cellStyle name="Berechnung 3" xfId="245" xr:uid="{00000000-0005-0000-0000-00003D020000}"/>
    <cellStyle name="Berechnung 3 2" xfId="785" xr:uid="{00000000-0005-0000-0000-00003E020000}"/>
    <cellStyle name="Berechnung 4" xfId="246" xr:uid="{00000000-0005-0000-0000-00003F020000}"/>
    <cellStyle name="Berechnung 4 2" xfId="786" xr:uid="{00000000-0005-0000-0000-000040020000}"/>
    <cellStyle name="Berechnung 5" xfId="247" xr:uid="{00000000-0005-0000-0000-000041020000}"/>
    <cellStyle name="Berechnung 5 2" xfId="787" xr:uid="{00000000-0005-0000-0000-000042020000}"/>
    <cellStyle name="Berechnung 6" xfId="248" xr:uid="{00000000-0005-0000-0000-000043020000}"/>
    <cellStyle name="Berechnung 6 2" xfId="788" xr:uid="{00000000-0005-0000-0000-000044020000}"/>
    <cellStyle name="Berechnung 7" xfId="249" xr:uid="{00000000-0005-0000-0000-000045020000}"/>
    <cellStyle name="Berechnung 7 2" xfId="250" xr:uid="{00000000-0005-0000-0000-000046020000}"/>
    <cellStyle name="Berechnung 7 2 2" xfId="790" xr:uid="{00000000-0005-0000-0000-000047020000}"/>
    <cellStyle name="Berechnung 7 3" xfId="251" xr:uid="{00000000-0005-0000-0000-000048020000}"/>
    <cellStyle name="Berechnung 7 3 2" xfId="791" xr:uid="{00000000-0005-0000-0000-000049020000}"/>
    <cellStyle name="Berechnung 7 4" xfId="789" xr:uid="{00000000-0005-0000-0000-00004A020000}"/>
    <cellStyle name="Berechnung 8" xfId="252" xr:uid="{00000000-0005-0000-0000-00004B020000}"/>
    <cellStyle name="Berechnung 8 2" xfId="792" xr:uid="{00000000-0005-0000-0000-00004C020000}"/>
    <cellStyle name="Calculation 2" xfId="253" xr:uid="{00000000-0005-0000-0000-00004D020000}"/>
    <cellStyle name="Calculation 2 2" xfId="793" xr:uid="{00000000-0005-0000-0000-00004E020000}"/>
    <cellStyle name="Check Cell" xfId="499" xr:uid="{00000000-0005-0000-0000-00004F020000}"/>
    <cellStyle name="Check Cell 2" xfId="254" xr:uid="{00000000-0005-0000-0000-000050020000}"/>
    <cellStyle name="Check Cell 2 2" xfId="795" xr:uid="{00000000-0005-0000-0000-000051020000}"/>
    <cellStyle name="Check Cell 3" xfId="255" xr:uid="{00000000-0005-0000-0000-000052020000}"/>
    <cellStyle name="Check Cell 3 2" xfId="796" xr:uid="{00000000-0005-0000-0000-000053020000}"/>
    <cellStyle name="Check Cell 4" xfId="797" xr:uid="{00000000-0005-0000-0000-000054020000}"/>
    <cellStyle name="Check Cell 4 2" xfId="1101" xr:uid="{00000000-0005-0000-0000-000055020000}"/>
    <cellStyle name="Check Cell 5" xfId="794" xr:uid="{00000000-0005-0000-0000-000056020000}"/>
    <cellStyle name="Check Cell 6" xfId="1068" xr:uid="{00000000-0005-0000-0000-000057020000}"/>
    <cellStyle name="Eingabe 2" xfId="256" xr:uid="{00000000-0005-0000-0000-000058020000}"/>
    <cellStyle name="Eingabe 2 2" xfId="799" xr:uid="{00000000-0005-0000-0000-000059020000}"/>
    <cellStyle name="Eingabe 3" xfId="257" xr:uid="{00000000-0005-0000-0000-00005A020000}"/>
    <cellStyle name="Eingabe 3 2" xfId="800" xr:uid="{00000000-0005-0000-0000-00005B020000}"/>
    <cellStyle name="Eingabe 4" xfId="258" xr:uid="{00000000-0005-0000-0000-00005C020000}"/>
    <cellStyle name="Eingabe 4 2" xfId="801" xr:uid="{00000000-0005-0000-0000-00005D020000}"/>
    <cellStyle name="Eingabe 5" xfId="259" xr:uid="{00000000-0005-0000-0000-00005E020000}"/>
    <cellStyle name="Eingabe 5 2" xfId="802" xr:uid="{00000000-0005-0000-0000-00005F020000}"/>
    <cellStyle name="Eingabe 6" xfId="260" xr:uid="{00000000-0005-0000-0000-000060020000}"/>
    <cellStyle name="Eingabe 6 2" xfId="803" xr:uid="{00000000-0005-0000-0000-000061020000}"/>
    <cellStyle name="Eingabe 7" xfId="261" xr:uid="{00000000-0005-0000-0000-000062020000}"/>
    <cellStyle name="Eingabe 7 2" xfId="804" xr:uid="{00000000-0005-0000-0000-000063020000}"/>
    <cellStyle name="Ergebnis 2" xfId="262" xr:uid="{00000000-0005-0000-0000-000064020000}"/>
    <cellStyle name="Ergebnis 2 2" xfId="263" xr:uid="{00000000-0005-0000-0000-000065020000}"/>
    <cellStyle name="Ergebnis 2 2 2" xfId="264" xr:uid="{00000000-0005-0000-0000-000066020000}"/>
    <cellStyle name="Ergebnis 2 2 2 2" xfId="807" xr:uid="{00000000-0005-0000-0000-000067020000}"/>
    <cellStyle name="Ergebnis 2 2 3" xfId="806" xr:uid="{00000000-0005-0000-0000-000068020000}"/>
    <cellStyle name="Ergebnis 2 3" xfId="265" xr:uid="{00000000-0005-0000-0000-000069020000}"/>
    <cellStyle name="Ergebnis 2 3 2" xfId="808" xr:uid="{00000000-0005-0000-0000-00006A020000}"/>
    <cellStyle name="Ergebnis 2 4" xfId="266" xr:uid="{00000000-0005-0000-0000-00006B020000}"/>
    <cellStyle name="Ergebnis 2 4 2" xfId="267" xr:uid="{00000000-0005-0000-0000-00006C020000}"/>
    <cellStyle name="Ergebnis 2 4 2 2" xfId="268" xr:uid="{00000000-0005-0000-0000-00006D020000}"/>
    <cellStyle name="Ergebnis 2 4 2 2 2" xfId="811" xr:uid="{00000000-0005-0000-0000-00006E020000}"/>
    <cellStyle name="Ergebnis 2 4 2 3" xfId="810" xr:uid="{00000000-0005-0000-0000-00006F020000}"/>
    <cellStyle name="Ergebnis 2 4 3" xfId="812" xr:uid="{00000000-0005-0000-0000-000070020000}"/>
    <cellStyle name="Ergebnis 2 4 3 2" xfId="1102" xr:uid="{00000000-0005-0000-0000-000071020000}"/>
    <cellStyle name="Ergebnis 2 4 4" xfId="809" xr:uid="{00000000-0005-0000-0000-000072020000}"/>
    <cellStyle name="Ergebnis 2 5" xfId="813" xr:uid="{00000000-0005-0000-0000-000073020000}"/>
    <cellStyle name="Ergebnis 2 5 2" xfId="1103" xr:uid="{00000000-0005-0000-0000-000074020000}"/>
    <cellStyle name="Ergebnis 2 6" xfId="805" xr:uid="{00000000-0005-0000-0000-000075020000}"/>
    <cellStyle name="Ergebnis 3" xfId="269" xr:uid="{00000000-0005-0000-0000-000076020000}"/>
    <cellStyle name="Ergebnis 3 2" xfId="270" xr:uid="{00000000-0005-0000-0000-000077020000}"/>
    <cellStyle name="Ergebnis 3 2 2" xfId="815" xr:uid="{00000000-0005-0000-0000-000078020000}"/>
    <cellStyle name="Ergebnis 3 3" xfId="814" xr:uid="{00000000-0005-0000-0000-000079020000}"/>
    <cellStyle name="Ergebnis 4" xfId="271" xr:uid="{00000000-0005-0000-0000-00007A020000}"/>
    <cellStyle name="Ergebnis 4 2" xfId="272" xr:uid="{00000000-0005-0000-0000-00007B020000}"/>
    <cellStyle name="Ergebnis 4 2 2" xfId="817" xr:uid="{00000000-0005-0000-0000-00007C020000}"/>
    <cellStyle name="Ergebnis 4 3" xfId="816" xr:uid="{00000000-0005-0000-0000-00007D020000}"/>
    <cellStyle name="Ergebnis 5" xfId="273" xr:uid="{00000000-0005-0000-0000-00007E020000}"/>
    <cellStyle name="Ergebnis 5 2" xfId="818" xr:uid="{00000000-0005-0000-0000-00007F020000}"/>
    <cellStyle name="Ergebnis 6" xfId="274" xr:uid="{00000000-0005-0000-0000-000080020000}"/>
    <cellStyle name="Ergebnis 6 2" xfId="819" xr:uid="{00000000-0005-0000-0000-000081020000}"/>
    <cellStyle name="Ergebnis 7" xfId="275" xr:uid="{00000000-0005-0000-0000-000082020000}"/>
    <cellStyle name="Ergebnis 7 2" xfId="820" xr:uid="{00000000-0005-0000-0000-000083020000}"/>
    <cellStyle name="Ergebnis 8" xfId="276" xr:uid="{00000000-0005-0000-0000-000084020000}"/>
    <cellStyle name="Ergebnis 8 2" xfId="277" xr:uid="{00000000-0005-0000-0000-000085020000}"/>
    <cellStyle name="Ergebnis 8 2 2" xfId="822" xr:uid="{00000000-0005-0000-0000-000086020000}"/>
    <cellStyle name="Ergebnis 8 3" xfId="278" xr:uid="{00000000-0005-0000-0000-000087020000}"/>
    <cellStyle name="Ergebnis 8 3 2" xfId="823" xr:uid="{00000000-0005-0000-0000-000088020000}"/>
    <cellStyle name="Ergebnis 8 4" xfId="821" xr:uid="{00000000-0005-0000-0000-000089020000}"/>
    <cellStyle name="Ergebnis 9" xfId="279" xr:uid="{00000000-0005-0000-0000-00008A020000}"/>
    <cellStyle name="Ergebnis 9 2" xfId="824" xr:uid="{00000000-0005-0000-0000-00008B020000}"/>
    <cellStyle name="Erklärender Text 2" xfId="280" xr:uid="{00000000-0005-0000-0000-00008C020000}"/>
    <cellStyle name="Erklärender Text 2 2" xfId="825" xr:uid="{00000000-0005-0000-0000-00008D020000}"/>
    <cellStyle name="Erklärender Text 3" xfId="281" xr:uid="{00000000-0005-0000-0000-00008E020000}"/>
    <cellStyle name="Erklärender Text 3 2" xfId="826" xr:uid="{00000000-0005-0000-0000-00008F020000}"/>
    <cellStyle name="Erklärender Text 4" xfId="282" xr:uid="{00000000-0005-0000-0000-000090020000}"/>
    <cellStyle name="Erklärender Text 4 2" xfId="827" xr:uid="{00000000-0005-0000-0000-000091020000}"/>
    <cellStyle name="Erklärender Text 5" xfId="283" xr:uid="{00000000-0005-0000-0000-000092020000}"/>
    <cellStyle name="Erklärender Text 5 2" xfId="828" xr:uid="{00000000-0005-0000-0000-000093020000}"/>
    <cellStyle name="Erklärender Text 6" xfId="284" xr:uid="{00000000-0005-0000-0000-000094020000}"/>
    <cellStyle name="Erklärender Text 6 2" xfId="829" xr:uid="{00000000-0005-0000-0000-000095020000}"/>
    <cellStyle name="Good" xfId="286" xr:uid="{00000000-0005-0000-0000-000096020000}"/>
    <cellStyle name="Good 2" xfId="285" xr:uid="{00000000-0005-0000-0000-000097020000}"/>
    <cellStyle name="Good 2 2" xfId="831" xr:uid="{00000000-0005-0000-0000-000098020000}"/>
    <cellStyle name="Good 3" xfId="830" xr:uid="{00000000-0005-0000-0000-000099020000}"/>
    <cellStyle name="Good 4" xfId="1046" xr:uid="{00000000-0005-0000-0000-00009A020000}"/>
    <cellStyle name="Gut 2" xfId="287" xr:uid="{00000000-0005-0000-0000-00009B020000}"/>
    <cellStyle name="Gut 2 2" xfId="832" xr:uid="{00000000-0005-0000-0000-00009C020000}"/>
    <cellStyle name="Gut 3" xfId="288" xr:uid="{00000000-0005-0000-0000-00009D020000}"/>
    <cellStyle name="Gut 3 2" xfId="833" xr:uid="{00000000-0005-0000-0000-00009E020000}"/>
    <cellStyle name="Heading 1" xfId="289" xr:uid="{00000000-0005-0000-0000-00009F020000}"/>
    <cellStyle name="Heading 1 2" xfId="290" xr:uid="{00000000-0005-0000-0000-0000A0020000}"/>
    <cellStyle name="Heading 1 2 2" xfId="291" xr:uid="{00000000-0005-0000-0000-0000A1020000}"/>
    <cellStyle name="Heading 1 2 2 2" xfId="836" xr:uid="{00000000-0005-0000-0000-0000A2020000}"/>
    <cellStyle name="Heading 1 2 2 3" xfId="1048" xr:uid="{00000000-0005-0000-0000-0000A3020000}"/>
    <cellStyle name="Heading 1 2 3" xfId="835" xr:uid="{00000000-0005-0000-0000-0000A4020000}"/>
    <cellStyle name="Heading 1 3" xfId="837" xr:uid="{00000000-0005-0000-0000-0000A5020000}"/>
    <cellStyle name="Heading 1 3 2" xfId="1104" xr:uid="{00000000-0005-0000-0000-0000A6020000}"/>
    <cellStyle name="Heading 1 4" xfId="838" xr:uid="{00000000-0005-0000-0000-0000A7020000}"/>
    <cellStyle name="Heading 1 5" xfId="834" xr:uid="{00000000-0005-0000-0000-0000A8020000}"/>
    <cellStyle name="Heading 1 6" xfId="1047" xr:uid="{00000000-0005-0000-0000-0000A9020000}"/>
    <cellStyle name="Heading 1 7" xfId="1114" xr:uid="{00000000-0005-0000-0000-0000AA020000}"/>
    <cellStyle name="Heading 2" xfId="292" xr:uid="{00000000-0005-0000-0000-0000AB020000}"/>
    <cellStyle name="Heading 2 2" xfId="293" xr:uid="{00000000-0005-0000-0000-0000AC020000}"/>
    <cellStyle name="Heading 2 2 2" xfId="294" xr:uid="{00000000-0005-0000-0000-0000AD020000}"/>
    <cellStyle name="Heading 2 2 2 2" xfId="841" xr:uid="{00000000-0005-0000-0000-0000AE020000}"/>
    <cellStyle name="Heading 2 2 2 3" xfId="1050" xr:uid="{00000000-0005-0000-0000-0000AF020000}"/>
    <cellStyle name="Heading 2 2 3" xfId="840" xr:uid="{00000000-0005-0000-0000-0000B0020000}"/>
    <cellStyle name="Heading 2 3" xfId="842" xr:uid="{00000000-0005-0000-0000-0000B1020000}"/>
    <cellStyle name="Heading 2 3 2" xfId="1105" xr:uid="{00000000-0005-0000-0000-0000B2020000}"/>
    <cellStyle name="Heading 2 4" xfId="843" xr:uid="{00000000-0005-0000-0000-0000B3020000}"/>
    <cellStyle name="Heading 2 5" xfId="839" xr:uid="{00000000-0005-0000-0000-0000B4020000}"/>
    <cellStyle name="Heading 2 6" xfId="1049" xr:uid="{00000000-0005-0000-0000-0000B5020000}"/>
    <cellStyle name="Heading 2 7" xfId="1115" xr:uid="{00000000-0005-0000-0000-0000B6020000}"/>
    <cellStyle name="Heading 3" xfId="295" xr:uid="{00000000-0005-0000-0000-0000B7020000}"/>
    <cellStyle name="Heading 3 2" xfId="296" xr:uid="{00000000-0005-0000-0000-0000B8020000}"/>
    <cellStyle name="Heading 3 2 2" xfId="297" xr:uid="{00000000-0005-0000-0000-0000B9020000}"/>
    <cellStyle name="Heading 3 2 2 2" xfId="846" xr:uid="{00000000-0005-0000-0000-0000BA020000}"/>
    <cellStyle name="Heading 3 2 2 3" xfId="1052" xr:uid="{00000000-0005-0000-0000-0000BB020000}"/>
    <cellStyle name="Heading 3 2 3" xfId="845" xr:uid="{00000000-0005-0000-0000-0000BC020000}"/>
    <cellStyle name="Heading 3 3" xfId="847" xr:uid="{00000000-0005-0000-0000-0000BD020000}"/>
    <cellStyle name="Heading 3 3 2" xfId="1106" xr:uid="{00000000-0005-0000-0000-0000BE020000}"/>
    <cellStyle name="Heading 3 4" xfId="848" xr:uid="{00000000-0005-0000-0000-0000BF020000}"/>
    <cellStyle name="Heading 3 5" xfId="844" xr:uid="{00000000-0005-0000-0000-0000C0020000}"/>
    <cellStyle name="Heading 3 6" xfId="1051" xr:uid="{00000000-0005-0000-0000-0000C1020000}"/>
    <cellStyle name="Heading 3 7" xfId="1116" xr:uid="{00000000-0005-0000-0000-0000C2020000}"/>
    <cellStyle name="Heading 4" xfId="298" xr:uid="{00000000-0005-0000-0000-0000C3020000}"/>
    <cellStyle name="Heading 4 2" xfId="299" xr:uid="{00000000-0005-0000-0000-0000C4020000}"/>
    <cellStyle name="Heading 4 2 2" xfId="300" xr:uid="{00000000-0005-0000-0000-0000C5020000}"/>
    <cellStyle name="Heading 4 2 2 2" xfId="851" xr:uid="{00000000-0005-0000-0000-0000C6020000}"/>
    <cellStyle name="Heading 4 2 2 3" xfId="1054" xr:uid="{00000000-0005-0000-0000-0000C7020000}"/>
    <cellStyle name="Heading 4 2 3" xfId="850" xr:uid="{00000000-0005-0000-0000-0000C8020000}"/>
    <cellStyle name="Heading 4 3" xfId="852" xr:uid="{00000000-0005-0000-0000-0000C9020000}"/>
    <cellStyle name="Heading 4 3 2" xfId="1107" xr:uid="{00000000-0005-0000-0000-0000CA020000}"/>
    <cellStyle name="Heading 4 4" xfId="853" xr:uid="{00000000-0005-0000-0000-0000CB020000}"/>
    <cellStyle name="Heading 4 5" xfId="849" xr:uid="{00000000-0005-0000-0000-0000CC020000}"/>
    <cellStyle name="Heading 4 6" xfId="1053" xr:uid="{00000000-0005-0000-0000-0000CD020000}"/>
    <cellStyle name="Heading 4 7" xfId="1117" xr:uid="{00000000-0005-0000-0000-0000CE020000}"/>
    <cellStyle name="Input 2" xfId="301" xr:uid="{00000000-0005-0000-0000-0000CF020000}"/>
    <cellStyle name="Input 2 2" xfId="854" xr:uid="{00000000-0005-0000-0000-0000D0020000}"/>
    <cellStyle name="Komma 2" xfId="855" xr:uid="{00000000-0005-0000-0000-0000D1020000}"/>
    <cellStyle name="Komma 3" xfId="798" xr:uid="{00000000-0005-0000-0000-0000D2020000}"/>
    <cellStyle name="Linked Cell" xfId="488" xr:uid="{00000000-0005-0000-0000-0000D3020000}"/>
    <cellStyle name="Linked Cell 2" xfId="302" xr:uid="{00000000-0005-0000-0000-0000D4020000}"/>
    <cellStyle name="Linked Cell 2 2" xfId="857" xr:uid="{00000000-0005-0000-0000-0000D5020000}"/>
    <cellStyle name="Linked Cell 3" xfId="856" xr:uid="{00000000-0005-0000-0000-0000D6020000}"/>
    <cellStyle name="Linked Cell 4" xfId="1066" xr:uid="{00000000-0005-0000-0000-0000D7020000}"/>
    <cellStyle name="Neutral" xfId="303" builtinId="28" customBuiltin="1"/>
    <cellStyle name="Neutral 2" xfId="858" xr:uid="{00000000-0005-0000-0000-0000D9020000}"/>
    <cellStyle name="Normal" xfId="0" builtinId="0"/>
    <cellStyle name="Normal 2" xfId="304" xr:uid="{00000000-0005-0000-0000-0000DA020000}"/>
    <cellStyle name="Note" xfId="305" xr:uid="{00000000-0005-0000-0000-0000DB020000}"/>
    <cellStyle name="Note 2" xfId="306" xr:uid="{00000000-0005-0000-0000-0000DC020000}"/>
    <cellStyle name="Note 2 2" xfId="307" xr:uid="{00000000-0005-0000-0000-0000DD020000}"/>
    <cellStyle name="Note 2 2 2" xfId="861" xr:uid="{00000000-0005-0000-0000-0000DE020000}"/>
    <cellStyle name="Note 2 3" xfId="860" xr:uid="{00000000-0005-0000-0000-0000DF020000}"/>
    <cellStyle name="Note 3" xfId="308" xr:uid="{00000000-0005-0000-0000-0000E0020000}"/>
    <cellStyle name="Note 3 2" xfId="862" xr:uid="{00000000-0005-0000-0000-0000E1020000}"/>
    <cellStyle name="Note 4" xfId="309" xr:uid="{00000000-0005-0000-0000-0000E2020000}"/>
    <cellStyle name="Note 4 2" xfId="863" xr:uid="{00000000-0005-0000-0000-0000E3020000}"/>
    <cellStyle name="Note 5" xfId="310" xr:uid="{00000000-0005-0000-0000-0000E4020000}"/>
    <cellStyle name="Note 5 2" xfId="865" xr:uid="{00000000-0005-0000-0000-0000E5020000}"/>
    <cellStyle name="Note 5 2 2" xfId="1124" xr:uid="{00000000-0005-0000-0000-0000E6020000}"/>
    <cellStyle name="Note 5 3" xfId="864" xr:uid="{00000000-0005-0000-0000-0000E7020000}"/>
    <cellStyle name="Note 5 4" xfId="1055" xr:uid="{00000000-0005-0000-0000-0000E8020000}"/>
    <cellStyle name="Note 6" xfId="859" xr:uid="{00000000-0005-0000-0000-0000E9020000}"/>
    <cellStyle name="Notiz 2" xfId="311" xr:uid="{00000000-0005-0000-0000-0000EA020000}"/>
    <cellStyle name="Notiz 2 2" xfId="312" xr:uid="{00000000-0005-0000-0000-0000EB020000}"/>
    <cellStyle name="Notiz 2 2 2" xfId="313" xr:uid="{00000000-0005-0000-0000-0000EC020000}"/>
    <cellStyle name="Notiz 2 2 2 2" xfId="314" xr:uid="{00000000-0005-0000-0000-0000ED020000}"/>
    <cellStyle name="Notiz 2 2 2 2 2" xfId="315" xr:uid="{00000000-0005-0000-0000-0000EE020000}"/>
    <cellStyle name="Notiz 2 2 2 2 2 2" xfId="870" xr:uid="{00000000-0005-0000-0000-0000EF020000}"/>
    <cellStyle name="Notiz 2 2 2 2 3" xfId="869" xr:uid="{00000000-0005-0000-0000-0000F0020000}"/>
    <cellStyle name="Notiz 2 2 2 3" xfId="316" xr:uid="{00000000-0005-0000-0000-0000F1020000}"/>
    <cellStyle name="Notiz 2 2 2 3 2" xfId="871" xr:uid="{00000000-0005-0000-0000-0000F2020000}"/>
    <cellStyle name="Notiz 2 2 2 4" xfId="868" xr:uid="{00000000-0005-0000-0000-0000F3020000}"/>
    <cellStyle name="Notiz 2 2 3" xfId="317" xr:uid="{00000000-0005-0000-0000-0000F4020000}"/>
    <cellStyle name="Notiz 2 2 3 2" xfId="318" xr:uid="{00000000-0005-0000-0000-0000F5020000}"/>
    <cellStyle name="Notiz 2 2 3 2 2" xfId="873" xr:uid="{00000000-0005-0000-0000-0000F6020000}"/>
    <cellStyle name="Notiz 2 2 3 3" xfId="872" xr:uid="{00000000-0005-0000-0000-0000F7020000}"/>
    <cellStyle name="Notiz 2 2 4" xfId="319" xr:uid="{00000000-0005-0000-0000-0000F8020000}"/>
    <cellStyle name="Notiz 2 2 4 2" xfId="320" xr:uid="{00000000-0005-0000-0000-0000F9020000}"/>
    <cellStyle name="Notiz 2 2 4 2 2" xfId="875" xr:uid="{00000000-0005-0000-0000-0000FA020000}"/>
    <cellStyle name="Notiz 2 2 4 3" xfId="321" xr:uid="{00000000-0005-0000-0000-0000FB020000}"/>
    <cellStyle name="Notiz 2 2 4 3 2" xfId="322" xr:uid="{00000000-0005-0000-0000-0000FC020000}"/>
    <cellStyle name="Notiz 2 2 4 3 2 2" xfId="877" xr:uid="{00000000-0005-0000-0000-0000FD020000}"/>
    <cellStyle name="Notiz 2 2 4 3 3" xfId="878" xr:uid="{00000000-0005-0000-0000-0000FE020000}"/>
    <cellStyle name="Notiz 2 2 4 3 3 2" xfId="1108" xr:uid="{00000000-0005-0000-0000-0000FF020000}"/>
    <cellStyle name="Notiz 2 2 4 3 4" xfId="876" xr:uid="{00000000-0005-0000-0000-000000030000}"/>
    <cellStyle name="Notiz 2 2 4 4" xfId="323" xr:uid="{00000000-0005-0000-0000-000001030000}"/>
    <cellStyle name="Notiz 2 2 4 4 2" xfId="880" xr:uid="{00000000-0005-0000-0000-000002030000}"/>
    <cellStyle name="Notiz 2 2 4 4 2 2" xfId="1125" xr:uid="{00000000-0005-0000-0000-000003030000}"/>
    <cellStyle name="Notiz 2 2 4 4 3" xfId="879" xr:uid="{00000000-0005-0000-0000-000004030000}"/>
    <cellStyle name="Notiz 2 2 4 4 4" xfId="1056" xr:uid="{00000000-0005-0000-0000-000005030000}"/>
    <cellStyle name="Notiz 2 2 4 5" xfId="874" xr:uid="{00000000-0005-0000-0000-000006030000}"/>
    <cellStyle name="Notiz 2 2 5" xfId="324" xr:uid="{00000000-0005-0000-0000-000007030000}"/>
    <cellStyle name="Notiz 2 2 5 2" xfId="325" xr:uid="{00000000-0005-0000-0000-000008030000}"/>
    <cellStyle name="Notiz 2 2 5 2 2" xfId="882" xr:uid="{00000000-0005-0000-0000-000009030000}"/>
    <cellStyle name="Notiz 2 2 5 3" xfId="326" xr:uid="{00000000-0005-0000-0000-00000A030000}"/>
    <cellStyle name="Notiz 2 2 5 3 2" xfId="883" xr:uid="{00000000-0005-0000-0000-00000B030000}"/>
    <cellStyle name="Notiz 2 2 5 4" xfId="327" xr:uid="{00000000-0005-0000-0000-00000C030000}"/>
    <cellStyle name="Notiz 2 2 5 4 2" xfId="885" xr:uid="{00000000-0005-0000-0000-00000D030000}"/>
    <cellStyle name="Notiz 2 2 5 4 2 2" xfId="1126" xr:uid="{00000000-0005-0000-0000-00000E030000}"/>
    <cellStyle name="Notiz 2 2 5 4 3" xfId="884" xr:uid="{00000000-0005-0000-0000-00000F030000}"/>
    <cellStyle name="Notiz 2 2 5 4 4" xfId="1057" xr:uid="{00000000-0005-0000-0000-000010030000}"/>
    <cellStyle name="Notiz 2 2 5 5" xfId="881" xr:uid="{00000000-0005-0000-0000-000011030000}"/>
    <cellStyle name="Notiz 2 2 6" xfId="867" xr:uid="{00000000-0005-0000-0000-000012030000}"/>
    <cellStyle name="Notiz 2 3" xfId="328" xr:uid="{00000000-0005-0000-0000-000013030000}"/>
    <cellStyle name="Notiz 2 3 2" xfId="329" xr:uid="{00000000-0005-0000-0000-000014030000}"/>
    <cellStyle name="Notiz 2 3 2 2" xfId="330" xr:uid="{00000000-0005-0000-0000-000015030000}"/>
    <cellStyle name="Notiz 2 3 2 2 2" xfId="888" xr:uid="{00000000-0005-0000-0000-000016030000}"/>
    <cellStyle name="Notiz 2 3 2 3" xfId="887" xr:uid="{00000000-0005-0000-0000-000017030000}"/>
    <cellStyle name="Notiz 2 3 3" xfId="331" xr:uid="{00000000-0005-0000-0000-000018030000}"/>
    <cellStyle name="Notiz 2 3 3 2" xfId="889" xr:uid="{00000000-0005-0000-0000-000019030000}"/>
    <cellStyle name="Notiz 2 3 4" xfId="886" xr:uid="{00000000-0005-0000-0000-00001A030000}"/>
    <cellStyle name="Notiz 2 4" xfId="332" xr:uid="{00000000-0005-0000-0000-00001B030000}"/>
    <cellStyle name="Notiz 2 4 2" xfId="333" xr:uid="{00000000-0005-0000-0000-00001C030000}"/>
    <cellStyle name="Notiz 2 4 2 2" xfId="891" xr:uid="{00000000-0005-0000-0000-00001D030000}"/>
    <cellStyle name="Notiz 2 4 3" xfId="890" xr:uid="{00000000-0005-0000-0000-00001E030000}"/>
    <cellStyle name="Notiz 2 5" xfId="334" xr:uid="{00000000-0005-0000-0000-00001F030000}"/>
    <cellStyle name="Notiz 2 5 2" xfId="892" xr:uid="{00000000-0005-0000-0000-000020030000}"/>
    <cellStyle name="Notiz 2 6" xfId="866" xr:uid="{00000000-0005-0000-0000-000021030000}"/>
    <cellStyle name="Notiz 3" xfId="335" xr:uid="{00000000-0005-0000-0000-000022030000}"/>
    <cellStyle name="Notiz 3 2" xfId="336" xr:uid="{00000000-0005-0000-0000-000023030000}"/>
    <cellStyle name="Notiz 3 2 2" xfId="337" xr:uid="{00000000-0005-0000-0000-000024030000}"/>
    <cellStyle name="Notiz 3 2 2 2" xfId="338" xr:uid="{00000000-0005-0000-0000-000025030000}"/>
    <cellStyle name="Notiz 3 2 2 2 2" xfId="896" xr:uid="{00000000-0005-0000-0000-000026030000}"/>
    <cellStyle name="Notiz 3 2 2 3" xfId="895" xr:uid="{00000000-0005-0000-0000-000027030000}"/>
    <cellStyle name="Notiz 3 2 3" xfId="339" xr:uid="{00000000-0005-0000-0000-000028030000}"/>
    <cellStyle name="Notiz 3 2 3 2" xfId="897" xr:uid="{00000000-0005-0000-0000-000029030000}"/>
    <cellStyle name="Notiz 3 2 4" xfId="894" xr:uid="{00000000-0005-0000-0000-00002A030000}"/>
    <cellStyle name="Notiz 3 3" xfId="340" xr:uid="{00000000-0005-0000-0000-00002B030000}"/>
    <cellStyle name="Notiz 3 3 2" xfId="341" xr:uid="{00000000-0005-0000-0000-00002C030000}"/>
    <cellStyle name="Notiz 3 3 2 2" xfId="899" xr:uid="{00000000-0005-0000-0000-00002D030000}"/>
    <cellStyle name="Notiz 3 3 3" xfId="898" xr:uid="{00000000-0005-0000-0000-00002E030000}"/>
    <cellStyle name="Notiz 3 4" xfId="342" xr:uid="{00000000-0005-0000-0000-00002F030000}"/>
    <cellStyle name="Notiz 3 4 2" xfId="900" xr:uid="{00000000-0005-0000-0000-000030030000}"/>
    <cellStyle name="Notiz 3 5" xfId="893" xr:uid="{00000000-0005-0000-0000-000031030000}"/>
    <cellStyle name="Notiz 4" xfId="343" xr:uid="{00000000-0005-0000-0000-000032030000}"/>
    <cellStyle name="Notiz 4 2" xfId="344" xr:uid="{00000000-0005-0000-0000-000033030000}"/>
    <cellStyle name="Notiz 4 2 2" xfId="345" xr:uid="{00000000-0005-0000-0000-000034030000}"/>
    <cellStyle name="Notiz 4 2 2 2" xfId="903" xr:uid="{00000000-0005-0000-0000-000035030000}"/>
    <cellStyle name="Notiz 4 2 3" xfId="902" xr:uid="{00000000-0005-0000-0000-000036030000}"/>
    <cellStyle name="Notiz 4 3" xfId="346" xr:uid="{00000000-0005-0000-0000-000037030000}"/>
    <cellStyle name="Notiz 4 3 2" xfId="904" xr:uid="{00000000-0005-0000-0000-000038030000}"/>
    <cellStyle name="Notiz 4 4" xfId="901" xr:uid="{00000000-0005-0000-0000-000039030000}"/>
    <cellStyle name="Notiz 5" xfId="347" xr:uid="{00000000-0005-0000-0000-00003A030000}"/>
    <cellStyle name="Notiz 5 2" xfId="348" xr:uid="{00000000-0005-0000-0000-00003B030000}"/>
    <cellStyle name="Notiz 5 2 2" xfId="349" xr:uid="{00000000-0005-0000-0000-00003C030000}"/>
    <cellStyle name="Notiz 5 2 2 2" xfId="907" xr:uid="{00000000-0005-0000-0000-00003D030000}"/>
    <cellStyle name="Notiz 5 2 3" xfId="906" xr:uid="{00000000-0005-0000-0000-00003E030000}"/>
    <cellStyle name="Notiz 5 3" xfId="350" xr:uid="{00000000-0005-0000-0000-00003F030000}"/>
    <cellStyle name="Notiz 5 3 2" xfId="908" xr:uid="{00000000-0005-0000-0000-000040030000}"/>
    <cellStyle name="Notiz 5 4" xfId="905" xr:uid="{00000000-0005-0000-0000-000041030000}"/>
    <cellStyle name="Notiz 6" xfId="351" xr:uid="{00000000-0005-0000-0000-000042030000}"/>
    <cellStyle name="Notiz 6 2" xfId="352" xr:uid="{00000000-0005-0000-0000-000043030000}"/>
    <cellStyle name="Notiz 6 2 2" xfId="910" xr:uid="{00000000-0005-0000-0000-000044030000}"/>
    <cellStyle name="Notiz 6 3" xfId="909" xr:uid="{00000000-0005-0000-0000-000045030000}"/>
    <cellStyle name="Notiz 7" xfId="353" xr:uid="{00000000-0005-0000-0000-000046030000}"/>
    <cellStyle name="Notiz 7 2" xfId="911" xr:uid="{00000000-0005-0000-0000-000047030000}"/>
    <cellStyle name="Notiz 8" xfId="354" xr:uid="{00000000-0005-0000-0000-000048030000}"/>
    <cellStyle name="Notiz 8 2" xfId="912" xr:uid="{00000000-0005-0000-0000-000049030000}"/>
    <cellStyle name="Output 2" xfId="355" xr:uid="{00000000-0005-0000-0000-00004A030000}"/>
    <cellStyle name="Output 2 2" xfId="913" xr:uid="{00000000-0005-0000-0000-00004B030000}"/>
    <cellStyle name="Percent" xfId="356" builtinId="5"/>
    <cellStyle name="Percent 2" xfId="1058" xr:uid="{00000000-0005-0000-0000-00004C030000}"/>
    <cellStyle name="Prozent 10" xfId="357" xr:uid="{00000000-0005-0000-0000-00004E030000}"/>
    <cellStyle name="Prozent 10 2" xfId="358" xr:uid="{00000000-0005-0000-0000-00004F030000}"/>
    <cellStyle name="Prozent 10 2 2" xfId="916" xr:uid="{00000000-0005-0000-0000-000050030000}"/>
    <cellStyle name="Prozent 10 3" xfId="359" xr:uid="{00000000-0005-0000-0000-000051030000}"/>
    <cellStyle name="Prozent 10 3 2" xfId="917" xr:uid="{00000000-0005-0000-0000-000052030000}"/>
    <cellStyle name="Prozent 10 4" xfId="360" xr:uid="{00000000-0005-0000-0000-000053030000}"/>
    <cellStyle name="Prozent 10 4 2" xfId="919" xr:uid="{00000000-0005-0000-0000-000054030000}"/>
    <cellStyle name="Prozent 10 4 2 2" xfId="1127" xr:uid="{00000000-0005-0000-0000-000055030000}"/>
    <cellStyle name="Prozent 10 4 3" xfId="918" xr:uid="{00000000-0005-0000-0000-000056030000}"/>
    <cellStyle name="Prozent 10 4 4" xfId="1059" xr:uid="{00000000-0005-0000-0000-000057030000}"/>
    <cellStyle name="Prozent 10 5" xfId="915" xr:uid="{00000000-0005-0000-0000-000058030000}"/>
    <cellStyle name="Prozent 11" xfId="361" xr:uid="{00000000-0005-0000-0000-000059030000}"/>
    <cellStyle name="Prozent 11 2" xfId="920" xr:uid="{00000000-0005-0000-0000-00005A030000}"/>
    <cellStyle name="Prozent 12" xfId="362" xr:uid="{00000000-0005-0000-0000-00005B030000}"/>
    <cellStyle name="Prozent 12 2" xfId="921" xr:uid="{00000000-0005-0000-0000-00005C030000}"/>
    <cellStyle name="Prozent 13" xfId="914" xr:uid="{00000000-0005-0000-0000-00005D030000}"/>
    <cellStyle name="Prozent 2" xfId="363" xr:uid="{00000000-0005-0000-0000-00005E030000}"/>
    <cellStyle name="Prozent 2 2" xfId="922" xr:uid="{00000000-0005-0000-0000-00005F030000}"/>
    <cellStyle name="Prozent 3" xfId="364" xr:uid="{00000000-0005-0000-0000-000060030000}"/>
    <cellStyle name="Prozent 3 2" xfId="365" xr:uid="{00000000-0005-0000-0000-000061030000}"/>
    <cellStyle name="Prozent 3 2 2" xfId="366" xr:uid="{00000000-0005-0000-0000-000062030000}"/>
    <cellStyle name="Prozent 3 2 2 2" xfId="367" xr:uid="{00000000-0005-0000-0000-000063030000}"/>
    <cellStyle name="Prozent 3 2 2 2 2" xfId="368" xr:uid="{00000000-0005-0000-0000-000064030000}"/>
    <cellStyle name="Prozent 3 2 2 2 2 2" xfId="927" xr:uid="{00000000-0005-0000-0000-000065030000}"/>
    <cellStyle name="Prozent 3 2 2 2 3" xfId="926" xr:uid="{00000000-0005-0000-0000-000066030000}"/>
    <cellStyle name="Prozent 3 2 2 3" xfId="369" xr:uid="{00000000-0005-0000-0000-000067030000}"/>
    <cellStyle name="Prozent 3 2 2 3 2" xfId="928" xr:uid="{00000000-0005-0000-0000-000068030000}"/>
    <cellStyle name="Prozent 3 2 2 4" xfId="925" xr:uid="{00000000-0005-0000-0000-000069030000}"/>
    <cellStyle name="Prozent 3 2 3" xfId="370" xr:uid="{00000000-0005-0000-0000-00006A030000}"/>
    <cellStyle name="Prozent 3 2 3 2" xfId="371" xr:uid="{00000000-0005-0000-0000-00006B030000}"/>
    <cellStyle name="Prozent 3 2 3 2 2" xfId="930" xr:uid="{00000000-0005-0000-0000-00006C030000}"/>
    <cellStyle name="Prozent 3 2 3 3" xfId="929" xr:uid="{00000000-0005-0000-0000-00006D030000}"/>
    <cellStyle name="Prozent 3 2 4" xfId="372" xr:uid="{00000000-0005-0000-0000-00006E030000}"/>
    <cellStyle name="Prozent 3 2 4 2" xfId="373" xr:uid="{00000000-0005-0000-0000-00006F030000}"/>
    <cellStyle name="Prozent 3 2 4 2 2" xfId="932" xr:uid="{00000000-0005-0000-0000-000070030000}"/>
    <cellStyle name="Prozent 3 2 4 3" xfId="374" xr:uid="{00000000-0005-0000-0000-000071030000}"/>
    <cellStyle name="Prozent 3 2 4 3 2" xfId="933" xr:uid="{00000000-0005-0000-0000-000072030000}"/>
    <cellStyle name="Prozent 3 2 4 4" xfId="931" xr:uid="{00000000-0005-0000-0000-000073030000}"/>
    <cellStyle name="Prozent 3 2 5" xfId="375" xr:uid="{00000000-0005-0000-0000-000074030000}"/>
    <cellStyle name="Prozent 3 2 5 2" xfId="934" xr:uid="{00000000-0005-0000-0000-000075030000}"/>
    <cellStyle name="Prozent 3 2 6" xfId="924" xr:uid="{00000000-0005-0000-0000-000076030000}"/>
    <cellStyle name="Prozent 3 3" xfId="376" xr:uid="{00000000-0005-0000-0000-000077030000}"/>
    <cellStyle name="Prozent 3 3 2" xfId="377" xr:uid="{00000000-0005-0000-0000-000078030000}"/>
    <cellStyle name="Prozent 3 3 2 2" xfId="378" xr:uid="{00000000-0005-0000-0000-000079030000}"/>
    <cellStyle name="Prozent 3 3 2 2 2" xfId="937" xr:uid="{00000000-0005-0000-0000-00007A030000}"/>
    <cellStyle name="Prozent 3 3 2 3" xfId="936" xr:uid="{00000000-0005-0000-0000-00007B030000}"/>
    <cellStyle name="Prozent 3 3 3" xfId="379" xr:uid="{00000000-0005-0000-0000-00007C030000}"/>
    <cellStyle name="Prozent 3 3 3 2" xfId="938" xr:uid="{00000000-0005-0000-0000-00007D030000}"/>
    <cellStyle name="Prozent 3 3 4" xfId="935" xr:uid="{00000000-0005-0000-0000-00007E030000}"/>
    <cellStyle name="Prozent 3 4" xfId="380" xr:uid="{00000000-0005-0000-0000-00007F030000}"/>
    <cellStyle name="Prozent 3 4 2" xfId="381" xr:uid="{00000000-0005-0000-0000-000080030000}"/>
    <cellStyle name="Prozent 3 4 2 2" xfId="940" xr:uid="{00000000-0005-0000-0000-000081030000}"/>
    <cellStyle name="Prozent 3 4 3" xfId="939" xr:uid="{00000000-0005-0000-0000-000082030000}"/>
    <cellStyle name="Prozent 3 5" xfId="382" xr:uid="{00000000-0005-0000-0000-000083030000}"/>
    <cellStyle name="Prozent 3 5 2" xfId="941" xr:uid="{00000000-0005-0000-0000-000084030000}"/>
    <cellStyle name="Prozent 3 6" xfId="923" xr:uid="{00000000-0005-0000-0000-000085030000}"/>
    <cellStyle name="Prozent 4" xfId="383" xr:uid="{00000000-0005-0000-0000-000086030000}"/>
    <cellStyle name="Prozent 4 2" xfId="384" xr:uid="{00000000-0005-0000-0000-000087030000}"/>
    <cellStyle name="Prozent 4 2 2" xfId="385" xr:uid="{00000000-0005-0000-0000-000088030000}"/>
    <cellStyle name="Prozent 4 2 2 2" xfId="386" xr:uid="{00000000-0005-0000-0000-000089030000}"/>
    <cellStyle name="Prozent 4 2 2 2 2" xfId="387" xr:uid="{00000000-0005-0000-0000-00008A030000}"/>
    <cellStyle name="Prozent 4 2 2 2 2 2" xfId="946" xr:uid="{00000000-0005-0000-0000-00008B030000}"/>
    <cellStyle name="Prozent 4 2 2 2 3" xfId="945" xr:uid="{00000000-0005-0000-0000-00008C030000}"/>
    <cellStyle name="Prozent 4 2 2 3" xfId="388" xr:uid="{00000000-0005-0000-0000-00008D030000}"/>
    <cellStyle name="Prozent 4 2 2 3 2" xfId="947" xr:uid="{00000000-0005-0000-0000-00008E030000}"/>
    <cellStyle name="Prozent 4 2 2 4" xfId="944" xr:uid="{00000000-0005-0000-0000-00008F030000}"/>
    <cellStyle name="Prozent 4 2 3" xfId="389" xr:uid="{00000000-0005-0000-0000-000090030000}"/>
    <cellStyle name="Prozent 4 2 3 2" xfId="390" xr:uid="{00000000-0005-0000-0000-000091030000}"/>
    <cellStyle name="Prozent 4 2 3 2 2" xfId="949" xr:uid="{00000000-0005-0000-0000-000092030000}"/>
    <cellStyle name="Prozent 4 2 3 3" xfId="948" xr:uid="{00000000-0005-0000-0000-000093030000}"/>
    <cellStyle name="Prozent 4 2 4" xfId="391" xr:uid="{00000000-0005-0000-0000-000094030000}"/>
    <cellStyle name="Prozent 4 2 4 2" xfId="950" xr:uid="{00000000-0005-0000-0000-000095030000}"/>
    <cellStyle name="Prozent 4 2 5" xfId="943" xr:uid="{00000000-0005-0000-0000-000096030000}"/>
    <cellStyle name="Prozent 4 3" xfId="392" xr:uid="{00000000-0005-0000-0000-000097030000}"/>
    <cellStyle name="Prozent 4 3 2" xfId="393" xr:uid="{00000000-0005-0000-0000-000098030000}"/>
    <cellStyle name="Prozent 4 3 2 2" xfId="394" xr:uid="{00000000-0005-0000-0000-000099030000}"/>
    <cellStyle name="Prozent 4 3 2 2 2" xfId="953" xr:uid="{00000000-0005-0000-0000-00009A030000}"/>
    <cellStyle name="Prozent 4 3 2 3" xfId="952" xr:uid="{00000000-0005-0000-0000-00009B030000}"/>
    <cellStyle name="Prozent 4 3 3" xfId="395" xr:uid="{00000000-0005-0000-0000-00009C030000}"/>
    <cellStyle name="Prozent 4 3 3 2" xfId="396" xr:uid="{00000000-0005-0000-0000-00009D030000}"/>
    <cellStyle name="Prozent 4 3 3 2 2" xfId="955" xr:uid="{00000000-0005-0000-0000-00009E030000}"/>
    <cellStyle name="Prozent 4 3 3 3" xfId="954" xr:uid="{00000000-0005-0000-0000-00009F030000}"/>
    <cellStyle name="Prozent 4 3 4" xfId="397" xr:uid="{00000000-0005-0000-0000-0000A0030000}"/>
    <cellStyle name="Prozent 4 3 4 2" xfId="398" xr:uid="{00000000-0005-0000-0000-0000A1030000}"/>
    <cellStyle name="Prozent 4 3 4 2 2" xfId="957" xr:uid="{00000000-0005-0000-0000-0000A2030000}"/>
    <cellStyle name="Prozent 4 3 4 3" xfId="399" xr:uid="{00000000-0005-0000-0000-0000A3030000}"/>
    <cellStyle name="Prozent 4 3 4 3 2" xfId="958" xr:uid="{00000000-0005-0000-0000-0000A4030000}"/>
    <cellStyle name="Prozent 4 3 4 4" xfId="400" xr:uid="{00000000-0005-0000-0000-0000A5030000}"/>
    <cellStyle name="Prozent 4 3 4 4 2" xfId="960" xr:uid="{00000000-0005-0000-0000-0000A6030000}"/>
    <cellStyle name="Prozent 4 3 4 4 2 2" xfId="1128" xr:uid="{00000000-0005-0000-0000-0000A7030000}"/>
    <cellStyle name="Prozent 4 3 4 4 3" xfId="959" xr:uid="{00000000-0005-0000-0000-0000A8030000}"/>
    <cellStyle name="Prozent 4 3 4 4 4" xfId="1060" xr:uid="{00000000-0005-0000-0000-0000A9030000}"/>
    <cellStyle name="Prozent 4 3 4 5" xfId="956" xr:uid="{00000000-0005-0000-0000-0000AA030000}"/>
    <cellStyle name="Prozent 4 3 5" xfId="951" xr:uid="{00000000-0005-0000-0000-0000AB030000}"/>
    <cellStyle name="Prozent 4 4" xfId="401" xr:uid="{00000000-0005-0000-0000-0000AC030000}"/>
    <cellStyle name="Prozent 4 4 2" xfId="402" xr:uid="{00000000-0005-0000-0000-0000AD030000}"/>
    <cellStyle name="Prozent 4 4 2 2" xfId="962" xr:uid="{00000000-0005-0000-0000-0000AE030000}"/>
    <cellStyle name="Prozent 4 4 3" xfId="961" xr:uid="{00000000-0005-0000-0000-0000AF030000}"/>
    <cellStyle name="Prozent 4 5" xfId="403" xr:uid="{00000000-0005-0000-0000-0000B0030000}"/>
    <cellStyle name="Prozent 4 5 2" xfId="963" xr:uid="{00000000-0005-0000-0000-0000B1030000}"/>
    <cellStyle name="Prozent 4 6" xfId="942" xr:uid="{00000000-0005-0000-0000-0000B2030000}"/>
    <cellStyle name="Prozent 5" xfId="404" xr:uid="{00000000-0005-0000-0000-0000B3030000}"/>
    <cellStyle name="Prozent 5 2" xfId="405" xr:uid="{00000000-0005-0000-0000-0000B4030000}"/>
    <cellStyle name="Prozent 5 2 2" xfId="406" xr:uid="{00000000-0005-0000-0000-0000B5030000}"/>
    <cellStyle name="Prozent 5 2 2 2" xfId="407" xr:uid="{00000000-0005-0000-0000-0000B6030000}"/>
    <cellStyle name="Prozent 5 2 2 2 2" xfId="967" xr:uid="{00000000-0005-0000-0000-0000B7030000}"/>
    <cellStyle name="Prozent 5 2 2 3" xfId="966" xr:uid="{00000000-0005-0000-0000-0000B8030000}"/>
    <cellStyle name="Prozent 5 2 3" xfId="408" xr:uid="{00000000-0005-0000-0000-0000B9030000}"/>
    <cellStyle name="Prozent 5 2 3 2" xfId="968" xr:uid="{00000000-0005-0000-0000-0000BA030000}"/>
    <cellStyle name="Prozent 5 2 4" xfId="965" xr:uid="{00000000-0005-0000-0000-0000BB030000}"/>
    <cellStyle name="Prozent 5 3" xfId="409" xr:uid="{00000000-0005-0000-0000-0000BC030000}"/>
    <cellStyle name="Prozent 5 3 2" xfId="410" xr:uid="{00000000-0005-0000-0000-0000BD030000}"/>
    <cellStyle name="Prozent 5 3 2 2" xfId="970" xr:uid="{00000000-0005-0000-0000-0000BE030000}"/>
    <cellStyle name="Prozent 5 3 3" xfId="969" xr:uid="{00000000-0005-0000-0000-0000BF030000}"/>
    <cellStyle name="Prozent 5 4" xfId="411" xr:uid="{00000000-0005-0000-0000-0000C0030000}"/>
    <cellStyle name="Prozent 5 4 2" xfId="412" xr:uid="{00000000-0005-0000-0000-0000C1030000}"/>
    <cellStyle name="Prozent 5 4 2 2" xfId="972" xr:uid="{00000000-0005-0000-0000-0000C2030000}"/>
    <cellStyle name="Prozent 5 4 3" xfId="413" xr:uid="{00000000-0005-0000-0000-0000C3030000}"/>
    <cellStyle name="Prozent 5 4 3 2" xfId="414" xr:uid="{00000000-0005-0000-0000-0000C4030000}"/>
    <cellStyle name="Prozent 5 4 3 2 2" xfId="974" xr:uid="{00000000-0005-0000-0000-0000C5030000}"/>
    <cellStyle name="Prozent 5 4 3 3" xfId="975" xr:uid="{00000000-0005-0000-0000-0000C6030000}"/>
    <cellStyle name="Prozent 5 4 3 3 2" xfId="1109" xr:uid="{00000000-0005-0000-0000-0000C7030000}"/>
    <cellStyle name="Prozent 5 4 3 4" xfId="973" xr:uid="{00000000-0005-0000-0000-0000C8030000}"/>
    <cellStyle name="Prozent 5 4 4" xfId="415" xr:uid="{00000000-0005-0000-0000-0000C9030000}"/>
    <cellStyle name="Prozent 5 4 4 2" xfId="977" xr:uid="{00000000-0005-0000-0000-0000CA030000}"/>
    <cellStyle name="Prozent 5 4 4 2 2" xfId="1129" xr:uid="{00000000-0005-0000-0000-0000CB030000}"/>
    <cellStyle name="Prozent 5 4 4 3" xfId="976" xr:uid="{00000000-0005-0000-0000-0000CC030000}"/>
    <cellStyle name="Prozent 5 4 4 4" xfId="1061" xr:uid="{00000000-0005-0000-0000-0000CD030000}"/>
    <cellStyle name="Prozent 5 4 5" xfId="971" xr:uid="{00000000-0005-0000-0000-0000CE030000}"/>
    <cellStyle name="Prozent 5 5" xfId="416" xr:uid="{00000000-0005-0000-0000-0000CF030000}"/>
    <cellStyle name="Prozent 5 5 2" xfId="417" xr:uid="{00000000-0005-0000-0000-0000D0030000}"/>
    <cellStyle name="Prozent 5 5 2 2" xfId="979" xr:uid="{00000000-0005-0000-0000-0000D1030000}"/>
    <cellStyle name="Prozent 5 5 3" xfId="418" xr:uid="{00000000-0005-0000-0000-0000D2030000}"/>
    <cellStyle name="Prozent 5 5 3 2" xfId="980" xr:uid="{00000000-0005-0000-0000-0000D3030000}"/>
    <cellStyle name="Prozent 5 5 4" xfId="419" xr:uid="{00000000-0005-0000-0000-0000D4030000}"/>
    <cellStyle name="Prozent 5 5 4 2" xfId="982" xr:uid="{00000000-0005-0000-0000-0000D5030000}"/>
    <cellStyle name="Prozent 5 5 4 2 2" xfId="1130" xr:uid="{00000000-0005-0000-0000-0000D6030000}"/>
    <cellStyle name="Prozent 5 5 4 3" xfId="981" xr:uid="{00000000-0005-0000-0000-0000D7030000}"/>
    <cellStyle name="Prozent 5 5 4 4" xfId="1062" xr:uid="{00000000-0005-0000-0000-0000D8030000}"/>
    <cellStyle name="Prozent 5 5 5" xfId="978" xr:uid="{00000000-0005-0000-0000-0000D9030000}"/>
    <cellStyle name="Prozent 5 6" xfId="964" xr:uid="{00000000-0005-0000-0000-0000DA030000}"/>
    <cellStyle name="Prozent 6" xfId="420" xr:uid="{00000000-0005-0000-0000-0000DB030000}"/>
    <cellStyle name="Prozent 6 2" xfId="421" xr:uid="{00000000-0005-0000-0000-0000DC030000}"/>
    <cellStyle name="Prozent 6 2 2" xfId="422" xr:uid="{00000000-0005-0000-0000-0000DD030000}"/>
    <cellStyle name="Prozent 6 2 2 2" xfId="985" xr:uid="{00000000-0005-0000-0000-0000DE030000}"/>
    <cellStyle name="Prozent 6 2 3" xfId="984" xr:uid="{00000000-0005-0000-0000-0000DF030000}"/>
    <cellStyle name="Prozent 6 3" xfId="423" xr:uid="{00000000-0005-0000-0000-0000E0030000}"/>
    <cellStyle name="Prozent 6 3 2" xfId="986" xr:uid="{00000000-0005-0000-0000-0000E1030000}"/>
    <cellStyle name="Prozent 6 4" xfId="983" xr:uid="{00000000-0005-0000-0000-0000E2030000}"/>
    <cellStyle name="Prozent 7" xfId="424" xr:uid="{00000000-0005-0000-0000-0000E3030000}"/>
    <cellStyle name="Prozent 7 2" xfId="425" xr:uid="{00000000-0005-0000-0000-0000E4030000}"/>
    <cellStyle name="Prozent 7 2 2" xfId="426" xr:uid="{00000000-0005-0000-0000-0000E5030000}"/>
    <cellStyle name="Prozent 7 2 2 2" xfId="989" xr:uid="{00000000-0005-0000-0000-0000E6030000}"/>
    <cellStyle name="Prozent 7 2 3" xfId="988" xr:uid="{00000000-0005-0000-0000-0000E7030000}"/>
    <cellStyle name="Prozent 7 3" xfId="427" xr:uid="{00000000-0005-0000-0000-0000E8030000}"/>
    <cellStyle name="Prozent 7 3 2" xfId="990" xr:uid="{00000000-0005-0000-0000-0000E9030000}"/>
    <cellStyle name="Prozent 7 4" xfId="987" xr:uid="{00000000-0005-0000-0000-0000EA030000}"/>
    <cellStyle name="Prozent 8" xfId="428" xr:uid="{00000000-0005-0000-0000-0000EB030000}"/>
    <cellStyle name="Prozent 8 2" xfId="429" xr:uid="{00000000-0005-0000-0000-0000EC030000}"/>
    <cellStyle name="Prozent 8 2 2" xfId="430" xr:uid="{00000000-0005-0000-0000-0000ED030000}"/>
    <cellStyle name="Prozent 8 2 2 2" xfId="993" xr:uid="{00000000-0005-0000-0000-0000EE030000}"/>
    <cellStyle name="Prozent 8 2 3" xfId="431" xr:uid="{00000000-0005-0000-0000-0000EF030000}"/>
    <cellStyle name="Prozent 8 2 3 2" xfId="994" xr:uid="{00000000-0005-0000-0000-0000F0030000}"/>
    <cellStyle name="Prozent 8 2 4" xfId="992" xr:uid="{00000000-0005-0000-0000-0000F1030000}"/>
    <cellStyle name="Prozent 8 3" xfId="432" xr:uid="{00000000-0005-0000-0000-0000F2030000}"/>
    <cellStyle name="Prozent 8 3 2" xfId="433" xr:uid="{00000000-0005-0000-0000-0000F3030000}"/>
    <cellStyle name="Prozent 8 3 2 2" xfId="434" xr:uid="{00000000-0005-0000-0000-0000F4030000}"/>
    <cellStyle name="Prozent 8 3 2 2 2" xfId="997" xr:uid="{00000000-0005-0000-0000-0000F5030000}"/>
    <cellStyle name="Prozent 8 3 2 3" xfId="998" xr:uid="{00000000-0005-0000-0000-0000F6030000}"/>
    <cellStyle name="Prozent 8 3 2 3 2" xfId="1110" xr:uid="{00000000-0005-0000-0000-0000F7030000}"/>
    <cellStyle name="Prozent 8 3 2 4" xfId="996" xr:uid="{00000000-0005-0000-0000-0000F8030000}"/>
    <cellStyle name="Prozent 8 3 3" xfId="435" xr:uid="{00000000-0005-0000-0000-0000F9030000}"/>
    <cellStyle name="Prozent 8 3 3 2" xfId="436" xr:uid="{00000000-0005-0000-0000-0000FA030000}"/>
    <cellStyle name="Prozent 8 3 3 2 2" xfId="1000" xr:uid="{00000000-0005-0000-0000-0000FB030000}"/>
    <cellStyle name="Prozent 8 3 3 3" xfId="1001" xr:uid="{00000000-0005-0000-0000-0000FC030000}"/>
    <cellStyle name="Prozent 8 3 3 3 2" xfId="1111" xr:uid="{00000000-0005-0000-0000-0000FD030000}"/>
    <cellStyle name="Prozent 8 3 3 4" xfId="999" xr:uid="{00000000-0005-0000-0000-0000FE030000}"/>
    <cellStyle name="Prozent 8 3 4" xfId="995" xr:uid="{00000000-0005-0000-0000-0000FF030000}"/>
    <cellStyle name="Prozent 8 4" xfId="991" xr:uid="{00000000-0005-0000-0000-000000040000}"/>
    <cellStyle name="Prozent 9" xfId="437" xr:uid="{00000000-0005-0000-0000-000001040000}"/>
    <cellStyle name="Prozent 9 2" xfId="1002" xr:uid="{00000000-0005-0000-0000-000002040000}"/>
    <cellStyle name="Schlecht 2" xfId="439" xr:uid="{00000000-0005-0000-0000-000003040000}"/>
    <cellStyle name="Schlecht 2 2" xfId="1003" xr:uid="{00000000-0005-0000-0000-000004040000}"/>
    <cellStyle name="Schlecht 3" xfId="440" xr:uid="{00000000-0005-0000-0000-000005040000}"/>
    <cellStyle name="Schlecht 3 2" xfId="1004" xr:uid="{00000000-0005-0000-0000-000006040000}"/>
    <cellStyle name="Standard 2" xfId="441" xr:uid="{00000000-0005-0000-0000-000008040000}"/>
    <cellStyle name="Standard 2 2" xfId="442" xr:uid="{00000000-0005-0000-0000-000009040000}"/>
    <cellStyle name="Standard 2 2 2" xfId="443" xr:uid="{00000000-0005-0000-0000-00000A040000}"/>
    <cellStyle name="Standard 2 2 3" xfId="444" xr:uid="{00000000-0005-0000-0000-00000B040000}"/>
    <cellStyle name="Standard 2 3" xfId="445" xr:uid="{00000000-0005-0000-0000-00000C040000}"/>
    <cellStyle name="Standard 2 4" xfId="446" xr:uid="{00000000-0005-0000-0000-00000D040000}"/>
    <cellStyle name="Standard 2 5" xfId="447" xr:uid="{00000000-0005-0000-0000-00000E040000}"/>
    <cellStyle name="Standard 2 6" xfId="448" xr:uid="{00000000-0005-0000-0000-00000F040000}"/>
    <cellStyle name="Standard 3" xfId="449" xr:uid="{00000000-0005-0000-0000-000010040000}"/>
    <cellStyle name="Standard 3 2" xfId="450" xr:uid="{00000000-0005-0000-0000-000011040000}"/>
    <cellStyle name="Standard 3 2 2" xfId="451" xr:uid="{00000000-0005-0000-0000-000012040000}"/>
    <cellStyle name="Standard 3 2 2 2" xfId="452" xr:uid="{00000000-0005-0000-0000-000013040000}"/>
    <cellStyle name="Standard 3 2 2 2 2" xfId="453" xr:uid="{00000000-0005-0000-0000-000014040000}"/>
    <cellStyle name="Standard 3 2 2 3" xfId="454" xr:uid="{00000000-0005-0000-0000-000015040000}"/>
    <cellStyle name="Standard 3 2 3" xfId="455" xr:uid="{00000000-0005-0000-0000-000016040000}"/>
    <cellStyle name="Standard 3 2 3 2" xfId="456" xr:uid="{00000000-0005-0000-0000-000017040000}"/>
    <cellStyle name="Standard 3 2 4" xfId="457" xr:uid="{00000000-0005-0000-0000-000018040000}"/>
    <cellStyle name="Standard 3 2 4 2" xfId="458" xr:uid="{00000000-0005-0000-0000-000019040000}"/>
    <cellStyle name="Standard 3 2 4 3" xfId="459" xr:uid="{00000000-0005-0000-0000-00001A040000}"/>
    <cellStyle name="Standard 3 2 5" xfId="460" xr:uid="{00000000-0005-0000-0000-00001B040000}"/>
    <cellStyle name="Standard 3 2 6" xfId="461" xr:uid="{00000000-0005-0000-0000-00001C040000}"/>
    <cellStyle name="Standard 3 3" xfId="462" xr:uid="{00000000-0005-0000-0000-00001D040000}"/>
    <cellStyle name="Standard 3 3 2" xfId="463" xr:uid="{00000000-0005-0000-0000-00001E040000}"/>
    <cellStyle name="Standard 3 3 2 2" xfId="464" xr:uid="{00000000-0005-0000-0000-00001F040000}"/>
    <cellStyle name="Standard 3 3 3" xfId="465" xr:uid="{00000000-0005-0000-0000-000020040000}"/>
    <cellStyle name="Standard 3 4" xfId="466" xr:uid="{00000000-0005-0000-0000-000021040000}"/>
    <cellStyle name="Standard 3 4 2" xfId="467" xr:uid="{00000000-0005-0000-0000-000022040000}"/>
    <cellStyle name="Standard 3 5" xfId="468" xr:uid="{00000000-0005-0000-0000-000023040000}"/>
    <cellStyle name="Standard 3 6" xfId="469" xr:uid="{00000000-0005-0000-0000-000024040000}"/>
    <cellStyle name="Standard 4" xfId="470" xr:uid="{00000000-0005-0000-0000-000025040000}"/>
    <cellStyle name="Standard 5" xfId="471" xr:uid="{00000000-0005-0000-0000-000026040000}"/>
    <cellStyle name="Standard 5 2" xfId="472" xr:uid="{00000000-0005-0000-0000-000027040000}"/>
    <cellStyle name="Standard 6" xfId="1005" xr:uid="{00000000-0005-0000-0000-000028040000}"/>
    <cellStyle name="Standard 6 2" xfId="1006" xr:uid="{00000000-0005-0000-0000-000029040000}"/>
    <cellStyle name="Standard 7" xfId="1007" xr:uid="{00000000-0005-0000-0000-00002A040000}"/>
    <cellStyle name="Standard_Werte" xfId="473" xr:uid="{00000000-0005-0000-0000-00002B040000}"/>
    <cellStyle name="Title" xfId="474" xr:uid="{00000000-0005-0000-0000-00002C040000}"/>
    <cellStyle name="Title 2" xfId="475" xr:uid="{00000000-0005-0000-0000-00002D040000}"/>
    <cellStyle name="Title 2 2" xfId="476" xr:uid="{00000000-0005-0000-0000-00002E040000}"/>
    <cellStyle name="Title 2 2 2" xfId="1010" xr:uid="{00000000-0005-0000-0000-00002F040000}"/>
    <cellStyle name="Title 2 2 3" xfId="1065" xr:uid="{00000000-0005-0000-0000-000030040000}"/>
    <cellStyle name="Title 2 3" xfId="1009" xr:uid="{00000000-0005-0000-0000-000031040000}"/>
    <cellStyle name="Title 3" xfId="1011" xr:uid="{00000000-0005-0000-0000-000032040000}"/>
    <cellStyle name="Title 3 2" xfId="1112" xr:uid="{00000000-0005-0000-0000-000033040000}"/>
    <cellStyle name="Title 4" xfId="1012" xr:uid="{00000000-0005-0000-0000-000034040000}"/>
    <cellStyle name="Title 5" xfId="1008" xr:uid="{00000000-0005-0000-0000-000035040000}"/>
    <cellStyle name="Title 6" xfId="1064" xr:uid="{00000000-0005-0000-0000-000036040000}"/>
    <cellStyle name="Title 7" xfId="1113" xr:uid="{00000000-0005-0000-0000-000037040000}"/>
    <cellStyle name="Total 2" xfId="477" xr:uid="{00000000-0005-0000-0000-000038040000}"/>
    <cellStyle name="Total 2 2" xfId="1013" xr:uid="{00000000-0005-0000-0000-000039040000}"/>
    <cellStyle name="Überschrift 1 2" xfId="478" xr:uid="{00000000-0005-0000-0000-00003A040000}"/>
    <cellStyle name="Überschrift 1 2 2" xfId="1014" xr:uid="{00000000-0005-0000-0000-00003B040000}"/>
    <cellStyle name="Überschrift 1 3" xfId="479" xr:uid="{00000000-0005-0000-0000-00003C040000}"/>
    <cellStyle name="Überschrift 1 3 2" xfId="1015" xr:uid="{00000000-0005-0000-0000-00003D040000}"/>
    <cellStyle name="Überschrift 2 2" xfId="480" xr:uid="{00000000-0005-0000-0000-00003E040000}"/>
    <cellStyle name="Überschrift 2 2 2" xfId="1016" xr:uid="{00000000-0005-0000-0000-00003F040000}"/>
    <cellStyle name="Überschrift 2 3" xfId="481" xr:uid="{00000000-0005-0000-0000-000040040000}"/>
    <cellStyle name="Überschrift 2 3 2" xfId="1017" xr:uid="{00000000-0005-0000-0000-000041040000}"/>
    <cellStyle name="Überschrift 3 2" xfId="482" xr:uid="{00000000-0005-0000-0000-000042040000}"/>
    <cellStyle name="Überschrift 3 2 2" xfId="1018" xr:uid="{00000000-0005-0000-0000-000043040000}"/>
    <cellStyle name="Überschrift 3 3" xfId="483" xr:uid="{00000000-0005-0000-0000-000044040000}"/>
    <cellStyle name="Überschrift 3 3 2" xfId="1019" xr:uid="{00000000-0005-0000-0000-000045040000}"/>
    <cellStyle name="Überschrift 4 2" xfId="484" xr:uid="{00000000-0005-0000-0000-000046040000}"/>
    <cellStyle name="Überschrift 4 2 2" xfId="1020" xr:uid="{00000000-0005-0000-0000-000047040000}"/>
    <cellStyle name="Überschrift 4 3" xfId="485" xr:uid="{00000000-0005-0000-0000-000048040000}"/>
    <cellStyle name="Überschrift 4 3 2" xfId="1021" xr:uid="{00000000-0005-0000-0000-000049040000}"/>
    <cellStyle name="Überschrift 5" xfId="486" xr:uid="{00000000-0005-0000-0000-00004A040000}"/>
    <cellStyle name="Überschrift 5 2" xfId="1022" xr:uid="{00000000-0005-0000-0000-00004B040000}"/>
    <cellStyle name="Überschrift 6" xfId="487" xr:uid="{00000000-0005-0000-0000-00004C040000}"/>
    <cellStyle name="Überschrift 6 2" xfId="1023" xr:uid="{00000000-0005-0000-0000-00004D040000}"/>
    <cellStyle name="Verknüpfte Zelle 2" xfId="489" xr:uid="{00000000-0005-0000-0000-00004E040000}"/>
    <cellStyle name="Verknüpfte Zelle 2 2" xfId="1024" xr:uid="{00000000-0005-0000-0000-00004F040000}"/>
    <cellStyle name="Verknüpfte Zelle 3" xfId="490" xr:uid="{00000000-0005-0000-0000-000050040000}"/>
    <cellStyle name="Verknüpfte Zelle 3 2" xfId="1025" xr:uid="{00000000-0005-0000-0000-000051040000}"/>
    <cellStyle name="Warnender Text 2" xfId="491" xr:uid="{00000000-0005-0000-0000-000052040000}"/>
    <cellStyle name="Warnender Text 2 2" xfId="492" xr:uid="{00000000-0005-0000-0000-000053040000}"/>
    <cellStyle name="Warnender Text 2 2 2" xfId="1027" xr:uid="{00000000-0005-0000-0000-000054040000}"/>
    <cellStyle name="Warnender Text 2 3" xfId="493" xr:uid="{00000000-0005-0000-0000-000055040000}"/>
    <cellStyle name="Warnender Text 2 3 2" xfId="494" xr:uid="{00000000-0005-0000-0000-000056040000}"/>
    <cellStyle name="Warnender Text 2 3 2 2" xfId="1029" xr:uid="{00000000-0005-0000-0000-000057040000}"/>
    <cellStyle name="Warnender Text 2 3 2 3" xfId="1067" xr:uid="{00000000-0005-0000-0000-000058040000}"/>
    <cellStyle name="Warnender Text 2 3 3" xfId="1028" xr:uid="{00000000-0005-0000-0000-000059040000}"/>
    <cellStyle name="Warnender Text 2 4" xfId="1026" xr:uid="{00000000-0005-0000-0000-00005A040000}"/>
    <cellStyle name="Warnender Text 3" xfId="495" xr:uid="{00000000-0005-0000-0000-00005B040000}"/>
    <cellStyle name="Warnender Text 3 2" xfId="1030" xr:uid="{00000000-0005-0000-0000-00005C040000}"/>
    <cellStyle name="Warnender Text 4" xfId="496" xr:uid="{00000000-0005-0000-0000-00005D040000}"/>
    <cellStyle name="Warnender Text 4 2" xfId="1031" xr:uid="{00000000-0005-0000-0000-00005E040000}"/>
    <cellStyle name="Warnender Text 5" xfId="497" xr:uid="{00000000-0005-0000-0000-00005F040000}"/>
    <cellStyle name="Warnender Text 5 2" xfId="1032" xr:uid="{00000000-0005-0000-0000-000060040000}"/>
    <cellStyle name="Warnender Text 6" xfId="498" xr:uid="{00000000-0005-0000-0000-000061040000}"/>
    <cellStyle name="Warnender Text 6 2" xfId="1033" xr:uid="{00000000-0005-0000-0000-000062040000}"/>
    <cellStyle name="Zelle überprüfen 2" xfId="500" xr:uid="{00000000-0005-0000-0000-000063040000}"/>
    <cellStyle name="Zelle überprüfen 2 2" xfId="501" xr:uid="{00000000-0005-0000-0000-000064040000}"/>
    <cellStyle name="Zelle überprüfen 2 2 2" xfId="1035" xr:uid="{00000000-0005-0000-0000-000065040000}"/>
    <cellStyle name="Zelle überprüfen 2 3" xfId="1034" xr:uid="{00000000-0005-0000-0000-000066040000}"/>
    <cellStyle name="Zelle überprüfen 3" xfId="502" xr:uid="{00000000-0005-0000-0000-000067040000}"/>
    <cellStyle name="Zelle überprüfen 3 2" xfId="1036" xr:uid="{00000000-0005-0000-0000-000068040000}"/>
    <cellStyle name="Zelle überprüfen 4" xfId="1037" xr:uid="{00000000-0005-0000-0000-000069040000}"/>
    <cellStyle name="Zelle überprüfen 4 2" xfId="1118" xr:uid="{00000000-0005-0000-0000-00006A040000}"/>
  </cellStyles>
  <dxfs count="448">
    <dxf>
      <fill>
        <patternFill>
          <bgColor rgb="FFFF7C80"/>
        </patternFill>
      </fill>
    </dxf>
    <dxf>
      <fill>
        <patternFill>
          <bgColor rgb="FFFF7C80"/>
        </patternFill>
      </fill>
    </dxf>
    <dxf>
      <fill>
        <patternFill>
          <bgColor theme="0" tint="-0.24994659260841701"/>
        </patternFill>
      </fill>
    </dxf>
    <dxf>
      <fill>
        <patternFill>
          <bgColor theme="4" tint="0.79998168889431442"/>
        </patternFill>
      </fill>
    </dxf>
    <dxf>
      <fill>
        <patternFill>
          <bgColor theme="0" tint="-0.24994659260841701"/>
        </patternFill>
      </fill>
    </dxf>
    <dxf>
      <fill>
        <patternFill>
          <bgColor theme="4" tint="0.79998168889431442"/>
        </patternFill>
      </fill>
    </dxf>
    <dxf>
      <fill>
        <patternFill>
          <bgColor theme="0" tint="-0.24994659260841701"/>
        </patternFill>
      </fill>
    </dxf>
    <dxf>
      <fill>
        <patternFill>
          <bgColor theme="4" tint="0.79998168889431442"/>
        </patternFill>
      </fill>
    </dxf>
    <dxf>
      <fill>
        <patternFill>
          <bgColor theme="0" tint="-0.24994659260841701"/>
        </patternFill>
      </fill>
    </dxf>
    <dxf>
      <fill>
        <patternFill>
          <bgColor theme="4" tint="0.79998168889431442"/>
        </patternFill>
      </fill>
    </dxf>
    <dxf>
      <fill>
        <patternFill>
          <bgColor theme="0" tint="-0.24994659260841701"/>
        </patternFill>
      </fill>
    </dxf>
    <dxf>
      <fill>
        <patternFill>
          <bgColor theme="4" tint="0.79998168889431442"/>
        </patternFill>
      </fill>
    </dxf>
    <dxf>
      <fill>
        <patternFill>
          <bgColor theme="0" tint="-0.24994659260841701"/>
        </patternFill>
      </fill>
    </dxf>
    <dxf>
      <fill>
        <patternFill>
          <bgColor theme="4" tint="0.79998168889431442"/>
        </patternFill>
      </fill>
    </dxf>
    <dxf>
      <fill>
        <patternFill>
          <bgColor rgb="FFFF7C80"/>
        </patternFill>
      </fill>
    </dxf>
    <dxf>
      <fill>
        <patternFill>
          <bgColor rgb="FFCCFFCC"/>
        </patternFill>
      </fill>
    </dxf>
    <dxf>
      <fill>
        <patternFill>
          <bgColor rgb="FFFFFF99"/>
        </patternFill>
      </fill>
    </dxf>
    <dxf>
      <fill>
        <patternFill>
          <bgColor rgb="FFFF7C80"/>
        </patternFill>
      </fill>
    </dxf>
    <dxf>
      <fill>
        <patternFill>
          <bgColor rgb="FFBFBFBF"/>
        </patternFill>
      </fill>
    </dxf>
    <dxf>
      <fill>
        <patternFill>
          <bgColor theme="4" tint="0.79998168889431442"/>
        </patternFill>
      </fill>
    </dxf>
    <dxf>
      <fill>
        <patternFill>
          <bgColor rgb="FFFF7C80"/>
        </patternFill>
      </fill>
    </dxf>
    <dxf>
      <fill>
        <patternFill>
          <bgColor theme="0" tint="-0.24994659260841701"/>
        </patternFill>
      </fill>
    </dxf>
    <dxf>
      <fill>
        <patternFill>
          <bgColor theme="0" tint="-0.24994659260841701"/>
        </patternFill>
      </fill>
    </dxf>
    <dxf>
      <fill>
        <patternFill>
          <bgColor rgb="FFCCFFCC"/>
        </patternFill>
      </fill>
    </dxf>
    <dxf>
      <fill>
        <patternFill>
          <bgColor theme="0" tint="-0.24994659260841701"/>
        </patternFill>
      </fill>
    </dxf>
    <dxf>
      <fill>
        <patternFill>
          <bgColor indexed="23"/>
        </patternFill>
      </fill>
    </dxf>
    <dxf>
      <fill>
        <patternFill>
          <bgColor theme="0" tint="-0.24994659260841701"/>
        </patternFill>
      </fill>
    </dxf>
    <dxf>
      <fill>
        <patternFill>
          <bgColor indexed="23"/>
        </patternFill>
      </fill>
    </dxf>
    <dxf>
      <fill>
        <patternFill>
          <bgColor theme="0" tint="-0.24994659260841701"/>
        </patternFill>
      </fill>
    </dxf>
    <dxf>
      <fill>
        <patternFill>
          <bgColor indexed="23"/>
        </patternFill>
      </fill>
    </dxf>
    <dxf>
      <fill>
        <patternFill>
          <bgColor theme="0" tint="-0.24994659260841701"/>
        </patternFill>
      </fill>
    </dxf>
    <dxf>
      <fill>
        <patternFill>
          <bgColor indexed="23"/>
        </patternFill>
      </fill>
    </dxf>
    <dxf>
      <fill>
        <patternFill>
          <bgColor theme="0" tint="-0.24994659260841701"/>
        </patternFill>
      </fill>
    </dxf>
    <dxf>
      <fill>
        <patternFill>
          <bgColor indexed="23"/>
        </patternFill>
      </fill>
    </dxf>
    <dxf>
      <fill>
        <patternFill>
          <bgColor theme="0" tint="-0.24994659260841701"/>
        </patternFill>
      </fill>
    </dxf>
    <dxf>
      <fill>
        <patternFill>
          <bgColor indexed="23"/>
        </patternFill>
      </fill>
    </dxf>
    <dxf>
      <fill>
        <patternFill>
          <bgColor indexed="23"/>
        </patternFill>
      </fill>
    </dxf>
    <dxf>
      <fill>
        <patternFill>
          <bgColor indexed="23"/>
        </patternFill>
      </fill>
    </dxf>
    <dxf>
      <fill>
        <patternFill>
          <bgColor rgb="FFFF7C80"/>
        </patternFill>
      </fill>
    </dxf>
    <dxf>
      <fill>
        <patternFill>
          <bgColor indexed="23"/>
        </patternFill>
      </fill>
    </dxf>
    <dxf>
      <fill>
        <patternFill>
          <bgColor theme="0" tint="-0.24994659260841701"/>
        </patternFill>
      </fill>
    </dxf>
    <dxf>
      <fill>
        <patternFill>
          <bgColor indexed="23"/>
        </patternFill>
      </fill>
    </dxf>
    <dxf>
      <fill>
        <patternFill>
          <bgColor theme="0" tint="-0.24994659260841701"/>
        </patternFill>
      </fill>
    </dxf>
    <dxf>
      <fill>
        <patternFill>
          <bgColor indexed="23"/>
        </patternFill>
      </fill>
    </dxf>
    <dxf>
      <fill>
        <patternFill>
          <bgColor theme="0" tint="-0.24994659260841701"/>
        </patternFill>
      </fill>
    </dxf>
    <dxf>
      <fill>
        <patternFill>
          <bgColor indexed="23"/>
        </patternFill>
      </fill>
    </dxf>
    <dxf>
      <fill>
        <patternFill>
          <bgColor theme="0" tint="-0.24994659260841701"/>
        </patternFill>
      </fill>
    </dxf>
    <dxf>
      <fill>
        <patternFill>
          <bgColor indexed="23"/>
        </patternFill>
      </fill>
    </dxf>
    <dxf>
      <fill>
        <patternFill>
          <bgColor theme="0" tint="-0.24994659260841701"/>
        </patternFill>
      </fill>
    </dxf>
    <dxf>
      <fill>
        <patternFill>
          <bgColor indexed="23"/>
        </patternFill>
      </fill>
    </dxf>
    <dxf>
      <fill>
        <patternFill>
          <bgColor theme="0" tint="-0.24994659260841701"/>
        </patternFill>
      </fill>
    </dxf>
    <dxf>
      <fill>
        <patternFill>
          <bgColor indexed="23"/>
        </patternFill>
      </fill>
    </dxf>
    <dxf>
      <fill>
        <patternFill>
          <bgColor theme="0" tint="-0.24994659260841701"/>
        </patternFill>
      </fill>
    </dxf>
    <dxf>
      <fill>
        <patternFill>
          <bgColor theme="1" tint="0.499984740745262"/>
        </patternFill>
      </fill>
    </dxf>
    <dxf>
      <fill>
        <patternFill>
          <bgColor theme="0" tint="-0.24994659260841701"/>
        </patternFill>
      </fill>
    </dxf>
    <dxf>
      <fill>
        <patternFill>
          <bgColor theme="1" tint="0.499984740745262"/>
        </patternFill>
      </fill>
    </dxf>
    <dxf>
      <fill>
        <patternFill>
          <bgColor rgb="FFFF7C80"/>
        </patternFill>
      </fill>
    </dxf>
    <dxf>
      <fill>
        <patternFill patternType="none">
          <bgColor indexed="65"/>
        </patternFill>
      </fill>
    </dxf>
    <dxf>
      <fill>
        <patternFill>
          <bgColor indexed="23"/>
        </patternFill>
      </fill>
    </dxf>
    <dxf>
      <fill>
        <patternFill>
          <bgColor theme="0" tint="-0.24994659260841701"/>
        </patternFill>
      </fill>
    </dxf>
    <dxf>
      <fill>
        <patternFill>
          <bgColor theme="1" tint="0.499984740745262"/>
        </patternFill>
      </fill>
    </dxf>
    <dxf>
      <fill>
        <patternFill>
          <bgColor rgb="FFFF7C80"/>
        </patternFill>
      </fill>
    </dxf>
    <dxf>
      <fill>
        <patternFill>
          <bgColor indexed="23"/>
        </patternFill>
      </fill>
    </dxf>
    <dxf>
      <fill>
        <patternFill>
          <bgColor rgb="FFFF7C80"/>
        </patternFill>
      </fill>
    </dxf>
    <dxf>
      <fill>
        <patternFill>
          <bgColor indexed="23"/>
        </patternFill>
      </fill>
    </dxf>
    <dxf>
      <fill>
        <patternFill>
          <bgColor rgb="FFFF7C80"/>
        </patternFill>
      </fill>
    </dxf>
    <dxf>
      <fill>
        <patternFill>
          <bgColor indexed="23"/>
        </patternFill>
      </fill>
    </dxf>
    <dxf>
      <fill>
        <patternFill>
          <bgColor rgb="FFCCFFCC"/>
        </patternFill>
      </fill>
    </dxf>
    <dxf>
      <fill>
        <patternFill patternType="none">
          <bgColor indexed="65"/>
        </patternFill>
      </fill>
    </dxf>
    <dxf>
      <fill>
        <patternFill>
          <bgColor indexed="23"/>
        </patternFill>
      </fill>
    </dxf>
    <dxf>
      <fill>
        <patternFill>
          <bgColor rgb="FFCCFFCC"/>
        </patternFill>
      </fill>
    </dxf>
    <dxf>
      <fill>
        <patternFill patternType="none">
          <bgColor indexed="65"/>
        </patternFill>
      </fill>
    </dxf>
    <dxf>
      <fill>
        <patternFill>
          <bgColor indexed="23"/>
        </patternFill>
      </fill>
    </dxf>
    <dxf>
      <fill>
        <patternFill>
          <bgColor rgb="FFCCFFCC"/>
        </patternFill>
      </fill>
    </dxf>
    <dxf>
      <fill>
        <patternFill patternType="none">
          <bgColor indexed="65"/>
        </patternFill>
      </fill>
    </dxf>
    <dxf>
      <fill>
        <patternFill>
          <bgColor indexed="23"/>
        </patternFill>
      </fill>
    </dxf>
    <dxf>
      <fill>
        <patternFill patternType="none">
          <bgColor indexed="65"/>
        </patternFill>
      </fill>
    </dxf>
    <dxf>
      <fill>
        <patternFill>
          <bgColor indexed="23"/>
        </patternFill>
      </fill>
    </dxf>
    <dxf>
      <fill>
        <patternFill>
          <bgColor rgb="FFCCFFCC"/>
        </patternFill>
      </fill>
    </dxf>
    <dxf>
      <fill>
        <patternFill>
          <bgColor theme="1" tint="0.499984740745262"/>
        </patternFill>
      </fill>
    </dxf>
    <dxf>
      <fill>
        <patternFill>
          <bgColor rgb="FFCCFFCA"/>
        </patternFill>
      </fill>
    </dxf>
    <dxf>
      <fill>
        <patternFill>
          <bgColor indexed="23"/>
        </patternFill>
      </fill>
    </dxf>
    <dxf>
      <fill>
        <patternFill>
          <bgColor rgb="FFFF7C80"/>
        </patternFill>
      </fill>
    </dxf>
    <dxf>
      <fill>
        <patternFill>
          <bgColor rgb="FFFF7C80"/>
        </patternFill>
      </fill>
    </dxf>
    <dxf>
      <fill>
        <patternFill>
          <bgColor indexed="23"/>
        </patternFill>
      </fill>
    </dxf>
    <dxf>
      <fill>
        <patternFill>
          <bgColor theme="0" tint="-0.24994659260841701"/>
        </patternFill>
      </fill>
    </dxf>
    <dxf>
      <fill>
        <patternFill>
          <bgColor indexed="23"/>
        </patternFill>
      </fill>
    </dxf>
    <dxf>
      <fill>
        <patternFill>
          <bgColor theme="0" tint="-0.24994659260841701"/>
        </patternFill>
      </fill>
    </dxf>
    <dxf>
      <fill>
        <patternFill>
          <bgColor indexed="23"/>
        </patternFill>
      </fill>
    </dxf>
    <dxf>
      <fill>
        <patternFill>
          <bgColor theme="0" tint="-0.24994659260841701"/>
        </patternFill>
      </fill>
    </dxf>
    <dxf>
      <fill>
        <patternFill>
          <bgColor indexed="23"/>
        </patternFill>
      </fill>
    </dxf>
    <dxf>
      <fill>
        <patternFill>
          <bgColor theme="0" tint="-0.24994659260841701"/>
        </patternFill>
      </fill>
    </dxf>
    <dxf>
      <fill>
        <patternFill>
          <bgColor indexed="23"/>
        </patternFill>
      </fill>
    </dxf>
    <dxf>
      <fill>
        <patternFill>
          <bgColor theme="0" tint="-0.24994659260841701"/>
        </patternFill>
      </fill>
    </dxf>
    <dxf>
      <fill>
        <patternFill>
          <bgColor indexed="23"/>
        </patternFill>
      </fill>
    </dxf>
    <dxf>
      <fill>
        <patternFill>
          <bgColor indexed="23"/>
        </patternFill>
      </fill>
    </dxf>
    <dxf>
      <fill>
        <patternFill>
          <bgColor theme="0" tint="-0.24994659260841701"/>
        </patternFill>
      </fill>
    </dxf>
    <dxf>
      <fill>
        <patternFill>
          <bgColor indexed="23"/>
        </patternFill>
      </fill>
    </dxf>
    <dxf>
      <fill>
        <patternFill>
          <bgColor theme="0" tint="-0.24994659260841701"/>
        </patternFill>
      </fill>
    </dxf>
    <dxf>
      <fill>
        <patternFill>
          <bgColor indexed="23"/>
        </patternFill>
      </fill>
    </dxf>
    <dxf>
      <fill>
        <patternFill>
          <bgColor theme="0" tint="-0.24994659260841701"/>
        </patternFill>
      </fill>
    </dxf>
    <dxf>
      <fill>
        <patternFill>
          <bgColor indexed="23"/>
        </patternFill>
      </fill>
    </dxf>
    <dxf>
      <fill>
        <patternFill>
          <bgColor theme="0" tint="-0.24994659260841701"/>
        </patternFill>
      </fill>
    </dxf>
    <dxf>
      <fill>
        <patternFill>
          <bgColor indexed="23"/>
        </patternFill>
      </fill>
    </dxf>
    <dxf>
      <fill>
        <patternFill>
          <bgColor theme="0" tint="-0.24994659260841701"/>
        </patternFill>
      </fill>
    </dxf>
    <dxf>
      <fill>
        <patternFill>
          <bgColor indexed="23"/>
        </patternFill>
      </fill>
    </dxf>
    <dxf>
      <fill>
        <patternFill>
          <bgColor indexed="23"/>
        </patternFill>
      </fill>
    </dxf>
    <dxf>
      <fill>
        <patternFill>
          <bgColor theme="0" tint="-0.24994659260841701"/>
        </patternFill>
      </fill>
    </dxf>
    <dxf>
      <fill>
        <patternFill>
          <bgColor indexed="23"/>
        </patternFill>
      </fill>
    </dxf>
    <dxf>
      <fill>
        <patternFill>
          <bgColor theme="0" tint="-0.24994659260841701"/>
        </patternFill>
      </fill>
    </dxf>
    <dxf>
      <fill>
        <patternFill>
          <bgColor indexed="23"/>
        </patternFill>
      </fill>
    </dxf>
    <dxf>
      <fill>
        <patternFill>
          <bgColor theme="0" tint="-0.24994659260841701"/>
        </patternFill>
      </fill>
    </dxf>
    <dxf>
      <fill>
        <patternFill>
          <bgColor indexed="23"/>
        </patternFill>
      </fill>
    </dxf>
    <dxf>
      <fill>
        <patternFill>
          <bgColor theme="0" tint="-0.24994659260841701"/>
        </patternFill>
      </fill>
    </dxf>
    <dxf>
      <fill>
        <patternFill>
          <bgColor indexed="23"/>
        </patternFill>
      </fill>
    </dxf>
    <dxf>
      <fill>
        <patternFill>
          <bgColor theme="0" tint="-0.24994659260841701"/>
        </patternFill>
      </fill>
    </dxf>
    <dxf>
      <fill>
        <patternFill>
          <bgColor indexed="23"/>
        </patternFill>
      </fill>
    </dxf>
    <dxf>
      <fill>
        <patternFill>
          <bgColor indexed="23"/>
        </patternFill>
      </fill>
    </dxf>
    <dxf>
      <fill>
        <patternFill>
          <bgColor theme="0" tint="-0.24994659260841701"/>
        </patternFill>
      </fill>
    </dxf>
    <dxf>
      <fill>
        <patternFill>
          <bgColor indexed="23"/>
        </patternFill>
      </fill>
    </dxf>
    <dxf>
      <fill>
        <patternFill>
          <bgColor theme="0" tint="-0.24994659260841701"/>
        </patternFill>
      </fill>
    </dxf>
    <dxf>
      <fill>
        <patternFill>
          <bgColor indexed="23"/>
        </patternFill>
      </fill>
    </dxf>
    <dxf>
      <fill>
        <patternFill>
          <bgColor theme="0" tint="-0.24994659260841701"/>
        </patternFill>
      </fill>
    </dxf>
    <dxf>
      <fill>
        <patternFill>
          <bgColor indexed="23"/>
        </patternFill>
      </fill>
    </dxf>
    <dxf>
      <fill>
        <patternFill>
          <bgColor theme="0" tint="-0.24994659260841701"/>
        </patternFill>
      </fill>
    </dxf>
    <dxf>
      <fill>
        <patternFill>
          <bgColor indexed="23"/>
        </patternFill>
      </fill>
    </dxf>
    <dxf>
      <fill>
        <patternFill>
          <bgColor theme="0" tint="-0.24994659260841701"/>
        </patternFill>
      </fill>
    </dxf>
    <dxf>
      <fill>
        <patternFill>
          <bgColor indexed="23"/>
        </patternFill>
      </fill>
    </dxf>
    <dxf>
      <fill>
        <patternFill>
          <bgColor indexed="23"/>
        </patternFill>
      </fill>
    </dxf>
    <dxf>
      <fill>
        <patternFill>
          <bgColor theme="0" tint="-0.24994659260841701"/>
        </patternFill>
      </fill>
    </dxf>
    <dxf>
      <fill>
        <patternFill>
          <bgColor indexed="23"/>
        </patternFill>
      </fill>
    </dxf>
    <dxf>
      <fill>
        <patternFill>
          <bgColor theme="0" tint="-0.24994659260841701"/>
        </patternFill>
      </fill>
    </dxf>
    <dxf>
      <fill>
        <patternFill>
          <bgColor indexed="23"/>
        </patternFill>
      </fill>
    </dxf>
    <dxf>
      <fill>
        <patternFill>
          <bgColor theme="0" tint="-0.24994659260841701"/>
        </patternFill>
      </fill>
    </dxf>
    <dxf>
      <fill>
        <patternFill>
          <bgColor indexed="23"/>
        </patternFill>
      </fill>
    </dxf>
    <dxf>
      <fill>
        <patternFill>
          <bgColor theme="0" tint="-0.24994659260841701"/>
        </patternFill>
      </fill>
    </dxf>
    <dxf>
      <fill>
        <patternFill>
          <bgColor indexed="23"/>
        </patternFill>
      </fill>
    </dxf>
    <dxf>
      <fill>
        <patternFill>
          <bgColor theme="0" tint="-0.24994659260841701"/>
        </patternFill>
      </fill>
    </dxf>
    <dxf>
      <fill>
        <patternFill>
          <bgColor indexed="23"/>
        </patternFill>
      </fill>
    </dxf>
    <dxf>
      <fill>
        <patternFill>
          <bgColor indexed="23"/>
        </patternFill>
      </fill>
    </dxf>
    <dxf>
      <fill>
        <patternFill>
          <bgColor theme="0" tint="-0.24994659260841701"/>
        </patternFill>
      </fill>
    </dxf>
    <dxf>
      <fill>
        <patternFill>
          <bgColor indexed="23"/>
        </patternFill>
      </fill>
    </dxf>
    <dxf>
      <fill>
        <patternFill>
          <bgColor theme="0" tint="-0.24994659260841701"/>
        </patternFill>
      </fill>
    </dxf>
    <dxf>
      <fill>
        <patternFill>
          <bgColor indexed="23"/>
        </patternFill>
      </fill>
    </dxf>
    <dxf>
      <fill>
        <patternFill>
          <bgColor theme="0" tint="-0.24994659260841701"/>
        </patternFill>
      </fill>
    </dxf>
    <dxf>
      <fill>
        <patternFill>
          <bgColor indexed="23"/>
        </patternFill>
      </fill>
    </dxf>
    <dxf>
      <fill>
        <patternFill>
          <bgColor theme="0" tint="-0.24994659260841701"/>
        </patternFill>
      </fill>
    </dxf>
    <dxf>
      <fill>
        <patternFill>
          <bgColor indexed="23"/>
        </patternFill>
      </fill>
    </dxf>
    <dxf>
      <fill>
        <patternFill>
          <bgColor theme="0" tint="-0.24994659260841701"/>
        </patternFill>
      </fill>
    </dxf>
    <dxf>
      <fill>
        <patternFill>
          <bgColor theme="1" tint="0.499984740745262"/>
        </patternFill>
      </fill>
    </dxf>
    <dxf>
      <fill>
        <patternFill>
          <bgColor theme="0" tint="-0.24994659260841701"/>
        </patternFill>
      </fill>
    </dxf>
    <dxf>
      <fill>
        <patternFill>
          <bgColor theme="1" tint="0.499984740745262"/>
        </patternFill>
      </fill>
    </dxf>
    <dxf>
      <fill>
        <patternFill>
          <bgColor theme="0" tint="-0.24994659260841701"/>
        </patternFill>
      </fill>
    </dxf>
    <dxf>
      <fill>
        <patternFill>
          <bgColor theme="1" tint="0.499984740745262"/>
        </patternFill>
      </fill>
    </dxf>
    <dxf>
      <fill>
        <patternFill>
          <bgColor theme="0" tint="-0.24994659260841701"/>
        </patternFill>
      </fill>
    </dxf>
    <dxf>
      <fill>
        <patternFill>
          <bgColor theme="1" tint="0.499984740745262"/>
        </patternFill>
      </fill>
    </dxf>
    <dxf>
      <fill>
        <patternFill>
          <bgColor theme="0" tint="-0.24994659260841701"/>
        </patternFill>
      </fill>
    </dxf>
    <dxf>
      <fill>
        <patternFill>
          <bgColor theme="1" tint="0.499984740745262"/>
        </patternFill>
      </fill>
    </dxf>
    <dxf>
      <fill>
        <patternFill>
          <bgColor theme="0" tint="-0.24994659260841701"/>
        </patternFill>
      </fill>
    </dxf>
    <dxf>
      <fill>
        <patternFill>
          <bgColor theme="1" tint="0.499984740745262"/>
        </patternFill>
      </fill>
    </dxf>
    <dxf>
      <fill>
        <patternFill>
          <bgColor theme="0" tint="-0.24994659260841701"/>
        </patternFill>
      </fill>
    </dxf>
    <dxf>
      <fill>
        <patternFill>
          <bgColor indexed="23"/>
        </patternFill>
      </fill>
    </dxf>
    <dxf>
      <fill>
        <patternFill>
          <bgColor theme="0" tint="-0.24994659260841701"/>
        </patternFill>
      </fill>
    </dxf>
    <dxf>
      <fill>
        <patternFill>
          <bgColor indexed="23"/>
        </patternFill>
      </fill>
    </dxf>
    <dxf>
      <fill>
        <patternFill>
          <bgColor theme="0" tint="-0.24994659260841701"/>
        </patternFill>
      </fill>
    </dxf>
    <dxf>
      <fill>
        <patternFill>
          <bgColor indexed="23"/>
        </patternFill>
      </fill>
    </dxf>
    <dxf>
      <fill>
        <patternFill>
          <bgColor theme="0" tint="-0.24994659260841701"/>
        </patternFill>
      </fill>
    </dxf>
    <dxf>
      <fill>
        <patternFill>
          <bgColor indexed="23"/>
        </patternFill>
      </fill>
    </dxf>
    <dxf>
      <fill>
        <patternFill>
          <bgColor theme="0" tint="-0.24994659260841701"/>
        </patternFill>
      </fill>
    </dxf>
    <dxf>
      <fill>
        <patternFill>
          <bgColor indexed="23"/>
        </patternFill>
      </fill>
    </dxf>
    <dxf>
      <fill>
        <patternFill>
          <bgColor theme="0" tint="-0.24994659260841701"/>
        </patternFill>
      </fill>
    </dxf>
    <dxf>
      <fill>
        <patternFill>
          <bgColor indexed="23"/>
        </patternFill>
      </fill>
    </dxf>
    <dxf>
      <fill>
        <patternFill>
          <bgColor theme="0" tint="-0.24994659260841701"/>
        </patternFill>
      </fill>
    </dxf>
    <dxf>
      <fill>
        <patternFill>
          <bgColor indexed="23"/>
        </patternFill>
      </fill>
    </dxf>
    <dxf>
      <fill>
        <patternFill>
          <bgColor theme="0" tint="-0.24994659260841701"/>
        </patternFill>
      </fill>
    </dxf>
    <dxf>
      <fill>
        <patternFill>
          <bgColor indexed="23"/>
        </patternFill>
      </fill>
    </dxf>
    <dxf>
      <fill>
        <patternFill>
          <bgColor theme="0" tint="-0.24994659260841701"/>
        </patternFill>
      </fill>
    </dxf>
    <dxf>
      <fill>
        <patternFill>
          <bgColor indexed="23"/>
        </patternFill>
      </fill>
    </dxf>
    <dxf>
      <fill>
        <patternFill>
          <bgColor theme="0" tint="-0.24994659260841701"/>
        </patternFill>
      </fill>
    </dxf>
    <dxf>
      <fill>
        <patternFill>
          <bgColor indexed="23"/>
        </patternFill>
      </fill>
    </dxf>
    <dxf>
      <fill>
        <patternFill>
          <bgColor theme="0" tint="-0.24994659260841701"/>
        </patternFill>
      </fill>
    </dxf>
    <dxf>
      <fill>
        <patternFill>
          <bgColor indexed="23"/>
        </patternFill>
      </fill>
    </dxf>
    <dxf>
      <fill>
        <patternFill>
          <bgColor theme="0" tint="-0.24994659260841701"/>
        </patternFill>
      </fill>
    </dxf>
    <dxf>
      <fill>
        <patternFill>
          <bgColor indexed="23"/>
        </patternFill>
      </fill>
    </dxf>
    <dxf>
      <fill>
        <patternFill>
          <bgColor theme="0" tint="-0.24994659260841701"/>
        </patternFill>
      </fill>
    </dxf>
    <dxf>
      <fill>
        <patternFill>
          <bgColor indexed="23"/>
        </patternFill>
      </fill>
    </dxf>
    <dxf>
      <fill>
        <patternFill>
          <bgColor theme="0" tint="-0.24994659260841701"/>
        </patternFill>
      </fill>
    </dxf>
    <dxf>
      <fill>
        <patternFill>
          <bgColor indexed="23"/>
        </patternFill>
      </fill>
    </dxf>
    <dxf>
      <fill>
        <patternFill>
          <bgColor theme="0" tint="-0.24994659260841701"/>
        </patternFill>
      </fill>
    </dxf>
    <dxf>
      <fill>
        <patternFill>
          <bgColor indexed="23"/>
        </patternFill>
      </fill>
    </dxf>
    <dxf>
      <fill>
        <patternFill>
          <bgColor theme="0" tint="-0.24994659260841701"/>
        </patternFill>
      </fill>
    </dxf>
    <dxf>
      <fill>
        <patternFill>
          <bgColor indexed="23"/>
        </patternFill>
      </fill>
    </dxf>
    <dxf>
      <fill>
        <patternFill>
          <bgColor theme="0" tint="-0.24994659260841701"/>
        </patternFill>
      </fill>
    </dxf>
    <dxf>
      <fill>
        <patternFill>
          <bgColor indexed="23"/>
        </patternFill>
      </fill>
    </dxf>
    <dxf>
      <fill>
        <patternFill>
          <bgColor theme="0" tint="-0.24994659260841701"/>
        </patternFill>
      </fill>
    </dxf>
    <dxf>
      <fill>
        <patternFill>
          <bgColor indexed="23"/>
        </patternFill>
      </fill>
    </dxf>
    <dxf>
      <fill>
        <patternFill>
          <bgColor theme="0" tint="-0.24994659260841701"/>
        </patternFill>
      </fill>
    </dxf>
    <dxf>
      <fill>
        <patternFill>
          <bgColor indexed="23"/>
        </patternFill>
      </fill>
    </dxf>
    <dxf>
      <fill>
        <patternFill>
          <bgColor theme="0" tint="-0.24994659260841701"/>
        </patternFill>
      </fill>
    </dxf>
    <dxf>
      <fill>
        <patternFill>
          <bgColor indexed="23"/>
        </patternFill>
      </fill>
    </dxf>
    <dxf>
      <fill>
        <patternFill>
          <bgColor theme="0" tint="-0.24994659260841701"/>
        </patternFill>
      </fill>
    </dxf>
    <dxf>
      <fill>
        <patternFill>
          <bgColor indexed="23"/>
        </patternFill>
      </fill>
    </dxf>
    <dxf>
      <fill>
        <patternFill>
          <bgColor theme="0" tint="-0.24994659260841701"/>
        </patternFill>
      </fill>
    </dxf>
    <dxf>
      <fill>
        <patternFill>
          <bgColor indexed="23"/>
        </patternFill>
      </fill>
    </dxf>
    <dxf>
      <fill>
        <patternFill>
          <bgColor theme="0" tint="-0.24994659260841701"/>
        </patternFill>
      </fill>
    </dxf>
    <dxf>
      <fill>
        <patternFill>
          <bgColor indexed="23"/>
        </patternFill>
      </fill>
    </dxf>
    <dxf>
      <fill>
        <patternFill>
          <bgColor theme="0" tint="-0.24994659260841701"/>
        </patternFill>
      </fill>
    </dxf>
    <dxf>
      <fill>
        <patternFill>
          <bgColor indexed="23"/>
        </patternFill>
      </fill>
    </dxf>
    <dxf>
      <fill>
        <patternFill>
          <bgColor rgb="FFFF7C80"/>
        </patternFill>
      </fill>
    </dxf>
    <dxf>
      <fill>
        <patternFill patternType="none">
          <bgColor indexed="65"/>
        </patternFill>
      </fill>
    </dxf>
    <dxf>
      <fill>
        <patternFill>
          <bgColor indexed="23"/>
        </patternFill>
      </fill>
    </dxf>
    <dxf>
      <fill>
        <patternFill>
          <bgColor rgb="FFFF7C80"/>
        </patternFill>
      </fill>
    </dxf>
    <dxf>
      <fill>
        <patternFill patternType="none">
          <bgColor indexed="65"/>
        </patternFill>
      </fill>
    </dxf>
    <dxf>
      <fill>
        <patternFill>
          <bgColor indexed="23"/>
        </patternFill>
      </fill>
    </dxf>
    <dxf>
      <fill>
        <patternFill>
          <bgColor rgb="FFFF7C80"/>
        </patternFill>
      </fill>
    </dxf>
    <dxf>
      <fill>
        <patternFill patternType="none">
          <bgColor indexed="65"/>
        </patternFill>
      </fill>
    </dxf>
    <dxf>
      <fill>
        <patternFill>
          <bgColor indexed="23"/>
        </patternFill>
      </fill>
    </dxf>
    <dxf>
      <fill>
        <patternFill>
          <bgColor indexed="23"/>
        </patternFill>
      </fill>
    </dxf>
    <dxf>
      <fill>
        <patternFill>
          <bgColor indexed="23"/>
        </patternFill>
      </fill>
    </dxf>
    <dxf>
      <fill>
        <patternFill>
          <bgColor indexed="23"/>
        </patternFill>
      </fill>
    </dxf>
    <dxf>
      <fill>
        <patternFill>
          <bgColor indexed="23"/>
        </patternFill>
      </fill>
    </dxf>
    <dxf>
      <fill>
        <patternFill>
          <bgColor indexed="23"/>
        </patternFill>
      </fill>
    </dxf>
    <dxf>
      <fill>
        <patternFill>
          <bgColor theme="0" tint="-0.24994659260841701"/>
        </patternFill>
      </fill>
    </dxf>
    <dxf>
      <fill>
        <patternFill>
          <bgColor theme="1" tint="0.499984740745262"/>
        </patternFill>
      </fill>
    </dxf>
    <dxf>
      <fill>
        <patternFill>
          <bgColor theme="0" tint="-0.24994659260841701"/>
        </patternFill>
      </fill>
    </dxf>
    <dxf>
      <fill>
        <patternFill>
          <bgColor theme="1" tint="0.499984740745262"/>
        </patternFill>
      </fill>
    </dxf>
    <dxf>
      <fill>
        <patternFill>
          <bgColor theme="0" tint="-0.24994659260841701"/>
        </patternFill>
      </fill>
    </dxf>
    <dxf>
      <fill>
        <patternFill>
          <bgColor theme="1" tint="0.499984740745262"/>
        </patternFill>
      </fill>
    </dxf>
    <dxf>
      <fill>
        <patternFill>
          <bgColor theme="0" tint="-0.24994659260841701"/>
        </patternFill>
      </fill>
    </dxf>
    <dxf>
      <fill>
        <patternFill>
          <bgColor theme="1" tint="0.499984740745262"/>
        </patternFill>
      </fill>
    </dxf>
    <dxf>
      <fill>
        <patternFill>
          <bgColor theme="0" tint="-0.24994659260841701"/>
        </patternFill>
      </fill>
    </dxf>
    <dxf>
      <fill>
        <patternFill>
          <bgColor theme="1" tint="0.499984740745262"/>
        </patternFill>
      </fill>
    </dxf>
    <dxf>
      <fill>
        <patternFill>
          <bgColor indexed="23"/>
        </patternFill>
      </fill>
    </dxf>
    <dxf>
      <fill>
        <patternFill>
          <bgColor indexed="23"/>
        </patternFill>
      </fill>
    </dxf>
    <dxf>
      <fill>
        <patternFill>
          <bgColor indexed="23"/>
        </patternFill>
      </fill>
    </dxf>
    <dxf>
      <fill>
        <patternFill>
          <bgColor indexed="23"/>
        </patternFill>
      </fill>
    </dxf>
    <dxf>
      <fill>
        <patternFill>
          <bgColor indexed="23"/>
        </patternFill>
      </fill>
    </dxf>
    <dxf>
      <fill>
        <patternFill>
          <bgColor indexed="23"/>
        </patternFill>
      </fill>
    </dxf>
    <dxf>
      <fill>
        <patternFill>
          <bgColor theme="0" tint="-0.24994659260841701"/>
        </patternFill>
      </fill>
    </dxf>
    <dxf>
      <fill>
        <patternFill>
          <bgColor indexed="23"/>
        </patternFill>
      </fill>
    </dxf>
    <dxf>
      <fill>
        <patternFill>
          <bgColor indexed="23"/>
        </patternFill>
      </fill>
    </dxf>
    <dxf>
      <fill>
        <patternFill>
          <bgColor indexed="23"/>
        </patternFill>
      </fill>
    </dxf>
    <dxf>
      <fill>
        <patternFill>
          <bgColor indexed="42"/>
        </patternFill>
      </fill>
    </dxf>
    <dxf>
      <fill>
        <patternFill>
          <bgColor rgb="FFFFFF99"/>
        </patternFill>
      </fill>
    </dxf>
    <dxf>
      <fill>
        <patternFill>
          <bgColor theme="0"/>
        </patternFill>
      </fill>
    </dxf>
    <dxf>
      <fill>
        <patternFill>
          <bgColor theme="0" tint="-0.24994659260841701"/>
        </patternFill>
      </fill>
    </dxf>
    <dxf>
      <fill>
        <patternFill>
          <bgColor theme="1" tint="0.499984740745262"/>
        </patternFill>
      </fill>
    </dxf>
    <dxf>
      <fill>
        <patternFill>
          <bgColor indexed="23"/>
        </patternFill>
      </fill>
    </dxf>
    <dxf>
      <fill>
        <patternFill>
          <bgColor rgb="FFFF7C80"/>
        </patternFill>
      </fill>
      <border>
        <left style="thin">
          <color indexed="64"/>
        </left>
        <right style="thin">
          <color indexed="64"/>
        </right>
        <top style="thin">
          <color indexed="64"/>
        </top>
        <bottom style="thin">
          <color indexed="64"/>
        </bottom>
      </border>
    </dxf>
    <dxf>
      <fill>
        <patternFill>
          <bgColor rgb="FFCCFFCC"/>
        </patternFill>
      </fill>
      <border>
        <left style="thin">
          <color indexed="64"/>
        </left>
        <right style="thin">
          <color indexed="64"/>
        </right>
        <top style="thin">
          <color indexed="64"/>
        </top>
        <bottom style="thin">
          <color indexed="64"/>
        </bottom>
      </border>
    </dxf>
    <dxf>
      <fill>
        <patternFill>
          <bgColor rgb="FFFFFF99"/>
        </patternFill>
      </fill>
      <border>
        <left style="thin">
          <color indexed="64"/>
        </left>
        <right style="thin">
          <color indexed="64"/>
        </right>
        <top style="thin">
          <color indexed="64"/>
        </top>
        <bottom style="thin">
          <color indexed="64"/>
        </bottom>
      </border>
    </dxf>
    <dxf>
      <fill>
        <patternFill>
          <bgColor rgb="FFCCFFCC"/>
        </patternFill>
      </fill>
      <border>
        <left style="thin">
          <color indexed="64"/>
        </left>
        <right style="thin">
          <color indexed="64"/>
        </right>
        <top style="thin">
          <color indexed="64"/>
        </top>
        <bottom style="thin">
          <color indexed="64"/>
        </bottom>
      </border>
    </dxf>
    <dxf>
      <fill>
        <patternFill>
          <bgColor rgb="FFFF7C80"/>
        </patternFill>
      </fill>
      <border>
        <left style="thin">
          <color indexed="64"/>
        </left>
        <right style="thin">
          <color indexed="64"/>
        </right>
        <top style="thin">
          <color indexed="64"/>
        </top>
        <bottom style="thin">
          <color indexed="64"/>
        </bottom>
      </border>
    </dxf>
    <dxf>
      <fill>
        <patternFill>
          <bgColor rgb="FFCCFFCC"/>
        </patternFill>
      </fill>
      <border>
        <left style="thin">
          <color indexed="64"/>
        </left>
        <right style="thin">
          <color indexed="64"/>
        </right>
        <top style="thin">
          <color indexed="64"/>
        </top>
        <bottom style="thin">
          <color indexed="64"/>
        </bottom>
      </border>
    </dxf>
    <dxf>
      <fill>
        <patternFill>
          <bgColor rgb="FFFFFF99"/>
        </patternFill>
      </fill>
      <border>
        <left style="thin">
          <color indexed="64"/>
        </left>
        <right style="thin">
          <color indexed="64"/>
        </right>
        <top style="thin">
          <color indexed="64"/>
        </top>
        <bottom style="thin">
          <color indexed="64"/>
        </bottom>
      </border>
    </dxf>
    <dxf>
      <fill>
        <patternFill>
          <bgColor rgb="FFFF7C80"/>
        </patternFill>
      </fill>
      <border>
        <left style="thin">
          <color indexed="64"/>
        </left>
        <right style="thin">
          <color indexed="64"/>
        </right>
        <top style="thin">
          <color indexed="64"/>
        </top>
        <bottom style="thin">
          <color indexed="64"/>
        </bottom>
      </border>
    </dxf>
    <dxf>
      <fill>
        <patternFill>
          <bgColor rgb="FFCCFFCC"/>
        </patternFill>
      </fill>
      <border>
        <left style="thin">
          <color indexed="64"/>
        </left>
        <right style="thin">
          <color indexed="64"/>
        </right>
        <top style="thin">
          <color indexed="64"/>
        </top>
        <bottom style="thin">
          <color indexed="64"/>
        </bottom>
      </border>
    </dxf>
    <dxf>
      <fill>
        <patternFill>
          <bgColor rgb="FFFFFF99"/>
        </patternFill>
      </fill>
      <border>
        <left style="thin">
          <color indexed="64"/>
        </left>
        <right style="thin">
          <color indexed="64"/>
        </right>
        <top style="thin">
          <color indexed="64"/>
        </top>
        <bottom style="thin">
          <color indexed="64"/>
        </bottom>
      </border>
    </dxf>
    <dxf>
      <fill>
        <patternFill>
          <bgColor rgb="FFFF7C80"/>
        </patternFill>
      </fill>
      <border>
        <left style="thin">
          <color indexed="64"/>
        </left>
        <right style="thin">
          <color indexed="64"/>
        </right>
        <top style="thin">
          <color indexed="64"/>
        </top>
        <bottom style="thin">
          <color indexed="64"/>
        </bottom>
      </border>
    </dxf>
    <dxf>
      <fill>
        <patternFill>
          <bgColor rgb="FFCCFFCC"/>
        </patternFill>
      </fill>
      <border>
        <left style="thin">
          <color indexed="64"/>
        </left>
        <right style="thin">
          <color indexed="64"/>
        </right>
        <top style="thin">
          <color indexed="64"/>
        </top>
        <bottom style="thin">
          <color indexed="64"/>
        </bottom>
      </border>
    </dxf>
    <dxf>
      <fill>
        <patternFill>
          <bgColor rgb="FFCCFFCC"/>
        </patternFill>
      </fill>
      <border>
        <left style="thin">
          <color indexed="64"/>
        </left>
        <right style="thin">
          <color indexed="64"/>
        </right>
        <top style="thin">
          <color indexed="64"/>
        </top>
        <bottom style="thin">
          <color indexed="64"/>
        </bottom>
      </border>
    </dxf>
    <dxf>
      <fill>
        <patternFill>
          <bgColor rgb="FFFFFF99"/>
        </patternFill>
      </fill>
      <border>
        <left style="thin">
          <color indexed="64"/>
        </left>
        <right style="thin">
          <color indexed="64"/>
        </right>
        <top style="thin">
          <color indexed="64"/>
        </top>
        <bottom style="thin">
          <color indexed="64"/>
        </bottom>
      </border>
    </dxf>
    <dxf>
      <fill>
        <patternFill>
          <bgColor rgb="FFCCFFCC"/>
        </patternFill>
      </fill>
      <border>
        <left style="thin">
          <color auto="1"/>
        </left>
        <right style="thin">
          <color auto="1"/>
        </right>
        <top style="thin">
          <color auto="1"/>
        </top>
        <bottom style="thin">
          <color auto="1"/>
        </bottom>
        <vertical/>
        <horizontal/>
      </border>
    </dxf>
    <dxf>
      <fill>
        <patternFill>
          <bgColor rgb="FFCCFFCC"/>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rgb="FFFF7C80"/>
        </patternFill>
      </fill>
      <border>
        <left style="thin">
          <color indexed="64"/>
        </left>
        <right style="thin">
          <color indexed="64"/>
        </right>
        <top style="thin">
          <color indexed="64"/>
        </top>
        <bottom style="thin">
          <color indexed="64"/>
        </bottom>
      </border>
    </dxf>
    <dxf>
      <fill>
        <patternFill>
          <bgColor rgb="FFCCFFCC"/>
        </patternFill>
      </fill>
      <border>
        <left style="thin">
          <color indexed="64"/>
        </left>
        <right style="thin">
          <color indexed="64"/>
        </right>
        <top style="thin">
          <color indexed="64"/>
        </top>
        <bottom style="thin">
          <color indexed="64"/>
        </bottom>
      </border>
    </dxf>
    <dxf>
      <fill>
        <patternFill>
          <bgColor rgb="FFFFFF99"/>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rgb="FFFF7C80"/>
        </patternFill>
      </fill>
      <border>
        <left style="thin">
          <color indexed="64"/>
        </left>
        <right style="thin">
          <color indexed="64"/>
        </right>
        <top style="thin">
          <color indexed="64"/>
        </top>
        <bottom style="thin">
          <color indexed="64"/>
        </bottom>
      </border>
    </dxf>
    <dxf>
      <fill>
        <patternFill>
          <bgColor rgb="FFCCFFCC"/>
        </patternFill>
      </fill>
      <border>
        <left style="thin">
          <color indexed="64"/>
        </left>
        <right style="thin">
          <color indexed="64"/>
        </right>
        <top style="thin">
          <color indexed="64"/>
        </top>
        <bottom style="thin">
          <color indexed="64"/>
        </bottom>
      </border>
    </dxf>
    <dxf>
      <fill>
        <patternFill>
          <bgColor rgb="FFFFFF99"/>
        </patternFill>
      </fill>
      <border>
        <left style="thin">
          <color indexed="64"/>
        </left>
        <right style="thin">
          <color indexed="64"/>
        </right>
        <top style="thin">
          <color indexed="64"/>
        </top>
        <bottom style="thin">
          <color indexed="64"/>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style="thin">
          <color indexed="64"/>
        </left>
        <right style="thin">
          <color indexed="64"/>
        </right>
        <top style="thin">
          <color indexed="64"/>
        </top>
        <bottom style="thin">
          <color indexed="64"/>
        </bottom>
      </border>
    </dxf>
    <dxf>
      <fill>
        <patternFill>
          <bgColor rgb="FFCCFFCC"/>
        </patternFill>
      </fill>
    </dxf>
    <dxf>
      <fill>
        <patternFill>
          <bgColor rgb="FFFFFF99"/>
        </patternFill>
      </fill>
    </dxf>
    <dxf>
      <fill>
        <patternFill>
          <bgColor rgb="FFFF776D"/>
        </patternFill>
      </fill>
    </dxf>
    <dxf>
      <fill>
        <patternFill>
          <bgColor rgb="FFFF776D"/>
        </patternFill>
      </fill>
    </dxf>
    <dxf>
      <fill>
        <patternFill>
          <bgColor rgb="FFC1C1C1"/>
        </patternFill>
      </fill>
    </dxf>
    <dxf>
      <fill>
        <patternFill>
          <bgColor theme="4" tint="0.79998168889431442"/>
        </patternFill>
      </fill>
    </dxf>
    <dxf>
      <fill>
        <patternFill>
          <bgColor rgb="FFFF7C80"/>
        </patternFill>
      </fill>
    </dxf>
    <dxf>
      <fill>
        <patternFill>
          <bgColor rgb="FFFF7C80"/>
        </patternFill>
      </fill>
    </dxf>
    <dxf>
      <fill>
        <patternFill>
          <bgColor rgb="FF99FF66"/>
        </patternFill>
      </fill>
    </dxf>
    <dxf>
      <fill>
        <patternFill>
          <bgColor rgb="FFCCFFCC"/>
        </patternFill>
      </fill>
    </dxf>
    <dxf>
      <fill>
        <patternFill>
          <bgColor rgb="FFFFFF99"/>
        </patternFill>
      </fill>
    </dxf>
    <dxf>
      <fill>
        <patternFill>
          <bgColor rgb="FFFF7C80"/>
        </patternFill>
      </fill>
    </dxf>
    <dxf>
      <fill>
        <patternFill>
          <bgColor rgb="FF99FF66"/>
        </patternFill>
      </fill>
    </dxf>
    <dxf>
      <fill>
        <patternFill>
          <bgColor rgb="FFCCFFCC"/>
        </patternFill>
      </fill>
    </dxf>
    <dxf>
      <fill>
        <patternFill>
          <bgColor rgb="FFFFFF99"/>
        </patternFill>
      </fill>
    </dxf>
    <dxf>
      <fill>
        <patternFill>
          <bgColor rgb="FFFF7C80"/>
        </patternFill>
      </fill>
    </dxf>
    <dxf>
      <fill>
        <patternFill>
          <bgColor rgb="FF99FF66"/>
        </patternFill>
      </fill>
    </dxf>
    <dxf>
      <fill>
        <patternFill>
          <bgColor rgb="FFCCFFCC"/>
        </patternFill>
      </fill>
    </dxf>
    <dxf>
      <fill>
        <patternFill>
          <bgColor rgb="FFFFFF99"/>
        </patternFill>
      </fill>
    </dxf>
    <dxf>
      <fill>
        <patternFill>
          <bgColor rgb="FFFF7C80"/>
        </patternFill>
      </fill>
    </dxf>
    <dxf>
      <fill>
        <patternFill>
          <bgColor rgb="FF99FF66"/>
        </patternFill>
      </fill>
    </dxf>
    <dxf>
      <fill>
        <patternFill>
          <bgColor rgb="FFCCFFCC"/>
        </patternFill>
      </fill>
    </dxf>
    <dxf>
      <fill>
        <patternFill>
          <bgColor rgb="FFFFFF99"/>
        </patternFill>
      </fill>
    </dxf>
    <dxf>
      <fill>
        <patternFill>
          <bgColor rgb="FFFF7C80"/>
        </patternFill>
      </fill>
    </dxf>
    <dxf>
      <fill>
        <patternFill>
          <bgColor rgb="FF99FF66"/>
        </patternFill>
      </fill>
    </dxf>
    <dxf>
      <fill>
        <patternFill>
          <bgColor rgb="FFCCFFCC"/>
        </patternFill>
      </fill>
    </dxf>
    <dxf>
      <fill>
        <patternFill>
          <bgColor rgb="FFFFFF99"/>
        </patternFill>
      </fill>
    </dxf>
    <dxf>
      <fill>
        <patternFill>
          <bgColor rgb="FFFF7C80"/>
        </patternFill>
      </fill>
    </dxf>
    <dxf>
      <fill>
        <patternFill>
          <bgColor rgb="FFCCFFCC"/>
        </patternFill>
      </fill>
    </dxf>
    <dxf>
      <fill>
        <patternFill>
          <bgColor rgb="FF99FF66"/>
        </patternFill>
      </fill>
    </dxf>
    <dxf>
      <fill>
        <patternFill>
          <bgColor rgb="FFCCFFCC"/>
        </patternFill>
      </fill>
    </dxf>
    <dxf>
      <fill>
        <patternFill>
          <bgColor rgb="FFFFFF99"/>
        </patternFill>
      </fill>
    </dxf>
    <dxf>
      <fill>
        <patternFill>
          <bgColor rgb="FFFF7C80"/>
        </patternFill>
      </fill>
    </dxf>
    <dxf>
      <fill>
        <patternFill>
          <bgColor rgb="FFC1C1C1"/>
        </patternFill>
      </fill>
    </dxf>
    <dxf>
      <fill>
        <patternFill>
          <bgColor theme="4" tint="0.79998168889431442"/>
        </patternFill>
      </fill>
    </dxf>
    <dxf>
      <fill>
        <patternFill>
          <bgColor rgb="FFC1C1C1"/>
        </patternFill>
      </fill>
    </dxf>
    <dxf>
      <fill>
        <patternFill>
          <bgColor theme="4" tint="0.79998168889431442"/>
        </patternFill>
      </fill>
    </dxf>
    <dxf>
      <fill>
        <patternFill>
          <bgColor rgb="FF99FF66"/>
        </patternFill>
      </fill>
    </dxf>
    <dxf>
      <fill>
        <patternFill>
          <bgColor rgb="FFCCFFCC"/>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99FF66"/>
        </patternFill>
      </fill>
    </dxf>
    <dxf>
      <fill>
        <patternFill>
          <bgColor rgb="FFCCFFCC"/>
        </patternFill>
      </fill>
    </dxf>
    <dxf>
      <fill>
        <patternFill>
          <bgColor rgb="FFFFFF99"/>
        </patternFill>
      </fill>
    </dxf>
    <dxf>
      <fill>
        <patternFill>
          <bgColor rgb="FFFF7C80"/>
        </patternFill>
      </fill>
    </dxf>
    <dxf>
      <fill>
        <patternFill>
          <bgColor rgb="FF99FF66"/>
        </patternFill>
      </fill>
    </dxf>
    <dxf>
      <fill>
        <patternFill>
          <bgColor rgb="FFCCFFCC"/>
        </patternFill>
      </fill>
    </dxf>
    <dxf>
      <fill>
        <patternFill>
          <bgColor rgb="FFFFFF99"/>
        </patternFill>
      </fill>
    </dxf>
    <dxf>
      <fill>
        <patternFill>
          <bgColor rgb="FFFF7C80"/>
        </patternFill>
      </fill>
    </dxf>
    <dxf>
      <fill>
        <patternFill>
          <bgColor rgb="FF99FF66"/>
        </patternFill>
      </fill>
    </dxf>
    <dxf>
      <fill>
        <patternFill>
          <bgColor rgb="FFCCFFCC"/>
        </patternFill>
      </fill>
    </dxf>
    <dxf>
      <fill>
        <patternFill>
          <bgColor rgb="FFFFFF99"/>
        </patternFill>
      </fill>
    </dxf>
    <dxf>
      <fill>
        <patternFill>
          <bgColor rgb="FFFF7C80"/>
        </patternFill>
      </fill>
    </dxf>
    <dxf>
      <fill>
        <patternFill>
          <bgColor rgb="FF99FF66"/>
        </patternFill>
      </fill>
    </dxf>
    <dxf>
      <fill>
        <patternFill>
          <bgColor rgb="FFCCFFCC"/>
        </patternFill>
      </fill>
    </dxf>
    <dxf>
      <fill>
        <patternFill>
          <bgColor rgb="FFFFFF99"/>
        </patternFill>
      </fill>
    </dxf>
    <dxf>
      <fill>
        <patternFill>
          <bgColor rgb="FFFF7C80"/>
        </patternFill>
      </fill>
    </dxf>
    <dxf>
      <fill>
        <patternFill>
          <bgColor rgb="FF99FF66"/>
        </patternFill>
      </fill>
    </dxf>
    <dxf>
      <fill>
        <patternFill>
          <bgColor rgb="FFCCFFCC"/>
        </patternFill>
      </fill>
    </dxf>
    <dxf>
      <fill>
        <patternFill>
          <bgColor rgb="FFFFFF99"/>
        </patternFill>
      </fill>
    </dxf>
    <dxf>
      <fill>
        <patternFill>
          <bgColor rgb="FFFF7C80"/>
        </patternFill>
      </fill>
    </dxf>
    <dxf>
      <fill>
        <patternFill>
          <bgColor rgb="FF99FF66"/>
        </patternFill>
      </fill>
    </dxf>
    <dxf>
      <fill>
        <patternFill>
          <bgColor rgb="FFCCFFCC"/>
        </patternFill>
      </fill>
    </dxf>
    <dxf>
      <fill>
        <patternFill>
          <bgColor rgb="FFFFFF99"/>
        </patternFill>
      </fill>
    </dxf>
    <dxf>
      <fill>
        <patternFill>
          <bgColor rgb="FFFF7C80"/>
        </patternFill>
      </fill>
    </dxf>
    <dxf>
      <fill>
        <patternFill>
          <bgColor rgb="FF99FF66"/>
        </patternFill>
      </fill>
    </dxf>
    <dxf>
      <fill>
        <patternFill>
          <bgColor rgb="FFCCFFCC"/>
        </patternFill>
      </fill>
    </dxf>
    <dxf>
      <fill>
        <patternFill>
          <bgColor rgb="FFFFFF99"/>
        </patternFill>
      </fill>
    </dxf>
    <dxf>
      <fill>
        <patternFill>
          <bgColor rgb="FFFF7C80"/>
        </patternFill>
      </fill>
    </dxf>
    <dxf>
      <fill>
        <patternFill>
          <bgColor rgb="FF99FF66"/>
        </patternFill>
      </fill>
    </dxf>
    <dxf>
      <fill>
        <patternFill>
          <bgColor rgb="FFCCFFCC"/>
        </patternFill>
      </fill>
    </dxf>
    <dxf>
      <fill>
        <patternFill>
          <bgColor rgb="FFFF7C80"/>
        </patternFill>
      </fill>
    </dxf>
    <dxf>
      <fill>
        <patternFill>
          <bgColor rgb="FFFFFF99"/>
        </patternFill>
      </fill>
    </dxf>
    <dxf>
      <fill>
        <patternFill>
          <bgColor rgb="FF99FF66"/>
        </patternFill>
      </fill>
    </dxf>
    <dxf>
      <fill>
        <patternFill>
          <bgColor rgb="FFCCFFCC"/>
        </patternFill>
      </fill>
    </dxf>
    <dxf>
      <fill>
        <patternFill>
          <bgColor rgb="FFFF7C80"/>
        </patternFill>
      </fill>
    </dxf>
    <dxf>
      <fill>
        <patternFill>
          <bgColor rgb="FFFFFF99"/>
        </patternFill>
      </fill>
    </dxf>
    <dxf>
      <fill>
        <patternFill>
          <bgColor rgb="FF99FF66"/>
        </patternFill>
      </fill>
    </dxf>
    <dxf>
      <fill>
        <patternFill>
          <bgColor rgb="FFCCFFCC"/>
        </patternFill>
      </fill>
    </dxf>
    <dxf>
      <fill>
        <patternFill>
          <bgColor rgb="FFFFFF99"/>
        </patternFill>
      </fill>
    </dxf>
    <dxf>
      <fill>
        <patternFill>
          <bgColor rgb="FFFF7C80"/>
        </patternFill>
      </fill>
    </dxf>
    <dxf>
      <fill>
        <patternFill>
          <bgColor rgb="FF99FF66"/>
        </patternFill>
      </fill>
    </dxf>
    <dxf>
      <fill>
        <patternFill>
          <bgColor rgb="FFCCFFCC"/>
        </patternFill>
      </fill>
    </dxf>
    <dxf>
      <fill>
        <patternFill>
          <bgColor rgb="FFFFFF99"/>
        </patternFill>
      </fill>
    </dxf>
    <dxf>
      <fill>
        <patternFill>
          <bgColor rgb="FFFF7C80"/>
        </patternFill>
      </fill>
    </dxf>
    <dxf>
      <fill>
        <patternFill>
          <bgColor rgb="FF99FF66"/>
        </patternFill>
      </fill>
    </dxf>
    <dxf>
      <fill>
        <patternFill>
          <bgColor rgb="FFCCFFCC"/>
        </patternFill>
      </fill>
    </dxf>
    <dxf>
      <fill>
        <patternFill>
          <bgColor rgb="FFFFFF99"/>
        </patternFill>
      </fill>
    </dxf>
    <dxf>
      <fill>
        <patternFill>
          <bgColor rgb="FFFF7C80"/>
        </patternFill>
      </fill>
    </dxf>
    <dxf>
      <fill>
        <patternFill>
          <bgColor rgb="FF99FF66"/>
        </patternFill>
      </fill>
    </dxf>
    <dxf>
      <fill>
        <patternFill>
          <bgColor rgb="FFCCFFCC"/>
        </patternFill>
      </fill>
    </dxf>
    <dxf>
      <fill>
        <patternFill>
          <bgColor rgb="FFFFFF99"/>
        </patternFill>
      </fill>
    </dxf>
    <dxf>
      <fill>
        <patternFill>
          <bgColor rgb="FFFF7C80"/>
        </patternFill>
      </fill>
    </dxf>
    <dxf>
      <fill>
        <patternFill>
          <bgColor rgb="FF99FF66"/>
        </patternFill>
      </fill>
    </dxf>
    <dxf>
      <fill>
        <patternFill>
          <bgColor rgb="FFCCFFCC"/>
        </patternFill>
      </fill>
    </dxf>
    <dxf>
      <fill>
        <patternFill>
          <bgColor rgb="FFFFFF99"/>
        </patternFill>
      </fill>
    </dxf>
    <dxf>
      <fill>
        <patternFill>
          <bgColor rgb="FFFF7C80"/>
        </patternFill>
      </fill>
    </dxf>
    <dxf>
      <fill>
        <patternFill>
          <bgColor rgb="FF99FF66"/>
        </patternFill>
      </fill>
    </dxf>
    <dxf>
      <fill>
        <patternFill>
          <bgColor rgb="FFCCFFCC"/>
        </patternFill>
      </fill>
    </dxf>
    <dxf>
      <fill>
        <patternFill>
          <bgColor rgb="FFFFFF99"/>
        </patternFill>
      </fill>
    </dxf>
    <dxf>
      <fill>
        <patternFill>
          <bgColor rgb="FFFF7C80"/>
        </patternFill>
      </fill>
    </dxf>
    <dxf>
      <fill>
        <patternFill>
          <bgColor rgb="FF99FF66"/>
        </patternFill>
      </fill>
    </dxf>
    <dxf>
      <fill>
        <patternFill>
          <bgColor rgb="FFCCFFCC"/>
        </patternFill>
      </fill>
    </dxf>
    <dxf>
      <fill>
        <patternFill>
          <bgColor rgb="FFFFFF99"/>
        </patternFill>
      </fill>
    </dxf>
    <dxf>
      <fill>
        <patternFill>
          <bgColor rgb="FFFF7C80"/>
        </patternFill>
      </fill>
    </dxf>
    <dxf>
      <fill>
        <patternFill>
          <bgColor rgb="FF99FF66"/>
        </patternFill>
      </fill>
    </dxf>
    <dxf>
      <fill>
        <patternFill>
          <bgColor rgb="FFCCFFCC"/>
        </patternFill>
      </fill>
    </dxf>
    <dxf>
      <fill>
        <patternFill>
          <bgColor rgb="FFFF7C80"/>
        </patternFill>
      </fill>
    </dxf>
    <dxf>
      <fill>
        <patternFill>
          <bgColor rgb="FFFFFF99"/>
        </patternFill>
      </fill>
    </dxf>
    <dxf>
      <fill>
        <patternFill>
          <bgColor rgb="FF99FF66"/>
        </patternFill>
      </fill>
    </dxf>
    <dxf>
      <fill>
        <patternFill>
          <bgColor rgb="FFCCFFCC"/>
        </patternFill>
      </fill>
    </dxf>
    <dxf>
      <fill>
        <patternFill>
          <bgColor rgb="FFFF7C80"/>
        </patternFill>
      </fill>
    </dxf>
    <dxf>
      <fill>
        <patternFill>
          <bgColor rgb="FFFFFF99"/>
        </patternFill>
      </fill>
    </dxf>
    <dxf>
      <fill>
        <patternFill>
          <bgColor rgb="FFC0C0C0"/>
        </patternFill>
      </fill>
    </dxf>
    <dxf>
      <font>
        <b val="0"/>
        <i val="0"/>
        <strike val="0"/>
        <condense val="0"/>
        <extend val="0"/>
        <outline val="0"/>
        <shadow val="0"/>
        <u val="none"/>
        <vertAlign val="baseline"/>
        <sz val="8"/>
        <color theme="1"/>
        <name val="Arial"/>
        <scheme val="none"/>
      </font>
      <alignment horizontal="left" vertical="bottom" textRotation="0" wrapText="0" indent="0" justifyLastLine="0" shrinkToFit="0" readingOrder="0"/>
      <border diagonalUp="0" diagonalDown="0">
        <left style="thin">
          <color indexed="64"/>
        </left>
        <right/>
        <top style="thin">
          <color indexed="64"/>
        </top>
        <bottom style="thin">
          <color indexed="64"/>
        </bottom>
      </border>
    </dxf>
    <dxf>
      <font>
        <b val="0"/>
        <i val="0"/>
        <strike val="0"/>
        <condense val="0"/>
        <extend val="0"/>
        <outline val="0"/>
        <shadow val="0"/>
        <u val="none"/>
        <vertAlign val="baseline"/>
        <sz val="8"/>
        <color theme="1"/>
        <name val="Arial"/>
        <scheme val="none"/>
      </font>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Arial"/>
        <scheme val="none"/>
      </font>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Arial"/>
        <scheme val="none"/>
      </font>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Arial"/>
        <scheme val="none"/>
      </font>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Arial"/>
        <scheme val="none"/>
      </font>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Arial"/>
        <scheme val="none"/>
      </font>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Arial"/>
        <scheme val="none"/>
      </font>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Arial"/>
        <scheme val="none"/>
      </font>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Arial"/>
        <scheme val="none"/>
      </font>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Arial"/>
        <scheme val="none"/>
      </font>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Arial"/>
        <scheme val="none"/>
      </font>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Arial"/>
        <scheme val="none"/>
      </font>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Arial"/>
        <scheme val="none"/>
      </font>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Arial"/>
        <scheme val="none"/>
      </font>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Arial"/>
        <scheme val="none"/>
      </font>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Arial"/>
        <scheme val="none"/>
      </font>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Arial"/>
        <scheme val="none"/>
      </font>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scheme val="none"/>
      </font>
      <alignment horizontal="left" vertical="bottom" textRotation="0" wrapText="0" indent="0" justifyLastLine="0" shrinkToFit="0" readingOrder="0"/>
      <border diagonalUp="0" diagonalDown="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Arial"/>
        <scheme val="none"/>
      </font>
      <alignment horizontal="lef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8"/>
        <color auto="1"/>
        <name val="Arial"/>
        <scheme val="none"/>
      </font>
      <alignment horizontal="left" vertical="bottom" textRotation="0" wrapText="0" indent="0" justifyLastLine="0" shrinkToFit="0" readingOrder="0"/>
      <border diagonalUp="0" diagonalDown="0" outline="0">
        <left style="thin">
          <color indexed="64"/>
        </left>
        <right style="thin">
          <color indexed="64"/>
        </right>
        <top/>
        <bottom/>
      </border>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99FF66"/>
      <rgbColor rgb="000000FF"/>
      <rgbColor rgb="00FFFF00"/>
      <rgbColor rgb="00FF7C80"/>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DCE6F1"/>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808080"/>
    </indexedColors>
    <mruColors>
      <color rgb="FFFF7C80"/>
      <color rgb="FFCCFFCC"/>
      <color rgb="FF99FF66"/>
      <color rgb="FFDCE6F1"/>
      <color rgb="FFBFBF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8.png"/><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7</xdr:col>
      <xdr:colOff>828675</xdr:colOff>
      <xdr:row>1</xdr:row>
      <xdr:rowOff>0</xdr:rowOff>
    </xdr:from>
    <xdr:to>
      <xdr:col>10</xdr:col>
      <xdr:colOff>0</xdr:colOff>
      <xdr:row>3</xdr:row>
      <xdr:rowOff>171450</xdr:rowOff>
    </xdr:to>
    <xdr:pic>
      <xdr:nvPicPr>
        <xdr:cNvPr id="111641" name="Grafik 1">
          <a:extLst>
            <a:ext uri="{FF2B5EF4-FFF2-40B4-BE49-F238E27FC236}">
              <a16:creationId xmlns:a16="http://schemas.microsoft.com/office/drawing/2014/main" id="{00000000-0008-0000-0000-000019B401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00650" y="123825"/>
          <a:ext cx="1295400"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457200</xdr:colOff>
      <xdr:row>13</xdr:row>
      <xdr:rowOff>9525</xdr:rowOff>
    </xdr:from>
    <xdr:to>
      <xdr:col>10</xdr:col>
      <xdr:colOff>0</xdr:colOff>
      <xdr:row>13</xdr:row>
      <xdr:rowOff>114300</xdr:rowOff>
    </xdr:to>
    <xdr:pic>
      <xdr:nvPicPr>
        <xdr:cNvPr id="111642" name="Grafik 15">
          <a:extLst>
            <a:ext uri="{FF2B5EF4-FFF2-40B4-BE49-F238E27FC236}">
              <a16:creationId xmlns:a16="http://schemas.microsoft.com/office/drawing/2014/main" id="{00000000-0008-0000-0000-00001AB4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91275" y="20097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476250</xdr:colOff>
      <xdr:row>5</xdr:row>
      <xdr:rowOff>9525</xdr:rowOff>
    </xdr:from>
    <xdr:to>
      <xdr:col>5</xdr:col>
      <xdr:colOff>0</xdr:colOff>
      <xdr:row>5</xdr:row>
      <xdr:rowOff>114300</xdr:rowOff>
    </xdr:to>
    <xdr:pic>
      <xdr:nvPicPr>
        <xdr:cNvPr id="111643" name="Grafik 15">
          <a:extLst>
            <a:ext uri="{FF2B5EF4-FFF2-40B4-BE49-F238E27FC236}">
              <a16:creationId xmlns:a16="http://schemas.microsoft.com/office/drawing/2014/main" id="{00000000-0008-0000-0000-00001BB4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28950" y="9048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666750</xdr:colOff>
      <xdr:row>26</xdr:row>
      <xdr:rowOff>9525</xdr:rowOff>
    </xdr:from>
    <xdr:to>
      <xdr:col>3</xdr:col>
      <xdr:colOff>0</xdr:colOff>
      <xdr:row>26</xdr:row>
      <xdr:rowOff>114300</xdr:rowOff>
    </xdr:to>
    <xdr:pic>
      <xdr:nvPicPr>
        <xdr:cNvPr id="111645" name="Grafik 15">
          <a:extLst>
            <a:ext uri="{FF2B5EF4-FFF2-40B4-BE49-F238E27FC236}">
              <a16:creationId xmlns:a16="http://schemas.microsoft.com/office/drawing/2014/main" id="{00000000-0008-0000-0000-00001DB4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66900" y="39719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447675</xdr:colOff>
      <xdr:row>36</xdr:row>
      <xdr:rowOff>9525</xdr:rowOff>
    </xdr:from>
    <xdr:to>
      <xdr:col>9</xdr:col>
      <xdr:colOff>552450</xdr:colOff>
      <xdr:row>36</xdr:row>
      <xdr:rowOff>114300</xdr:rowOff>
    </xdr:to>
    <xdr:pic>
      <xdr:nvPicPr>
        <xdr:cNvPr id="111646" name="Grafik 15">
          <a:extLst>
            <a:ext uri="{FF2B5EF4-FFF2-40B4-BE49-F238E27FC236}">
              <a16:creationId xmlns:a16="http://schemas.microsoft.com/office/drawing/2014/main" id="{00000000-0008-0000-0000-00001EB4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81750" y="73818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447675</xdr:colOff>
      <xdr:row>39</xdr:row>
      <xdr:rowOff>9525</xdr:rowOff>
    </xdr:from>
    <xdr:to>
      <xdr:col>9</xdr:col>
      <xdr:colOff>552450</xdr:colOff>
      <xdr:row>39</xdr:row>
      <xdr:rowOff>114300</xdr:rowOff>
    </xdr:to>
    <xdr:pic>
      <xdr:nvPicPr>
        <xdr:cNvPr id="111647" name="Grafik 15">
          <a:extLst>
            <a:ext uri="{FF2B5EF4-FFF2-40B4-BE49-F238E27FC236}">
              <a16:creationId xmlns:a16="http://schemas.microsoft.com/office/drawing/2014/main" id="{00000000-0008-0000-0000-00001FB4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81750" y="8124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457200</xdr:colOff>
      <xdr:row>23</xdr:row>
      <xdr:rowOff>9525</xdr:rowOff>
    </xdr:from>
    <xdr:to>
      <xdr:col>10</xdr:col>
      <xdr:colOff>0</xdr:colOff>
      <xdr:row>23</xdr:row>
      <xdr:rowOff>114300</xdr:rowOff>
    </xdr:to>
    <xdr:pic>
      <xdr:nvPicPr>
        <xdr:cNvPr id="111648" name="Grafik 15">
          <a:extLst>
            <a:ext uri="{FF2B5EF4-FFF2-40B4-BE49-F238E27FC236}">
              <a16:creationId xmlns:a16="http://schemas.microsoft.com/office/drawing/2014/main" id="{00000000-0008-0000-0000-000020B4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91275" y="32480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457200</xdr:colOff>
      <xdr:row>20</xdr:row>
      <xdr:rowOff>9525</xdr:rowOff>
    </xdr:from>
    <xdr:to>
      <xdr:col>10</xdr:col>
      <xdr:colOff>0</xdr:colOff>
      <xdr:row>20</xdr:row>
      <xdr:rowOff>114300</xdr:rowOff>
    </xdr:to>
    <xdr:pic>
      <xdr:nvPicPr>
        <xdr:cNvPr id="111649" name="Grafik 15">
          <a:extLst>
            <a:ext uri="{FF2B5EF4-FFF2-40B4-BE49-F238E27FC236}">
              <a16:creationId xmlns:a16="http://schemas.microsoft.com/office/drawing/2014/main" id="{00000000-0008-0000-0000-000021B4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91275" y="27432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457200</xdr:colOff>
      <xdr:row>11</xdr:row>
      <xdr:rowOff>9525</xdr:rowOff>
    </xdr:from>
    <xdr:to>
      <xdr:col>10</xdr:col>
      <xdr:colOff>0</xdr:colOff>
      <xdr:row>11</xdr:row>
      <xdr:rowOff>114300</xdr:rowOff>
    </xdr:to>
    <xdr:pic>
      <xdr:nvPicPr>
        <xdr:cNvPr id="111650" name="Grafik 15">
          <a:extLst>
            <a:ext uri="{FF2B5EF4-FFF2-40B4-BE49-F238E27FC236}">
              <a16:creationId xmlns:a16="http://schemas.microsoft.com/office/drawing/2014/main" id="{00000000-0008-0000-0000-000022B4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91275" y="17335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476250</xdr:colOff>
      <xdr:row>11</xdr:row>
      <xdr:rowOff>9525</xdr:rowOff>
    </xdr:from>
    <xdr:to>
      <xdr:col>5</xdr:col>
      <xdr:colOff>0</xdr:colOff>
      <xdr:row>11</xdr:row>
      <xdr:rowOff>114300</xdr:rowOff>
    </xdr:to>
    <xdr:pic>
      <xdr:nvPicPr>
        <xdr:cNvPr id="111652" name="Grafik 15">
          <a:extLst>
            <a:ext uri="{FF2B5EF4-FFF2-40B4-BE49-F238E27FC236}">
              <a16:creationId xmlns:a16="http://schemas.microsoft.com/office/drawing/2014/main" id="{00000000-0008-0000-0000-000024B4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28950" y="17335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457200</xdr:colOff>
      <xdr:row>5</xdr:row>
      <xdr:rowOff>0</xdr:rowOff>
    </xdr:from>
    <xdr:to>
      <xdr:col>10</xdr:col>
      <xdr:colOff>0</xdr:colOff>
      <xdr:row>5</xdr:row>
      <xdr:rowOff>95250</xdr:rowOff>
    </xdr:to>
    <xdr:pic>
      <xdr:nvPicPr>
        <xdr:cNvPr id="111653" name="Grafik 23">
          <a:extLst>
            <a:ext uri="{FF2B5EF4-FFF2-40B4-BE49-F238E27FC236}">
              <a16:creationId xmlns:a16="http://schemas.microsoft.com/office/drawing/2014/main" id="{00000000-0008-0000-0000-000025B4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91275" y="89535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447675</xdr:colOff>
      <xdr:row>37</xdr:row>
      <xdr:rowOff>9525</xdr:rowOff>
    </xdr:from>
    <xdr:to>
      <xdr:col>9</xdr:col>
      <xdr:colOff>552450</xdr:colOff>
      <xdr:row>37</xdr:row>
      <xdr:rowOff>114300</xdr:rowOff>
    </xdr:to>
    <xdr:pic>
      <xdr:nvPicPr>
        <xdr:cNvPr id="14" name="Grafik 15">
          <a:extLst>
            <a:ext uri="{FF2B5EF4-FFF2-40B4-BE49-F238E27FC236}">
              <a16:creationId xmlns:a16="http://schemas.microsoft.com/office/drawing/2014/main" id="{00000000-0008-0000-0000-00000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81750" y="7743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466725</xdr:colOff>
      <xdr:row>30</xdr:row>
      <xdr:rowOff>9525</xdr:rowOff>
    </xdr:from>
    <xdr:to>
      <xdr:col>9</xdr:col>
      <xdr:colOff>0</xdr:colOff>
      <xdr:row>30</xdr:row>
      <xdr:rowOff>114300</xdr:rowOff>
    </xdr:to>
    <xdr:pic>
      <xdr:nvPicPr>
        <xdr:cNvPr id="15" name="Grafik 15">
          <a:extLst>
            <a:ext uri="{FF2B5EF4-FFF2-40B4-BE49-F238E27FC236}">
              <a16:creationId xmlns:a16="http://schemas.microsoft.com/office/drawing/2014/main" id="{E0691259-8334-4201-AC23-98535584946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829300" y="49244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447675</xdr:colOff>
      <xdr:row>31</xdr:row>
      <xdr:rowOff>9525</xdr:rowOff>
    </xdr:from>
    <xdr:to>
      <xdr:col>9</xdr:col>
      <xdr:colOff>552450</xdr:colOff>
      <xdr:row>31</xdr:row>
      <xdr:rowOff>114300</xdr:rowOff>
    </xdr:to>
    <xdr:pic>
      <xdr:nvPicPr>
        <xdr:cNvPr id="16" name="Grafik 15">
          <a:extLst>
            <a:ext uri="{FF2B5EF4-FFF2-40B4-BE49-F238E27FC236}">
              <a16:creationId xmlns:a16="http://schemas.microsoft.com/office/drawing/2014/main" id="{C994ED00-30C1-42C2-945D-D6EE9708D25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81750" y="55340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16</xdr:col>
      <xdr:colOff>123825</xdr:colOff>
      <xdr:row>0</xdr:row>
      <xdr:rowOff>95250</xdr:rowOff>
    </xdr:from>
    <xdr:to>
      <xdr:col>18</xdr:col>
      <xdr:colOff>428625</xdr:colOff>
      <xdr:row>3</xdr:row>
      <xdr:rowOff>114300</xdr:rowOff>
    </xdr:to>
    <xdr:pic>
      <xdr:nvPicPr>
        <xdr:cNvPr id="111030" name="Grafik 1">
          <a:extLst>
            <a:ext uri="{FF2B5EF4-FFF2-40B4-BE49-F238E27FC236}">
              <a16:creationId xmlns:a16="http://schemas.microsoft.com/office/drawing/2014/main" id="{00000000-0008-0000-0400-0000B6B101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058150" y="95250"/>
          <a:ext cx="1228725"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200025</xdr:colOff>
      <xdr:row>5</xdr:row>
      <xdr:rowOff>9525</xdr:rowOff>
    </xdr:from>
    <xdr:to>
      <xdr:col>15</xdr:col>
      <xdr:colOff>0</xdr:colOff>
      <xdr:row>5</xdr:row>
      <xdr:rowOff>114300</xdr:rowOff>
    </xdr:to>
    <xdr:pic>
      <xdr:nvPicPr>
        <xdr:cNvPr id="111031" name="Grafik 2">
          <a:extLst>
            <a:ext uri="{FF2B5EF4-FFF2-40B4-BE49-F238E27FC236}">
              <a16:creationId xmlns:a16="http://schemas.microsoft.com/office/drawing/2014/main" id="{00000000-0008-0000-0400-0000B7B1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77125" y="7715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200025</xdr:colOff>
      <xdr:row>7</xdr:row>
      <xdr:rowOff>9525</xdr:rowOff>
    </xdr:from>
    <xdr:to>
      <xdr:col>15</xdr:col>
      <xdr:colOff>0</xdr:colOff>
      <xdr:row>7</xdr:row>
      <xdr:rowOff>114300</xdr:rowOff>
    </xdr:to>
    <xdr:pic>
      <xdr:nvPicPr>
        <xdr:cNvPr id="111032" name="Grafik 3">
          <a:extLst>
            <a:ext uri="{FF2B5EF4-FFF2-40B4-BE49-F238E27FC236}">
              <a16:creationId xmlns:a16="http://schemas.microsoft.com/office/drawing/2014/main" id="{00000000-0008-0000-0400-0000B8B1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77125" y="10477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695325</xdr:colOff>
      <xdr:row>7</xdr:row>
      <xdr:rowOff>9525</xdr:rowOff>
    </xdr:from>
    <xdr:to>
      <xdr:col>7</xdr:col>
      <xdr:colOff>0</xdr:colOff>
      <xdr:row>7</xdr:row>
      <xdr:rowOff>114300</xdr:rowOff>
    </xdr:to>
    <xdr:pic>
      <xdr:nvPicPr>
        <xdr:cNvPr id="111033" name="Grafik 4">
          <a:extLst>
            <a:ext uri="{FF2B5EF4-FFF2-40B4-BE49-F238E27FC236}">
              <a16:creationId xmlns:a16="http://schemas.microsoft.com/office/drawing/2014/main" id="{00000000-0008-0000-0400-0000B9B1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352800" y="10477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19</xdr:col>
      <xdr:colOff>4619625</xdr:colOff>
      <xdr:row>10</xdr:row>
      <xdr:rowOff>9525</xdr:rowOff>
    </xdr:from>
    <xdr:to>
      <xdr:col>19</xdr:col>
      <xdr:colOff>4733925</xdr:colOff>
      <xdr:row>10</xdr:row>
      <xdr:rowOff>104775</xdr:rowOff>
    </xdr:to>
    <xdr:pic>
      <xdr:nvPicPr>
        <xdr:cNvPr id="111034" name="Grafik 6">
          <a:extLst>
            <a:ext uri="{FF2B5EF4-FFF2-40B4-BE49-F238E27FC236}">
              <a16:creationId xmlns:a16="http://schemas.microsoft.com/office/drawing/2014/main" id="{00000000-0008-0000-0400-0000BAB1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039850" y="3800475"/>
          <a:ext cx="11430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409575</xdr:colOff>
      <xdr:row>54</xdr:row>
      <xdr:rowOff>9525</xdr:rowOff>
    </xdr:from>
    <xdr:to>
      <xdr:col>17</xdr:col>
      <xdr:colOff>514350</xdr:colOff>
      <xdr:row>54</xdr:row>
      <xdr:rowOff>114300</xdr:rowOff>
    </xdr:to>
    <xdr:pic>
      <xdr:nvPicPr>
        <xdr:cNvPr id="111035" name="Grafik 13">
          <a:extLst>
            <a:ext uri="{FF2B5EF4-FFF2-40B4-BE49-F238E27FC236}">
              <a16:creationId xmlns:a16="http://schemas.microsoft.com/office/drawing/2014/main" id="{00000000-0008-0000-0400-0000BBB1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43950" y="185737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409575</xdr:colOff>
      <xdr:row>51</xdr:row>
      <xdr:rowOff>9525</xdr:rowOff>
    </xdr:from>
    <xdr:to>
      <xdr:col>17</xdr:col>
      <xdr:colOff>514350</xdr:colOff>
      <xdr:row>51</xdr:row>
      <xdr:rowOff>114300</xdr:rowOff>
    </xdr:to>
    <xdr:pic>
      <xdr:nvPicPr>
        <xdr:cNvPr id="111036" name="Grafik 23">
          <a:extLst>
            <a:ext uri="{FF2B5EF4-FFF2-40B4-BE49-F238E27FC236}">
              <a16:creationId xmlns:a16="http://schemas.microsoft.com/office/drawing/2014/main" id="{00000000-0008-0000-0400-0000BCB1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43950" y="174879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409575</xdr:colOff>
      <xdr:row>21</xdr:row>
      <xdr:rowOff>9525</xdr:rowOff>
    </xdr:from>
    <xdr:to>
      <xdr:col>17</xdr:col>
      <xdr:colOff>514350</xdr:colOff>
      <xdr:row>21</xdr:row>
      <xdr:rowOff>114300</xdr:rowOff>
    </xdr:to>
    <xdr:pic>
      <xdr:nvPicPr>
        <xdr:cNvPr id="111037" name="Grafik 12">
          <a:extLst>
            <a:ext uri="{FF2B5EF4-FFF2-40B4-BE49-F238E27FC236}">
              <a16:creationId xmlns:a16="http://schemas.microsoft.com/office/drawing/2014/main" id="{00000000-0008-0000-0400-0000BDB1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43950" y="66294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409575</xdr:colOff>
      <xdr:row>30</xdr:row>
      <xdr:rowOff>9525</xdr:rowOff>
    </xdr:from>
    <xdr:to>
      <xdr:col>17</xdr:col>
      <xdr:colOff>514350</xdr:colOff>
      <xdr:row>30</xdr:row>
      <xdr:rowOff>114300</xdr:rowOff>
    </xdr:to>
    <xdr:pic>
      <xdr:nvPicPr>
        <xdr:cNvPr id="111038" name="Grafik 12">
          <a:extLst>
            <a:ext uri="{FF2B5EF4-FFF2-40B4-BE49-F238E27FC236}">
              <a16:creationId xmlns:a16="http://schemas.microsoft.com/office/drawing/2014/main" id="{00000000-0008-0000-0400-0000BEB1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43950" y="98869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409575</xdr:colOff>
      <xdr:row>9</xdr:row>
      <xdr:rowOff>9525</xdr:rowOff>
    </xdr:from>
    <xdr:to>
      <xdr:col>17</xdr:col>
      <xdr:colOff>514350</xdr:colOff>
      <xdr:row>9</xdr:row>
      <xdr:rowOff>114300</xdr:rowOff>
    </xdr:to>
    <xdr:pic>
      <xdr:nvPicPr>
        <xdr:cNvPr id="111039" name="Grafik 12">
          <a:extLst>
            <a:ext uri="{FF2B5EF4-FFF2-40B4-BE49-F238E27FC236}">
              <a16:creationId xmlns:a16="http://schemas.microsoft.com/office/drawing/2014/main" id="{00000000-0008-0000-0400-0000BFB1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43950" y="3552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171450</xdr:colOff>
      <xdr:row>9</xdr:row>
      <xdr:rowOff>9525</xdr:rowOff>
    </xdr:from>
    <xdr:to>
      <xdr:col>3</xdr:col>
      <xdr:colOff>285750</xdr:colOff>
      <xdr:row>9</xdr:row>
      <xdr:rowOff>114300</xdr:rowOff>
    </xdr:to>
    <xdr:pic>
      <xdr:nvPicPr>
        <xdr:cNvPr id="111040" name="Grafik 5">
          <a:extLst>
            <a:ext uri="{FF2B5EF4-FFF2-40B4-BE49-F238E27FC236}">
              <a16:creationId xmlns:a16="http://schemas.microsoft.com/office/drawing/2014/main" id="{00000000-0008-0000-0400-0000C0B1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3400" y="355282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409575</xdr:colOff>
      <xdr:row>45</xdr:row>
      <xdr:rowOff>9525</xdr:rowOff>
    </xdr:from>
    <xdr:to>
      <xdr:col>17</xdr:col>
      <xdr:colOff>514350</xdr:colOff>
      <xdr:row>45</xdr:row>
      <xdr:rowOff>114300</xdr:rowOff>
    </xdr:to>
    <xdr:pic>
      <xdr:nvPicPr>
        <xdr:cNvPr id="111041" name="Grafik 12">
          <a:extLst>
            <a:ext uri="{FF2B5EF4-FFF2-40B4-BE49-F238E27FC236}">
              <a16:creationId xmlns:a16="http://schemas.microsoft.com/office/drawing/2014/main" id="{00000000-0008-0000-0400-0000C1B1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43950" y="153162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85725</xdr:colOff>
      <xdr:row>9</xdr:row>
      <xdr:rowOff>9525</xdr:rowOff>
    </xdr:from>
    <xdr:to>
      <xdr:col>2</xdr:col>
      <xdr:colOff>200025</xdr:colOff>
      <xdr:row>9</xdr:row>
      <xdr:rowOff>114300</xdr:rowOff>
    </xdr:to>
    <xdr:pic>
      <xdr:nvPicPr>
        <xdr:cNvPr id="111042" name="Grafik 5">
          <a:extLst>
            <a:ext uri="{FF2B5EF4-FFF2-40B4-BE49-F238E27FC236}">
              <a16:creationId xmlns:a16="http://schemas.microsoft.com/office/drawing/2014/main" id="{00000000-0008-0000-0400-0000C2B1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23850" y="377190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409575</xdr:colOff>
      <xdr:row>38</xdr:row>
      <xdr:rowOff>9525</xdr:rowOff>
    </xdr:from>
    <xdr:to>
      <xdr:col>17</xdr:col>
      <xdr:colOff>514350</xdr:colOff>
      <xdr:row>38</xdr:row>
      <xdr:rowOff>114300</xdr:rowOff>
    </xdr:to>
    <xdr:pic>
      <xdr:nvPicPr>
        <xdr:cNvPr id="111043" name="Grafik 12">
          <a:extLst>
            <a:ext uri="{FF2B5EF4-FFF2-40B4-BE49-F238E27FC236}">
              <a16:creationId xmlns:a16="http://schemas.microsoft.com/office/drawing/2014/main" id="{00000000-0008-0000-0400-0000C3B1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43950" y="127825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409575</xdr:colOff>
      <xdr:row>38</xdr:row>
      <xdr:rowOff>9525</xdr:rowOff>
    </xdr:from>
    <xdr:to>
      <xdr:col>17</xdr:col>
      <xdr:colOff>514350</xdr:colOff>
      <xdr:row>38</xdr:row>
      <xdr:rowOff>114300</xdr:rowOff>
    </xdr:to>
    <xdr:pic>
      <xdr:nvPicPr>
        <xdr:cNvPr id="111044" name="Grafik 12">
          <a:extLst>
            <a:ext uri="{FF2B5EF4-FFF2-40B4-BE49-F238E27FC236}">
              <a16:creationId xmlns:a16="http://schemas.microsoft.com/office/drawing/2014/main" id="{00000000-0008-0000-0400-0000C4B1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43950" y="127825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409575</xdr:colOff>
      <xdr:row>41</xdr:row>
      <xdr:rowOff>9525</xdr:rowOff>
    </xdr:from>
    <xdr:to>
      <xdr:col>17</xdr:col>
      <xdr:colOff>514350</xdr:colOff>
      <xdr:row>41</xdr:row>
      <xdr:rowOff>114300</xdr:rowOff>
    </xdr:to>
    <xdr:pic>
      <xdr:nvPicPr>
        <xdr:cNvPr id="111045" name="Grafik 12">
          <a:extLst>
            <a:ext uri="{FF2B5EF4-FFF2-40B4-BE49-F238E27FC236}">
              <a16:creationId xmlns:a16="http://schemas.microsoft.com/office/drawing/2014/main" id="{00000000-0008-0000-0400-0000C5B1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43950" y="138684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409575</xdr:colOff>
      <xdr:row>48</xdr:row>
      <xdr:rowOff>9525</xdr:rowOff>
    </xdr:from>
    <xdr:to>
      <xdr:col>17</xdr:col>
      <xdr:colOff>514350</xdr:colOff>
      <xdr:row>48</xdr:row>
      <xdr:rowOff>114300</xdr:rowOff>
    </xdr:to>
    <xdr:pic>
      <xdr:nvPicPr>
        <xdr:cNvPr id="111046" name="Grafik 12">
          <a:extLst>
            <a:ext uri="{FF2B5EF4-FFF2-40B4-BE49-F238E27FC236}">
              <a16:creationId xmlns:a16="http://schemas.microsoft.com/office/drawing/2014/main" id="{00000000-0008-0000-0400-0000C6B1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43950" y="164020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409575</xdr:colOff>
      <xdr:row>11</xdr:row>
      <xdr:rowOff>9525</xdr:rowOff>
    </xdr:from>
    <xdr:to>
      <xdr:col>17</xdr:col>
      <xdr:colOff>514350</xdr:colOff>
      <xdr:row>11</xdr:row>
      <xdr:rowOff>114300</xdr:rowOff>
    </xdr:to>
    <xdr:pic>
      <xdr:nvPicPr>
        <xdr:cNvPr id="111047" name="Grafik 12">
          <a:extLst>
            <a:ext uri="{FF2B5EF4-FFF2-40B4-BE49-F238E27FC236}">
              <a16:creationId xmlns:a16="http://schemas.microsoft.com/office/drawing/2014/main" id="{00000000-0008-0000-0400-0000C7B1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43950" y="40957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409575</xdr:colOff>
      <xdr:row>18</xdr:row>
      <xdr:rowOff>9525</xdr:rowOff>
    </xdr:from>
    <xdr:to>
      <xdr:col>17</xdr:col>
      <xdr:colOff>514350</xdr:colOff>
      <xdr:row>18</xdr:row>
      <xdr:rowOff>114300</xdr:rowOff>
    </xdr:to>
    <xdr:pic>
      <xdr:nvPicPr>
        <xdr:cNvPr id="111048" name="Grafik 12">
          <a:extLst>
            <a:ext uri="{FF2B5EF4-FFF2-40B4-BE49-F238E27FC236}">
              <a16:creationId xmlns:a16="http://schemas.microsoft.com/office/drawing/2014/main" id="{00000000-0008-0000-0400-0000C8B1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43950" y="55435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409575</xdr:colOff>
      <xdr:row>27</xdr:row>
      <xdr:rowOff>9525</xdr:rowOff>
    </xdr:from>
    <xdr:to>
      <xdr:col>17</xdr:col>
      <xdr:colOff>514350</xdr:colOff>
      <xdr:row>27</xdr:row>
      <xdr:rowOff>114300</xdr:rowOff>
    </xdr:to>
    <xdr:pic>
      <xdr:nvPicPr>
        <xdr:cNvPr id="111050" name="Grafik 12">
          <a:extLst>
            <a:ext uri="{FF2B5EF4-FFF2-40B4-BE49-F238E27FC236}">
              <a16:creationId xmlns:a16="http://schemas.microsoft.com/office/drawing/2014/main" id="{00000000-0008-0000-0400-0000CAB1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43950" y="88011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409575</xdr:colOff>
      <xdr:row>36</xdr:row>
      <xdr:rowOff>9525</xdr:rowOff>
    </xdr:from>
    <xdr:to>
      <xdr:col>17</xdr:col>
      <xdr:colOff>514350</xdr:colOff>
      <xdr:row>36</xdr:row>
      <xdr:rowOff>114300</xdr:rowOff>
    </xdr:to>
    <xdr:pic>
      <xdr:nvPicPr>
        <xdr:cNvPr id="111051" name="Grafik 12">
          <a:extLst>
            <a:ext uri="{FF2B5EF4-FFF2-40B4-BE49-F238E27FC236}">
              <a16:creationId xmlns:a16="http://schemas.microsoft.com/office/drawing/2014/main" id="{00000000-0008-0000-0400-0000CBB1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43950" y="120586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400050</xdr:colOff>
      <xdr:row>29</xdr:row>
      <xdr:rowOff>9525</xdr:rowOff>
    </xdr:from>
    <xdr:to>
      <xdr:col>17</xdr:col>
      <xdr:colOff>515884</xdr:colOff>
      <xdr:row>29</xdr:row>
      <xdr:rowOff>94876</xdr:rowOff>
    </xdr:to>
    <xdr:pic>
      <xdr:nvPicPr>
        <xdr:cNvPr id="4" name="Grafik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3"/>
        <a:stretch>
          <a:fillRect/>
        </a:stretch>
      </xdr:blipFill>
      <xdr:spPr>
        <a:xfrm>
          <a:off x="8734425" y="9810750"/>
          <a:ext cx="115834" cy="85351"/>
        </a:xfrm>
        <a:prstGeom prst="rect">
          <a:avLst/>
        </a:prstGeom>
      </xdr:spPr>
    </xdr:pic>
    <xdr:clientData/>
  </xdr:twoCellAnchor>
  <xdr:twoCellAnchor editAs="oneCell">
    <xdr:from>
      <xdr:col>17</xdr:col>
      <xdr:colOff>409575</xdr:colOff>
      <xdr:row>24</xdr:row>
      <xdr:rowOff>0</xdr:rowOff>
    </xdr:from>
    <xdr:to>
      <xdr:col>17</xdr:col>
      <xdr:colOff>514350</xdr:colOff>
      <xdr:row>24</xdr:row>
      <xdr:rowOff>104775</xdr:rowOff>
    </xdr:to>
    <xdr:pic>
      <xdr:nvPicPr>
        <xdr:cNvPr id="24" name="Grafik 12">
          <a:extLst>
            <a:ext uri="{FF2B5EF4-FFF2-40B4-BE49-F238E27FC236}">
              <a16:creationId xmlns:a16="http://schemas.microsoft.com/office/drawing/2014/main" id="{2D28C5C2-93BA-4775-83C9-5FF69F754E9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43950" y="90106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409575</xdr:colOff>
      <xdr:row>60</xdr:row>
      <xdr:rowOff>9525</xdr:rowOff>
    </xdr:from>
    <xdr:to>
      <xdr:col>17</xdr:col>
      <xdr:colOff>514350</xdr:colOff>
      <xdr:row>60</xdr:row>
      <xdr:rowOff>114300</xdr:rowOff>
    </xdr:to>
    <xdr:pic>
      <xdr:nvPicPr>
        <xdr:cNvPr id="25" name="Grafik 13">
          <a:extLst>
            <a:ext uri="{FF2B5EF4-FFF2-40B4-BE49-F238E27FC236}">
              <a16:creationId xmlns:a16="http://schemas.microsoft.com/office/drawing/2014/main" id="{2E7F2F48-1638-4F35-A118-6CCA2BBE10F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829675" y="220503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419100</xdr:colOff>
      <xdr:row>69</xdr:row>
      <xdr:rowOff>0</xdr:rowOff>
    </xdr:from>
    <xdr:to>
      <xdr:col>18</xdr:col>
      <xdr:colOff>0</xdr:colOff>
      <xdr:row>69</xdr:row>
      <xdr:rowOff>104775</xdr:rowOff>
    </xdr:to>
    <xdr:pic>
      <xdr:nvPicPr>
        <xdr:cNvPr id="26" name="Grafik 13">
          <a:extLst>
            <a:ext uri="{FF2B5EF4-FFF2-40B4-BE49-F238E27FC236}">
              <a16:creationId xmlns:a16="http://schemas.microsoft.com/office/drawing/2014/main" id="{1F45F758-C2EA-4075-9524-BC56990856B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20125" y="233362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323850</xdr:colOff>
      <xdr:row>7</xdr:row>
      <xdr:rowOff>9525</xdr:rowOff>
    </xdr:from>
    <xdr:to>
      <xdr:col>5</xdr:col>
      <xdr:colOff>0</xdr:colOff>
      <xdr:row>7</xdr:row>
      <xdr:rowOff>104775</xdr:rowOff>
    </xdr:to>
    <xdr:pic>
      <xdr:nvPicPr>
        <xdr:cNvPr id="105116" name="Grafik 4">
          <a:extLst>
            <a:ext uri="{FF2B5EF4-FFF2-40B4-BE49-F238E27FC236}">
              <a16:creationId xmlns:a16="http://schemas.microsoft.com/office/drawing/2014/main" id="{00000000-0008-0000-0800-00009C9A01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33675" y="1104900"/>
          <a:ext cx="9525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2162175</xdr:colOff>
      <xdr:row>5</xdr:row>
      <xdr:rowOff>9525</xdr:rowOff>
    </xdr:from>
    <xdr:to>
      <xdr:col>10</xdr:col>
      <xdr:colOff>0</xdr:colOff>
      <xdr:row>5</xdr:row>
      <xdr:rowOff>104775</xdr:rowOff>
    </xdr:to>
    <xdr:pic>
      <xdr:nvPicPr>
        <xdr:cNvPr id="105117" name="Grafik 4">
          <a:extLst>
            <a:ext uri="{FF2B5EF4-FFF2-40B4-BE49-F238E27FC236}">
              <a16:creationId xmlns:a16="http://schemas.microsoft.com/office/drawing/2014/main" id="{00000000-0008-0000-0800-00009D9A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010400" y="82867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2162175</xdr:colOff>
      <xdr:row>7</xdr:row>
      <xdr:rowOff>9525</xdr:rowOff>
    </xdr:from>
    <xdr:to>
      <xdr:col>10</xdr:col>
      <xdr:colOff>0</xdr:colOff>
      <xdr:row>7</xdr:row>
      <xdr:rowOff>104775</xdr:rowOff>
    </xdr:to>
    <xdr:pic>
      <xdr:nvPicPr>
        <xdr:cNvPr id="105118" name="Grafik 4">
          <a:extLst>
            <a:ext uri="{FF2B5EF4-FFF2-40B4-BE49-F238E27FC236}">
              <a16:creationId xmlns:a16="http://schemas.microsoft.com/office/drawing/2014/main" id="{00000000-0008-0000-0800-00009E9A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010400" y="110490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752475</xdr:colOff>
      <xdr:row>1</xdr:row>
      <xdr:rowOff>142875</xdr:rowOff>
    </xdr:from>
    <xdr:to>
      <xdr:col>10</xdr:col>
      <xdr:colOff>2190750</xdr:colOff>
      <xdr:row>2</xdr:row>
      <xdr:rowOff>190500</xdr:rowOff>
    </xdr:to>
    <xdr:pic>
      <xdr:nvPicPr>
        <xdr:cNvPr id="105119" name="Grafik 1">
          <a:extLst>
            <a:ext uri="{FF2B5EF4-FFF2-40B4-BE49-F238E27FC236}">
              <a16:creationId xmlns:a16="http://schemas.microsoft.com/office/drawing/2014/main" id="{00000000-0008-0000-0800-00009F9A01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867650" y="142875"/>
          <a:ext cx="143827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22</xdr:col>
      <xdr:colOff>228600</xdr:colOff>
      <xdr:row>5</xdr:row>
      <xdr:rowOff>9525</xdr:rowOff>
    </xdr:from>
    <xdr:to>
      <xdr:col>23</xdr:col>
      <xdr:colOff>0</xdr:colOff>
      <xdr:row>5</xdr:row>
      <xdr:rowOff>104775</xdr:rowOff>
    </xdr:to>
    <xdr:pic>
      <xdr:nvPicPr>
        <xdr:cNvPr id="106307" name="Grafik 4">
          <a:extLst>
            <a:ext uri="{FF2B5EF4-FFF2-40B4-BE49-F238E27FC236}">
              <a16:creationId xmlns:a16="http://schemas.microsoft.com/office/drawing/2014/main" id="{00000000-0008-0000-0900-0000439F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53325" y="866775"/>
          <a:ext cx="9525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266700</xdr:colOff>
      <xdr:row>7</xdr:row>
      <xdr:rowOff>9525</xdr:rowOff>
    </xdr:from>
    <xdr:to>
      <xdr:col>7</xdr:col>
      <xdr:colOff>0</xdr:colOff>
      <xdr:row>7</xdr:row>
      <xdr:rowOff>104775</xdr:rowOff>
    </xdr:to>
    <xdr:pic>
      <xdr:nvPicPr>
        <xdr:cNvPr id="106308" name="Grafik 6">
          <a:extLst>
            <a:ext uri="{FF2B5EF4-FFF2-40B4-BE49-F238E27FC236}">
              <a16:creationId xmlns:a16="http://schemas.microsoft.com/office/drawing/2014/main" id="{00000000-0008-0000-0900-0000449F01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628900" y="1143000"/>
          <a:ext cx="8572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22</xdr:col>
      <xdr:colOff>228600</xdr:colOff>
      <xdr:row>7</xdr:row>
      <xdr:rowOff>9525</xdr:rowOff>
    </xdr:from>
    <xdr:to>
      <xdr:col>23</xdr:col>
      <xdr:colOff>0</xdr:colOff>
      <xdr:row>7</xdr:row>
      <xdr:rowOff>104775</xdr:rowOff>
    </xdr:to>
    <xdr:pic>
      <xdr:nvPicPr>
        <xdr:cNvPr id="106309" name="Grafik 4">
          <a:extLst>
            <a:ext uri="{FF2B5EF4-FFF2-40B4-BE49-F238E27FC236}">
              <a16:creationId xmlns:a16="http://schemas.microsoft.com/office/drawing/2014/main" id="{00000000-0008-0000-0900-0000459F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53325" y="1143000"/>
          <a:ext cx="9525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466725</xdr:colOff>
      <xdr:row>27</xdr:row>
      <xdr:rowOff>9525</xdr:rowOff>
    </xdr:from>
    <xdr:to>
      <xdr:col>14</xdr:col>
      <xdr:colOff>561975</xdr:colOff>
      <xdr:row>27</xdr:row>
      <xdr:rowOff>104775</xdr:rowOff>
    </xdr:to>
    <xdr:pic>
      <xdr:nvPicPr>
        <xdr:cNvPr id="106310" name="Grafik 4">
          <a:extLst>
            <a:ext uri="{FF2B5EF4-FFF2-40B4-BE49-F238E27FC236}">
              <a16:creationId xmlns:a16="http://schemas.microsoft.com/office/drawing/2014/main" id="{00000000-0008-0000-0900-0000469F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81600" y="6534150"/>
          <a:ext cx="9525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22</xdr:col>
      <xdr:colOff>9525</xdr:colOff>
      <xdr:row>0</xdr:row>
      <xdr:rowOff>104775</xdr:rowOff>
    </xdr:from>
    <xdr:to>
      <xdr:col>26</xdr:col>
      <xdr:colOff>9525</xdr:colOff>
      <xdr:row>3</xdr:row>
      <xdr:rowOff>161925</xdr:rowOff>
    </xdr:to>
    <xdr:pic>
      <xdr:nvPicPr>
        <xdr:cNvPr id="106311" name="Grafik 1">
          <a:extLst>
            <a:ext uri="{FF2B5EF4-FFF2-40B4-BE49-F238E27FC236}">
              <a16:creationId xmlns:a16="http://schemas.microsoft.com/office/drawing/2014/main" id="{00000000-0008-0000-0900-0000479F01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334250" y="104775"/>
          <a:ext cx="1295400"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1590675</xdr:colOff>
      <xdr:row>7</xdr:row>
      <xdr:rowOff>9525</xdr:rowOff>
    </xdr:from>
    <xdr:to>
      <xdr:col>3</xdr:col>
      <xdr:colOff>0</xdr:colOff>
      <xdr:row>7</xdr:row>
      <xdr:rowOff>104775</xdr:rowOff>
    </xdr:to>
    <xdr:pic>
      <xdr:nvPicPr>
        <xdr:cNvPr id="107331" name="Grafik 5">
          <a:extLst>
            <a:ext uri="{FF2B5EF4-FFF2-40B4-BE49-F238E27FC236}">
              <a16:creationId xmlns:a16="http://schemas.microsoft.com/office/drawing/2014/main" id="{00000000-0008-0000-0D00-000043A3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47950" y="1104900"/>
          <a:ext cx="9525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1581150</xdr:colOff>
      <xdr:row>14</xdr:row>
      <xdr:rowOff>9525</xdr:rowOff>
    </xdr:from>
    <xdr:to>
      <xdr:col>3</xdr:col>
      <xdr:colOff>0</xdr:colOff>
      <xdr:row>14</xdr:row>
      <xdr:rowOff>104775</xdr:rowOff>
    </xdr:to>
    <xdr:pic>
      <xdr:nvPicPr>
        <xdr:cNvPr id="107332" name="Grafik 4">
          <a:extLst>
            <a:ext uri="{FF2B5EF4-FFF2-40B4-BE49-F238E27FC236}">
              <a16:creationId xmlns:a16="http://schemas.microsoft.com/office/drawing/2014/main" id="{00000000-0008-0000-0D00-000044A3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38425" y="229552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1304925</xdr:colOff>
      <xdr:row>5</xdr:row>
      <xdr:rowOff>9525</xdr:rowOff>
    </xdr:from>
    <xdr:to>
      <xdr:col>7</xdr:col>
      <xdr:colOff>0</xdr:colOff>
      <xdr:row>5</xdr:row>
      <xdr:rowOff>104775</xdr:rowOff>
    </xdr:to>
    <xdr:pic>
      <xdr:nvPicPr>
        <xdr:cNvPr id="107333" name="Grafik 5">
          <a:extLst>
            <a:ext uri="{FF2B5EF4-FFF2-40B4-BE49-F238E27FC236}">
              <a16:creationId xmlns:a16="http://schemas.microsoft.com/office/drawing/2014/main" id="{00000000-0008-0000-0D00-000045A3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53425" y="828675"/>
          <a:ext cx="9525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1304925</xdr:colOff>
      <xdr:row>7</xdr:row>
      <xdr:rowOff>9525</xdr:rowOff>
    </xdr:from>
    <xdr:to>
      <xdr:col>7</xdr:col>
      <xdr:colOff>0</xdr:colOff>
      <xdr:row>7</xdr:row>
      <xdr:rowOff>104775</xdr:rowOff>
    </xdr:to>
    <xdr:pic>
      <xdr:nvPicPr>
        <xdr:cNvPr id="107334" name="Grafik 5">
          <a:extLst>
            <a:ext uri="{FF2B5EF4-FFF2-40B4-BE49-F238E27FC236}">
              <a16:creationId xmlns:a16="http://schemas.microsoft.com/office/drawing/2014/main" id="{00000000-0008-0000-0D00-000046A3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53425" y="1104900"/>
          <a:ext cx="9525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885825</xdr:colOff>
      <xdr:row>1</xdr:row>
      <xdr:rowOff>19050</xdr:rowOff>
    </xdr:from>
    <xdr:to>
      <xdr:col>7</xdr:col>
      <xdr:colOff>923925</xdr:colOff>
      <xdr:row>2</xdr:row>
      <xdr:rowOff>142875</xdr:rowOff>
    </xdr:to>
    <xdr:pic>
      <xdr:nvPicPr>
        <xdr:cNvPr id="107335" name="Grafik 1">
          <a:extLst>
            <a:ext uri="{FF2B5EF4-FFF2-40B4-BE49-F238E27FC236}">
              <a16:creationId xmlns:a16="http://schemas.microsoft.com/office/drawing/2014/main" id="{00000000-0008-0000-0D00-000047A301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934325" y="142875"/>
          <a:ext cx="143827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elle1" displayName="Tabelle1" ref="A68:S89" totalsRowShown="0" headerRowDxfId="428" dataDxfId="426" headerRowBorderDxfId="427" tableBorderDxfId="425" totalsRowBorderDxfId="424">
  <autoFilter ref="A68:S89" xr:uid="{00000000-0009-0000-0100-000001000000}"/>
  <tableColumns count="19">
    <tableColumn id="1" xr3:uid="{00000000-0010-0000-0000-000001000000}" name="Baden-Württemberg" dataDxfId="423"/>
    <tableColumn id="2" xr3:uid="{00000000-0010-0000-0000-000002000000}" name="Bayern" dataDxfId="422"/>
    <tableColumn id="3" xr3:uid="{00000000-0010-0000-0000-000003000000}" name="Berlin" dataDxfId="421"/>
    <tableColumn id="4" xr3:uid="{00000000-0010-0000-0000-000004000000}" name="Brandenburg" dataDxfId="420"/>
    <tableColumn id="5" xr3:uid="{00000000-0010-0000-0000-000005000000}" name="Bremen" dataDxfId="419"/>
    <tableColumn id="6" xr3:uid="{00000000-0010-0000-0000-000006000000}" name="Hamburg" dataDxfId="418"/>
    <tableColumn id="7" xr3:uid="{00000000-0010-0000-0000-000007000000}" name="Hessen" dataDxfId="417"/>
    <tableColumn id="8" xr3:uid="{00000000-0010-0000-0000-000008000000}" name="Mecklenburg-Vorpommern" dataDxfId="416"/>
    <tableColumn id="9" xr3:uid="{00000000-0010-0000-0000-000009000000}" name="Niedersachsen" dataDxfId="415"/>
    <tableColumn id="10" xr3:uid="{00000000-0010-0000-0000-00000A000000}" name="Nordrhein-Westfalen" dataDxfId="414"/>
    <tableColumn id="11" xr3:uid="{00000000-0010-0000-0000-00000B000000}" name="Rheinland-Pfalz" dataDxfId="413"/>
    <tableColumn id="12" xr3:uid="{00000000-0010-0000-0000-00000C000000}" name="Saarland" dataDxfId="412"/>
    <tableColumn id="13" xr3:uid="{00000000-0010-0000-0000-00000D000000}" name="Sachsen" dataDxfId="411"/>
    <tableColumn id="14" xr3:uid="{00000000-0010-0000-0000-00000E000000}" name="Sachsen-Anhalt" dataDxfId="410"/>
    <tableColumn id="15" xr3:uid="{00000000-0010-0000-0000-00000F000000}" name="Schleswig-Holstein" dataDxfId="409"/>
    <tableColumn id="16" xr3:uid="{00000000-0010-0000-0000-000010000000}" name="Thüringen" dataDxfId="408"/>
    <tableColumn id="17" xr3:uid="{00000000-0010-0000-0000-000011000000}" name="Schweiz" dataDxfId="407"/>
    <tableColumn id="18" xr3:uid="{00000000-0010-0000-0000-000012000000}" name="Österreich" dataDxfId="406"/>
    <tableColumn id="19" xr3:uid="{00000000-0010-0000-0000-000013000000}" name="Italien" dataDxfId="405"/>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7" Type="http://schemas.openxmlformats.org/officeDocument/2006/relationships/comments" Target="../comments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vmlDrawing" Target="../drawings/vmlDrawing2.v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comments" Target="../comments2.xml"/><Relationship Id="rId5" Type="http://schemas.openxmlformats.org/officeDocument/2006/relationships/vmlDrawing" Target="../drawings/vmlDrawing4.vml"/><Relationship Id="rId4"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5" Type="http://schemas.openxmlformats.org/officeDocument/2006/relationships/comments" Target="../comments3.xml"/><Relationship Id="rId4"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 Id="rId6" Type="http://schemas.openxmlformats.org/officeDocument/2006/relationships/comments" Target="../comments4.xml"/><Relationship Id="rId5" Type="http://schemas.openxmlformats.org/officeDocument/2006/relationships/vmlDrawing" Target="../drawings/vmlDrawing6.vml"/><Relationship Id="rId4"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4.xml"/><Relationship Id="rId1" Type="http://schemas.openxmlformats.org/officeDocument/2006/relationships/printerSettings" Target="../printerSettings/printerSettings18.bin"/><Relationship Id="rId4" Type="http://schemas.openxmlformats.org/officeDocument/2006/relationships/comments" Target="../comments5.xml"/></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 Id="rId6" Type="http://schemas.openxmlformats.org/officeDocument/2006/relationships/comments" Target="../comments6.xml"/><Relationship Id="rId5" Type="http://schemas.openxmlformats.org/officeDocument/2006/relationships/vmlDrawing" Target="../drawings/vmlDrawing8.vml"/><Relationship Id="rId4"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M70"/>
  <sheetViews>
    <sheetView showGridLines="0" tabSelected="1" zoomScaleNormal="100" zoomScaleSheetLayoutView="100" zoomScalePageLayoutView="69" workbookViewId="0">
      <selection activeCell="D31" sqref="D31"/>
    </sheetView>
  </sheetViews>
  <sheetFormatPr defaultColWidth="11.44140625" defaultRowHeight="13.8" x14ac:dyDescent="0.25"/>
  <cols>
    <col min="1" max="1" width="0.6640625" style="8" customWidth="1"/>
    <col min="2" max="2" width="17.33203125" style="8" customWidth="1"/>
    <col min="3" max="3" width="11.5546875" style="8" customWidth="1"/>
    <col min="4" max="6" width="8.6640625" style="8" customWidth="1"/>
    <col min="7" max="7" width="9.88671875" style="8" customWidth="1"/>
    <col min="8" max="8" width="14.88671875" style="8" customWidth="1"/>
    <col min="9" max="9" width="8.5546875" style="8" customWidth="1"/>
    <col min="10" max="10" width="8.44140625" style="8" customWidth="1"/>
    <col min="11" max="16384" width="11.44140625" style="8"/>
  </cols>
  <sheetData>
    <row r="1" spans="1:10" ht="9.9" customHeight="1" x14ac:dyDescent="0.3">
      <c r="A1" s="175"/>
    </row>
    <row r="2" spans="1:10" ht="12.9" customHeight="1" x14ac:dyDescent="0.25">
      <c r="A2" s="48"/>
      <c r="B2" s="548" t="s">
        <v>961</v>
      </c>
      <c r="C2" s="166"/>
    </row>
    <row r="3" spans="1:10" ht="16.8" x14ac:dyDescent="0.3">
      <c r="A3" s="176"/>
      <c r="B3" s="192" t="s">
        <v>205</v>
      </c>
      <c r="C3" s="177"/>
    </row>
    <row r="4" spans="1:10" ht="16.8" x14ac:dyDescent="0.3">
      <c r="A4" s="178"/>
      <c r="I4" s="179"/>
    </row>
    <row r="5" spans="1:10" ht="15" customHeight="1" x14ac:dyDescent="0.25">
      <c r="E5" s="13"/>
      <c r="F5" s="13"/>
      <c r="G5" s="13"/>
      <c r="H5" s="13"/>
      <c r="I5" s="179"/>
    </row>
    <row r="6" spans="1:10" ht="15" customHeight="1" x14ac:dyDescent="0.25">
      <c r="A6" s="58"/>
      <c r="B6" s="184" t="s">
        <v>81</v>
      </c>
      <c r="C6" s="652"/>
      <c r="D6" s="653"/>
      <c r="E6" s="654"/>
      <c r="F6" s="183"/>
      <c r="G6" s="183"/>
      <c r="H6" s="183"/>
      <c r="I6" s="661" t="s">
        <v>527</v>
      </c>
      <c r="J6" s="661"/>
    </row>
    <row r="7" spans="1:10" ht="6.9" customHeight="1" x14ac:dyDescent="0.25">
      <c r="A7" s="58"/>
      <c r="B7" s="183"/>
      <c r="C7" s="183"/>
      <c r="D7" s="183"/>
      <c r="E7" s="185"/>
      <c r="F7" s="185"/>
      <c r="G7" s="182"/>
      <c r="H7" s="182"/>
      <c r="I7" s="183"/>
      <c r="J7" s="183"/>
    </row>
    <row r="8" spans="1:10" s="58" customFormat="1" ht="15" customHeight="1" x14ac:dyDescent="0.2">
      <c r="B8" s="184" t="s">
        <v>135</v>
      </c>
      <c r="C8" s="662" t="str">
        <f>IF($C$6="","",Datenquelle!B105)</f>
        <v/>
      </c>
      <c r="D8" s="663"/>
      <c r="E8" s="663"/>
      <c r="F8" s="663"/>
      <c r="G8" s="663"/>
      <c r="H8" s="663"/>
      <c r="I8" s="663"/>
      <c r="J8" s="664"/>
    </row>
    <row r="9" spans="1:10" s="58" customFormat="1" ht="6.9" customHeight="1" x14ac:dyDescent="0.25">
      <c r="B9" s="182"/>
      <c r="C9" s="186"/>
      <c r="D9" s="186"/>
      <c r="E9" s="186"/>
      <c r="F9" s="187"/>
      <c r="G9" s="187"/>
      <c r="H9" s="187"/>
      <c r="I9" s="187"/>
      <c r="J9" s="183"/>
    </row>
    <row r="10" spans="1:10" s="58" customFormat="1" ht="15" customHeight="1" x14ac:dyDescent="0.2">
      <c r="B10" s="184" t="s">
        <v>136</v>
      </c>
      <c r="C10" s="662" t="str">
        <f>IF($C$6="","",Datenquelle!C105)</f>
        <v/>
      </c>
      <c r="D10" s="663"/>
      <c r="E10" s="663"/>
      <c r="F10" s="663"/>
      <c r="G10" s="663"/>
      <c r="H10" s="663"/>
      <c r="I10" s="663"/>
      <c r="J10" s="664"/>
    </row>
    <row r="11" spans="1:10" s="58" customFormat="1" ht="6.9" customHeight="1" x14ac:dyDescent="0.25">
      <c r="B11" s="182"/>
      <c r="C11" s="186"/>
      <c r="D11" s="186"/>
      <c r="E11" s="186"/>
      <c r="F11" s="187"/>
      <c r="G11" s="187"/>
      <c r="H11" s="187"/>
      <c r="I11" s="187"/>
      <c r="J11" s="183"/>
    </row>
    <row r="12" spans="1:10" s="58" customFormat="1" ht="15" customHeight="1" x14ac:dyDescent="0.25">
      <c r="B12" s="183" t="s">
        <v>401</v>
      </c>
      <c r="C12" s="665"/>
      <c r="D12" s="666"/>
      <c r="E12" s="667"/>
      <c r="F12" s="659" t="s">
        <v>351</v>
      </c>
      <c r="G12" s="659"/>
      <c r="H12" s="660"/>
      <c r="I12" s="657"/>
      <c r="J12" s="658"/>
    </row>
    <row r="13" spans="1:10" s="58" customFormat="1" ht="6.9" customHeight="1" x14ac:dyDescent="0.25">
      <c r="B13" s="188"/>
      <c r="C13" s="188"/>
      <c r="D13" s="188"/>
      <c r="E13" s="185"/>
      <c r="F13" s="247"/>
      <c r="G13" s="186"/>
      <c r="H13" s="186"/>
      <c r="I13" s="183"/>
      <c r="J13" s="183"/>
    </row>
    <row r="14" spans="1:10" s="58" customFormat="1" ht="15" customHeight="1" x14ac:dyDescent="0.2">
      <c r="B14" s="189"/>
      <c r="C14" s="487"/>
      <c r="D14" s="487"/>
      <c r="E14" s="190"/>
      <c r="F14" s="668" t="s">
        <v>350</v>
      </c>
      <c r="G14" s="668"/>
      <c r="H14" s="669"/>
      <c r="I14" s="683" t="str">
        <f>IF($C$6="","",Datenquelle!G105)</f>
        <v/>
      </c>
      <c r="J14" s="683"/>
    </row>
    <row r="15" spans="1:10" ht="6.9" customHeight="1" x14ac:dyDescent="0.25">
      <c r="B15" s="188"/>
      <c r="C15" s="188"/>
      <c r="D15" s="188"/>
      <c r="E15" s="183"/>
      <c r="F15" s="187"/>
      <c r="G15" s="187"/>
      <c r="H15" s="187"/>
      <c r="I15" s="183"/>
      <c r="J15" s="183"/>
    </row>
    <row r="16" spans="1:10" s="58" customFormat="1" ht="15" customHeight="1" x14ac:dyDescent="0.25">
      <c r="B16" s="191"/>
      <c r="C16" s="651"/>
      <c r="D16" s="651"/>
      <c r="E16" s="191"/>
      <c r="F16" s="670" t="s">
        <v>352</v>
      </c>
      <c r="G16" s="670"/>
      <c r="H16" s="671"/>
      <c r="I16" s="684">
        <v>2022</v>
      </c>
      <c r="J16" s="684"/>
    </row>
    <row r="17" spans="1:13" s="58" customFormat="1" ht="5.25" customHeight="1" x14ac:dyDescent="0.2">
      <c r="B17" s="167"/>
      <c r="C17" s="167"/>
      <c r="E17" s="324"/>
      <c r="G17" s="180"/>
      <c r="H17" s="180"/>
    </row>
    <row r="18" spans="1:13" s="58" customFormat="1" ht="5.25" customHeight="1" x14ac:dyDescent="0.2">
      <c r="F18" s="656"/>
      <c r="G18" s="656"/>
      <c r="H18" s="656"/>
      <c r="I18" s="656"/>
      <c r="J18" s="656"/>
    </row>
    <row r="19" spans="1:13" s="58" customFormat="1" ht="5.25" customHeight="1" x14ac:dyDescent="0.2">
      <c r="F19" s="681"/>
      <c r="G19" s="681"/>
      <c r="H19" s="681"/>
      <c r="I19" s="681"/>
      <c r="J19" s="681"/>
      <c r="M19" s="58" t="s">
        <v>400</v>
      </c>
    </row>
    <row r="20" spans="1:13" s="181" customFormat="1" ht="5.25" customHeight="1" x14ac:dyDescent="0.2">
      <c r="B20" s="323"/>
      <c r="C20" s="323"/>
      <c r="D20" s="323"/>
      <c r="E20" s="323"/>
      <c r="F20" s="323"/>
      <c r="G20" s="323"/>
      <c r="H20" s="323"/>
      <c r="I20" s="323"/>
      <c r="J20" s="323"/>
    </row>
    <row r="21" spans="1:13" s="58" customFormat="1" ht="15" customHeight="1" x14ac:dyDescent="0.2">
      <c r="B21" s="655" t="s">
        <v>393</v>
      </c>
      <c r="C21" s="655"/>
      <c r="D21" s="655"/>
      <c r="E21" s="655"/>
      <c r="F21" s="655" t="s">
        <v>608</v>
      </c>
      <c r="G21" s="655"/>
      <c r="H21" s="655"/>
      <c r="I21" s="655"/>
      <c r="J21" s="655"/>
    </row>
    <row r="22" spans="1:13" s="58" customFormat="1" ht="15" customHeight="1" x14ac:dyDescent="0.2">
      <c r="B22" s="680" t="str">
        <f>IF($C$6="","",Datenquelle!F105)</f>
        <v/>
      </c>
      <c r="C22" s="680"/>
      <c r="D22" s="680"/>
      <c r="E22" s="680"/>
      <c r="F22" s="697"/>
      <c r="G22" s="697"/>
      <c r="H22" s="697"/>
      <c r="I22" s="697"/>
      <c r="J22" s="697"/>
    </row>
    <row r="23" spans="1:13" s="58" customFormat="1" ht="9.9" customHeight="1" x14ac:dyDescent="0.25">
      <c r="B23" s="182"/>
      <c r="C23" s="182"/>
      <c r="D23" s="182"/>
      <c r="E23" s="183"/>
      <c r="F23" s="183"/>
      <c r="G23" s="183"/>
      <c r="H23" s="183"/>
      <c r="I23" s="183"/>
      <c r="J23" s="183"/>
    </row>
    <row r="24" spans="1:13" s="58" customFormat="1" ht="15" customHeight="1" x14ac:dyDescent="0.2">
      <c r="B24" s="655" t="s">
        <v>22</v>
      </c>
      <c r="C24" s="655"/>
      <c r="D24" s="655"/>
      <c r="E24" s="655"/>
      <c r="F24" s="698" t="s">
        <v>511</v>
      </c>
      <c r="G24" s="698"/>
      <c r="H24" s="698"/>
      <c r="I24" s="698"/>
      <c r="J24" s="699"/>
    </row>
    <row r="25" spans="1:13" s="58" customFormat="1" ht="15" customHeight="1" x14ac:dyDescent="0.2">
      <c r="B25" s="672"/>
      <c r="C25" s="673"/>
      <c r="D25" s="673"/>
      <c r="E25" s="674"/>
      <c r="F25" s="675" t="s">
        <v>427</v>
      </c>
      <c r="G25" s="676"/>
      <c r="H25" s="676"/>
      <c r="I25" s="676"/>
      <c r="J25" s="677"/>
    </row>
    <row r="26" spans="1:13" s="58" customFormat="1" ht="27" customHeight="1" thickBot="1" x14ac:dyDescent="0.25">
      <c r="B26" s="678"/>
      <c r="C26" s="679"/>
      <c r="D26" s="679"/>
      <c r="E26" s="679"/>
      <c r="F26" s="679"/>
      <c r="G26" s="679"/>
      <c r="H26" s="679"/>
      <c r="I26" s="679"/>
      <c r="J26" s="679"/>
    </row>
    <row r="27" spans="1:13" s="58" customFormat="1" ht="27" customHeight="1" x14ac:dyDescent="0.2">
      <c r="A27" s="126"/>
      <c r="B27" s="643" t="s">
        <v>643</v>
      </c>
      <c r="C27" s="644"/>
      <c r="D27" s="552" t="s">
        <v>173</v>
      </c>
      <c r="E27" s="553" t="s">
        <v>174</v>
      </c>
      <c r="F27" s="553" t="s">
        <v>175</v>
      </c>
      <c r="G27" s="552" t="s">
        <v>176</v>
      </c>
      <c r="H27" s="552" t="s">
        <v>177</v>
      </c>
      <c r="I27" s="552" t="s">
        <v>178</v>
      </c>
      <c r="J27" s="695" t="s">
        <v>14</v>
      </c>
    </row>
    <row r="28" spans="1:13" s="58" customFormat="1" ht="15.75" customHeight="1" x14ac:dyDescent="0.25">
      <c r="A28" s="126"/>
      <c r="B28" s="645"/>
      <c r="C28" s="646"/>
      <c r="D28" s="690" t="s">
        <v>179</v>
      </c>
      <c r="E28" s="690" t="s">
        <v>180</v>
      </c>
      <c r="F28" s="690" t="s">
        <v>181</v>
      </c>
      <c r="G28" s="554" t="s">
        <v>182</v>
      </c>
      <c r="H28" s="691" t="s">
        <v>652</v>
      </c>
      <c r="I28" s="694" t="s">
        <v>346</v>
      </c>
      <c r="J28" s="696"/>
    </row>
    <row r="29" spans="1:13" s="58" customFormat="1" ht="17.25" customHeight="1" x14ac:dyDescent="0.2">
      <c r="A29" s="126"/>
      <c r="B29" s="645"/>
      <c r="C29" s="646"/>
      <c r="D29" s="690"/>
      <c r="E29" s="690"/>
      <c r="F29" s="690"/>
      <c r="G29" s="555" t="s">
        <v>183</v>
      </c>
      <c r="H29" s="691"/>
      <c r="I29" s="694"/>
      <c r="J29" s="696"/>
    </row>
    <row r="30" spans="1:13" s="58" customFormat="1" ht="15" customHeight="1" thickBot="1" x14ac:dyDescent="0.25">
      <c r="A30" s="126"/>
      <c r="B30" s="645"/>
      <c r="C30" s="646"/>
      <c r="D30" s="690"/>
      <c r="E30" s="690"/>
      <c r="F30" s="690"/>
      <c r="G30" s="561" t="s">
        <v>184</v>
      </c>
      <c r="H30" s="691"/>
      <c r="I30" s="694"/>
      <c r="J30" s="696"/>
    </row>
    <row r="31" spans="1:13" s="58" customFormat="1" ht="48" customHeight="1" x14ac:dyDescent="0.2">
      <c r="B31" s="692" t="s">
        <v>653</v>
      </c>
      <c r="C31" s="693"/>
      <c r="D31" s="562"/>
      <c r="E31" s="562"/>
      <c r="F31" s="562"/>
      <c r="G31" s="562"/>
      <c r="H31" s="562"/>
      <c r="I31" s="562"/>
      <c r="J31" s="563" t="str">
        <f>IF(AND(D31="",E31="",F31="",G31="",H31="",I31=""),"",SUM(D31:I31))</f>
        <v/>
      </c>
    </row>
    <row r="32" spans="1:13" s="58" customFormat="1" ht="66.75" customHeight="1" thickBot="1" x14ac:dyDescent="0.25">
      <c r="A32" s="126"/>
      <c r="B32" s="688" t="s">
        <v>697</v>
      </c>
      <c r="C32" s="689"/>
      <c r="D32" s="549"/>
      <c r="E32" s="550"/>
      <c r="F32" s="550"/>
      <c r="G32" s="550"/>
      <c r="H32" s="549"/>
      <c r="I32" s="549"/>
      <c r="J32" s="551" t="str">
        <f>IF(AND(D32="",E32="",F32="",G32="",H32="",I32=""),"",SUM(D32:I32))</f>
        <v/>
      </c>
    </row>
    <row r="33" spans="1:10" s="58" customFormat="1" ht="10.5" customHeight="1" thickBot="1" x14ac:dyDescent="0.25">
      <c r="A33" s="126"/>
      <c r="B33" s="174"/>
      <c r="C33" s="174"/>
      <c r="D33" s="170"/>
      <c r="E33" s="171"/>
      <c r="F33" s="171"/>
      <c r="G33" s="171"/>
      <c r="H33" s="170"/>
      <c r="I33" s="172"/>
      <c r="J33" s="53"/>
    </row>
    <row r="34" spans="1:10" s="58" customFormat="1" ht="28.5" customHeight="1" x14ac:dyDescent="0.2">
      <c r="A34" s="126"/>
      <c r="B34" s="647" t="s">
        <v>646</v>
      </c>
      <c r="C34" s="648"/>
      <c r="D34" s="648"/>
      <c r="E34" s="648"/>
      <c r="F34" s="648"/>
      <c r="G34" s="648"/>
      <c r="H34" s="648"/>
      <c r="I34" s="648"/>
      <c r="J34" s="556"/>
    </row>
    <row r="35" spans="1:10" s="58" customFormat="1" ht="28.5" customHeight="1" thickBot="1" x14ac:dyDescent="0.25">
      <c r="A35" s="126"/>
      <c r="B35" s="649" t="s">
        <v>698</v>
      </c>
      <c r="C35" s="650"/>
      <c r="D35" s="650"/>
      <c r="E35" s="650"/>
      <c r="F35" s="650"/>
      <c r="G35" s="650"/>
      <c r="H35" s="650"/>
      <c r="I35" s="650"/>
      <c r="J35" s="557"/>
    </row>
    <row r="36" spans="1:10" s="58" customFormat="1" ht="10.5" customHeight="1" thickBot="1" x14ac:dyDescent="0.25">
      <c r="A36" s="126"/>
      <c r="B36" s="174"/>
      <c r="C36" s="174"/>
      <c r="D36" s="170"/>
      <c r="E36" s="171"/>
      <c r="F36" s="171"/>
      <c r="G36" s="171"/>
      <c r="H36" s="170"/>
      <c r="I36" s="172"/>
      <c r="J36" s="53"/>
    </row>
    <row r="37" spans="1:10" s="58" customFormat="1" ht="28.5" customHeight="1" x14ac:dyDescent="0.2">
      <c r="A37" s="126"/>
      <c r="B37" s="647" t="s">
        <v>644</v>
      </c>
      <c r="C37" s="648"/>
      <c r="D37" s="648"/>
      <c r="E37" s="648"/>
      <c r="F37" s="648"/>
      <c r="G37" s="648"/>
      <c r="H37" s="648"/>
      <c r="I37" s="648"/>
      <c r="J37" s="558" t="str">
        <f>IF(AND(J31="",J34=""),"",SUM(J31,J34))</f>
        <v/>
      </c>
    </row>
    <row r="38" spans="1:10" s="58" customFormat="1" ht="28.5" customHeight="1" thickBot="1" x14ac:dyDescent="0.25">
      <c r="A38" s="126"/>
      <c r="B38" s="649" t="s">
        <v>645</v>
      </c>
      <c r="C38" s="650"/>
      <c r="D38" s="650"/>
      <c r="E38" s="650"/>
      <c r="F38" s="650"/>
      <c r="G38" s="650"/>
      <c r="H38" s="650"/>
      <c r="I38" s="650"/>
      <c r="J38" s="559" t="str">
        <f>IF(AND(J32="",J35=""),"",SUM(J32,J35))</f>
        <v/>
      </c>
    </row>
    <row r="39" spans="1:10" s="181" customFormat="1" ht="10.5" customHeight="1" thickBot="1" x14ac:dyDescent="0.25">
      <c r="A39" s="538"/>
      <c r="B39" s="537"/>
      <c r="C39" s="537"/>
      <c r="D39" s="537"/>
      <c r="E39" s="537"/>
      <c r="F39" s="537"/>
      <c r="G39" s="537"/>
      <c r="H39" s="537"/>
      <c r="I39" s="537"/>
      <c r="J39" s="53"/>
    </row>
    <row r="40" spans="1:10" s="58" customFormat="1" ht="28.5" customHeight="1" thickBot="1" x14ac:dyDescent="0.25">
      <c r="B40" s="685" t="s">
        <v>647</v>
      </c>
      <c r="C40" s="686"/>
      <c r="D40" s="686"/>
      <c r="E40" s="686"/>
      <c r="F40" s="686"/>
      <c r="G40" s="686"/>
      <c r="H40" s="686"/>
      <c r="I40" s="687"/>
      <c r="J40" s="560"/>
    </row>
    <row r="41" spans="1:10" customFormat="1" ht="9" customHeight="1" x14ac:dyDescent="0.3"/>
    <row r="42" spans="1:10" s="58" customFormat="1" ht="21.75" customHeight="1" x14ac:dyDescent="0.2">
      <c r="B42" s="642" t="s">
        <v>964</v>
      </c>
      <c r="C42" s="642"/>
      <c r="D42" s="642"/>
      <c r="E42" s="642"/>
      <c r="F42" s="642"/>
      <c r="G42" s="642"/>
      <c r="H42" s="642"/>
      <c r="I42" s="642"/>
      <c r="J42" s="642"/>
    </row>
    <row r="43" spans="1:10" s="58" customFormat="1" ht="5.4" customHeight="1" x14ac:dyDescent="0.2">
      <c r="B43" s="682" t="s">
        <v>823</v>
      </c>
      <c r="C43" s="682"/>
      <c r="D43" s="682"/>
      <c r="E43" s="682"/>
      <c r="F43" s="682"/>
      <c r="G43" s="682"/>
      <c r="H43" s="682"/>
      <c r="I43" s="682"/>
      <c r="J43" s="682"/>
    </row>
    <row r="44" spans="1:10" s="608" customFormat="1" ht="11.25" customHeight="1" x14ac:dyDescent="0.3">
      <c r="B44" s="682"/>
      <c r="C44" s="682"/>
      <c r="D44" s="682"/>
      <c r="E44" s="682"/>
      <c r="F44" s="682"/>
      <c r="G44" s="682"/>
      <c r="H44" s="682"/>
      <c r="I44" s="682"/>
      <c r="J44" s="682"/>
    </row>
    <row r="45" spans="1:10" ht="12" customHeight="1" x14ac:dyDescent="0.25">
      <c r="B45" s="682"/>
      <c r="C45" s="682"/>
      <c r="D45" s="682"/>
      <c r="E45" s="682"/>
      <c r="F45" s="682"/>
      <c r="G45" s="682"/>
      <c r="H45" s="682"/>
      <c r="I45" s="682"/>
      <c r="J45" s="682"/>
    </row>
    <row r="46" spans="1:10" ht="12" customHeight="1" x14ac:dyDescent="0.25">
      <c r="B46" s="682"/>
      <c r="C46" s="682"/>
      <c r="D46" s="682"/>
      <c r="E46" s="682"/>
      <c r="F46" s="682"/>
      <c r="G46" s="682"/>
      <c r="H46" s="682"/>
      <c r="I46" s="682"/>
      <c r="J46" s="682"/>
    </row>
    <row r="47" spans="1:10" x14ac:dyDescent="0.25">
      <c r="B47" s="682"/>
      <c r="C47" s="682"/>
      <c r="D47" s="682"/>
      <c r="E47" s="682"/>
      <c r="F47" s="682"/>
      <c r="G47" s="682"/>
      <c r="H47" s="682"/>
      <c r="I47" s="682"/>
      <c r="J47" s="682"/>
    </row>
    <row r="48" spans="1:10" x14ac:dyDescent="0.25">
      <c r="B48" s="682"/>
      <c r="C48" s="682"/>
      <c r="D48" s="682"/>
      <c r="E48" s="682"/>
      <c r="F48" s="682"/>
      <c r="G48" s="682"/>
      <c r="H48" s="682"/>
      <c r="I48" s="682"/>
      <c r="J48" s="682"/>
    </row>
    <row r="49" spans="2:10" x14ac:dyDescent="0.25">
      <c r="B49" s="682"/>
      <c r="C49" s="682"/>
      <c r="D49" s="682"/>
      <c r="E49" s="682"/>
      <c r="F49" s="682"/>
      <c r="G49" s="682"/>
      <c r="H49" s="682"/>
      <c r="I49" s="682"/>
      <c r="J49" s="682"/>
    </row>
    <row r="50" spans="2:10" ht="10.5" customHeight="1" x14ac:dyDescent="0.25">
      <c r="B50" s="682"/>
      <c r="C50" s="682"/>
      <c r="D50" s="682"/>
      <c r="E50" s="682"/>
      <c r="F50" s="682"/>
      <c r="G50" s="682"/>
      <c r="H50" s="682"/>
      <c r="I50" s="682"/>
      <c r="J50" s="682"/>
    </row>
    <row r="51" spans="2:10" ht="6" customHeight="1" x14ac:dyDescent="0.25">
      <c r="B51" s="682"/>
      <c r="C51" s="682"/>
      <c r="D51" s="682"/>
      <c r="E51" s="682"/>
      <c r="F51" s="682"/>
      <c r="G51" s="682"/>
      <c r="H51" s="682"/>
      <c r="I51" s="682"/>
      <c r="J51" s="682"/>
    </row>
    <row r="52" spans="2:10" ht="11.25" customHeight="1" x14ac:dyDescent="0.25">
      <c r="B52" s="682"/>
      <c r="C52" s="682"/>
      <c r="D52" s="682"/>
      <c r="E52" s="682"/>
      <c r="F52" s="682"/>
      <c r="G52" s="682"/>
      <c r="H52" s="682"/>
      <c r="I52" s="682"/>
      <c r="J52" s="682"/>
    </row>
    <row r="53" spans="2:10" ht="14.25" hidden="1" customHeight="1" x14ac:dyDescent="0.25">
      <c r="B53" s="682"/>
      <c r="C53" s="682"/>
      <c r="D53" s="682"/>
      <c r="E53" s="682"/>
      <c r="F53" s="682"/>
      <c r="G53" s="682"/>
      <c r="H53" s="682"/>
      <c r="I53" s="682"/>
      <c r="J53" s="682"/>
    </row>
    <row r="54" spans="2:10" ht="14.25" hidden="1" customHeight="1" x14ac:dyDescent="0.25">
      <c r="B54" s="682"/>
      <c r="C54" s="682"/>
      <c r="D54" s="682"/>
      <c r="E54" s="682"/>
      <c r="F54" s="682"/>
      <c r="G54" s="682"/>
      <c r="H54" s="682"/>
      <c r="I54" s="682"/>
      <c r="J54" s="682"/>
    </row>
    <row r="55" spans="2:10" ht="14.25" hidden="1" customHeight="1" x14ac:dyDescent="0.25">
      <c r="B55" s="682"/>
      <c r="C55" s="682"/>
      <c r="D55" s="682"/>
      <c r="E55" s="682"/>
      <c r="F55" s="682"/>
      <c r="G55" s="682"/>
      <c r="H55" s="682"/>
      <c r="I55" s="682"/>
      <c r="J55" s="682"/>
    </row>
    <row r="56" spans="2:10" ht="14.25" hidden="1" customHeight="1" x14ac:dyDescent="0.25">
      <c r="B56" s="682"/>
      <c r="C56" s="682"/>
      <c r="D56" s="682"/>
      <c r="E56" s="682"/>
      <c r="F56" s="682"/>
      <c r="G56" s="682"/>
      <c r="H56" s="682"/>
      <c r="I56" s="682"/>
      <c r="J56" s="682"/>
    </row>
    <row r="57" spans="2:10" ht="14.25" hidden="1" customHeight="1" x14ac:dyDescent="0.25">
      <c r="B57" s="682"/>
      <c r="C57" s="682"/>
      <c r="D57" s="682"/>
      <c r="E57" s="682"/>
      <c r="F57" s="682"/>
      <c r="G57" s="682"/>
      <c r="H57" s="682"/>
      <c r="I57" s="682"/>
      <c r="J57" s="682"/>
    </row>
    <row r="58" spans="2:10" ht="14.25" hidden="1" customHeight="1" x14ac:dyDescent="0.25">
      <c r="B58" s="682"/>
      <c r="C58" s="682"/>
      <c r="D58" s="682"/>
      <c r="E58" s="682"/>
      <c r="F58" s="682"/>
      <c r="G58" s="682"/>
      <c r="H58" s="682"/>
      <c r="I58" s="682"/>
      <c r="J58" s="682"/>
    </row>
    <row r="59" spans="2:10" ht="14.25" hidden="1" customHeight="1" x14ac:dyDescent="0.25">
      <c r="B59" s="682"/>
      <c r="C59" s="682"/>
      <c r="D59" s="682"/>
      <c r="E59" s="682"/>
      <c r="F59" s="682"/>
      <c r="G59" s="682"/>
      <c r="H59" s="682"/>
      <c r="I59" s="682"/>
      <c r="J59" s="682"/>
    </row>
    <row r="67" spans="2:9" hidden="1" x14ac:dyDescent="0.25">
      <c r="B67" s="266" t="str">
        <f>Berechnung1!C22</f>
        <v>Primärfälle</v>
      </c>
      <c r="C67" s="266" t="str">
        <f>Berechnung1!D22</f>
        <v>IA</v>
      </c>
      <c r="D67" s="266" t="str">
        <f>Berechnung1!E22</f>
        <v>IB</v>
      </c>
      <c r="E67" s="266" t="str">
        <f>Berechnung1!F22</f>
        <v>IIA</v>
      </c>
      <c r="F67" s="266" t="str">
        <f>Berechnung1!G22</f>
        <v>IIB</v>
      </c>
      <c r="G67" s="266" t="str">
        <f>Berechnung1!H22</f>
        <v>III</v>
      </c>
      <c r="H67" s="266" t="str">
        <f>Berechnung1!I22</f>
        <v>IV</v>
      </c>
      <c r="I67" s="266" t="str">
        <f>Berechnung1!J22</f>
        <v>Gesamt</v>
      </c>
    </row>
    <row r="68" spans="2:9" hidden="1" x14ac:dyDescent="0.25">
      <c r="B68" s="266" t="str">
        <f>Berechnung1!C23</f>
        <v>Primärfälle</v>
      </c>
      <c r="C68" s="266">
        <f>Berechnung1!D23</f>
        <v>0</v>
      </c>
      <c r="D68" s="266">
        <f>Berechnung1!E23</f>
        <v>0</v>
      </c>
      <c r="E68" s="266">
        <f>Berechnung1!F23</f>
        <v>0</v>
      </c>
      <c r="F68" s="266">
        <f>Berechnung1!G23</f>
        <v>0</v>
      </c>
      <c r="G68" s="266">
        <f>Berechnung1!H23</f>
        <v>0</v>
      </c>
      <c r="H68" s="266">
        <f>Berechnung1!I23</f>
        <v>0</v>
      </c>
      <c r="I68" s="266" t="str">
        <f>Berechnung1!J23</f>
        <v/>
      </c>
    </row>
    <row r="69" spans="2:9" hidden="1" x14ac:dyDescent="0.25">
      <c r="B69" s="266" t="str">
        <f>Berechnung1!C24</f>
        <v>Operierte Primärfälle</v>
      </c>
      <c r="C69" s="266">
        <f>Berechnung1!D24</f>
        <v>0</v>
      </c>
      <c r="D69" s="266">
        <f>Berechnung1!E24</f>
        <v>0</v>
      </c>
      <c r="E69" s="266">
        <f>Berechnung1!F24</f>
        <v>0</v>
      </c>
      <c r="F69" s="266">
        <f>Berechnung1!G24</f>
        <v>0</v>
      </c>
      <c r="G69" s="266">
        <f>Berechnung1!H24</f>
        <v>0</v>
      </c>
      <c r="H69" s="266">
        <f>Berechnung1!I24</f>
        <v>0</v>
      </c>
      <c r="I69" s="266" t="str">
        <f>Berechnung1!J24</f>
        <v/>
      </c>
    </row>
    <row r="70" spans="2:9" hidden="1" x14ac:dyDescent="0.25">
      <c r="B70" s="266" t="str">
        <f>Berechnung1!C25</f>
        <v>Operative Expertise</v>
      </c>
      <c r="C70" s="266">
        <f>Berechnung1!D25</f>
        <v>0</v>
      </c>
      <c r="D70" s="266">
        <f>Berechnung1!E25</f>
        <v>0</v>
      </c>
      <c r="E70" s="266">
        <f>Berechnung1!F25</f>
        <v>0</v>
      </c>
      <c r="F70" s="266">
        <f>Berechnung1!G25</f>
        <v>0</v>
      </c>
      <c r="G70" s="266">
        <f>Berechnung1!H25</f>
        <v>0</v>
      </c>
      <c r="H70" s="266">
        <f>Berechnung1!I25</f>
        <v>0</v>
      </c>
      <c r="I70" s="266">
        <f>Berechnung1!J25</f>
        <v>0</v>
      </c>
    </row>
  </sheetData>
  <sheetProtection algorithmName="SHA-512" hashValue="XPrPFYXa5Iprkgv4MVNOQKDX3PsU2oki4k0HcJk91o1vGBZCXrN75rQKXnzeAj5LpILF0BlcSOJ5EsfuPEsxPQ==" saltValue="33zkJ34BDzb0TkVSss2nIQ==" spinCount="100000" sheet="1" objects="1" scenarios="1" selectLockedCells="1"/>
  <dataConsolidate/>
  <customSheetViews>
    <customSheetView guid="{DAA0C1F4-4D8F-4BD8-91F9-40281B589772}" showGridLines="0">
      <selection activeCell="K19" sqref="K19"/>
      <pageMargins left="0.15748031496062992" right="0.15748031496062992" top="0.27559055118110237" bottom="0.27559055118110237" header="0.11811023622047245" footer="0.11811023622047245"/>
      <pageSetup paperSize="9" orientation="portrait" r:id="rId1"/>
      <headerFooter>
        <oddFooter>&amp;L&amp;"Arial,Standard"&amp;7&amp;F&amp;C&amp;"Arial,Standard"&amp;7 © DKG  Alle Rechte vorbehalten&amp;R&amp;"Arial,Standard"&amp;7&amp;P</oddFooter>
        <firstHeader>&amp;C&amp;F&amp;RUnabhängiges Zertifizierungsinstitut
der Deutschen Krebsgesellschaft
Gartenstraße 24, D-89231 Neu-Ulm
Tel. +49  (0)7 31 / 70 51 16 - 0
Fax  +49  (0)7 31 / 70 51 16 - 16
www.onkozert.de, info@onkozert.d</firstHeader>
      </headerFooter>
    </customSheetView>
    <customSheetView guid="{AD479C9E-06F7-4C03-8179-295428B49475}" showGridLines="0">
      <selection activeCell="C42" sqref="C42"/>
      <pageMargins left="0.15748031496062992" right="0.15748031496062992" top="0.27559055118110237" bottom="0.27559055118110237" header="0.11811023622047245" footer="0.11811023622047245"/>
      <pageSetup paperSize="9" orientation="portrait" r:id="rId2"/>
      <headerFooter>
        <oddFooter>&amp;L&amp;"Arial,Standard"&amp;7&amp;F&amp;C&amp;"Arial,Standard"&amp;7 © DKG  Alle Rechte vorbehalten&amp;R&amp;"Arial,Standard"&amp;7&amp;P</oddFooter>
        <firstHeader>&amp;C&amp;F&amp;RUnabhängiges Zertifizierungsinstitut
der Deutschen Krebsgesellschaft
Gartenstraße 24, D-89231 Neu-Ulm
Tel. +49  (0)7 31 / 70 51 16 - 0
Fax  +49  (0)7 31 / 70 51 16 - 16
www.onkozert.de, info@onkozert.d</firstHeader>
      </headerFooter>
    </customSheetView>
  </customSheetViews>
  <mergeCells count="39">
    <mergeCell ref="B43:J59"/>
    <mergeCell ref="I14:J14"/>
    <mergeCell ref="I16:J16"/>
    <mergeCell ref="B40:I40"/>
    <mergeCell ref="B32:C32"/>
    <mergeCell ref="D28:D30"/>
    <mergeCell ref="E28:E30"/>
    <mergeCell ref="F28:F30"/>
    <mergeCell ref="H28:H30"/>
    <mergeCell ref="B31:C31"/>
    <mergeCell ref="I28:I30"/>
    <mergeCell ref="J27:J30"/>
    <mergeCell ref="F21:J21"/>
    <mergeCell ref="F22:J22"/>
    <mergeCell ref="B24:E24"/>
    <mergeCell ref="F24:J24"/>
    <mergeCell ref="B25:E25"/>
    <mergeCell ref="F25:J25"/>
    <mergeCell ref="B26:J26"/>
    <mergeCell ref="B22:E22"/>
    <mergeCell ref="F19:J19"/>
    <mergeCell ref="C16:D16"/>
    <mergeCell ref="C6:E6"/>
    <mergeCell ref="B21:E21"/>
    <mergeCell ref="F18:J18"/>
    <mergeCell ref="I12:J12"/>
    <mergeCell ref="F12:H12"/>
    <mergeCell ref="I6:J6"/>
    <mergeCell ref="C8:J8"/>
    <mergeCell ref="C10:J10"/>
    <mergeCell ref="C12:E12"/>
    <mergeCell ref="F14:H14"/>
    <mergeCell ref="F16:H16"/>
    <mergeCell ref="B42:J42"/>
    <mergeCell ref="B27:C30"/>
    <mergeCell ref="B34:I34"/>
    <mergeCell ref="B35:I35"/>
    <mergeCell ref="B37:I37"/>
    <mergeCell ref="B38:I38"/>
  </mergeCells>
  <phoneticPr fontId="40" type="noConversion"/>
  <conditionalFormatting sqref="C6">
    <cfRule type="expression" dxfId="447" priority="21">
      <formula>LEN(TRIM(C6))=0</formula>
    </cfRule>
  </conditionalFormatting>
  <conditionalFormatting sqref="C12">
    <cfRule type="expression" dxfId="446" priority="20">
      <formula>LEN(TRIM(C12))=0</formula>
    </cfRule>
  </conditionalFormatting>
  <conditionalFormatting sqref="I12:J12">
    <cfRule type="expression" dxfId="445" priority="19">
      <formula>LEN(TRIM(I12))=0</formula>
    </cfRule>
  </conditionalFormatting>
  <conditionalFormatting sqref="F22:J22">
    <cfRule type="expression" dxfId="444" priority="17">
      <formula>LEN(TRIM(F22))=0</formula>
    </cfRule>
  </conditionalFormatting>
  <conditionalFormatting sqref="B25:E25">
    <cfRule type="expression" dxfId="443" priority="15">
      <formula>LEN(TRIM(B25))=0</formula>
    </cfRule>
  </conditionalFormatting>
  <conditionalFormatting sqref="D31">
    <cfRule type="expression" dxfId="442" priority="14">
      <formula>LEN(TRIM(D31))=0</formula>
    </cfRule>
  </conditionalFormatting>
  <conditionalFormatting sqref="D32">
    <cfRule type="expression" dxfId="441" priority="13">
      <formula>LEN(TRIM(D32))=0</formula>
    </cfRule>
  </conditionalFormatting>
  <conditionalFormatting sqref="E31">
    <cfRule type="expression" dxfId="440" priority="12">
      <formula>LEN(TRIM(E31))=0</formula>
    </cfRule>
  </conditionalFormatting>
  <conditionalFormatting sqref="E32">
    <cfRule type="expression" dxfId="439" priority="11">
      <formula>LEN(TRIM(E32))=0</formula>
    </cfRule>
  </conditionalFormatting>
  <conditionalFormatting sqref="F31">
    <cfRule type="expression" dxfId="438" priority="10">
      <formula>LEN(TRIM(F31))=0</formula>
    </cfRule>
  </conditionalFormatting>
  <conditionalFormatting sqref="F32">
    <cfRule type="expression" dxfId="437" priority="9">
      <formula>LEN(TRIM(F32))=0</formula>
    </cfRule>
  </conditionalFormatting>
  <conditionalFormatting sqref="G31">
    <cfRule type="expression" dxfId="436" priority="8">
      <formula>LEN(TRIM(G31))=0</formula>
    </cfRule>
  </conditionalFormatting>
  <conditionalFormatting sqref="H31">
    <cfRule type="expression" dxfId="435" priority="7">
      <formula>LEN(TRIM(H31))=0</formula>
    </cfRule>
  </conditionalFormatting>
  <conditionalFormatting sqref="I31">
    <cfRule type="expression" dxfId="434" priority="6">
      <formula>LEN(TRIM(I31))=0</formula>
    </cfRule>
  </conditionalFormatting>
  <conditionalFormatting sqref="G32">
    <cfRule type="expression" dxfId="433" priority="5">
      <formula>LEN(TRIM(G32))=0</formula>
    </cfRule>
  </conditionalFormatting>
  <conditionalFormatting sqref="H32">
    <cfRule type="expression" dxfId="432" priority="4">
      <formula>LEN(TRIM(H32))=0</formula>
    </cfRule>
  </conditionalFormatting>
  <conditionalFormatting sqref="I32">
    <cfRule type="expression" dxfId="431" priority="3">
      <formula>LEN(TRIM(I32))=0</formula>
    </cfRule>
  </conditionalFormatting>
  <conditionalFormatting sqref="J40">
    <cfRule type="expression" dxfId="430" priority="2">
      <formula>LEN(TRIM(J40))=0</formula>
    </cfRule>
  </conditionalFormatting>
  <conditionalFormatting sqref="J34:J35">
    <cfRule type="expression" dxfId="429" priority="1">
      <formula>LEN(TRIM(J34))=0</formula>
    </cfRule>
  </conditionalFormatting>
  <dataValidations xWindow="315" yWindow="383" count="15">
    <dataValidation allowBlank="1" showInputMessage="1" showErrorMessage="1" errorTitle="Eingabefehler" sqref="I14 I16" xr:uid="{00000000-0002-0000-0000-000000000000}"/>
    <dataValidation type="date" allowBlank="1" showInputMessage="1" showErrorMessage="1" errorTitle="Eingabefehler" error="Erstelldatum: dd.mm.jjjj" sqref="C16" xr:uid="{00000000-0002-0000-0000-000001000000}">
      <formula1>41275</formula1>
      <formula2>41791</formula2>
    </dataValidation>
    <dataValidation showInputMessage="1" showErrorMessage="1" sqref="B20 B22:E22" xr:uid="{00000000-0002-0000-0000-000002000000}"/>
    <dataValidation type="date" errorStyle="information" allowBlank="1" showInputMessage="1" showErrorMessage="1" errorTitle="Kennzahlenjahr" error="Es können nur Kennzahlenjahre von 2012 bis 2014 eingetragen werden." sqref="G17:H17" xr:uid="{00000000-0002-0000-0000-000003000000}">
      <formula1>2010</formula1>
      <formula2>2012</formula2>
    </dataValidation>
    <dataValidation allowBlank="1" showInputMessage="1" showErrorMessage="1" errorTitle="Hinweis" error="Auswahl treffen über Dropdown-Liste." sqref="F19:J19" xr:uid="{00000000-0002-0000-0000-000004000000}"/>
    <dataValidation type="list" allowBlank="1" showInputMessage="1" showErrorMessage="1" errorTitle="Hinweis" error="Auswahl treffen über Dropdown-Liste." sqref="F22:J22" xr:uid="{00000000-0002-0000-0000-000005000000}">
      <formula1>AngabeKKR</formula1>
    </dataValidation>
    <dataValidation type="date" allowBlank="1" showErrorMessage="1" errorTitle="Eingabefehler" error="Format: tt.mm.jjjj_x000a__x000a_Zeitraum zwischen 01.10.2022 - 31.01.2024 angeben." sqref="I12:J12" xr:uid="{00000000-0002-0000-0000-000006000000}">
      <formula1>44835</formula1>
      <formula2>45322</formula2>
    </dataValidation>
    <dataValidation type="list" showInputMessage="1" showErrorMessage="1" errorTitle="Hinweis" error="Auswahl treffen über Dropdown-Liste." sqref="B25:E25" xr:uid="{00000000-0002-0000-0000-000007000000}">
      <formula1>Tumordokumentation</formula1>
    </dataValidation>
    <dataValidation type="whole" allowBlank="1" showInputMessage="1" showErrorMessage="1" errorTitle="Eingabefehler" error="1. Ganze Zahl zwischen 0 und 5000 eingeben._x000a_2. Anzahl Operative Primärfälle kann nicht größer sein als Anzahl Primärfälle." sqref="D32:I32" xr:uid="{00000000-0002-0000-0000-000008000000}">
      <formula1>0</formula1>
      <formula2>C68</formula2>
    </dataValidation>
    <dataValidation type="whole" allowBlank="1" showInputMessage="1" showErrorMessage="1" errorTitle="Eingabefehler" error="1. Ganze Zahl zwischen 0 und 5000 eingeben._x000a_2. Operative Expertise- Anzahl Pankreasresektionen kann nicht kleiner sein als Anzahl Operative Primärfälle." sqref="J40:J41" xr:uid="{00000000-0002-0000-0000-000009000000}">
      <formula1>I69</formula1>
      <formula2>5000</formula2>
    </dataValidation>
    <dataValidation type="list" allowBlank="1" showInputMessage="1" showErrorMessage="1" errorTitle="Hinweis" error="Auswahl treffen über Dropdown-Liste." sqref="C6" xr:uid="{00000000-0002-0000-0000-00000A000000}">
      <formula1>ZentrumRegNr</formula1>
    </dataValidation>
    <dataValidation type="whole" allowBlank="1" showInputMessage="1" showErrorMessage="1" errorTitle="Eingabefehler" error="1. Ganze Zahl zwischen 0 und 5000 eingeben._x000a_2. Anzahl Primärfälle kann nicht kleiner sein als Anzahl Operative Primärfälle." sqref="D31:I31" xr:uid="{00000000-0002-0000-0000-00000B000000}">
      <formula1>C69</formula1>
      <formula2>5000</formula2>
    </dataValidation>
    <dataValidation type="textLength" allowBlank="1" showErrorMessage="1" errorTitle="Eingabefehler" error="Nur Texteingabe bis 100 Zeichen möglich." prompt="Name Vorname" sqref="C12:E12" xr:uid="{00000000-0002-0000-0000-00000C000000}">
      <formula1>0</formula1>
      <formula2>100</formula2>
    </dataValidation>
    <dataValidation type="whole" allowBlank="1" showInputMessage="1" showErrorMessage="1" errorTitle="Eingabefehler" error="1. Ganze Zahl zwischen 0 und 5000 eingeben._x000a_2. Anzahl &quot;Primärfälle Neuroendokrine Tumoren (NET) und Neuroendokrine Karzinome (NEC)&quot; kann nicht kleiner sein als Anzahl &quot;davon operative Primärfälle NET und NEC&quot;." sqref="J34" xr:uid="{00000000-0002-0000-0000-00000D000000}">
      <formula1>J35</formula1>
      <formula2>5000</formula2>
    </dataValidation>
    <dataValidation type="whole" allowBlank="1" showInputMessage="1" showErrorMessage="1" errorTitle="Eingabefehler" error="1. Ganze Zahl zwischen 0 und 5000 eingeben._x000a_2. Anzahl &quot;davon operative Primärfälle NET und NEC&quot; kann nicht größer sein als Anzahl &quot;Primärfälle Neuroendokrine Tumoren (NET) und Neuroendokrine Karzinome (NEC)&quot;." sqref="J35" xr:uid="{00000000-0002-0000-0000-00000E000000}">
      <formula1>0</formula1>
      <formula2>J34</formula2>
    </dataValidation>
  </dataValidations>
  <pageMargins left="0.59055118110236227" right="3.937007874015748E-2" top="0.39370078740157483" bottom="0.39370078740157483" header="0.11811023622047245" footer="0.11811023622047245"/>
  <pageSetup paperSize="9" scale="95" orientation="portrait" r:id="rId3"/>
  <headerFooter>
    <oddFooter>&amp;L&amp;"Arial,Standard"&amp;7&amp;F&amp;C&amp;"Arial,Standard"&amp;7 © DKG  Alle Rechte vorbehalten&amp;R&amp;"Arial,Standard"&amp;7&amp;P</oddFooter>
    <firstHeader>&amp;C&amp;F&amp;RUnabhängiges Zertifizierungsinstitut
der Deutschen Krebsgesellschaft
Gartenstraße 24, D-89231 Neu-Ulm
Tel. +49  (0)7 31 / 70 51 16 - 0
Fax  +49  (0)7 31 / 70 51 16 - 16
www.onkozert.de, info@onkozert.d</firstHeader>
  </headerFooter>
  <drawing r:id="rId4"/>
  <legacyDrawing r:id="rId5"/>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8"/>
  <dimension ref="A1:AA494"/>
  <sheetViews>
    <sheetView topLeftCell="A82" zoomScaleNormal="100" workbookViewId="0">
      <selection activeCell="F251" sqref="F251"/>
    </sheetView>
  </sheetViews>
  <sheetFormatPr defaultColWidth="11.44140625" defaultRowHeight="13.8" x14ac:dyDescent="0.25"/>
  <cols>
    <col min="1" max="1" width="34.44140625" style="369" customWidth="1"/>
    <col min="2" max="2" width="62.6640625" style="369" customWidth="1"/>
    <col min="3" max="3" width="49.88671875" style="369" customWidth="1"/>
    <col min="4" max="4" width="11.33203125" style="370" customWidth="1"/>
    <col min="5" max="5" width="34.5546875" style="370" customWidth="1"/>
    <col min="6" max="6" width="27.5546875" style="369" customWidth="1"/>
    <col min="7" max="7" width="25" style="369" customWidth="1"/>
    <col min="8" max="8" width="35" style="369" customWidth="1"/>
    <col min="9" max="11" width="32.6640625" style="369" customWidth="1"/>
    <col min="12" max="12" width="33.88671875" style="369" customWidth="1"/>
    <col min="13" max="13" width="34.88671875" style="369" customWidth="1"/>
    <col min="14" max="15" width="32.6640625" style="369" customWidth="1"/>
    <col min="16" max="16" width="32.6640625" style="369" bestFit="1" customWidth="1"/>
    <col min="17" max="18" width="33.88671875" style="369" customWidth="1"/>
    <col min="19" max="19" width="37.33203125" style="369" customWidth="1"/>
    <col min="20" max="20" width="33.88671875" style="369" customWidth="1"/>
    <col min="21" max="23" width="18.109375" style="369" customWidth="1"/>
    <col min="24" max="24" width="17.33203125" style="369" customWidth="1"/>
    <col min="25" max="31" width="9.109375" style="369" customWidth="1"/>
    <col min="32" max="32" width="13.5546875" style="369" customWidth="1"/>
    <col min="33" max="44" width="9.109375" style="369" customWidth="1"/>
    <col min="45" max="45" width="16.109375" style="369" customWidth="1"/>
    <col min="46" max="46" width="13.88671875" style="369" customWidth="1"/>
    <col min="47" max="47" width="9.109375" style="369" customWidth="1"/>
    <col min="48" max="48" width="15" style="369" customWidth="1"/>
    <col min="49" max="49" width="19.6640625" style="369" customWidth="1"/>
    <col min="50" max="50" width="15.6640625" style="369" customWidth="1"/>
    <col min="51" max="104" width="9.109375" style="369" customWidth="1"/>
    <col min="105" max="106" width="16.5546875" style="369" customWidth="1"/>
    <col min="107" max="107" width="15.5546875" style="369" customWidth="1"/>
    <col min="108" max="108" width="19" style="369" customWidth="1"/>
    <col min="109" max="16384" width="11.44140625" style="369"/>
  </cols>
  <sheetData>
    <row r="1" spans="1:5" x14ac:dyDescent="0.25">
      <c r="A1" s="82" t="s">
        <v>22</v>
      </c>
      <c r="B1" s="584" t="s">
        <v>76</v>
      </c>
      <c r="C1" s="584" t="s">
        <v>76</v>
      </c>
      <c r="D1" s="582"/>
      <c r="E1" s="81" t="s">
        <v>156</v>
      </c>
    </row>
    <row r="2" spans="1:5" x14ac:dyDescent="0.25">
      <c r="A2" s="509" t="s">
        <v>975</v>
      </c>
      <c r="B2" s="584" t="s">
        <v>387</v>
      </c>
      <c r="C2" s="584" t="s">
        <v>387</v>
      </c>
      <c r="D2" s="581"/>
      <c r="E2" s="231" t="s">
        <v>157</v>
      </c>
    </row>
    <row r="3" spans="1:5" x14ac:dyDescent="0.25">
      <c r="A3" s="70"/>
      <c r="B3" s="584" t="s">
        <v>402</v>
      </c>
      <c r="C3" s="584" t="s">
        <v>402</v>
      </c>
      <c r="D3" s="581"/>
      <c r="E3" s="95"/>
    </row>
    <row r="4" spans="1:5" x14ac:dyDescent="0.25">
      <c r="A4" s="70"/>
      <c r="B4" s="584" t="s">
        <v>718</v>
      </c>
      <c r="C4" s="584" t="s">
        <v>718</v>
      </c>
      <c r="D4" s="581"/>
      <c r="E4" s="95"/>
    </row>
    <row r="5" spans="1:5" x14ac:dyDescent="0.25">
      <c r="A5" s="70"/>
      <c r="B5" s="584" t="s">
        <v>466</v>
      </c>
      <c r="C5" s="584" t="s">
        <v>466</v>
      </c>
      <c r="D5" s="581"/>
      <c r="E5" s="95"/>
    </row>
    <row r="6" spans="1:5" x14ac:dyDescent="0.25">
      <c r="A6" s="70"/>
      <c r="B6" s="584" t="s">
        <v>403</v>
      </c>
      <c r="C6" s="584" t="s">
        <v>403</v>
      </c>
      <c r="D6" s="581"/>
      <c r="E6" s="95"/>
    </row>
    <row r="7" spans="1:5" x14ac:dyDescent="0.25">
      <c r="A7" s="70"/>
      <c r="B7" s="584" t="s">
        <v>719</v>
      </c>
      <c r="C7" s="584" t="s">
        <v>719</v>
      </c>
      <c r="D7" s="581"/>
      <c r="E7" s="95"/>
    </row>
    <row r="8" spans="1:5" x14ac:dyDescent="0.25">
      <c r="A8" s="70"/>
      <c r="B8" s="584" t="s">
        <v>404</v>
      </c>
      <c r="C8" s="584" t="s">
        <v>404</v>
      </c>
      <c r="D8" s="581"/>
      <c r="E8" s="95"/>
    </row>
    <row r="9" spans="1:5" x14ac:dyDescent="0.25">
      <c r="A9" s="70"/>
      <c r="B9" s="584" t="s">
        <v>720</v>
      </c>
      <c r="C9" s="596" t="s">
        <v>777</v>
      </c>
      <c r="D9" s="581" t="s">
        <v>523</v>
      </c>
      <c r="E9" s="95"/>
    </row>
    <row r="10" spans="1:5" x14ac:dyDescent="0.25">
      <c r="A10" s="70"/>
      <c r="B10" s="584" t="s">
        <v>388</v>
      </c>
      <c r="C10" s="584" t="s">
        <v>720</v>
      </c>
      <c r="D10" s="581"/>
      <c r="E10" s="95"/>
    </row>
    <row r="11" spans="1:5" x14ac:dyDescent="0.25">
      <c r="A11" s="70"/>
      <c r="B11" s="597" t="s">
        <v>721</v>
      </c>
      <c r="C11" s="584" t="s">
        <v>388</v>
      </c>
      <c r="D11" s="581"/>
      <c r="E11" s="95"/>
    </row>
    <row r="12" spans="1:5" x14ac:dyDescent="0.25">
      <c r="A12" s="70"/>
      <c r="B12" s="584" t="s">
        <v>467</v>
      </c>
      <c r="C12" s="597" t="s">
        <v>721</v>
      </c>
      <c r="D12" s="581" t="s">
        <v>521</v>
      </c>
      <c r="E12" s="95"/>
    </row>
    <row r="13" spans="1:5" x14ac:dyDescent="0.25">
      <c r="A13" s="70"/>
      <c r="B13" s="584" t="s">
        <v>468</v>
      </c>
      <c r="C13" s="584" t="s">
        <v>467</v>
      </c>
      <c r="D13" s="581"/>
      <c r="E13" s="95"/>
    </row>
    <row r="14" spans="1:5" x14ac:dyDescent="0.25">
      <c r="A14" s="70"/>
      <c r="B14" s="584" t="s">
        <v>20</v>
      </c>
      <c r="C14" s="584" t="s">
        <v>468</v>
      </c>
      <c r="D14" s="581"/>
      <c r="E14" s="95"/>
    </row>
    <row r="15" spans="1:5" x14ac:dyDescent="0.25">
      <c r="A15" s="70"/>
      <c r="B15" s="584" t="s">
        <v>405</v>
      </c>
      <c r="C15" s="584" t="s">
        <v>20</v>
      </c>
      <c r="D15" s="581"/>
      <c r="E15" s="95"/>
    </row>
    <row r="16" spans="1:5" x14ac:dyDescent="0.25">
      <c r="A16" s="70"/>
      <c r="B16" s="584" t="s">
        <v>446</v>
      </c>
      <c r="C16" s="584" t="s">
        <v>405</v>
      </c>
      <c r="D16" s="581"/>
      <c r="E16" s="95"/>
    </row>
    <row r="17" spans="1:5" x14ac:dyDescent="0.25">
      <c r="A17" s="70"/>
      <c r="B17" s="584" t="s">
        <v>279</v>
      </c>
      <c r="C17" s="584" t="s">
        <v>446</v>
      </c>
      <c r="D17" s="581"/>
      <c r="E17" s="95"/>
    </row>
    <row r="18" spans="1:5" x14ac:dyDescent="0.25">
      <c r="A18" s="70"/>
      <c r="B18" s="584" t="s">
        <v>458</v>
      </c>
      <c r="C18" s="584" t="s">
        <v>279</v>
      </c>
      <c r="D18" s="594"/>
      <c r="E18" s="95"/>
    </row>
    <row r="19" spans="1:5" x14ac:dyDescent="0.25">
      <c r="A19" s="70"/>
      <c r="B19" s="584" t="s">
        <v>23</v>
      </c>
      <c r="C19" s="584" t="s">
        <v>458</v>
      </c>
      <c r="D19" s="581"/>
      <c r="E19" s="95"/>
    </row>
    <row r="20" spans="1:5" x14ac:dyDescent="0.25">
      <c r="A20" s="70"/>
      <c r="B20" s="597" t="s">
        <v>406</v>
      </c>
      <c r="C20" s="584" t="s">
        <v>23</v>
      </c>
      <c r="D20" s="581"/>
      <c r="E20" s="95"/>
    </row>
    <row r="21" spans="1:5" x14ac:dyDescent="0.25">
      <c r="A21" s="70"/>
      <c r="B21" s="597" t="s">
        <v>518</v>
      </c>
      <c r="C21" s="598" t="s">
        <v>406</v>
      </c>
      <c r="D21" s="581" t="s">
        <v>521</v>
      </c>
      <c r="E21" s="95"/>
    </row>
    <row r="22" spans="1:5" x14ac:dyDescent="0.25">
      <c r="A22" s="70"/>
      <c r="B22" s="584" t="s">
        <v>478</v>
      </c>
      <c r="C22" s="597" t="s">
        <v>518</v>
      </c>
      <c r="D22" s="581" t="s">
        <v>521</v>
      </c>
      <c r="E22" s="95"/>
    </row>
    <row r="23" spans="1:5" x14ac:dyDescent="0.25">
      <c r="A23" s="70"/>
      <c r="B23" s="584" t="s">
        <v>278</v>
      </c>
      <c r="C23" s="584" t="s">
        <v>478</v>
      </c>
      <c r="D23" s="581"/>
      <c r="E23" s="95"/>
    </row>
    <row r="24" spans="1:5" x14ac:dyDescent="0.25">
      <c r="A24" s="70"/>
      <c r="B24" s="584" t="s">
        <v>654</v>
      </c>
      <c r="C24" s="584" t="s">
        <v>278</v>
      </c>
      <c r="D24" s="581"/>
      <c r="E24" s="95"/>
    </row>
    <row r="25" spans="1:5" x14ac:dyDescent="0.25">
      <c r="A25" s="70"/>
      <c r="B25" s="584" t="s">
        <v>407</v>
      </c>
      <c r="C25" s="599" t="s">
        <v>519</v>
      </c>
      <c r="D25" s="581" t="s">
        <v>522</v>
      </c>
      <c r="E25" s="95"/>
    </row>
    <row r="26" spans="1:5" x14ac:dyDescent="0.25">
      <c r="A26" s="70"/>
      <c r="B26" s="597" t="s">
        <v>469</v>
      </c>
      <c r="C26" s="584" t="s">
        <v>654</v>
      </c>
      <c r="D26" s="581"/>
      <c r="E26" s="95"/>
    </row>
    <row r="27" spans="1:5" x14ac:dyDescent="0.25">
      <c r="A27" s="70"/>
      <c r="B27" s="584" t="s">
        <v>408</v>
      </c>
      <c r="C27" s="596" t="s">
        <v>722</v>
      </c>
      <c r="D27" s="581" t="s">
        <v>523</v>
      </c>
      <c r="E27" s="95"/>
    </row>
    <row r="28" spans="1:5" x14ac:dyDescent="0.25">
      <c r="A28" s="70"/>
      <c r="B28" s="584" t="s">
        <v>409</v>
      </c>
      <c r="C28" s="584" t="s">
        <v>407</v>
      </c>
      <c r="D28" s="581"/>
      <c r="E28" s="95"/>
    </row>
    <row r="29" spans="1:5" x14ac:dyDescent="0.25">
      <c r="A29" s="70"/>
      <c r="B29" s="584" t="s">
        <v>723</v>
      </c>
      <c r="C29" s="597" t="s">
        <v>469</v>
      </c>
      <c r="D29" s="581" t="s">
        <v>521</v>
      </c>
      <c r="E29" s="95"/>
    </row>
    <row r="30" spans="1:5" x14ac:dyDescent="0.25">
      <c r="A30" s="70"/>
      <c r="B30" s="584" t="s">
        <v>471</v>
      </c>
      <c r="C30" s="584" t="s">
        <v>408</v>
      </c>
      <c r="D30" s="581"/>
      <c r="E30" s="95"/>
    </row>
    <row r="31" spans="1:5" x14ac:dyDescent="0.25">
      <c r="A31" s="70"/>
      <c r="B31" s="584" t="s">
        <v>280</v>
      </c>
      <c r="C31" s="584" t="s">
        <v>409</v>
      </c>
      <c r="D31" s="581"/>
      <c r="E31" s="95"/>
    </row>
    <row r="32" spans="1:5" x14ac:dyDescent="0.25">
      <c r="A32" s="70"/>
      <c r="B32" s="584" t="s">
        <v>473</v>
      </c>
      <c r="C32" s="584" t="s">
        <v>723</v>
      </c>
      <c r="D32" s="581"/>
      <c r="E32" s="95"/>
    </row>
    <row r="33" spans="1:5" x14ac:dyDescent="0.25">
      <c r="A33" s="70"/>
      <c r="B33" s="584" t="s">
        <v>410</v>
      </c>
      <c r="C33" s="584" t="s">
        <v>471</v>
      </c>
      <c r="D33" s="581"/>
      <c r="E33" s="95"/>
    </row>
    <row r="34" spans="1:5" x14ac:dyDescent="0.25">
      <c r="A34" s="70"/>
      <c r="B34" s="584" t="s">
        <v>281</v>
      </c>
      <c r="C34" s="596" t="s">
        <v>724</v>
      </c>
      <c r="D34" s="581" t="s">
        <v>523</v>
      </c>
      <c r="E34" s="95"/>
    </row>
    <row r="35" spans="1:5" x14ac:dyDescent="0.25">
      <c r="A35" s="70"/>
      <c r="B35" s="584" t="s">
        <v>389</v>
      </c>
      <c r="C35" s="584" t="s">
        <v>280</v>
      </c>
      <c r="D35" s="581"/>
      <c r="E35" s="95"/>
    </row>
    <row r="36" spans="1:5" x14ac:dyDescent="0.25">
      <c r="A36" s="70"/>
      <c r="B36" s="584" t="s">
        <v>411</v>
      </c>
      <c r="C36" s="584" t="s">
        <v>473</v>
      </c>
      <c r="D36" s="581"/>
      <c r="E36" s="95"/>
    </row>
    <row r="37" spans="1:5" x14ac:dyDescent="0.25">
      <c r="A37" s="70"/>
      <c r="B37" s="584" t="s">
        <v>472</v>
      </c>
      <c r="C37" s="584" t="s">
        <v>410</v>
      </c>
      <c r="D37" s="581"/>
      <c r="E37" s="95"/>
    </row>
    <row r="38" spans="1:5" x14ac:dyDescent="0.25">
      <c r="A38" s="70"/>
      <c r="B38" s="584" t="s">
        <v>390</v>
      </c>
      <c r="C38" s="584" t="s">
        <v>281</v>
      </c>
      <c r="D38" s="581"/>
      <c r="E38" s="95"/>
    </row>
    <row r="39" spans="1:5" x14ac:dyDescent="0.25">
      <c r="A39" s="70"/>
      <c r="B39" s="584" t="s">
        <v>470</v>
      </c>
      <c r="C39" s="584" t="s">
        <v>389</v>
      </c>
      <c r="D39" s="581"/>
      <c r="E39" s="95"/>
    </row>
    <row r="40" spans="1:5" x14ac:dyDescent="0.25">
      <c r="A40" s="70"/>
      <c r="B40" s="584" t="s">
        <v>448</v>
      </c>
      <c r="C40" s="584" t="s">
        <v>411</v>
      </c>
      <c r="D40" s="581"/>
      <c r="E40" s="95"/>
    </row>
    <row r="41" spans="1:5" x14ac:dyDescent="0.25">
      <c r="A41" s="70"/>
      <c r="B41" s="597" t="s">
        <v>474</v>
      </c>
      <c r="C41" s="584" t="s">
        <v>472</v>
      </c>
      <c r="D41" s="581"/>
      <c r="E41" s="95"/>
    </row>
    <row r="42" spans="1:5" x14ac:dyDescent="0.25">
      <c r="A42" s="70"/>
      <c r="B42" s="598" t="s">
        <v>778</v>
      </c>
      <c r="C42" s="584" t="s">
        <v>390</v>
      </c>
      <c r="D42" s="581"/>
      <c r="E42" s="95"/>
    </row>
    <row r="43" spans="1:5" x14ac:dyDescent="0.25">
      <c r="A43" s="70"/>
      <c r="B43" s="584" t="s">
        <v>475</v>
      </c>
      <c r="C43" s="584" t="s">
        <v>470</v>
      </c>
      <c r="D43" s="581"/>
      <c r="E43" s="95"/>
    </row>
    <row r="44" spans="1:5" x14ac:dyDescent="0.25">
      <c r="A44" s="70"/>
      <c r="B44" s="598" t="s">
        <v>476</v>
      </c>
      <c r="C44" s="596" t="s">
        <v>520</v>
      </c>
      <c r="D44" s="581" t="s">
        <v>523</v>
      </c>
      <c r="E44" s="95"/>
    </row>
    <row r="45" spans="1:5" x14ac:dyDescent="0.25">
      <c r="A45" s="70"/>
      <c r="B45" s="584" t="s">
        <v>412</v>
      </c>
      <c r="C45" s="596" t="s">
        <v>447</v>
      </c>
      <c r="D45" s="581" t="s">
        <v>523</v>
      </c>
      <c r="E45" s="95"/>
    </row>
    <row r="46" spans="1:5" x14ac:dyDescent="0.25">
      <c r="A46" s="70"/>
      <c r="B46" s="584" t="s">
        <v>477</v>
      </c>
      <c r="C46" s="584" t="s">
        <v>448</v>
      </c>
      <c r="D46" s="589"/>
      <c r="E46" s="95"/>
    </row>
    <row r="47" spans="1:5" x14ac:dyDescent="0.25">
      <c r="A47" s="70"/>
      <c r="B47" s="592" t="s">
        <v>725</v>
      </c>
      <c r="C47" s="597" t="s">
        <v>474</v>
      </c>
      <c r="D47" s="581" t="s">
        <v>521</v>
      </c>
      <c r="E47" s="95"/>
    </row>
    <row r="48" spans="1:5" x14ac:dyDescent="0.25">
      <c r="A48" s="70"/>
      <c r="B48" s="592" t="s">
        <v>524</v>
      </c>
      <c r="C48" s="601" t="s">
        <v>778</v>
      </c>
      <c r="D48" s="586" t="s">
        <v>521</v>
      </c>
      <c r="E48" s="95"/>
    </row>
    <row r="49" spans="1:5" x14ac:dyDescent="0.25">
      <c r="A49" s="70"/>
      <c r="B49" s="598" t="s">
        <v>391</v>
      </c>
      <c r="C49" s="584" t="s">
        <v>475</v>
      </c>
      <c r="D49" s="581"/>
      <c r="E49" s="95"/>
    </row>
    <row r="50" spans="1:5" x14ac:dyDescent="0.25">
      <c r="A50" s="70"/>
      <c r="B50" s="592" t="s">
        <v>207</v>
      </c>
      <c r="C50" s="597" t="s">
        <v>476</v>
      </c>
      <c r="D50" s="581" t="s">
        <v>726</v>
      </c>
      <c r="E50" s="95"/>
    </row>
    <row r="51" spans="1:5" x14ac:dyDescent="0.25">
      <c r="A51" s="70"/>
      <c r="B51" s="592" t="s">
        <v>209</v>
      </c>
      <c r="C51" s="596" t="s">
        <v>779</v>
      </c>
      <c r="D51" s="581" t="s">
        <v>523</v>
      </c>
      <c r="E51" s="95"/>
    </row>
    <row r="52" spans="1:5" x14ac:dyDescent="0.25">
      <c r="A52" s="24"/>
      <c r="C52" s="584" t="s">
        <v>412</v>
      </c>
      <c r="D52" s="581"/>
    </row>
    <row r="53" spans="1:5" x14ac:dyDescent="0.25">
      <c r="A53" s="24"/>
      <c r="C53" s="592" t="s">
        <v>477</v>
      </c>
      <c r="D53" s="580"/>
    </row>
    <row r="54" spans="1:5" x14ac:dyDescent="0.25">
      <c r="A54" s="24"/>
      <c r="C54" s="592" t="s">
        <v>725</v>
      </c>
      <c r="D54" s="580"/>
    </row>
    <row r="55" spans="1:5" x14ac:dyDescent="0.25">
      <c r="A55" s="24"/>
      <c r="C55" s="592" t="s">
        <v>524</v>
      </c>
      <c r="D55" s="580"/>
    </row>
    <row r="56" spans="1:5" x14ac:dyDescent="0.25">
      <c r="A56" s="24"/>
      <c r="B56" s="586"/>
      <c r="C56" s="600" t="s">
        <v>449</v>
      </c>
      <c r="D56" s="580" t="s">
        <v>523</v>
      </c>
    </row>
    <row r="57" spans="1:5" x14ac:dyDescent="0.25">
      <c r="A57" s="24"/>
      <c r="B57" s="583"/>
      <c r="C57" s="600" t="s">
        <v>610</v>
      </c>
      <c r="D57" s="580" t="s">
        <v>523</v>
      </c>
    </row>
    <row r="58" spans="1:5" x14ac:dyDescent="0.25">
      <c r="A58" s="24"/>
      <c r="B58" s="583"/>
      <c r="C58" s="598" t="s">
        <v>391</v>
      </c>
      <c r="D58" s="581" t="s">
        <v>521</v>
      </c>
    </row>
    <row r="59" spans="1:5" x14ac:dyDescent="0.25">
      <c r="A59" s="24"/>
      <c r="B59" s="583"/>
      <c r="C59" s="592" t="s">
        <v>207</v>
      </c>
      <c r="D59" s="580"/>
    </row>
    <row r="60" spans="1:5" x14ac:dyDescent="0.25">
      <c r="A60" s="24"/>
      <c r="B60" s="583"/>
      <c r="C60" s="592" t="s">
        <v>209</v>
      </c>
      <c r="D60" s="580"/>
    </row>
    <row r="61" spans="1:5" x14ac:dyDescent="0.25">
      <c r="A61" s="24"/>
      <c r="B61" s="583"/>
    </row>
    <row r="62" spans="1:5" x14ac:dyDescent="0.25">
      <c r="A62" s="24"/>
      <c r="B62" s="583"/>
    </row>
    <row r="63" spans="1:5" x14ac:dyDescent="0.25">
      <c r="A63" s="24"/>
      <c r="B63" s="583"/>
    </row>
    <row r="64" spans="1:5" x14ac:dyDescent="0.25">
      <c r="A64" s="24"/>
      <c r="B64" s="583"/>
    </row>
    <row r="65" spans="1:23" x14ac:dyDescent="0.25">
      <c r="A65" s="585"/>
      <c r="B65" s="583"/>
      <c r="C65" s="409"/>
      <c r="D65" s="580"/>
    </row>
    <row r="66" spans="1:23" x14ac:dyDescent="0.25">
      <c r="A66" s="24"/>
      <c r="B66" s="543"/>
      <c r="C66" s="409"/>
      <c r="D66" s="544"/>
    </row>
    <row r="67" spans="1:23" s="410" customFormat="1" x14ac:dyDescent="0.25">
      <c r="A67" s="408"/>
      <c r="B67" s="408"/>
      <c r="D67" s="412"/>
      <c r="E67" s="412"/>
      <c r="F67" s="413"/>
      <c r="G67" s="413"/>
      <c r="H67" s="413"/>
      <c r="I67" s="413"/>
      <c r="J67" s="413"/>
      <c r="K67" s="413"/>
      <c r="L67" s="413"/>
      <c r="M67" s="413"/>
      <c r="N67" s="413"/>
      <c r="O67" s="413"/>
      <c r="P67" s="413"/>
      <c r="Q67" s="413"/>
      <c r="R67" s="413"/>
      <c r="S67" s="413"/>
      <c r="T67" s="413"/>
      <c r="U67" s="413"/>
      <c r="V67" s="413"/>
      <c r="W67" s="413"/>
    </row>
    <row r="68" spans="1:23" s="410" customFormat="1" x14ac:dyDescent="0.25">
      <c r="A68" s="419" t="s">
        <v>43</v>
      </c>
      <c r="B68" s="420" t="s">
        <v>44</v>
      </c>
      <c r="C68" s="420" t="s">
        <v>45</v>
      </c>
      <c r="D68" s="420" t="s">
        <v>46</v>
      </c>
      <c r="E68" s="420" t="s">
        <v>47</v>
      </c>
      <c r="F68" s="420" t="s">
        <v>48</v>
      </c>
      <c r="G68" s="420" t="s">
        <v>49</v>
      </c>
      <c r="H68" s="420" t="s">
        <v>50</v>
      </c>
      <c r="I68" s="420" t="s">
        <v>51</v>
      </c>
      <c r="J68" s="420" t="s">
        <v>52</v>
      </c>
      <c r="K68" s="420" t="s">
        <v>53</v>
      </c>
      <c r="L68" s="420" t="s">
        <v>54</v>
      </c>
      <c r="M68" s="420" t="s">
        <v>55</v>
      </c>
      <c r="N68" s="420" t="s">
        <v>56</v>
      </c>
      <c r="O68" s="420" t="s">
        <v>57</v>
      </c>
      <c r="P68" s="420" t="s">
        <v>19</v>
      </c>
      <c r="Q68" s="420" t="s">
        <v>58</v>
      </c>
      <c r="R68" s="420" t="s">
        <v>271</v>
      </c>
      <c r="S68" s="421" t="s">
        <v>75</v>
      </c>
      <c r="T68" s="408"/>
      <c r="U68" s="408"/>
      <c r="V68" s="409"/>
      <c r="W68" s="408"/>
    </row>
    <row r="69" spans="1:23" s="410" customFormat="1" x14ac:dyDescent="0.25">
      <c r="A69" s="416" t="s">
        <v>282</v>
      </c>
      <c r="B69" s="414" t="s">
        <v>283</v>
      </c>
      <c r="C69" s="414" t="s">
        <v>284</v>
      </c>
      <c r="D69" s="414" t="s">
        <v>285</v>
      </c>
      <c r="E69" s="414" t="s">
        <v>286</v>
      </c>
      <c r="F69" s="414" t="s">
        <v>287</v>
      </c>
      <c r="G69" s="414" t="s">
        <v>288</v>
      </c>
      <c r="H69" s="414" t="s">
        <v>289</v>
      </c>
      <c r="I69" s="414" t="s">
        <v>290</v>
      </c>
      <c r="J69" s="414" t="s">
        <v>291</v>
      </c>
      <c r="K69" s="414" t="s">
        <v>292</v>
      </c>
      <c r="L69" s="414" t="s">
        <v>293</v>
      </c>
      <c r="M69" s="414" t="s">
        <v>294</v>
      </c>
      <c r="N69" s="414" t="s">
        <v>295</v>
      </c>
      <c r="O69" s="414" t="s">
        <v>296</v>
      </c>
      <c r="P69" s="414" t="s">
        <v>297</v>
      </c>
      <c r="Q69" s="500" t="s">
        <v>505</v>
      </c>
      <c r="R69" s="414" t="s">
        <v>506</v>
      </c>
      <c r="S69" s="502" t="s">
        <v>512</v>
      </c>
      <c r="T69" s="408"/>
      <c r="U69" s="409"/>
      <c r="V69" s="408"/>
      <c r="W69" s="409"/>
    </row>
    <row r="70" spans="1:23" s="410" customFormat="1" x14ac:dyDescent="0.25">
      <c r="A70" s="416" t="s">
        <v>24</v>
      </c>
      <c r="B70" s="414" t="s">
        <v>31</v>
      </c>
      <c r="C70" s="414" t="s">
        <v>285</v>
      </c>
      <c r="D70" s="414" t="s">
        <v>298</v>
      </c>
      <c r="E70" s="414" t="s">
        <v>299</v>
      </c>
      <c r="F70" s="414" t="s">
        <v>299</v>
      </c>
      <c r="G70" s="414" t="s">
        <v>300</v>
      </c>
      <c r="H70" s="414" t="s">
        <v>301</v>
      </c>
      <c r="I70" s="414" t="s">
        <v>26</v>
      </c>
      <c r="J70" s="414" t="s">
        <v>302</v>
      </c>
      <c r="K70" s="414" t="s">
        <v>303</v>
      </c>
      <c r="L70" s="414" t="s">
        <v>304</v>
      </c>
      <c r="M70" s="414" t="s">
        <v>305</v>
      </c>
      <c r="N70" s="414" t="s">
        <v>34</v>
      </c>
      <c r="O70" s="414" t="s">
        <v>306</v>
      </c>
      <c r="P70" s="414" t="s">
        <v>21</v>
      </c>
      <c r="Q70" s="414" t="s">
        <v>207</v>
      </c>
      <c r="R70" s="415" t="s">
        <v>207</v>
      </c>
      <c r="S70" s="417" t="s">
        <v>207</v>
      </c>
      <c r="T70" s="408"/>
      <c r="U70" s="411"/>
      <c r="V70" s="411"/>
      <c r="W70" s="411"/>
    </row>
    <row r="71" spans="1:23" s="410" customFormat="1" x14ac:dyDescent="0.25">
      <c r="A71" s="416" t="s">
        <v>25</v>
      </c>
      <c r="B71" s="414" t="s">
        <v>32</v>
      </c>
      <c r="C71" s="414" t="s">
        <v>307</v>
      </c>
      <c r="D71" s="414" t="s">
        <v>308</v>
      </c>
      <c r="E71" s="414" t="s">
        <v>207</v>
      </c>
      <c r="F71" s="414" t="s">
        <v>207</v>
      </c>
      <c r="G71" s="414" t="s">
        <v>309</v>
      </c>
      <c r="H71" s="414" t="s">
        <v>310</v>
      </c>
      <c r="I71" s="414" t="s">
        <v>311</v>
      </c>
      <c r="J71" s="414" t="s">
        <v>312</v>
      </c>
      <c r="K71" s="414" t="s">
        <v>41</v>
      </c>
      <c r="L71" s="414" t="s">
        <v>299</v>
      </c>
      <c r="M71" s="414" t="s">
        <v>36</v>
      </c>
      <c r="N71" s="414" t="s">
        <v>37</v>
      </c>
      <c r="O71" s="414" t="s">
        <v>313</v>
      </c>
      <c r="P71" s="414" t="s">
        <v>33</v>
      </c>
      <c r="Q71" s="415"/>
      <c r="R71" s="415"/>
      <c r="S71" s="418"/>
      <c r="T71" s="408"/>
      <c r="U71" s="411"/>
      <c r="V71" s="411"/>
      <c r="W71" s="411"/>
    </row>
    <row r="72" spans="1:23" s="410" customFormat="1" x14ac:dyDescent="0.25">
      <c r="A72" s="416" t="s">
        <v>314</v>
      </c>
      <c r="B72" s="414" t="s">
        <v>39</v>
      </c>
      <c r="C72" s="414" t="s">
        <v>315</v>
      </c>
      <c r="D72" s="414" t="s">
        <v>299</v>
      </c>
      <c r="E72" s="414" t="s">
        <v>209</v>
      </c>
      <c r="F72" s="414" t="s">
        <v>209</v>
      </c>
      <c r="G72" s="414" t="s">
        <v>316</v>
      </c>
      <c r="H72" s="414" t="s">
        <v>317</v>
      </c>
      <c r="I72" s="414" t="s">
        <v>318</v>
      </c>
      <c r="J72" s="414" t="s">
        <v>319</v>
      </c>
      <c r="K72" s="414" t="s">
        <v>299</v>
      </c>
      <c r="L72" s="414" t="s">
        <v>207</v>
      </c>
      <c r="M72" s="414" t="s">
        <v>416</v>
      </c>
      <c r="N72" s="414" t="s">
        <v>308</v>
      </c>
      <c r="O72" s="414" t="s">
        <v>299</v>
      </c>
      <c r="P72" s="414" t="s">
        <v>35</v>
      </c>
      <c r="Q72" s="415"/>
      <c r="R72" s="415"/>
      <c r="S72" s="418"/>
      <c r="T72" s="408"/>
      <c r="U72" s="411"/>
      <c r="V72" s="411"/>
      <c r="W72" s="411"/>
    </row>
    <row r="73" spans="1:23" s="410" customFormat="1" x14ac:dyDescent="0.25">
      <c r="A73" s="416" t="s">
        <v>321</v>
      </c>
      <c r="B73" s="414" t="s">
        <v>322</v>
      </c>
      <c r="C73" s="414" t="s">
        <v>323</v>
      </c>
      <c r="D73" s="414" t="s">
        <v>207</v>
      </c>
      <c r="E73" s="414"/>
      <c r="F73" s="414"/>
      <c r="G73" s="414" t="s">
        <v>38</v>
      </c>
      <c r="H73" s="414" t="s">
        <v>308</v>
      </c>
      <c r="I73" s="414" t="s">
        <v>324</v>
      </c>
      <c r="J73" s="414" t="s">
        <v>325</v>
      </c>
      <c r="K73" s="414" t="s">
        <v>207</v>
      </c>
      <c r="L73" s="414" t="s">
        <v>209</v>
      </c>
      <c r="M73" s="414" t="s">
        <v>74</v>
      </c>
      <c r="N73" s="415" t="s">
        <v>299</v>
      </c>
      <c r="O73" s="414" t="s">
        <v>207</v>
      </c>
      <c r="P73" s="414" t="s">
        <v>326</v>
      </c>
      <c r="Q73" s="415"/>
      <c r="R73" s="415"/>
      <c r="S73" s="418"/>
      <c r="T73" s="408"/>
      <c r="U73" s="411"/>
      <c r="V73" s="411"/>
      <c r="W73" s="411"/>
    </row>
    <row r="74" spans="1:23" s="410" customFormat="1" x14ac:dyDescent="0.25">
      <c r="A74" s="416" t="s">
        <v>327</v>
      </c>
      <c r="B74" s="414" t="s">
        <v>40</v>
      </c>
      <c r="C74" s="414" t="s">
        <v>328</v>
      </c>
      <c r="D74" s="414" t="s">
        <v>209</v>
      </c>
      <c r="E74" s="415"/>
      <c r="F74" s="415"/>
      <c r="G74" s="414" t="s">
        <v>299</v>
      </c>
      <c r="H74" s="414" t="s">
        <v>299</v>
      </c>
      <c r="I74" s="414" t="s">
        <v>415</v>
      </c>
      <c r="J74" s="414" t="s">
        <v>329</v>
      </c>
      <c r="K74" s="414" t="s">
        <v>209</v>
      </c>
      <c r="L74" s="414"/>
      <c r="M74" s="414" t="s">
        <v>308</v>
      </c>
      <c r="N74" s="415" t="s">
        <v>207</v>
      </c>
      <c r="O74" s="414" t="s">
        <v>209</v>
      </c>
      <c r="P74" s="414" t="s">
        <v>320</v>
      </c>
      <c r="Q74" s="415"/>
      <c r="R74" s="415"/>
      <c r="S74" s="418"/>
      <c r="T74" s="408"/>
      <c r="U74" s="411"/>
      <c r="V74" s="411"/>
      <c r="W74" s="411"/>
    </row>
    <row r="75" spans="1:23" s="410" customFormat="1" x14ac:dyDescent="0.25">
      <c r="A75" s="416" t="s">
        <v>330</v>
      </c>
      <c r="B75" s="414" t="s">
        <v>331</v>
      </c>
      <c r="C75" s="414" t="s">
        <v>308</v>
      </c>
      <c r="D75" s="415"/>
      <c r="E75" s="415"/>
      <c r="F75" s="415"/>
      <c r="G75" s="414" t="s">
        <v>207</v>
      </c>
      <c r="H75" s="414" t="s">
        <v>207</v>
      </c>
      <c r="I75" s="414" t="s">
        <v>299</v>
      </c>
      <c r="J75" s="414" t="s">
        <v>299</v>
      </c>
      <c r="K75" s="414"/>
      <c r="L75" s="415"/>
      <c r="M75" s="414" t="s">
        <v>299</v>
      </c>
      <c r="N75" s="415" t="s">
        <v>209</v>
      </c>
      <c r="O75" s="414"/>
      <c r="P75" s="414" t="s">
        <v>308</v>
      </c>
      <c r="Q75" s="415"/>
      <c r="R75" s="415"/>
      <c r="S75" s="418"/>
      <c r="T75" s="408"/>
      <c r="U75" s="411"/>
      <c r="V75" s="411"/>
      <c r="W75" s="411"/>
    </row>
    <row r="76" spans="1:23" s="410" customFormat="1" x14ac:dyDescent="0.25">
      <c r="A76" s="416" t="s">
        <v>27</v>
      </c>
      <c r="B76" s="414" t="s">
        <v>299</v>
      </c>
      <c r="C76" s="414" t="s">
        <v>299</v>
      </c>
      <c r="D76" s="415"/>
      <c r="E76" s="415"/>
      <c r="F76" s="415"/>
      <c r="G76" s="414" t="s">
        <v>209</v>
      </c>
      <c r="H76" s="414" t="s">
        <v>209</v>
      </c>
      <c r="I76" s="414" t="s">
        <v>207</v>
      </c>
      <c r="J76" s="414" t="s">
        <v>207</v>
      </c>
      <c r="K76" s="415"/>
      <c r="L76" s="415"/>
      <c r="M76" s="414" t="s">
        <v>207</v>
      </c>
      <c r="N76" s="415"/>
      <c r="O76" s="415"/>
      <c r="P76" s="414" t="s">
        <v>299</v>
      </c>
      <c r="Q76" s="415"/>
      <c r="R76" s="415"/>
      <c r="S76" s="418"/>
      <c r="T76" s="408"/>
      <c r="U76" s="411"/>
      <c r="V76" s="411"/>
      <c r="W76" s="411"/>
    </row>
    <row r="77" spans="1:23" s="410" customFormat="1" x14ac:dyDescent="0.25">
      <c r="A77" s="416" t="s">
        <v>332</v>
      </c>
      <c r="B77" s="414" t="s">
        <v>207</v>
      </c>
      <c r="C77" s="414" t="s">
        <v>207</v>
      </c>
      <c r="D77" s="415"/>
      <c r="E77" s="415"/>
      <c r="F77" s="415"/>
      <c r="G77" s="414"/>
      <c r="H77" s="415"/>
      <c r="I77" s="414" t="s">
        <v>209</v>
      </c>
      <c r="J77" s="414" t="s">
        <v>209</v>
      </c>
      <c r="K77" s="415"/>
      <c r="L77" s="415"/>
      <c r="M77" s="415" t="s">
        <v>209</v>
      </c>
      <c r="N77" s="414"/>
      <c r="O77" s="414"/>
      <c r="P77" s="414" t="s">
        <v>207</v>
      </c>
      <c r="Q77" s="415"/>
      <c r="R77" s="415"/>
      <c r="S77" s="418"/>
      <c r="T77" s="409"/>
      <c r="U77" s="411"/>
      <c r="V77" s="411"/>
      <c r="W77" s="411"/>
    </row>
    <row r="78" spans="1:23" s="410" customFormat="1" x14ac:dyDescent="0.25">
      <c r="A78" s="416" t="s">
        <v>333</v>
      </c>
      <c r="B78" s="414" t="s">
        <v>209</v>
      </c>
      <c r="C78" s="414" t="s">
        <v>209</v>
      </c>
      <c r="D78" s="415"/>
      <c r="E78" s="415"/>
      <c r="F78" s="415"/>
      <c r="G78" s="415"/>
      <c r="H78" s="415"/>
      <c r="I78" s="415"/>
      <c r="J78" s="414"/>
      <c r="K78" s="415"/>
      <c r="L78" s="415"/>
      <c r="M78" s="415"/>
      <c r="N78" s="415"/>
      <c r="O78" s="415"/>
      <c r="P78" s="414" t="s">
        <v>209</v>
      </c>
      <c r="Q78" s="415"/>
      <c r="R78" s="415"/>
      <c r="S78" s="418"/>
      <c r="T78" s="411"/>
      <c r="U78" s="411"/>
      <c r="V78" s="411"/>
      <c r="W78" s="411"/>
    </row>
    <row r="79" spans="1:23" s="410" customFormat="1" x14ac:dyDescent="0.25">
      <c r="A79" s="416" t="s">
        <v>334</v>
      </c>
      <c r="B79" s="414"/>
      <c r="C79" s="415"/>
      <c r="D79" s="415"/>
      <c r="E79" s="415"/>
      <c r="F79" s="415"/>
      <c r="G79" s="415"/>
      <c r="H79" s="415"/>
      <c r="I79" s="415"/>
      <c r="J79" s="415"/>
      <c r="K79" s="415"/>
      <c r="L79" s="415"/>
      <c r="M79" s="415"/>
      <c r="N79" s="415"/>
      <c r="O79" s="415"/>
      <c r="P79" s="415"/>
      <c r="Q79" s="415"/>
      <c r="R79" s="415"/>
      <c r="S79" s="418"/>
      <c r="T79" s="411"/>
      <c r="U79" s="411"/>
      <c r="V79" s="411"/>
      <c r="W79" s="411"/>
    </row>
    <row r="80" spans="1:23" s="410" customFormat="1" x14ac:dyDescent="0.25">
      <c r="A80" s="416" t="s">
        <v>335</v>
      </c>
      <c r="B80" s="415"/>
      <c r="C80" s="415"/>
      <c r="D80" s="415"/>
      <c r="E80" s="415"/>
      <c r="F80" s="415"/>
      <c r="G80" s="415"/>
      <c r="H80" s="415"/>
      <c r="I80" s="415"/>
      <c r="J80" s="415"/>
      <c r="K80" s="415"/>
      <c r="L80" s="415"/>
      <c r="M80" s="415"/>
      <c r="N80" s="415"/>
      <c r="O80" s="415"/>
      <c r="P80" s="415"/>
      <c r="Q80" s="415"/>
      <c r="R80" s="415"/>
      <c r="S80" s="418"/>
      <c r="T80" s="411"/>
      <c r="U80" s="411"/>
      <c r="V80" s="411"/>
      <c r="W80" s="411"/>
    </row>
    <row r="81" spans="1:27" s="410" customFormat="1" x14ac:dyDescent="0.25">
      <c r="A81" s="416" t="s">
        <v>28</v>
      </c>
      <c r="B81" s="415"/>
      <c r="C81" s="415"/>
      <c r="D81" s="415"/>
      <c r="E81" s="415"/>
      <c r="F81" s="415"/>
      <c r="G81" s="415"/>
      <c r="H81" s="415"/>
      <c r="I81" s="415"/>
      <c r="J81" s="415"/>
      <c r="K81" s="415"/>
      <c r="L81" s="415"/>
      <c r="M81" s="415"/>
      <c r="N81" s="415"/>
      <c r="O81" s="415"/>
      <c r="P81" s="415"/>
      <c r="Q81" s="415"/>
      <c r="R81" s="415"/>
      <c r="S81" s="418"/>
      <c r="T81" s="411"/>
      <c r="U81" s="411"/>
      <c r="V81" s="411"/>
      <c r="W81" s="411"/>
    </row>
    <row r="82" spans="1:27" s="410" customFormat="1" x14ac:dyDescent="0.25">
      <c r="A82" s="416" t="s">
        <v>336</v>
      </c>
      <c r="B82" s="415"/>
      <c r="C82" s="415"/>
      <c r="D82" s="415"/>
      <c r="E82" s="415"/>
      <c r="F82" s="415"/>
      <c r="G82" s="415"/>
      <c r="H82" s="415"/>
      <c r="I82" s="415"/>
      <c r="J82" s="415"/>
      <c r="K82" s="415"/>
      <c r="L82" s="415"/>
      <c r="M82" s="415"/>
      <c r="N82" s="415"/>
      <c r="O82" s="415"/>
      <c r="P82" s="415"/>
      <c r="Q82" s="415"/>
      <c r="R82" s="415"/>
      <c r="S82" s="418"/>
      <c r="T82" s="411"/>
      <c r="U82" s="411"/>
      <c r="V82" s="411"/>
      <c r="W82" s="411"/>
    </row>
    <row r="83" spans="1:27" s="410" customFormat="1" x14ac:dyDescent="0.25">
      <c r="A83" s="416" t="s">
        <v>29</v>
      </c>
      <c r="B83" s="415"/>
      <c r="C83" s="415"/>
      <c r="D83" s="415"/>
      <c r="E83" s="415"/>
      <c r="F83" s="415"/>
      <c r="G83" s="415"/>
      <c r="H83" s="415"/>
      <c r="I83" s="415"/>
      <c r="J83" s="415"/>
      <c r="K83" s="415"/>
      <c r="L83" s="415"/>
      <c r="M83" s="415"/>
      <c r="N83" s="415"/>
      <c r="O83" s="415"/>
      <c r="P83" s="415"/>
      <c r="Q83" s="415"/>
      <c r="R83" s="415"/>
      <c r="S83" s="418"/>
      <c r="T83" s="411"/>
      <c r="U83" s="411"/>
      <c r="V83" s="411"/>
      <c r="W83" s="411"/>
    </row>
    <row r="84" spans="1:27" s="410" customFormat="1" x14ac:dyDescent="0.25">
      <c r="A84" s="416" t="s">
        <v>337</v>
      </c>
      <c r="B84" s="415"/>
      <c r="C84" s="415"/>
      <c r="D84" s="415"/>
      <c r="E84" s="415"/>
      <c r="F84" s="415"/>
      <c r="G84" s="415"/>
      <c r="H84" s="415"/>
      <c r="I84" s="415"/>
      <c r="J84" s="415"/>
      <c r="K84" s="415"/>
      <c r="L84" s="415"/>
      <c r="M84" s="415"/>
      <c r="N84" s="415"/>
      <c r="O84" s="415"/>
      <c r="P84" s="415"/>
      <c r="Q84" s="415"/>
      <c r="R84" s="415"/>
      <c r="S84" s="418"/>
      <c r="T84" s="411"/>
      <c r="U84" s="411"/>
      <c r="V84" s="411"/>
      <c r="W84" s="411"/>
    </row>
    <row r="85" spans="1:27" s="410" customFormat="1" x14ac:dyDescent="0.25">
      <c r="A85" s="416" t="s">
        <v>338</v>
      </c>
      <c r="B85" s="415"/>
      <c r="C85" s="415"/>
      <c r="D85" s="415"/>
      <c r="E85" s="415"/>
      <c r="F85" s="415"/>
      <c r="G85" s="415"/>
      <c r="H85" s="415"/>
      <c r="I85" s="415"/>
      <c r="J85" s="415"/>
      <c r="K85" s="415"/>
      <c r="L85" s="415"/>
      <c r="M85" s="415"/>
      <c r="N85" s="415"/>
      <c r="O85" s="415"/>
      <c r="P85" s="415"/>
      <c r="Q85" s="415"/>
      <c r="R85" s="415"/>
      <c r="S85" s="418"/>
      <c r="T85" s="411"/>
      <c r="U85" s="411"/>
      <c r="V85" s="411"/>
      <c r="W85" s="411"/>
    </row>
    <row r="86" spans="1:27" s="410" customFormat="1" x14ac:dyDescent="0.25">
      <c r="A86" s="416" t="s">
        <v>30</v>
      </c>
      <c r="B86" s="415"/>
      <c r="C86" s="415"/>
      <c r="D86" s="415"/>
      <c r="E86" s="415"/>
      <c r="F86" s="415"/>
      <c r="G86" s="415"/>
      <c r="H86" s="415"/>
      <c r="I86" s="415"/>
      <c r="J86" s="415"/>
      <c r="K86" s="415"/>
      <c r="L86" s="415"/>
      <c r="M86" s="415"/>
      <c r="N86" s="415"/>
      <c r="O86" s="415"/>
      <c r="P86" s="415"/>
      <c r="Q86" s="415"/>
      <c r="R86" s="415"/>
      <c r="S86" s="418"/>
      <c r="T86" s="411"/>
      <c r="U86" s="411"/>
      <c r="V86" s="411"/>
      <c r="W86" s="411"/>
    </row>
    <row r="87" spans="1:27" s="410" customFormat="1" x14ac:dyDescent="0.25">
      <c r="A87" s="416" t="s">
        <v>299</v>
      </c>
      <c r="B87" s="415"/>
      <c r="C87" s="415"/>
      <c r="D87" s="415"/>
      <c r="E87" s="415"/>
      <c r="F87" s="415"/>
      <c r="G87" s="415"/>
      <c r="H87" s="415"/>
      <c r="I87" s="415"/>
      <c r="J87" s="415"/>
      <c r="K87" s="415"/>
      <c r="L87" s="415"/>
      <c r="M87" s="415"/>
      <c r="N87" s="415"/>
      <c r="O87" s="415"/>
      <c r="P87" s="415"/>
      <c r="Q87" s="415"/>
      <c r="R87" s="415"/>
      <c r="S87" s="418"/>
      <c r="T87" s="411"/>
      <c r="U87" s="411"/>
      <c r="V87" s="411"/>
      <c r="W87" s="411"/>
    </row>
    <row r="88" spans="1:27" s="410" customFormat="1" x14ac:dyDescent="0.25">
      <c r="A88" s="416" t="s">
        <v>207</v>
      </c>
      <c r="B88" s="415"/>
      <c r="C88" s="415"/>
      <c r="D88" s="415"/>
      <c r="E88" s="415"/>
      <c r="F88" s="415"/>
      <c r="G88" s="415"/>
      <c r="H88" s="415"/>
      <c r="I88" s="415"/>
      <c r="J88" s="415"/>
      <c r="K88" s="415"/>
      <c r="L88" s="415"/>
      <c r="M88" s="415"/>
      <c r="N88" s="415"/>
      <c r="O88" s="415"/>
      <c r="P88" s="415"/>
      <c r="Q88" s="415"/>
      <c r="R88" s="415"/>
      <c r="S88" s="418"/>
      <c r="T88" s="409"/>
      <c r="U88" s="409"/>
      <c r="V88" s="409"/>
      <c r="W88" s="409"/>
    </row>
    <row r="89" spans="1:27" x14ac:dyDescent="0.25">
      <c r="A89" s="422" t="s">
        <v>209</v>
      </c>
      <c r="B89" s="423"/>
      <c r="C89" s="423"/>
      <c r="D89" s="423"/>
      <c r="E89" s="423"/>
      <c r="F89" s="423"/>
      <c r="G89" s="423"/>
      <c r="H89" s="423"/>
      <c r="I89" s="423"/>
      <c r="J89" s="423"/>
      <c r="K89" s="423"/>
      <c r="L89" s="423"/>
      <c r="M89" s="423"/>
      <c r="N89" s="423"/>
      <c r="O89" s="423"/>
      <c r="P89" s="423"/>
      <c r="Q89" s="423"/>
      <c r="R89" s="423"/>
      <c r="S89" s="424"/>
      <c r="T89" s="371"/>
      <c r="U89" s="371"/>
      <c r="V89" s="371"/>
      <c r="W89" s="371"/>
      <c r="X89" s="371"/>
      <c r="Y89" s="371"/>
      <c r="Z89" s="371"/>
      <c r="AA89" s="371"/>
    </row>
    <row r="90" spans="1:27" x14ac:dyDescent="0.25">
      <c r="A90" s="70"/>
      <c r="B90" s="71"/>
      <c r="C90" s="24"/>
      <c r="D90" s="96"/>
      <c r="E90" s="96"/>
      <c r="F90" s="24"/>
      <c r="H90" s="371"/>
      <c r="I90" s="71"/>
      <c r="J90" s="71"/>
      <c r="K90" s="371"/>
      <c r="L90" s="371"/>
      <c r="M90" s="371"/>
      <c r="N90" s="371"/>
      <c r="O90" s="371"/>
      <c r="P90" s="371"/>
      <c r="Q90" s="371"/>
      <c r="R90" s="371"/>
      <c r="S90" s="371"/>
      <c r="T90" s="371"/>
      <c r="U90" s="371"/>
      <c r="V90" s="371"/>
      <c r="W90" s="371"/>
      <c r="X90" s="371"/>
      <c r="Y90" s="371"/>
      <c r="Z90" s="371"/>
      <c r="AA90" s="371"/>
    </row>
    <row r="91" spans="1:27" x14ac:dyDescent="0.25">
      <c r="A91" s="70"/>
      <c r="B91" s="70"/>
    </row>
    <row r="92" spans="1:27" x14ac:dyDescent="0.25">
      <c r="A92" s="82" t="s">
        <v>18</v>
      </c>
      <c r="B92" s="80" t="s">
        <v>42</v>
      </c>
    </row>
    <row r="93" spans="1:27" x14ac:dyDescent="0.25">
      <c r="A93" s="70"/>
      <c r="B93" s="80" t="s">
        <v>153</v>
      </c>
    </row>
    <row r="94" spans="1:27" x14ac:dyDescent="0.25">
      <c r="A94" s="70"/>
      <c r="B94" s="371"/>
    </row>
    <row r="95" spans="1:27" x14ac:dyDescent="0.25">
      <c r="A95" s="371"/>
      <c r="B95" s="371"/>
    </row>
    <row r="96" spans="1:27" x14ac:dyDescent="0.25">
      <c r="A96" s="371"/>
      <c r="B96" s="72"/>
    </row>
    <row r="97" spans="1:12" x14ac:dyDescent="0.25">
      <c r="A97" s="88" t="s">
        <v>73</v>
      </c>
      <c r="B97" s="514" t="s">
        <v>208</v>
      </c>
    </row>
    <row r="98" spans="1:12" x14ac:dyDescent="0.25">
      <c r="A98" s="371"/>
      <c r="B98" s="515" t="s">
        <v>397</v>
      </c>
    </row>
    <row r="99" spans="1:12" x14ac:dyDescent="0.25">
      <c r="A99" s="371"/>
      <c r="B99" s="515" t="s">
        <v>398</v>
      </c>
    </row>
    <row r="100" spans="1:12" x14ac:dyDescent="0.25">
      <c r="A100" s="371"/>
      <c r="B100" s="515" t="s">
        <v>169</v>
      </c>
    </row>
    <row r="101" spans="1:12" x14ac:dyDescent="0.25">
      <c r="B101" s="515" t="s">
        <v>879</v>
      </c>
    </row>
    <row r="103" spans="1:12" ht="14.4" thickBot="1" x14ac:dyDescent="0.3">
      <c r="A103" s="482" t="s">
        <v>979</v>
      </c>
      <c r="H103" s="603"/>
      <c r="I103" s="603"/>
      <c r="J103" s="603"/>
      <c r="K103" s="603"/>
      <c r="L103" s="603"/>
    </row>
    <row r="104" spans="1:12" s="378" customFormat="1" ht="12.6" thickBot="1" x14ac:dyDescent="0.3">
      <c r="A104" s="376" t="s">
        <v>16</v>
      </c>
      <c r="B104" s="376" t="s">
        <v>135</v>
      </c>
      <c r="C104" s="376" t="s">
        <v>138</v>
      </c>
      <c r="D104" s="377" t="s">
        <v>139</v>
      </c>
      <c r="E104" s="377" t="s">
        <v>140</v>
      </c>
      <c r="F104" s="376" t="s">
        <v>17</v>
      </c>
      <c r="G104" s="376" t="s">
        <v>82</v>
      </c>
      <c r="H104" s="604"/>
      <c r="I104" s="604"/>
      <c r="J104" s="604"/>
      <c r="K104" s="604"/>
      <c r="L104" s="604"/>
    </row>
    <row r="105" spans="1:12" s="378" customFormat="1" ht="12.6" thickBot="1" x14ac:dyDescent="0.3">
      <c r="A105" s="379" t="str">
        <f>IF(Basisdaten!C6="","",Basisdaten!C6)</f>
        <v/>
      </c>
      <c r="B105" s="380" t="str">
        <f>IF($A$105="","",VLOOKUP($A$105,$A$108:$J$302,2,FALSE))</f>
        <v/>
      </c>
      <c r="C105" s="380" t="str">
        <f>IF($A$105="","",VLOOKUP($A$105,$A$108:$J$302,3,FALSE))</f>
        <v/>
      </c>
      <c r="D105" s="381" t="str">
        <f>IF($A$105="","",VLOOKUP($A$105,$A$108:$J$302,4,FALSE))</f>
        <v/>
      </c>
      <c r="E105" s="381" t="str">
        <f>IF($A$105="","",VLOOKUP($A$105,$A$108:$J$302,5,FALSE))</f>
        <v/>
      </c>
      <c r="F105" s="380" t="str">
        <f>IF($A$105="","",VLOOKUP($A$105,$A$108:$J$302,6,FALSE))</f>
        <v/>
      </c>
      <c r="G105" s="382" t="str">
        <f>IF($A$105="","",VLOOKUP($A$105,$A$108:$J$302,7,FALSE))</f>
        <v/>
      </c>
      <c r="H105" s="605"/>
      <c r="I105" s="605"/>
      <c r="J105" s="606"/>
      <c r="K105" s="606"/>
      <c r="L105" s="605"/>
    </row>
    <row r="106" spans="1:12" x14ac:dyDescent="0.25">
      <c r="H106" s="603"/>
      <c r="I106" s="603"/>
      <c r="J106" s="603"/>
      <c r="K106" s="603"/>
      <c r="L106" s="603"/>
    </row>
    <row r="107" spans="1:12" s="492" customFormat="1" ht="15" customHeight="1" x14ac:dyDescent="0.25">
      <c r="A107" s="219" t="s">
        <v>16</v>
      </c>
      <c r="B107" s="219" t="s">
        <v>135</v>
      </c>
      <c r="C107" s="219" t="s">
        <v>138</v>
      </c>
      <c r="D107" s="220" t="s">
        <v>139</v>
      </c>
      <c r="E107" s="220" t="s">
        <v>140</v>
      </c>
      <c r="F107" s="219" t="s">
        <v>17</v>
      </c>
      <c r="G107" s="602" t="s">
        <v>82</v>
      </c>
      <c r="H107" s="607"/>
      <c r="I107" s="607"/>
      <c r="J107" s="607"/>
      <c r="K107" s="607"/>
      <c r="L107" s="607"/>
    </row>
    <row r="108" spans="1:12" s="372" customFormat="1" ht="15" customHeight="1" x14ac:dyDescent="0.25">
      <c r="A108" s="512" t="s">
        <v>842</v>
      </c>
      <c r="B108" s="512" t="s">
        <v>235</v>
      </c>
      <c r="C108" s="633" t="s">
        <v>843</v>
      </c>
      <c r="D108" s="634" t="s">
        <v>980</v>
      </c>
      <c r="E108" s="512" t="s">
        <v>236</v>
      </c>
      <c r="F108" s="512" t="s">
        <v>52</v>
      </c>
      <c r="G108" s="545">
        <v>40372</v>
      </c>
      <c r="H108" s="49"/>
      <c r="I108" s="49"/>
      <c r="J108" s="49"/>
      <c r="K108" s="49"/>
      <c r="L108" s="49"/>
    </row>
    <row r="109" spans="1:12" s="372" customFormat="1" ht="15" customHeight="1" x14ac:dyDescent="0.25">
      <c r="A109" s="512" t="s">
        <v>528</v>
      </c>
      <c r="B109" s="512" t="s">
        <v>235</v>
      </c>
      <c r="C109" s="633" t="s">
        <v>611</v>
      </c>
      <c r="D109" s="634" t="s">
        <v>980</v>
      </c>
      <c r="E109" s="512" t="s">
        <v>236</v>
      </c>
      <c r="F109" s="512" t="s">
        <v>52</v>
      </c>
      <c r="G109" s="545">
        <v>41607</v>
      </c>
      <c r="H109" s="49"/>
      <c r="I109" s="49"/>
      <c r="J109" s="49"/>
      <c r="K109" s="49"/>
      <c r="L109" s="49"/>
    </row>
    <row r="110" spans="1:12" s="372" customFormat="1" ht="15" customHeight="1" x14ac:dyDescent="0.25">
      <c r="A110" s="512" t="s">
        <v>612</v>
      </c>
      <c r="B110" s="512" t="s">
        <v>613</v>
      </c>
      <c r="C110" s="512" t="s">
        <v>614</v>
      </c>
      <c r="D110" s="373" t="s">
        <v>980</v>
      </c>
      <c r="E110" s="512" t="s">
        <v>236</v>
      </c>
      <c r="F110" s="512" t="s">
        <v>43</v>
      </c>
      <c r="G110" s="545">
        <v>42356</v>
      </c>
      <c r="H110" s="49"/>
      <c r="I110" s="49"/>
      <c r="J110" s="49"/>
      <c r="K110" s="49"/>
      <c r="L110" s="49"/>
    </row>
    <row r="111" spans="1:12" s="372" customFormat="1" ht="15" customHeight="1" x14ac:dyDescent="0.25">
      <c r="A111" s="512" t="s">
        <v>529</v>
      </c>
      <c r="B111" s="512" t="s">
        <v>727</v>
      </c>
      <c r="C111" s="512" t="s">
        <v>237</v>
      </c>
      <c r="D111" s="373" t="s">
        <v>980</v>
      </c>
      <c r="E111" s="512" t="s">
        <v>236</v>
      </c>
      <c r="F111" s="512" t="s">
        <v>45</v>
      </c>
      <c r="G111" s="545">
        <v>41039</v>
      </c>
      <c r="H111" s="49"/>
      <c r="I111" s="49"/>
      <c r="J111" s="49"/>
      <c r="K111" s="49"/>
      <c r="L111" s="49"/>
    </row>
    <row r="112" spans="1:12" s="372" customFormat="1" ht="15" customHeight="1" x14ac:dyDescent="0.25">
      <c r="A112" s="512" t="s">
        <v>826</v>
      </c>
      <c r="B112" s="512" t="s">
        <v>727</v>
      </c>
      <c r="C112" s="512" t="s">
        <v>827</v>
      </c>
      <c r="D112" s="373" t="s">
        <v>980</v>
      </c>
      <c r="E112" s="512" t="s">
        <v>236</v>
      </c>
      <c r="F112" s="512" t="s">
        <v>45</v>
      </c>
      <c r="G112" s="545">
        <v>43238</v>
      </c>
      <c r="H112" s="49"/>
      <c r="I112" s="49"/>
      <c r="J112" s="49"/>
      <c r="K112" s="49"/>
      <c r="L112" s="49"/>
    </row>
    <row r="113" spans="1:12" s="372" customFormat="1" ht="15" customHeight="1" x14ac:dyDescent="0.25">
      <c r="A113" s="512" t="s">
        <v>828</v>
      </c>
      <c r="B113" s="512" t="s">
        <v>727</v>
      </c>
      <c r="C113" s="512" t="s">
        <v>829</v>
      </c>
      <c r="D113" s="373" t="s">
        <v>980</v>
      </c>
      <c r="E113" s="512" t="s">
        <v>236</v>
      </c>
      <c r="F113" s="512" t="s">
        <v>45</v>
      </c>
      <c r="G113" s="545">
        <v>42132</v>
      </c>
      <c r="H113" s="49"/>
      <c r="I113" s="49"/>
      <c r="J113" s="49"/>
      <c r="K113" s="49"/>
      <c r="L113" s="49"/>
    </row>
    <row r="114" spans="1:12" s="372" customFormat="1" ht="15" customHeight="1" x14ac:dyDescent="0.25">
      <c r="A114" s="512" t="s">
        <v>530</v>
      </c>
      <c r="B114" s="512" t="s">
        <v>507</v>
      </c>
      <c r="C114" s="512" t="s">
        <v>508</v>
      </c>
      <c r="D114" s="373" t="s">
        <v>980</v>
      </c>
      <c r="E114" s="512" t="s">
        <v>236</v>
      </c>
      <c r="F114" s="512" t="s">
        <v>49</v>
      </c>
      <c r="G114" s="545">
        <v>41970</v>
      </c>
      <c r="H114" s="49"/>
      <c r="I114" s="49"/>
      <c r="J114" s="49"/>
      <c r="K114" s="49"/>
      <c r="L114" s="49"/>
    </row>
    <row r="115" spans="1:12" s="372" customFormat="1" ht="15" customHeight="1" x14ac:dyDescent="0.25">
      <c r="A115" s="512" t="s">
        <v>531</v>
      </c>
      <c r="B115" s="512" t="s">
        <v>784</v>
      </c>
      <c r="C115" s="512" t="s">
        <v>844</v>
      </c>
      <c r="D115" s="373" t="s">
        <v>980</v>
      </c>
      <c r="E115" s="512" t="s">
        <v>236</v>
      </c>
      <c r="F115" s="512" t="s">
        <v>44</v>
      </c>
      <c r="G115" s="545">
        <v>42046</v>
      </c>
      <c r="H115" s="49"/>
      <c r="I115" s="49"/>
      <c r="J115" s="49"/>
      <c r="K115" s="49"/>
      <c r="L115" s="49"/>
    </row>
    <row r="116" spans="1:12" s="372" customFormat="1" ht="15" customHeight="1" x14ac:dyDescent="0.25">
      <c r="A116" s="512" t="s">
        <v>728</v>
      </c>
      <c r="B116" s="512" t="s">
        <v>729</v>
      </c>
      <c r="C116" s="512" t="s">
        <v>743</v>
      </c>
      <c r="D116" s="373" t="s">
        <v>980</v>
      </c>
      <c r="E116" s="512" t="s">
        <v>236</v>
      </c>
      <c r="F116" s="512" t="s">
        <v>49</v>
      </c>
      <c r="G116" s="545">
        <v>40612</v>
      </c>
      <c r="H116" s="49"/>
      <c r="I116" s="49"/>
      <c r="J116" s="49"/>
      <c r="K116" s="49"/>
      <c r="L116" s="49"/>
    </row>
    <row r="117" spans="1:12" s="372" customFormat="1" ht="15" customHeight="1" x14ac:dyDescent="0.25">
      <c r="A117" s="512" t="s">
        <v>830</v>
      </c>
      <c r="B117" s="512" t="s">
        <v>831</v>
      </c>
      <c r="C117" s="512" t="s">
        <v>832</v>
      </c>
      <c r="D117" s="373" t="s">
        <v>980</v>
      </c>
      <c r="E117" s="512" t="s">
        <v>236</v>
      </c>
      <c r="F117" s="512" t="s">
        <v>43</v>
      </c>
      <c r="G117" s="545">
        <v>41991</v>
      </c>
      <c r="H117" s="49"/>
      <c r="I117" s="49"/>
      <c r="J117" s="49"/>
      <c r="K117" s="49"/>
      <c r="L117" s="49"/>
    </row>
    <row r="118" spans="1:12" s="372" customFormat="1" ht="15" customHeight="1" x14ac:dyDescent="0.25">
      <c r="A118" s="512" t="s">
        <v>752</v>
      </c>
      <c r="B118" s="512" t="s">
        <v>753</v>
      </c>
      <c r="C118" s="512" t="s">
        <v>754</v>
      </c>
      <c r="D118" s="373" t="s">
        <v>980</v>
      </c>
      <c r="E118" s="512" t="s">
        <v>236</v>
      </c>
      <c r="F118" s="512" t="s">
        <v>52</v>
      </c>
      <c r="G118" s="545">
        <v>43014</v>
      </c>
      <c r="H118" s="49"/>
      <c r="I118" s="49"/>
      <c r="J118" s="49"/>
      <c r="K118" s="49"/>
      <c r="L118" s="49"/>
    </row>
    <row r="119" spans="1:12" s="372" customFormat="1" ht="15" customHeight="1" x14ac:dyDescent="0.25">
      <c r="A119" s="512" t="s">
        <v>615</v>
      </c>
      <c r="B119" s="512" t="s">
        <v>895</v>
      </c>
      <c r="C119" s="512" t="s">
        <v>896</v>
      </c>
      <c r="D119" s="373" t="s">
        <v>980</v>
      </c>
      <c r="E119" s="512" t="s">
        <v>236</v>
      </c>
      <c r="F119" s="512" t="s">
        <v>53</v>
      </c>
      <c r="G119" s="546">
        <v>42481</v>
      </c>
      <c r="H119" s="49"/>
      <c r="I119" s="49"/>
      <c r="J119" s="49"/>
      <c r="K119" s="49"/>
      <c r="L119" s="49"/>
    </row>
    <row r="120" spans="1:12" s="372" customFormat="1" ht="15" customHeight="1" x14ac:dyDescent="0.25">
      <c r="A120" s="512" t="s">
        <v>981</v>
      </c>
      <c r="B120" s="512" t="s">
        <v>982</v>
      </c>
      <c r="C120" s="512" t="s">
        <v>983</v>
      </c>
      <c r="D120" s="373" t="s">
        <v>980</v>
      </c>
      <c r="E120" s="512" t="s">
        <v>236</v>
      </c>
      <c r="F120" s="512" t="s">
        <v>44</v>
      </c>
      <c r="G120" s="546">
        <v>44526</v>
      </c>
      <c r="H120" s="49"/>
      <c r="I120" s="49"/>
      <c r="J120" s="49"/>
      <c r="K120" s="49"/>
      <c r="L120" s="49"/>
    </row>
    <row r="121" spans="1:12" s="372" customFormat="1" ht="15" customHeight="1" x14ac:dyDescent="0.25">
      <c r="A121" s="512" t="s">
        <v>952</v>
      </c>
      <c r="B121" s="512" t="s">
        <v>953</v>
      </c>
      <c r="C121" s="512" t="s">
        <v>954</v>
      </c>
      <c r="D121" s="373" t="s">
        <v>980</v>
      </c>
      <c r="E121" s="512" t="s">
        <v>236</v>
      </c>
      <c r="F121" s="512" t="s">
        <v>55</v>
      </c>
      <c r="G121" s="545">
        <v>44355</v>
      </c>
      <c r="H121" s="49"/>
      <c r="I121" s="49"/>
      <c r="J121" s="49"/>
      <c r="K121" s="49"/>
      <c r="L121" s="49"/>
    </row>
    <row r="122" spans="1:12" s="372" customFormat="1" ht="15" customHeight="1" x14ac:dyDescent="0.25">
      <c r="A122" s="512" t="s">
        <v>532</v>
      </c>
      <c r="B122" s="512" t="s">
        <v>238</v>
      </c>
      <c r="C122" s="512" t="s">
        <v>616</v>
      </c>
      <c r="D122" s="373" t="s">
        <v>980</v>
      </c>
      <c r="E122" s="512" t="s">
        <v>236</v>
      </c>
      <c r="F122" s="512" t="s">
        <v>52</v>
      </c>
      <c r="G122" s="546">
        <v>40716</v>
      </c>
      <c r="H122" s="49"/>
      <c r="I122" s="49"/>
      <c r="J122" s="49"/>
      <c r="K122" s="49"/>
      <c r="L122" s="49"/>
    </row>
    <row r="123" spans="1:12" s="372" customFormat="1" ht="15" customHeight="1" x14ac:dyDescent="0.25">
      <c r="A123" s="512" t="s">
        <v>533</v>
      </c>
      <c r="B123" s="512" t="s">
        <v>239</v>
      </c>
      <c r="C123" s="512" t="s">
        <v>984</v>
      </c>
      <c r="D123" s="373" t="s">
        <v>980</v>
      </c>
      <c r="E123" s="512" t="s">
        <v>236</v>
      </c>
      <c r="F123" s="512" t="s">
        <v>43</v>
      </c>
      <c r="G123" s="545">
        <v>40868</v>
      </c>
      <c r="H123" s="49"/>
      <c r="I123" s="49"/>
      <c r="J123" s="49"/>
      <c r="K123" s="49"/>
      <c r="L123" s="49"/>
    </row>
    <row r="124" spans="1:12" s="372" customFormat="1" ht="15" customHeight="1" x14ac:dyDescent="0.25">
      <c r="A124" s="512" t="s">
        <v>785</v>
      </c>
      <c r="B124" s="512" t="s">
        <v>786</v>
      </c>
      <c r="C124" s="512" t="s">
        <v>787</v>
      </c>
      <c r="D124" s="373" t="s">
        <v>980</v>
      </c>
      <c r="E124" s="512" t="s">
        <v>236</v>
      </c>
      <c r="F124" s="512" t="s">
        <v>19</v>
      </c>
      <c r="G124" s="545">
        <v>43719</v>
      </c>
      <c r="H124" s="49"/>
      <c r="I124" s="49"/>
      <c r="J124" s="49"/>
      <c r="K124" s="49"/>
      <c r="L124" s="49"/>
    </row>
    <row r="125" spans="1:12" s="372" customFormat="1" ht="15" customHeight="1" x14ac:dyDescent="0.25">
      <c r="A125" s="512" t="s">
        <v>534</v>
      </c>
      <c r="B125" s="512" t="s">
        <v>440</v>
      </c>
      <c r="C125" s="512" t="s">
        <v>788</v>
      </c>
      <c r="D125" s="373" t="s">
        <v>980</v>
      </c>
      <c r="E125" s="512" t="s">
        <v>236</v>
      </c>
      <c r="F125" s="512" t="s">
        <v>51</v>
      </c>
      <c r="G125" s="545">
        <v>41432</v>
      </c>
      <c r="H125" s="49"/>
      <c r="I125" s="49"/>
      <c r="J125" s="49"/>
      <c r="K125" s="49"/>
      <c r="L125" s="49"/>
    </row>
    <row r="126" spans="1:12" s="372" customFormat="1" ht="15" customHeight="1" x14ac:dyDescent="0.25">
      <c r="A126" s="512" t="s">
        <v>755</v>
      </c>
      <c r="B126" s="512" t="s">
        <v>789</v>
      </c>
      <c r="C126" s="512" t="s">
        <v>790</v>
      </c>
      <c r="D126" s="373" t="s">
        <v>980</v>
      </c>
      <c r="E126" s="512" t="s">
        <v>236</v>
      </c>
      <c r="F126" s="512" t="s">
        <v>45</v>
      </c>
      <c r="G126" s="545">
        <v>40506</v>
      </c>
      <c r="H126" s="49"/>
      <c r="I126" s="49"/>
      <c r="J126" s="49"/>
      <c r="K126" s="49"/>
      <c r="L126" s="49"/>
    </row>
    <row r="127" spans="1:12" s="372" customFormat="1" ht="15" customHeight="1" x14ac:dyDescent="0.25">
      <c r="A127" s="512" t="s">
        <v>617</v>
      </c>
      <c r="B127" s="512" t="s">
        <v>655</v>
      </c>
      <c r="C127" s="512" t="s">
        <v>618</v>
      </c>
      <c r="D127" s="373" t="s">
        <v>980</v>
      </c>
      <c r="E127" s="512" t="s">
        <v>236</v>
      </c>
      <c r="F127" s="512" t="s">
        <v>51</v>
      </c>
      <c r="G127" s="545">
        <v>42621</v>
      </c>
      <c r="H127" s="49"/>
      <c r="I127" s="49"/>
      <c r="J127" s="49"/>
      <c r="K127" s="49"/>
      <c r="L127" s="49"/>
    </row>
    <row r="128" spans="1:12" s="372" customFormat="1" ht="15" customHeight="1" x14ac:dyDescent="0.25">
      <c r="A128" s="512" t="s">
        <v>535</v>
      </c>
      <c r="B128" s="512" t="s">
        <v>441</v>
      </c>
      <c r="C128" s="512" t="s">
        <v>985</v>
      </c>
      <c r="D128" s="373" t="s">
        <v>980</v>
      </c>
      <c r="E128" s="512" t="s">
        <v>236</v>
      </c>
      <c r="F128" s="512" t="s">
        <v>44</v>
      </c>
      <c r="G128" s="545">
        <v>41355</v>
      </c>
      <c r="H128" s="49"/>
      <c r="I128" s="49"/>
      <c r="J128" s="49"/>
      <c r="K128" s="49"/>
      <c r="L128" s="49"/>
    </row>
    <row r="129" spans="1:12" s="372" customFormat="1" ht="15" customHeight="1" x14ac:dyDescent="0.25">
      <c r="A129" s="512" t="s">
        <v>536</v>
      </c>
      <c r="B129" s="512" t="s">
        <v>791</v>
      </c>
      <c r="C129" s="512" t="s">
        <v>792</v>
      </c>
      <c r="D129" s="373" t="s">
        <v>980</v>
      </c>
      <c r="E129" s="512" t="s">
        <v>236</v>
      </c>
      <c r="F129" s="512" t="s">
        <v>44</v>
      </c>
      <c r="G129" s="545">
        <v>40522</v>
      </c>
      <c r="H129" s="49"/>
      <c r="I129" s="49"/>
      <c r="J129" s="49"/>
      <c r="K129" s="49"/>
      <c r="L129" s="49"/>
    </row>
    <row r="130" spans="1:12" s="372" customFormat="1" ht="15" customHeight="1" x14ac:dyDescent="0.25">
      <c r="A130" s="512" t="s">
        <v>986</v>
      </c>
      <c r="B130" s="512" t="s">
        <v>987</v>
      </c>
      <c r="C130" s="512" t="s">
        <v>988</v>
      </c>
      <c r="D130" s="373" t="s">
        <v>980</v>
      </c>
      <c r="E130" s="512" t="s">
        <v>236</v>
      </c>
      <c r="F130" s="512" t="s">
        <v>44</v>
      </c>
      <c r="G130" s="545">
        <v>44510</v>
      </c>
      <c r="H130" s="49"/>
      <c r="I130" s="49"/>
      <c r="J130" s="49"/>
      <c r="K130" s="49"/>
      <c r="L130" s="49"/>
    </row>
    <row r="131" spans="1:12" s="372" customFormat="1" ht="15" customHeight="1" x14ac:dyDescent="0.25">
      <c r="A131" s="512" t="s">
        <v>955</v>
      </c>
      <c r="B131" s="512" t="s">
        <v>956</v>
      </c>
      <c r="C131" s="512" t="s">
        <v>957</v>
      </c>
      <c r="D131" s="373" t="s">
        <v>980</v>
      </c>
      <c r="E131" s="512" t="s">
        <v>236</v>
      </c>
      <c r="F131" s="512" t="s">
        <v>56</v>
      </c>
      <c r="G131" s="545">
        <v>44342</v>
      </c>
      <c r="H131" s="49"/>
      <c r="I131" s="49"/>
      <c r="J131" s="49"/>
      <c r="K131" s="49"/>
      <c r="L131" s="49"/>
    </row>
    <row r="132" spans="1:12" s="372" customFormat="1" ht="15" customHeight="1" x14ac:dyDescent="0.25">
      <c r="A132" s="512" t="s">
        <v>537</v>
      </c>
      <c r="B132" s="512" t="s">
        <v>538</v>
      </c>
      <c r="C132" s="512" t="s">
        <v>481</v>
      </c>
      <c r="D132" s="373" t="s">
        <v>980</v>
      </c>
      <c r="E132" s="512" t="s">
        <v>236</v>
      </c>
      <c r="F132" s="512" t="s">
        <v>43</v>
      </c>
      <c r="G132" s="545">
        <v>41772</v>
      </c>
      <c r="H132" s="49"/>
      <c r="I132" s="49"/>
      <c r="J132" s="49"/>
      <c r="K132" s="49"/>
      <c r="L132" s="49"/>
    </row>
    <row r="133" spans="1:12" s="372" customFormat="1" ht="15" customHeight="1" x14ac:dyDescent="0.25">
      <c r="A133" s="512" t="s">
        <v>656</v>
      </c>
      <c r="B133" s="512" t="s">
        <v>657</v>
      </c>
      <c r="C133" s="512" t="s">
        <v>658</v>
      </c>
      <c r="D133" s="373" t="s">
        <v>980</v>
      </c>
      <c r="E133" s="512" t="s">
        <v>236</v>
      </c>
      <c r="F133" s="512" t="s">
        <v>52</v>
      </c>
      <c r="G133" s="545">
        <v>42899</v>
      </c>
      <c r="H133" s="49"/>
      <c r="I133" s="49"/>
      <c r="J133" s="49"/>
      <c r="K133" s="49"/>
      <c r="L133" s="49"/>
    </row>
    <row r="134" spans="1:12" s="372" customFormat="1" ht="15" customHeight="1" x14ac:dyDescent="0.25">
      <c r="A134" s="512" t="s">
        <v>539</v>
      </c>
      <c r="B134" s="512" t="s">
        <v>482</v>
      </c>
      <c r="C134" s="512" t="s">
        <v>483</v>
      </c>
      <c r="D134" s="373" t="s">
        <v>980</v>
      </c>
      <c r="E134" s="512" t="s">
        <v>236</v>
      </c>
      <c r="F134" s="512" t="s">
        <v>43</v>
      </c>
      <c r="G134" s="545">
        <v>41971</v>
      </c>
      <c r="H134" s="49"/>
      <c r="I134" s="49"/>
      <c r="J134" s="49"/>
      <c r="K134" s="49"/>
      <c r="L134" s="49"/>
    </row>
    <row r="135" spans="1:12" s="372" customFormat="1" ht="15" customHeight="1" x14ac:dyDescent="0.25">
      <c r="A135" s="512" t="s">
        <v>756</v>
      </c>
      <c r="B135" s="512" t="s">
        <v>757</v>
      </c>
      <c r="C135" s="512" t="s">
        <v>758</v>
      </c>
      <c r="D135" s="373" t="s">
        <v>980</v>
      </c>
      <c r="E135" s="512" t="s">
        <v>236</v>
      </c>
      <c r="F135" s="512" t="s">
        <v>44</v>
      </c>
      <c r="G135" s="545">
        <v>42699</v>
      </c>
      <c r="H135" s="49"/>
      <c r="I135" s="49"/>
      <c r="J135" s="49"/>
      <c r="K135" s="49"/>
      <c r="L135" s="49"/>
    </row>
    <row r="136" spans="1:12" s="372" customFormat="1" ht="15" customHeight="1" x14ac:dyDescent="0.25">
      <c r="A136" s="512" t="s">
        <v>845</v>
      </c>
      <c r="B136" s="512" t="s">
        <v>846</v>
      </c>
      <c r="C136" s="512" t="s">
        <v>847</v>
      </c>
      <c r="D136" s="373" t="s">
        <v>980</v>
      </c>
      <c r="E136" s="512" t="s">
        <v>236</v>
      </c>
      <c r="F136" s="512" t="s">
        <v>44</v>
      </c>
      <c r="G136" s="545">
        <v>40596</v>
      </c>
      <c r="H136" s="49"/>
      <c r="I136" s="49"/>
      <c r="J136" s="49"/>
      <c r="K136" s="49"/>
      <c r="L136" s="49"/>
    </row>
    <row r="137" spans="1:12" s="372" customFormat="1" ht="15" customHeight="1" x14ac:dyDescent="0.25">
      <c r="A137" s="512" t="s">
        <v>540</v>
      </c>
      <c r="B137" s="512" t="s">
        <v>240</v>
      </c>
      <c r="C137" s="512" t="s">
        <v>241</v>
      </c>
      <c r="D137" s="373" t="s">
        <v>980</v>
      </c>
      <c r="E137" s="512" t="s">
        <v>236</v>
      </c>
      <c r="F137" s="512" t="s">
        <v>43</v>
      </c>
      <c r="G137" s="545">
        <v>40652</v>
      </c>
      <c r="H137" s="49"/>
      <c r="I137" s="49"/>
      <c r="J137" s="49"/>
      <c r="K137" s="49"/>
      <c r="L137" s="49"/>
    </row>
    <row r="138" spans="1:12" s="372" customFormat="1" ht="15" customHeight="1" x14ac:dyDescent="0.25">
      <c r="A138" s="512" t="s">
        <v>793</v>
      </c>
      <c r="B138" s="512" t="s">
        <v>794</v>
      </c>
      <c r="C138" s="512" t="s">
        <v>795</v>
      </c>
      <c r="D138" s="373" t="s">
        <v>980</v>
      </c>
      <c r="E138" s="512" t="s">
        <v>236</v>
      </c>
      <c r="F138" s="512" t="s">
        <v>44</v>
      </c>
      <c r="G138" s="545">
        <v>43647</v>
      </c>
      <c r="H138" s="49"/>
      <c r="I138" s="49"/>
      <c r="J138" s="49"/>
      <c r="K138" s="49"/>
      <c r="L138" s="49"/>
    </row>
    <row r="139" spans="1:12" s="372" customFormat="1" ht="15" customHeight="1" x14ac:dyDescent="0.25">
      <c r="A139" s="512" t="s">
        <v>541</v>
      </c>
      <c r="B139" s="512" t="s">
        <v>542</v>
      </c>
      <c r="C139" s="512" t="s">
        <v>543</v>
      </c>
      <c r="D139" s="373" t="s">
        <v>980</v>
      </c>
      <c r="E139" s="512" t="s">
        <v>236</v>
      </c>
      <c r="F139" s="512" t="s">
        <v>19</v>
      </c>
      <c r="G139" s="545">
        <v>42090</v>
      </c>
      <c r="H139" s="49"/>
      <c r="I139" s="49"/>
      <c r="J139" s="49"/>
      <c r="K139" s="49"/>
      <c r="L139" s="49"/>
    </row>
    <row r="140" spans="1:12" s="372" customFormat="1" ht="15" customHeight="1" x14ac:dyDescent="0.25">
      <c r="A140" s="512" t="s">
        <v>897</v>
      </c>
      <c r="B140" s="512" t="s">
        <v>898</v>
      </c>
      <c r="C140" s="512" t="s">
        <v>899</v>
      </c>
      <c r="D140" s="373" t="s">
        <v>980</v>
      </c>
      <c r="E140" s="512" t="s">
        <v>236</v>
      </c>
      <c r="F140" s="512" t="s">
        <v>43</v>
      </c>
      <c r="G140" s="545">
        <v>44033</v>
      </c>
      <c r="H140" s="49"/>
      <c r="I140" s="49"/>
      <c r="J140" s="49"/>
      <c r="K140" s="49"/>
      <c r="L140" s="49"/>
    </row>
    <row r="141" spans="1:12" s="372" customFormat="1" ht="15" customHeight="1" x14ac:dyDescent="0.25">
      <c r="A141" s="512" t="s">
        <v>544</v>
      </c>
      <c r="B141" s="512" t="s">
        <v>659</v>
      </c>
      <c r="C141" s="512" t="s">
        <v>465</v>
      </c>
      <c r="D141" s="373" t="s">
        <v>980</v>
      </c>
      <c r="E141" s="512" t="s">
        <v>236</v>
      </c>
      <c r="F141" s="512" t="s">
        <v>44</v>
      </c>
      <c r="G141" s="545">
        <v>40625</v>
      </c>
      <c r="H141" s="49"/>
      <c r="I141" s="49"/>
      <c r="J141" s="49"/>
      <c r="K141" s="49"/>
      <c r="L141" s="49"/>
    </row>
    <row r="142" spans="1:12" s="372" customFormat="1" ht="15" customHeight="1" x14ac:dyDescent="0.25">
      <c r="A142" s="512" t="s">
        <v>660</v>
      </c>
      <c r="B142" s="512" t="s">
        <v>661</v>
      </c>
      <c r="C142" s="633" t="s">
        <v>662</v>
      </c>
      <c r="D142" s="634" t="s">
        <v>980</v>
      </c>
      <c r="E142" s="512" t="s">
        <v>236</v>
      </c>
      <c r="F142" s="512" t="s">
        <v>43</v>
      </c>
      <c r="G142" s="545">
        <v>42853</v>
      </c>
      <c r="H142" s="49"/>
      <c r="I142" s="49"/>
      <c r="J142" s="49"/>
      <c r="K142" s="49"/>
      <c r="L142" s="49"/>
    </row>
    <row r="143" spans="1:12" s="372" customFormat="1" ht="15" customHeight="1" x14ac:dyDescent="0.25">
      <c r="A143" s="512" t="s">
        <v>545</v>
      </c>
      <c r="B143" s="512" t="s">
        <v>242</v>
      </c>
      <c r="C143" s="512" t="s">
        <v>796</v>
      </c>
      <c r="D143" s="373" t="s">
        <v>980</v>
      </c>
      <c r="E143" s="512" t="s">
        <v>236</v>
      </c>
      <c r="F143" s="512" t="s">
        <v>43</v>
      </c>
      <c r="G143" s="545">
        <v>40889</v>
      </c>
      <c r="H143" s="49"/>
      <c r="I143" s="49"/>
      <c r="J143" s="49"/>
      <c r="K143" s="49"/>
      <c r="L143" s="49"/>
    </row>
    <row r="144" spans="1:12" s="372" customFormat="1" ht="15" customHeight="1" x14ac:dyDescent="0.25">
      <c r="A144" s="512" t="s">
        <v>546</v>
      </c>
      <c r="B144" s="512" t="s">
        <v>989</v>
      </c>
      <c r="C144" s="512" t="s">
        <v>744</v>
      </c>
      <c r="D144" s="373" t="s">
        <v>980</v>
      </c>
      <c r="E144" s="512" t="s">
        <v>236</v>
      </c>
      <c r="F144" s="512" t="s">
        <v>44</v>
      </c>
      <c r="G144" s="545">
        <v>42208</v>
      </c>
      <c r="H144" s="49"/>
      <c r="I144" s="49"/>
      <c r="J144" s="49"/>
      <c r="K144" s="49"/>
      <c r="L144" s="49"/>
    </row>
    <row r="145" spans="1:12" s="372" customFormat="1" ht="15" customHeight="1" x14ac:dyDescent="0.25">
      <c r="A145" s="512" t="s">
        <v>730</v>
      </c>
      <c r="B145" s="512" t="s">
        <v>731</v>
      </c>
      <c r="C145" s="512" t="s">
        <v>745</v>
      </c>
      <c r="D145" s="373" t="s">
        <v>980</v>
      </c>
      <c r="E145" s="512" t="s">
        <v>236</v>
      </c>
      <c r="F145" s="512" t="s">
        <v>55</v>
      </c>
      <c r="G145" s="545">
        <v>43158</v>
      </c>
      <c r="H145" s="49"/>
      <c r="I145" s="49"/>
      <c r="J145" s="49"/>
      <c r="K145" s="49"/>
      <c r="L145" s="49"/>
    </row>
    <row r="146" spans="1:12" s="372" customFormat="1" ht="15" customHeight="1" x14ac:dyDescent="0.25">
      <c r="A146" s="512" t="s">
        <v>848</v>
      </c>
      <c r="B146" s="512" t="s">
        <v>243</v>
      </c>
      <c r="C146" s="633" t="s">
        <v>244</v>
      </c>
      <c r="D146" s="634" t="s">
        <v>980</v>
      </c>
      <c r="E146" s="512" t="s">
        <v>236</v>
      </c>
      <c r="F146" s="512" t="s">
        <v>43</v>
      </c>
      <c r="G146" s="545">
        <v>40490</v>
      </c>
      <c r="H146" s="49"/>
      <c r="I146" s="49"/>
      <c r="J146" s="49"/>
      <c r="K146" s="49"/>
      <c r="L146" s="49"/>
    </row>
    <row r="147" spans="1:12" s="372" customFormat="1" ht="15" customHeight="1" x14ac:dyDescent="0.25">
      <c r="A147" s="512" t="s">
        <v>547</v>
      </c>
      <c r="B147" s="512" t="s">
        <v>245</v>
      </c>
      <c r="C147" s="512" t="s">
        <v>663</v>
      </c>
      <c r="D147" s="373" t="s">
        <v>980</v>
      </c>
      <c r="E147" s="512" t="s">
        <v>236</v>
      </c>
      <c r="F147" s="512" t="s">
        <v>52</v>
      </c>
      <c r="G147" s="545">
        <v>40933</v>
      </c>
      <c r="H147" s="49"/>
      <c r="I147" s="49"/>
      <c r="J147" s="49"/>
      <c r="K147" s="49"/>
      <c r="L147" s="49"/>
    </row>
    <row r="148" spans="1:12" s="372" customFormat="1" ht="15" customHeight="1" x14ac:dyDescent="0.25">
      <c r="A148" s="512" t="s">
        <v>548</v>
      </c>
      <c r="B148" s="512" t="s">
        <v>549</v>
      </c>
      <c r="C148" s="512" t="s">
        <v>664</v>
      </c>
      <c r="D148" s="373" t="s">
        <v>980</v>
      </c>
      <c r="E148" s="512" t="s">
        <v>236</v>
      </c>
      <c r="F148" s="512" t="s">
        <v>44</v>
      </c>
      <c r="G148" s="545">
        <v>40499</v>
      </c>
      <c r="H148" s="49"/>
      <c r="I148" s="49"/>
      <c r="J148" s="49"/>
      <c r="K148" s="49"/>
      <c r="L148" s="49"/>
    </row>
    <row r="149" spans="1:12" s="372" customFormat="1" ht="15" customHeight="1" x14ac:dyDescent="0.25">
      <c r="A149" s="512" t="s">
        <v>550</v>
      </c>
      <c r="B149" s="512" t="s">
        <v>246</v>
      </c>
      <c r="C149" s="512" t="s">
        <v>247</v>
      </c>
      <c r="D149" s="373" t="s">
        <v>980</v>
      </c>
      <c r="E149" s="512" t="s">
        <v>236</v>
      </c>
      <c r="F149" s="512" t="s">
        <v>44</v>
      </c>
      <c r="G149" s="545">
        <v>40641</v>
      </c>
      <c r="H149" s="49"/>
      <c r="I149" s="49"/>
      <c r="J149" s="49"/>
      <c r="K149" s="49"/>
      <c r="L149" s="49"/>
    </row>
    <row r="150" spans="1:12" s="372" customFormat="1" ht="15" customHeight="1" x14ac:dyDescent="0.25">
      <c r="A150" s="512" t="s">
        <v>551</v>
      </c>
      <c r="B150" s="512" t="s">
        <v>248</v>
      </c>
      <c r="C150" s="512" t="s">
        <v>249</v>
      </c>
      <c r="D150" s="373" t="s">
        <v>980</v>
      </c>
      <c r="E150" s="512" t="s">
        <v>236</v>
      </c>
      <c r="F150" s="512" t="s">
        <v>44</v>
      </c>
      <c r="G150" s="545">
        <v>40996</v>
      </c>
      <c r="H150" s="49"/>
      <c r="I150" s="49"/>
      <c r="J150" s="49"/>
      <c r="K150" s="49"/>
      <c r="L150" s="49"/>
    </row>
    <row r="151" spans="1:12" s="372" customFormat="1" ht="15" customHeight="1" x14ac:dyDescent="0.25">
      <c r="A151" s="512" t="s">
        <v>619</v>
      </c>
      <c r="B151" s="512" t="s">
        <v>250</v>
      </c>
      <c r="C151" s="512" t="s">
        <v>251</v>
      </c>
      <c r="D151" s="373" t="s">
        <v>980</v>
      </c>
      <c r="E151" s="512" t="s">
        <v>236</v>
      </c>
      <c r="F151" s="512" t="s">
        <v>43</v>
      </c>
      <c r="G151" s="545">
        <v>40683</v>
      </c>
      <c r="H151" s="49"/>
      <c r="I151" s="49"/>
      <c r="J151" s="49"/>
      <c r="K151" s="49"/>
      <c r="L151" s="49"/>
    </row>
    <row r="152" spans="1:12" s="372" customFormat="1" ht="15" customHeight="1" x14ac:dyDescent="0.25">
      <c r="A152" s="512" t="s">
        <v>552</v>
      </c>
      <c r="B152" s="512" t="s">
        <v>900</v>
      </c>
      <c r="C152" s="512" t="s">
        <v>553</v>
      </c>
      <c r="D152" s="373" t="s">
        <v>980</v>
      </c>
      <c r="E152" s="512" t="s">
        <v>236</v>
      </c>
      <c r="F152" s="512" t="s">
        <v>44</v>
      </c>
      <c r="G152" s="545">
        <v>42283</v>
      </c>
      <c r="H152" s="49"/>
      <c r="I152" s="49"/>
      <c r="J152" s="49"/>
      <c r="K152" s="49"/>
      <c r="L152" s="49"/>
    </row>
    <row r="153" spans="1:12" s="372" customFormat="1" ht="15" customHeight="1" x14ac:dyDescent="0.25">
      <c r="A153" s="512" t="s">
        <v>990</v>
      </c>
      <c r="B153" s="512" t="s">
        <v>991</v>
      </c>
      <c r="C153" s="512" t="s">
        <v>992</v>
      </c>
      <c r="D153" s="373" t="s">
        <v>980</v>
      </c>
      <c r="E153" s="512" t="s">
        <v>236</v>
      </c>
      <c r="F153" s="512" t="s">
        <v>49</v>
      </c>
      <c r="G153" s="546">
        <v>44819</v>
      </c>
      <c r="H153" s="49"/>
      <c r="I153" s="49"/>
      <c r="J153" s="52"/>
      <c r="K153" s="52"/>
      <c r="L153" s="49"/>
    </row>
    <row r="154" spans="1:12" s="372" customFormat="1" ht="15" customHeight="1" x14ac:dyDescent="0.25">
      <c r="A154" s="512" t="s">
        <v>554</v>
      </c>
      <c r="B154" s="512" t="s">
        <v>252</v>
      </c>
      <c r="C154" s="512" t="s">
        <v>901</v>
      </c>
      <c r="D154" s="373" t="s">
        <v>980</v>
      </c>
      <c r="E154" s="512" t="s">
        <v>236</v>
      </c>
      <c r="F154" s="512" t="s">
        <v>49</v>
      </c>
      <c r="G154" s="545">
        <v>40590</v>
      </c>
      <c r="H154" s="49"/>
      <c r="I154" s="49"/>
      <c r="J154" s="52"/>
      <c r="K154" s="52"/>
      <c r="L154" s="49"/>
    </row>
    <row r="155" spans="1:12" s="372" customFormat="1" ht="15" customHeight="1" x14ac:dyDescent="0.25">
      <c r="A155" s="512" t="s">
        <v>732</v>
      </c>
      <c r="B155" s="512" t="s">
        <v>733</v>
      </c>
      <c r="C155" s="512" t="s">
        <v>746</v>
      </c>
      <c r="D155" s="373" t="s">
        <v>980</v>
      </c>
      <c r="E155" s="512" t="s">
        <v>236</v>
      </c>
      <c r="F155" s="512" t="s">
        <v>49</v>
      </c>
      <c r="G155" s="545">
        <v>43216</v>
      </c>
      <c r="H155" s="49"/>
      <c r="I155" s="49"/>
      <c r="J155" s="52"/>
      <c r="K155" s="52"/>
      <c r="L155" s="49"/>
    </row>
    <row r="156" spans="1:12" s="372" customFormat="1" ht="15" customHeight="1" x14ac:dyDescent="0.25">
      <c r="A156" s="512" t="s">
        <v>555</v>
      </c>
      <c r="B156" s="512" t="s">
        <v>253</v>
      </c>
      <c r="C156" s="512" t="s">
        <v>620</v>
      </c>
      <c r="D156" s="373" t="s">
        <v>980</v>
      </c>
      <c r="E156" s="512" t="s">
        <v>236</v>
      </c>
      <c r="F156" s="512" t="s">
        <v>49</v>
      </c>
      <c r="G156" s="545">
        <v>40673</v>
      </c>
      <c r="H156" s="49"/>
      <c r="I156" s="49"/>
      <c r="J156" s="52"/>
      <c r="K156" s="52"/>
      <c r="L156" s="49"/>
    </row>
    <row r="157" spans="1:12" s="372" customFormat="1" ht="15" customHeight="1" x14ac:dyDescent="0.25">
      <c r="A157" s="512" t="s">
        <v>556</v>
      </c>
      <c r="B157" s="512" t="s">
        <v>254</v>
      </c>
      <c r="C157" s="512" t="s">
        <v>849</v>
      </c>
      <c r="D157" s="373" t="s">
        <v>980</v>
      </c>
      <c r="E157" s="512" t="s">
        <v>236</v>
      </c>
      <c r="F157" s="512" t="s">
        <v>52</v>
      </c>
      <c r="G157" s="545">
        <v>40702</v>
      </c>
      <c r="H157" s="49"/>
      <c r="I157" s="49"/>
      <c r="J157" s="52"/>
      <c r="K157" s="52"/>
      <c r="L157" s="49"/>
    </row>
    <row r="158" spans="1:12" s="372" customFormat="1" ht="15" customHeight="1" x14ac:dyDescent="0.25">
      <c r="A158" s="512" t="s">
        <v>797</v>
      </c>
      <c r="B158" s="512" t="s">
        <v>798</v>
      </c>
      <c r="C158" s="512" t="s">
        <v>799</v>
      </c>
      <c r="D158" s="373" t="s">
        <v>980</v>
      </c>
      <c r="E158" s="512" t="s">
        <v>236</v>
      </c>
      <c r="F158" s="512" t="s">
        <v>53</v>
      </c>
      <c r="G158" s="545">
        <v>43767</v>
      </c>
      <c r="H158" s="49"/>
      <c r="I158" s="49"/>
      <c r="J158" s="52"/>
      <c r="K158" s="52"/>
      <c r="L158" s="49"/>
    </row>
    <row r="159" spans="1:12" s="372" customFormat="1" ht="15" customHeight="1" x14ac:dyDescent="0.25">
      <c r="A159" s="512" t="s">
        <v>557</v>
      </c>
      <c r="B159" s="512" t="s">
        <v>255</v>
      </c>
      <c r="C159" s="512" t="s">
        <v>256</v>
      </c>
      <c r="D159" s="373" t="s">
        <v>980</v>
      </c>
      <c r="E159" s="512" t="s">
        <v>236</v>
      </c>
      <c r="F159" s="512" t="s">
        <v>50</v>
      </c>
      <c r="G159" s="545">
        <v>40553</v>
      </c>
      <c r="H159" s="49"/>
      <c r="I159" s="49"/>
      <c r="J159" s="52"/>
      <c r="K159" s="52"/>
      <c r="L159" s="49"/>
    </row>
    <row r="160" spans="1:12" s="372" customFormat="1" ht="15" customHeight="1" x14ac:dyDescent="0.25">
      <c r="A160" s="512" t="s">
        <v>558</v>
      </c>
      <c r="B160" s="512" t="s">
        <v>257</v>
      </c>
      <c r="C160" s="512" t="s">
        <v>258</v>
      </c>
      <c r="D160" s="373" t="s">
        <v>980</v>
      </c>
      <c r="E160" s="512" t="s">
        <v>236</v>
      </c>
      <c r="F160" s="512" t="s">
        <v>48</v>
      </c>
      <c r="G160" s="545">
        <v>40512</v>
      </c>
      <c r="H160" s="49"/>
      <c r="I160" s="49"/>
      <c r="J160" s="52"/>
      <c r="K160" s="52"/>
      <c r="L160" s="49"/>
    </row>
    <row r="161" spans="1:12" s="372" customFormat="1" ht="15" customHeight="1" x14ac:dyDescent="0.25">
      <c r="A161" s="512" t="s">
        <v>759</v>
      </c>
      <c r="B161" s="512" t="s">
        <v>760</v>
      </c>
      <c r="C161" s="512" t="s">
        <v>761</v>
      </c>
      <c r="D161" s="373" t="s">
        <v>980</v>
      </c>
      <c r="E161" s="512" t="s">
        <v>236</v>
      </c>
      <c r="F161" s="512" t="s">
        <v>49</v>
      </c>
      <c r="G161" s="545">
        <v>41079</v>
      </c>
      <c r="H161" s="49"/>
      <c r="I161" s="49"/>
      <c r="J161" s="52"/>
      <c r="K161" s="52"/>
      <c r="L161" s="49"/>
    </row>
    <row r="162" spans="1:12" s="372" customFormat="1" ht="15" customHeight="1" x14ac:dyDescent="0.25">
      <c r="A162" s="512" t="s">
        <v>621</v>
      </c>
      <c r="B162" s="512" t="s">
        <v>622</v>
      </c>
      <c r="C162" s="512" t="s">
        <v>623</v>
      </c>
      <c r="D162" s="373" t="s">
        <v>980</v>
      </c>
      <c r="E162" s="512" t="s">
        <v>236</v>
      </c>
      <c r="F162" s="512" t="s">
        <v>49</v>
      </c>
      <c r="G162" s="545">
        <v>42633</v>
      </c>
      <c r="H162" s="49"/>
      <c r="I162" s="49"/>
      <c r="J162" s="52"/>
      <c r="K162" s="52"/>
      <c r="L162" s="49"/>
    </row>
    <row r="163" spans="1:12" s="372" customFormat="1" ht="15" customHeight="1" x14ac:dyDescent="0.25">
      <c r="A163" s="512" t="s">
        <v>734</v>
      </c>
      <c r="B163" s="512" t="s">
        <v>735</v>
      </c>
      <c r="C163" s="512" t="s">
        <v>747</v>
      </c>
      <c r="D163" s="373" t="s">
        <v>980</v>
      </c>
      <c r="E163" s="512" t="s">
        <v>236</v>
      </c>
      <c r="F163" s="512" t="s">
        <v>52</v>
      </c>
      <c r="G163" s="545">
        <v>43370</v>
      </c>
      <c r="H163" s="49"/>
      <c r="I163" s="49"/>
      <c r="J163" s="52"/>
      <c r="K163" s="52"/>
      <c r="L163" s="49"/>
    </row>
    <row r="164" spans="1:12" s="372" customFormat="1" ht="15" customHeight="1" x14ac:dyDescent="0.25">
      <c r="A164" s="512" t="s">
        <v>559</v>
      </c>
      <c r="B164" s="512" t="s">
        <v>800</v>
      </c>
      <c r="C164" s="512" t="s">
        <v>801</v>
      </c>
      <c r="D164" s="373" t="s">
        <v>980</v>
      </c>
      <c r="E164" s="512" t="s">
        <v>236</v>
      </c>
      <c r="F164" s="512" t="s">
        <v>52</v>
      </c>
      <c r="G164" s="545">
        <v>41453</v>
      </c>
      <c r="H164" s="49"/>
      <c r="I164" s="49"/>
      <c r="J164" s="52"/>
      <c r="K164" s="52"/>
      <c r="L164" s="49"/>
    </row>
    <row r="165" spans="1:12" s="495" customFormat="1" ht="15" customHeight="1" x14ac:dyDescent="0.25">
      <c r="A165" s="512" t="s">
        <v>560</v>
      </c>
      <c r="B165" s="512" t="s">
        <v>259</v>
      </c>
      <c r="C165" s="512" t="s">
        <v>260</v>
      </c>
      <c r="D165" s="489" t="s">
        <v>980</v>
      </c>
      <c r="E165" s="512" t="s">
        <v>236</v>
      </c>
      <c r="F165" s="512" t="s">
        <v>46</v>
      </c>
      <c r="G165" s="545">
        <v>40784</v>
      </c>
      <c r="H165" s="493"/>
      <c r="I165" s="493"/>
      <c r="J165" s="494"/>
      <c r="K165" s="494"/>
      <c r="L165" s="493"/>
    </row>
    <row r="166" spans="1:12" s="372" customFormat="1" ht="15" customHeight="1" x14ac:dyDescent="0.25">
      <c r="A166" s="512" t="s">
        <v>850</v>
      </c>
      <c r="B166" s="512" t="s">
        <v>851</v>
      </c>
      <c r="C166" s="512" t="s">
        <v>993</v>
      </c>
      <c r="D166" s="373" t="s">
        <v>980</v>
      </c>
      <c r="E166" s="512" t="s">
        <v>236</v>
      </c>
      <c r="F166" s="512" t="s">
        <v>43</v>
      </c>
      <c r="G166" s="545">
        <v>41180</v>
      </c>
      <c r="H166" s="49"/>
      <c r="I166" s="49"/>
      <c r="J166" s="52"/>
      <c r="K166" s="52"/>
      <c r="L166" s="49"/>
    </row>
    <row r="167" spans="1:12" s="372" customFormat="1" ht="15" customHeight="1" x14ac:dyDescent="0.25">
      <c r="A167" s="512" t="s">
        <v>561</v>
      </c>
      <c r="B167" s="512" t="s">
        <v>261</v>
      </c>
      <c r="C167" s="512" t="s">
        <v>562</v>
      </c>
      <c r="D167" s="373" t="s">
        <v>980</v>
      </c>
      <c r="E167" s="512" t="s">
        <v>236</v>
      </c>
      <c r="F167" s="512" t="s">
        <v>44</v>
      </c>
      <c r="G167" s="545">
        <v>40865</v>
      </c>
      <c r="H167" s="49"/>
      <c r="I167" s="49"/>
      <c r="J167" s="52"/>
      <c r="K167" s="52"/>
      <c r="L167" s="49"/>
    </row>
    <row r="168" spans="1:12" s="372" customFormat="1" ht="15" customHeight="1" x14ac:dyDescent="0.25">
      <c r="A168" s="512" t="s">
        <v>902</v>
      </c>
      <c r="B168" s="512" t="s">
        <v>903</v>
      </c>
      <c r="C168" s="512" t="s">
        <v>904</v>
      </c>
      <c r="D168" s="373" t="s">
        <v>980</v>
      </c>
      <c r="E168" s="512" t="s">
        <v>236</v>
      </c>
      <c r="F168" s="512" t="s">
        <v>51</v>
      </c>
      <c r="G168" s="545">
        <v>43991</v>
      </c>
      <c r="H168" s="49"/>
      <c r="I168" s="49"/>
      <c r="J168" s="52"/>
      <c r="K168" s="52"/>
      <c r="L168" s="49"/>
    </row>
    <row r="169" spans="1:12" s="372" customFormat="1" ht="15" customHeight="1" x14ac:dyDescent="0.25">
      <c r="A169" s="512" t="s">
        <v>736</v>
      </c>
      <c r="B169" s="512" t="s">
        <v>737</v>
      </c>
      <c r="C169" s="512" t="s">
        <v>748</v>
      </c>
      <c r="D169" s="373" t="s">
        <v>980</v>
      </c>
      <c r="E169" s="512" t="s">
        <v>236</v>
      </c>
      <c r="F169" s="512" t="s">
        <v>52</v>
      </c>
      <c r="G169" s="545">
        <v>43229</v>
      </c>
      <c r="H169" s="49"/>
      <c r="I169" s="49"/>
      <c r="J169" s="52"/>
      <c r="K169" s="52"/>
      <c r="L169" s="49"/>
    </row>
    <row r="170" spans="1:12" s="372" customFormat="1" ht="15" customHeight="1" x14ac:dyDescent="0.25">
      <c r="A170" s="512" t="s">
        <v>563</v>
      </c>
      <c r="B170" s="512" t="s">
        <v>262</v>
      </c>
      <c r="C170" s="512" t="s">
        <v>624</v>
      </c>
      <c r="D170" s="373" t="s">
        <v>980</v>
      </c>
      <c r="E170" s="512" t="s">
        <v>236</v>
      </c>
      <c r="F170" s="512" t="s">
        <v>53</v>
      </c>
      <c r="G170" s="545">
        <v>40567</v>
      </c>
      <c r="H170" s="49"/>
      <c r="I170" s="49"/>
      <c r="J170" s="52"/>
      <c r="K170" s="52"/>
      <c r="L170" s="49"/>
    </row>
    <row r="171" spans="1:12" s="372" customFormat="1" ht="15" customHeight="1" x14ac:dyDescent="0.25">
      <c r="A171" s="512" t="s">
        <v>994</v>
      </c>
      <c r="B171" s="512" t="s">
        <v>995</v>
      </c>
      <c r="C171" s="512" t="s">
        <v>996</v>
      </c>
      <c r="D171" s="373" t="s">
        <v>980</v>
      </c>
      <c r="E171" s="512" t="s">
        <v>236</v>
      </c>
      <c r="F171" s="512" t="s">
        <v>43</v>
      </c>
      <c r="G171" s="545">
        <v>44746</v>
      </c>
      <c r="H171" s="49"/>
      <c r="I171" s="49"/>
      <c r="J171" s="52"/>
      <c r="K171" s="52"/>
      <c r="L171" s="49"/>
    </row>
    <row r="172" spans="1:12" s="372" customFormat="1" ht="15" customHeight="1" x14ac:dyDescent="0.25">
      <c r="A172" s="512" t="s">
        <v>625</v>
      </c>
      <c r="B172" s="512" t="s">
        <v>626</v>
      </c>
      <c r="C172" s="512" t="s">
        <v>627</v>
      </c>
      <c r="D172" s="373" t="s">
        <v>980</v>
      </c>
      <c r="E172" s="512" t="s">
        <v>236</v>
      </c>
      <c r="F172" s="512" t="s">
        <v>53</v>
      </c>
      <c r="G172" s="546">
        <v>42502</v>
      </c>
      <c r="H172" s="49"/>
      <c r="I172" s="49"/>
      <c r="J172" s="52"/>
      <c r="K172" s="52"/>
      <c r="L172" s="49"/>
    </row>
    <row r="173" spans="1:12" s="372" customFormat="1" ht="15" customHeight="1" x14ac:dyDescent="0.25">
      <c r="A173" s="512" t="s">
        <v>564</v>
      </c>
      <c r="B173" s="512" t="s">
        <v>997</v>
      </c>
      <c r="C173" s="512" t="s">
        <v>998</v>
      </c>
      <c r="D173" s="373" t="s">
        <v>980</v>
      </c>
      <c r="E173" s="512" t="s">
        <v>236</v>
      </c>
      <c r="F173" s="512" t="s">
        <v>44</v>
      </c>
      <c r="G173" s="545">
        <v>41625</v>
      </c>
      <c r="H173" s="49"/>
      <c r="I173" s="49"/>
      <c r="J173" s="52"/>
      <c r="K173" s="52"/>
      <c r="L173" s="49"/>
    </row>
    <row r="174" spans="1:12" s="372" customFormat="1" ht="15" customHeight="1" x14ac:dyDescent="0.25">
      <c r="A174" s="512" t="s">
        <v>565</v>
      </c>
      <c r="B174" s="512" t="s">
        <v>852</v>
      </c>
      <c r="C174" s="633" t="s">
        <v>853</v>
      </c>
      <c r="D174" s="634" t="s">
        <v>980</v>
      </c>
      <c r="E174" s="512" t="s">
        <v>236</v>
      </c>
      <c r="F174" s="512" t="s">
        <v>19</v>
      </c>
      <c r="G174" s="545">
        <v>41765</v>
      </c>
      <c r="H174" s="49"/>
      <c r="I174" s="49"/>
      <c r="J174" s="52"/>
      <c r="K174" s="52"/>
      <c r="L174" s="49"/>
    </row>
    <row r="175" spans="1:12" s="372" customFormat="1" ht="15" customHeight="1" x14ac:dyDescent="0.25">
      <c r="A175" s="512" t="s">
        <v>566</v>
      </c>
      <c r="B175" s="512" t="s">
        <v>665</v>
      </c>
      <c r="C175" s="512" t="s">
        <v>263</v>
      </c>
      <c r="D175" s="373" t="s">
        <v>980</v>
      </c>
      <c r="E175" s="512" t="s">
        <v>236</v>
      </c>
      <c r="F175" s="512" t="s">
        <v>43</v>
      </c>
      <c r="G175" s="545">
        <v>40617</v>
      </c>
      <c r="H175" s="49"/>
      <c r="I175" s="49"/>
      <c r="J175" s="52"/>
      <c r="K175" s="52"/>
      <c r="L175" s="49"/>
    </row>
    <row r="176" spans="1:12" s="372" customFormat="1" ht="15" customHeight="1" x14ac:dyDescent="0.25">
      <c r="A176" s="512" t="s">
        <v>628</v>
      </c>
      <c r="B176" s="512" t="s">
        <v>629</v>
      </c>
      <c r="C176" s="512" t="s">
        <v>854</v>
      </c>
      <c r="D176" s="373" t="s">
        <v>980</v>
      </c>
      <c r="E176" s="512" t="s">
        <v>236</v>
      </c>
      <c r="F176" s="512" t="s">
        <v>45</v>
      </c>
      <c r="G176" s="545">
        <v>42524</v>
      </c>
      <c r="H176" s="49"/>
      <c r="I176" s="49"/>
      <c r="J176" s="52"/>
      <c r="K176" s="52"/>
      <c r="L176" s="49"/>
    </row>
    <row r="177" spans="1:12" s="372" customFormat="1" ht="15" customHeight="1" x14ac:dyDescent="0.25">
      <c r="A177" s="512" t="s">
        <v>567</v>
      </c>
      <c r="B177" s="512" t="s">
        <v>484</v>
      </c>
      <c r="C177" s="512" t="s">
        <v>485</v>
      </c>
      <c r="D177" s="373" t="s">
        <v>980</v>
      </c>
      <c r="E177" s="512" t="s">
        <v>236</v>
      </c>
      <c r="F177" s="512" t="s">
        <v>52</v>
      </c>
      <c r="G177" s="545">
        <v>41375</v>
      </c>
      <c r="H177" s="49"/>
      <c r="I177" s="49"/>
      <c r="J177" s="52"/>
      <c r="K177" s="52"/>
      <c r="L177" s="49"/>
    </row>
    <row r="178" spans="1:12" s="372" customFormat="1" ht="15" customHeight="1" x14ac:dyDescent="0.25">
      <c r="A178" s="512" t="s">
        <v>605</v>
      </c>
      <c r="B178" s="512" t="s">
        <v>606</v>
      </c>
      <c r="C178" s="512" t="s">
        <v>802</v>
      </c>
      <c r="D178" s="373" t="s">
        <v>980</v>
      </c>
      <c r="E178" s="512" t="s">
        <v>236</v>
      </c>
      <c r="F178" s="512" t="s">
        <v>52</v>
      </c>
      <c r="G178" s="545">
        <v>42325</v>
      </c>
      <c r="H178" s="49"/>
      <c r="I178" s="49"/>
      <c r="J178" s="52"/>
      <c r="K178" s="52"/>
      <c r="L178" s="49"/>
    </row>
    <row r="179" spans="1:12" s="372" customFormat="1" ht="15" customHeight="1" x14ac:dyDescent="0.25">
      <c r="A179" s="512" t="s">
        <v>568</v>
      </c>
      <c r="B179" s="512" t="s">
        <v>462</v>
      </c>
      <c r="C179" s="512" t="s">
        <v>569</v>
      </c>
      <c r="D179" s="373" t="s">
        <v>980</v>
      </c>
      <c r="E179" s="512" t="s">
        <v>236</v>
      </c>
      <c r="F179" s="512" t="s">
        <v>51</v>
      </c>
      <c r="G179" s="545">
        <v>41705</v>
      </c>
      <c r="H179" s="49"/>
      <c r="I179" s="49"/>
      <c r="J179" s="52"/>
      <c r="K179" s="52"/>
      <c r="L179" s="49"/>
    </row>
    <row r="180" spans="1:12" s="372" customFormat="1" ht="15" customHeight="1" x14ac:dyDescent="0.25">
      <c r="A180" s="512" t="s">
        <v>570</v>
      </c>
      <c r="B180" s="512" t="s">
        <v>264</v>
      </c>
      <c r="C180" s="512" t="s">
        <v>265</v>
      </c>
      <c r="D180" s="373" t="s">
        <v>980</v>
      </c>
      <c r="E180" s="512" t="s">
        <v>236</v>
      </c>
      <c r="F180" s="512" t="s">
        <v>45</v>
      </c>
      <c r="G180" s="545">
        <v>40759</v>
      </c>
      <c r="H180" s="49"/>
      <c r="I180" s="49"/>
      <c r="J180" s="52"/>
      <c r="K180" s="52"/>
      <c r="L180" s="49"/>
    </row>
    <row r="181" spans="1:12" s="372" customFormat="1" ht="15" customHeight="1" x14ac:dyDescent="0.25">
      <c r="A181" s="512" t="s">
        <v>762</v>
      </c>
      <c r="B181" s="512" t="s">
        <v>763</v>
      </c>
      <c r="C181" s="512" t="s">
        <v>764</v>
      </c>
      <c r="D181" s="373" t="s">
        <v>980</v>
      </c>
      <c r="E181" s="512" t="s">
        <v>236</v>
      </c>
      <c r="F181" s="512" t="s">
        <v>52</v>
      </c>
      <c r="G181" s="545">
        <v>42251</v>
      </c>
      <c r="H181" s="49"/>
      <c r="I181" s="49"/>
      <c r="J181" s="52"/>
      <c r="K181" s="52"/>
      <c r="L181" s="49"/>
    </row>
    <row r="182" spans="1:12" s="372" customFormat="1" ht="15" customHeight="1" x14ac:dyDescent="0.25">
      <c r="A182" s="512" t="s">
        <v>855</v>
      </c>
      <c r="B182" s="512" t="s">
        <v>856</v>
      </c>
      <c r="C182" s="512" t="s">
        <v>857</v>
      </c>
      <c r="D182" s="373" t="s">
        <v>980</v>
      </c>
      <c r="E182" s="512" t="s">
        <v>236</v>
      </c>
      <c r="F182" s="512" t="s">
        <v>51</v>
      </c>
      <c r="G182" s="545">
        <v>43791</v>
      </c>
      <c r="H182" s="49"/>
      <c r="I182" s="49"/>
      <c r="J182" s="52"/>
      <c r="K182" s="52"/>
      <c r="L182" s="49"/>
    </row>
    <row r="183" spans="1:12" s="372" customFormat="1" ht="15" customHeight="1" x14ac:dyDescent="0.25">
      <c r="A183" s="512" t="s">
        <v>905</v>
      </c>
      <c r="B183" s="512" t="s">
        <v>906</v>
      </c>
      <c r="C183" s="512" t="s">
        <v>907</v>
      </c>
      <c r="D183" s="373" t="s">
        <v>980</v>
      </c>
      <c r="E183" s="512" t="s">
        <v>236</v>
      </c>
      <c r="F183" s="512" t="s">
        <v>44</v>
      </c>
      <c r="G183" s="545">
        <v>44168</v>
      </c>
      <c r="H183" s="49"/>
      <c r="I183" s="49"/>
      <c r="J183" s="52"/>
      <c r="K183" s="52"/>
      <c r="L183" s="49"/>
    </row>
    <row r="184" spans="1:12" s="372" customFormat="1" ht="15" customHeight="1" x14ac:dyDescent="0.25">
      <c r="A184" s="512" t="s">
        <v>571</v>
      </c>
      <c r="B184" s="512" t="s">
        <v>266</v>
      </c>
      <c r="C184" s="512" t="s">
        <v>267</v>
      </c>
      <c r="D184" s="373" t="s">
        <v>980</v>
      </c>
      <c r="E184" s="512" t="s">
        <v>236</v>
      </c>
      <c r="F184" s="512" t="s">
        <v>52</v>
      </c>
      <c r="G184" s="545">
        <v>40967</v>
      </c>
      <c r="H184" s="49"/>
      <c r="I184" s="49"/>
      <c r="J184" s="52"/>
      <c r="K184" s="52"/>
      <c r="L184" s="49"/>
    </row>
    <row r="185" spans="1:12" s="372" customFormat="1" ht="15" customHeight="1" x14ac:dyDescent="0.25">
      <c r="A185" s="512" t="s">
        <v>572</v>
      </c>
      <c r="B185" s="512" t="s">
        <v>858</v>
      </c>
      <c r="C185" s="512" t="s">
        <v>463</v>
      </c>
      <c r="D185" s="373" t="s">
        <v>980</v>
      </c>
      <c r="E185" s="512" t="s">
        <v>236</v>
      </c>
      <c r="F185" s="512" t="s">
        <v>52</v>
      </c>
      <c r="G185" s="545">
        <v>41733</v>
      </c>
      <c r="H185" s="49"/>
      <c r="I185" s="49"/>
      <c r="J185" s="52"/>
      <c r="K185" s="52"/>
      <c r="L185" s="49"/>
    </row>
    <row r="186" spans="1:12" s="372" customFormat="1" ht="15" customHeight="1" x14ac:dyDescent="0.25">
      <c r="A186" s="512" t="s">
        <v>573</v>
      </c>
      <c r="B186" s="512" t="s">
        <v>268</v>
      </c>
      <c r="C186" s="512" t="s">
        <v>666</v>
      </c>
      <c r="D186" s="373" t="s">
        <v>980</v>
      </c>
      <c r="E186" s="512" t="s">
        <v>236</v>
      </c>
      <c r="F186" s="512" t="s">
        <v>51</v>
      </c>
      <c r="G186" s="546">
        <v>41078</v>
      </c>
      <c r="H186" s="49"/>
      <c r="I186" s="49"/>
      <c r="J186" s="52"/>
      <c r="K186" s="52"/>
      <c r="L186" s="49"/>
    </row>
    <row r="187" spans="1:12" s="372" customFormat="1" ht="15" customHeight="1" x14ac:dyDescent="0.25">
      <c r="A187" s="512" t="s">
        <v>574</v>
      </c>
      <c r="B187" s="512" t="s">
        <v>269</v>
      </c>
      <c r="C187" s="633" t="s">
        <v>270</v>
      </c>
      <c r="D187" s="634" t="s">
        <v>980</v>
      </c>
      <c r="E187" s="512" t="s">
        <v>236</v>
      </c>
      <c r="F187" s="512" t="s">
        <v>44</v>
      </c>
      <c r="G187" s="545">
        <v>40529</v>
      </c>
      <c r="H187" s="49"/>
      <c r="I187" s="49"/>
      <c r="J187" s="52"/>
      <c r="K187" s="52"/>
      <c r="L187" s="49"/>
    </row>
    <row r="188" spans="1:12" s="372" customFormat="1" ht="15" customHeight="1" x14ac:dyDescent="0.25">
      <c r="A188" s="512" t="s">
        <v>667</v>
      </c>
      <c r="B188" s="512" t="s">
        <v>668</v>
      </c>
      <c r="C188" s="512" t="s">
        <v>669</v>
      </c>
      <c r="D188" s="373" t="s">
        <v>980</v>
      </c>
      <c r="E188" s="512" t="s">
        <v>58</v>
      </c>
      <c r="F188" s="512" t="s">
        <v>58</v>
      </c>
      <c r="G188" s="545">
        <v>42873</v>
      </c>
      <c r="H188" s="49"/>
      <c r="I188" s="49"/>
      <c r="J188" s="52"/>
      <c r="K188" s="52"/>
      <c r="L188" s="49"/>
    </row>
    <row r="189" spans="1:12" s="372" customFormat="1" ht="15" customHeight="1" x14ac:dyDescent="0.25">
      <c r="A189" s="512" t="s">
        <v>575</v>
      </c>
      <c r="B189" s="512" t="s">
        <v>908</v>
      </c>
      <c r="C189" s="512" t="s">
        <v>749</v>
      </c>
      <c r="D189" s="373" t="s">
        <v>980</v>
      </c>
      <c r="E189" s="512" t="s">
        <v>271</v>
      </c>
      <c r="F189" s="512" t="s">
        <v>271</v>
      </c>
      <c r="G189" s="545">
        <v>41187</v>
      </c>
      <c r="H189" s="49"/>
      <c r="I189" s="49"/>
      <c r="J189" s="52"/>
      <c r="K189" s="52"/>
      <c r="L189" s="49"/>
    </row>
    <row r="190" spans="1:12" s="372" customFormat="1" ht="15" customHeight="1" x14ac:dyDescent="0.25">
      <c r="A190" s="512" t="s">
        <v>765</v>
      </c>
      <c r="B190" s="512" t="s">
        <v>766</v>
      </c>
      <c r="C190" s="512" t="s">
        <v>767</v>
      </c>
      <c r="D190" s="373" t="s">
        <v>980</v>
      </c>
      <c r="E190" s="512" t="s">
        <v>236</v>
      </c>
      <c r="F190" s="512" t="s">
        <v>55</v>
      </c>
      <c r="G190" s="545">
        <v>40654</v>
      </c>
      <c r="H190" s="49"/>
      <c r="I190" s="49"/>
      <c r="J190" s="52"/>
      <c r="K190" s="52"/>
      <c r="L190" s="49"/>
    </row>
    <row r="191" spans="1:12" s="372" customFormat="1" ht="15" customHeight="1" x14ac:dyDescent="0.25">
      <c r="A191" s="512" t="s">
        <v>576</v>
      </c>
      <c r="B191" s="512" t="s">
        <v>803</v>
      </c>
      <c r="C191" s="512" t="s">
        <v>804</v>
      </c>
      <c r="D191" s="373" t="s">
        <v>980</v>
      </c>
      <c r="E191" s="512" t="s">
        <v>236</v>
      </c>
      <c r="F191" s="512" t="s">
        <v>52</v>
      </c>
      <c r="G191" s="545">
        <v>41563</v>
      </c>
      <c r="H191" s="49"/>
      <c r="I191" s="49"/>
      <c r="J191" s="52"/>
      <c r="K191" s="52"/>
      <c r="L191" s="49"/>
    </row>
    <row r="192" spans="1:12" s="372" customFormat="1" ht="15" customHeight="1" x14ac:dyDescent="0.25">
      <c r="A192" s="512" t="s">
        <v>577</v>
      </c>
      <c r="B192" s="512" t="s">
        <v>486</v>
      </c>
      <c r="C192" s="512" t="s">
        <v>487</v>
      </c>
      <c r="D192" s="373" t="s">
        <v>980</v>
      </c>
      <c r="E192" s="512" t="s">
        <v>236</v>
      </c>
      <c r="F192" s="512" t="s">
        <v>46</v>
      </c>
      <c r="G192" s="546">
        <v>41803</v>
      </c>
      <c r="H192" s="49"/>
      <c r="I192" s="49"/>
      <c r="J192" s="52"/>
      <c r="K192" s="52"/>
      <c r="L192" s="49"/>
    </row>
    <row r="193" spans="1:12" s="372" customFormat="1" ht="15" customHeight="1" x14ac:dyDescent="0.25">
      <c r="A193" s="512" t="s">
        <v>630</v>
      </c>
      <c r="B193" s="512" t="s">
        <v>631</v>
      </c>
      <c r="C193" s="512" t="s">
        <v>670</v>
      </c>
      <c r="D193" s="373" t="s">
        <v>980</v>
      </c>
      <c r="E193" s="512" t="s">
        <v>236</v>
      </c>
      <c r="F193" s="512" t="s">
        <v>51</v>
      </c>
      <c r="G193" s="545">
        <v>42482</v>
      </c>
      <c r="H193" s="49"/>
      <c r="I193" s="49"/>
      <c r="J193" s="52"/>
      <c r="K193" s="52"/>
      <c r="L193" s="49"/>
    </row>
    <row r="194" spans="1:12" s="372" customFormat="1" ht="15" customHeight="1" x14ac:dyDescent="0.25">
      <c r="A194" s="512" t="s">
        <v>578</v>
      </c>
      <c r="B194" s="512" t="s">
        <v>272</v>
      </c>
      <c r="C194" s="512" t="s">
        <v>273</v>
      </c>
      <c r="D194" s="373" t="s">
        <v>980</v>
      </c>
      <c r="E194" s="512" t="s">
        <v>236</v>
      </c>
      <c r="F194" s="512" t="s">
        <v>51</v>
      </c>
      <c r="G194" s="545">
        <v>40634</v>
      </c>
      <c r="H194" s="49"/>
      <c r="I194" s="49"/>
      <c r="J194" s="52"/>
      <c r="K194" s="52"/>
      <c r="L194" s="49"/>
    </row>
    <row r="195" spans="1:12" s="372" customFormat="1" ht="15" customHeight="1" x14ac:dyDescent="0.25">
      <c r="A195" s="512" t="s">
        <v>579</v>
      </c>
      <c r="B195" s="512" t="s">
        <v>488</v>
      </c>
      <c r="C195" s="512" t="s">
        <v>489</v>
      </c>
      <c r="D195" s="373" t="s">
        <v>980</v>
      </c>
      <c r="E195" s="512" t="s">
        <v>236</v>
      </c>
      <c r="F195" s="512" t="s">
        <v>51</v>
      </c>
      <c r="G195" s="545">
        <v>41905</v>
      </c>
      <c r="H195" s="49"/>
      <c r="I195" s="49"/>
      <c r="J195" s="52"/>
      <c r="K195" s="52"/>
      <c r="L195" s="49"/>
    </row>
    <row r="196" spans="1:12" s="372" customFormat="1" ht="15" customHeight="1" x14ac:dyDescent="0.25">
      <c r="A196" s="512" t="s">
        <v>580</v>
      </c>
      <c r="B196" s="512" t="s">
        <v>581</v>
      </c>
      <c r="C196" s="512" t="s">
        <v>582</v>
      </c>
      <c r="D196" s="373" t="s">
        <v>980</v>
      </c>
      <c r="E196" s="512" t="s">
        <v>236</v>
      </c>
      <c r="F196" s="512" t="s">
        <v>43</v>
      </c>
      <c r="G196" s="545">
        <v>41033</v>
      </c>
      <c r="H196" s="49"/>
      <c r="I196" s="49"/>
      <c r="J196" s="52"/>
      <c r="K196" s="52"/>
      <c r="L196" s="49"/>
    </row>
    <row r="197" spans="1:12" s="372" customFormat="1" ht="15" customHeight="1" x14ac:dyDescent="0.25">
      <c r="A197" s="512" t="s">
        <v>909</v>
      </c>
      <c r="B197" s="512" t="s">
        <v>910</v>
      </c>
      <c r="C197" s="633" t="s">
        <v>911</v>
      </c>
      <c r="D197" s="634" t="s">
        <v>980</v>
      </c>
      <c r="E197" s="512" t="s">
        <v>236</v>
      </c>
      <c r="F197" s="512" t="s">
        <v>19</v>
      </c>
      <c r="G197" s="545">
        <v>44146</v>
      </c>
      <c r="H197" s="49"/>
      <c r="I197" s="49"/>
      <c r="J197" s="52"/>
      <c r="K197" s="52"/>
      <c r="L197" s="49"/>
    </row>
    <row r="198" spans="1:12" s="372" customFormat="1" ht="15" customHeight="1" x14ac:dyDescent="0.25">
      <c r="A198" s="512" t="s">
        <v>671</v>
      </c>
      <c r="B198" s="512" t="s">
        <v>672</v>
      </c>
      <c r="C198" s="512" t="s">
        <v>859</v>
      </c>
      <c r="D198" s="373" t="s">
        <v>980</v>
      </c>
      <c r="E198" s="512" t="s">
        <v>236</v>
      </c>
      <c r="F198" s="512" t="s">
        <v>55</v>
      </c>
      <c r="G198" s="546">
        <v>43069</v>
      </c>
      <c r="H198" s="49"/>
      <c r="I198" s="49"/>
      <c r="J198" s="52"/>
      <c r="K198" s="52"/>
      <c r="L198" s="49"/>
    </row>
    <row r="199" spans="1:12" s="372" customFormat="1" ht="15" customHeight="1" x14ac:dyDescent="0.25">
      <c r="A199" s="512" t="s">
        <v>632</v>
      </c>
      <c r="B199" s="512" t="s">
        <v>633</v>
      </c>
      <c r="C199" s="512" t="s">
        <v>673</v>
      </c>
      <c r="D199" s="373" t="s">
        <v>980</v>
      </c>
      <c r="E199" s="512" t="s">
        <v>236</v>
      </c>
      <c r="F199" s="512" t="s">
        <v>55</v>
      </c>
      <c r="G199" s="545">
        <v>42640</v>
      </c>
      <c r="H199" s="49"/>
      <c r="I199" s="49"/>
      <c r="J199" s="52"/>
      <c r="K199" s="52"/>
      <c r="L199" s="49"/>
    </row>
    <row r="200" spans="1:12" s="372" customFormat="1" ht="15" customHeight="1" x14ac:dyDescent="0.25">
      <c r="A200" s="512" t="s">
        <v>912</v>
      </c>
      <c r="B200" s="512" t="s">
        <v>913</v>
      </c>
      <c r="C200" s="512" t="s">
        <v>914</v>
      </c>
      <c r="D200" s="373" t="s">
        <v>980</v>
      </c>
      <c r="E200" s="512" t="s">
        <v>236</v>
      </c>
      <c r="F200" s="512" t="s">
        <v>49</v>
      </c>
      <c r="G200" s="545">
        <v>40814</v>
      </c>
      <c r="H200" s="49"/>
      <c r="I200" s="49"/>
      <c r="J200" s="52"/>
      <c r="K200" s="52"/>
      <c r="L200" s="49"/>
    </row>
    <row r="201" spans="1:12" s="372" customFormat="1" ht="15" customHeight="1" x14ac:dyDescent="0.25">
      <c r="A201" s="512" t="s">
        <v>915</v>
      </c>
      <c r="B201" s="512" t="s">
        <v>916</v>
      </c>
      <c r="C201" s="512" t="s">
        <v>917</v>
      </c>
      <c r="D201" s="373" t="s">
        <v>980</v>
      </c>
      <c r="E201" s="512" t="s">
        <v>236</v>
      </c>
      <c r="F201" s="512" t="s">
        <v>43</v>
      </c>
      <c r="G201" s="545">
        <v>44151</v>
      </c>
      <c r="H201" s="49"/>
      <c r="I201" s="49"/>
      <c r="J201" s="52"/>
      <c r="K201" s="52"/>
      <c r="L201" s="49"/>
    </row>
    <row r="202" spans="1:12" s="372" customFormat="1" ht="15" customHeight="1" x14ac:dyDescent="0.25">
      <c r="A202" s="512" t="s">
        <v>583</v>
      </c>
      <c r="B202" s="512" t="s">
        <v>274</v>
      </c>
      <c r="C202" s="512" t="s">
        <v>275</v>
      </c>
      <c r="D202" s="373" t="s">
        <v>980</v>
      </c>
      <c r="E202" s="512" t="s">
        <v>236</v>
      </c>
      <c r="F202" s="512" t="s">
        <v>52</v>
      </c>
      <c r="G202" s="545">
        <v>40897</v>
      </c>
      <c r="H202" s="49"/>
      <c r="I202" s="49"/>
      <c r="J202" s="52"/>
      <c r="K202" s="52"/>
      <c r="L202" s="49"/>
    </row>
    <row r="203" spans="1:12" s="372" customFormat="1" ht="15" customHeight="1" x14ac:dyDescent="0.25">
      <c r="A203" s="512" t="s">
        <v>584</v>
      </c>
      <c r="B203" s="512" t="s">
        <v>490</v>
      </c>
      <c r="C203" s="512" t="s">
        <v>491</v>
      </c>
      <c r="D203" s="373" t="s">
        <v>980</v>
      </c>
      <c r="E203" s="512" t="s">
        <v>236</v>
      </c>
      <c r="F203" s="512" t="s">
        <v>50</v>
      </c>
      <c r="G203" s="545">
        <v>41957</v>
      </c>
      <c r="H203" s="49"/>
      <c r="I203" s="49"/>
      <c r="J203" s="52"/>
      <c r="K203" s="52"/>
      <c r="L203" s="49"/>
    </row>
    <row r="204" spans="1:12" s="372" customFormat="1" ht="15" customHeight="1" x14ac:dyDescent="0.25">
      <c r="A204" s="512" t="s">
        <v>585</v>
      </c>
      <c r="B204" s="512" t="s">
        <v>442</v>
      </c>
      <c r="C204" s="512" t="s">
        <v>634</v>
      </c>
      <c r="D204" s="373" t="s">
        <v>980</v>
      </c>
      <c r="E204" s="512" t="s">
        <v>236</v>
      </c>
      <c r="F204" s="512" t="s">
        <v>44</v>
      </c>
      <c r="G204" s="545">
        <v>41606</v>
      </c>
      <c r="H204" s="49"/>
      <c r="I204" s="49"/>
      <c r="J204" s="52"/>
      <c r="K204" s="52"/>
      <c r="L204" s="49"/>
    </row>
    <row r="205" spans="1:12" s="372" customFormat="1" ht="15" customHeight="1" x14ac:dyDescent="0.25">
      <c r="A205" s="512" t="s">
        <v>768</v>
      </c>
      <c r="B205" s="512" t="s">
        <v>769</v>
      </c>
      <c r="C205" s="512" t="s">
        <v>770</v>
      </c>
      <c r="D205" s="373" t="s">
        <v>980</v>
      </c>
      <c r="E205" s="512" t="s">
        <v>58</v>
      </c>
      <c r="F205" s="512" t="s">
        <v>58</v>
      </c>
      <c r="G205" s="545">
        <v>41075</v>
      </c>
      <c r="H205" s="49"/>
      <c r="I205" s="49"/>
      <c r="J205" s="52"/>
      <c r="K205" s="52"/>
      <c r="L205" s="49"/>
    </row>
    <row r="206" spans="1:12" s="372" customFormat="1" ht="15" customHeight="1" x14ac:dyDescent="0.25">
      <c r="A206" s="512" t="s">
        <v>958</v>
      </c>
      <c r="B206" s="512" t="s">
        <v>959</v>
      </c>
      <c r="C206" s="512" t="s">
        <v>960</v>
      </c>
      <c r="D206" s="373" t="s">
        <v>980</v>
      </c>
      <c r="E206" s="512" t="s">
        <v>236</v>
      </c>
      <c r="F206" s="512" t="s">
        <v>51</v>
      </c>
      <c r="G206" s="545">
        <v>44365</v>
      </c>
      <c r="H206" s="49"/>
      <c r="I206" s="49"/>
      <c r="J206" s="52"/>
      <c r="K206" s="52"/>
      <c r="L206" s="49"/>
    </row>
    <row r="207" spans="1:12" s="372" customFormat="1" ht="15" customHeight="1" x14ac:dyDescent="0.25">
      <c r="A207" s="512" t="s">
        <v>586</v>
      </c>
      <c r="B207" s="512" t="s">
        <v>276</v>
      </c>
      <c r="C207" s="512" t="s">
        <v>277</v>
      </c>
      <c r="D207" s="373" t="s">
        <v>980</v>
      </c>
      <c r="E207" s="512" t="s">
        <v>236</v>
      </c>
      <c r="F207" s="512" t="s">
        <v>57</v>
      </c>
      <c r="G207" s="545">
        <v>41093</v>
      </c>
      <c r="H207" s="49"/>
      <c r="I207" s="49"/>
      <c r="J207" s="52"/>
      <c r="K207" s="52"/>
      <c r="L207" s="49"/>
    </row>
    <row r="208" spans="1:12" s="372" customFormat="1" ht="15" customHeight="1" x14ac:dyDescent="0.25">
      <c r="A208" s="512" t="s">
        <v>738</v>
      </c>
      <c r="B208" s="512" t="s">
        <v>739</v>
      </c>
      <c r="C208" s="512" t="s">
        <v>750</v>
      </c>
      <c r="D208" s="373" t="s">
        <v>980</v>
      </c>
      <c r="E208" s="512" t="s">
        <v>236</v>
      </c>
      <c r="F208" s="512" t="s">
        <v>50</v>
      </c>
      <c r="G208" s="545">
        <v>43425</v>
      </c>
      <c r="H208" s="49"/>
      <c r="I208" s="49"/>
      <c r="J208" s="52"/>
      <c r="K208" s="52"/>
      <c r="L208" s="49"/>
    </row>
    <row r="209" spans="1:12" s="372" customFormat="1" ht="15" customHeight="1" x14ac:dyDescent="0.25">
      <c r="A209" s="512" t="s">
        <v>635</v>
      </c>
      <c r="B209" s="512" t="s">
        <v>636</v>
      </c>
      <c r="C209" s="512" t="s">
        <v>637</v>
      </c>
      <c r="D209" s="373" t="s">
        <v>980</v>
      </c>
      <c r="E209" s="512" t="s">
        <v>236</v>
      </c>
      <c r="F209" s="512" t="s">
        <v>51</v>
      </c>
      <c r="G209" s="545">
        <v>42664</v>
      </c>
      <c r="H209" s="49"/>
      <c r="I209" s="49"/>
      <c r="J209" s="52"/>
      <c r="K209" s="52"/>
      <c r="L209" s="49"/>
    </row>
    <row r="210" spans="1:12" s="372" customFormat="1" ht="15" customHeight="1" x14ac:dyDescent="0.25">
      <c r="A210" s="512" t="s">
        <v>587</v>
      </c>
      <c r="B210" s="512" t="s">
        <v>492</v>
      </c>
      <c r="C210" s="512" t="s">
        <v>493</v>
      </c>
      <c r="D210" s="373" t="s">
        <v>980</v>
      </c>
      <c r="E210" s="512" t="s">
        <v>236</v>
      </c>
      <c r="F210" s="512" t="s">
        <v>49</v>
      </c>
      <c r="G210" s="545">
        <v>41789</v>
      </c>
      <c r="H210" s="49"/>
      <c r="I210" s="49"/>
      <c r="J210" s="52"/>
      <c r="K210" s="52"/>
      <c r="L210" s="49"/>
    </row>
    <row r="211" spans="1:12" s="372" customFormat="1" ht="15" customHeight="1" x14ac:dyDescent="0.25">
      <c r="A211" s="512" t="s">
        <v>860</v>
      </c>
      <c r="B211" s="512" t="s">
        <v>861</v>
      </c>
      <c r="C211" s="512" t="s">
        <v>862</v>
      </c>
      <c r="D211" s="373" t="s">
        <v>980</v>
      </c>
      <c r="E211" s="512" t="s">
        <v>271</v>
      </c>
      <c r="F211" s="512" t="s">
        <v>271</v>
      </c>
      <c r="G211" s="546">
        <v>43081</v>
      </c>
      <c r="H211" s="49"/>
      <c r="I211" s="49"/>
      <c r="J211" s="52"/>
      <c r="K211" s="52"/>
      <c r="L211" s="49"/>
    </row>
    <row r="212" spans="1:12" s="372" customFormat="1" ht="15" customHeight="1" x14ac:dyDescent="0.25">
      <c r="A212" s="512" t="s">
        <v>588</v>
      </c>
      <c r="B212" s="512" t="s">
        <v>443</v>
      </c>
      <c r="C212" s="512" t="s">
        <v>444</v>
      </c>
      <c r="D212" s="373" t="s">
        <v>980</v>
      </c>
      <c r="E212" s="512" t="s">
        <v>236</v>
      </c>
      <c r="F212" s="512" t="s">
        <v>44</v>
      </c>
      <c r="G212" s="545">
        <v>41374</v>
      </c>
      <c r="H212" s="49"/>
      <c r="I212" s="49"/>
      <c r="J212" s="52"/>
      <c r="K212" s="52"/>
      <c r="L212" s="49"/>
    </row>
    <row r="213" spans="1:12" s="372" customFormat="1" ht="15" customHeight="1" x14ac:dyDescent="0.25">
      <c r="A213" s="512" t="s">
        <v>771</v>
      </c>
      <c r="B213" s="512" t="s">
        <v>772</v>
      </c>
      <c r="C213" s="512" t="s">
        <v>773</v>
      </c>
      <c r="D213" s="373" t="s">
        <v>980</v>
      </c>
      <c r="E213" s="512" t="s">
        <v>236</v>
      </c>
      <c r="F213" s="512" t="s">
        <v>50</v>
      </c>
      <c r="G213" s="545">
        <v>41737</v>
      </c>
      <c r="H213" s="49"/>
      <c r="I213" s="49"/>
      <c r="J213" s="52"/>
      <c r="K213" s="52"/>
      <c r="L213" s="49"/>
    </row>
    <row r="214" spans="1:12" s="372" customFormat="1" ht="15" customHeight="1" x14ac:dyDescent="0.25">
      <c r="A214" s="512" t="s">
        <v>589</v>
      </c>
      <c r="B214" s="512" t="s">
        <v>417</v>
      </c>
      <c r="C214" s="512" t="s">
        <v>418</v>
      </c>
      <c r="D214" s="373" t="s">
        <v>980</v>
      </c>
      <c r="E214" s="512" t="s">
        <v>236</v>
      </c>
      <c r="F214" s="512" t="s">
        <v>19</v>
      </c>
      <c r="G214" s="545">
        <v>41541</v>
      </c>
      <c r="H214" s="49"/>
      <c r="I214" s="49"/>
      <c r="J214" s="52"/>
      <c r="K214" s="52"/>
      <c r="L214" s="49"/>
    </row>
    <row r="215" spans="1:12" s="372" customFormat="1" ht="15" customHeight="1" x14ac:dyDescent="0.25">
      <c r="A215" s="512" t="s">
        <v>740</v>
      </c>
      <c r="B215" s="512" t="s">
        <v>741</v>
      </c>
      <c r="C215" s="512" t="s">
        <v>751</v>
      </c>
      <c r="D215" s="373" t="s">
        <v>980</v>
      </c>
      <c r="E215" s="512" t="s">
        <v>58</v>
      </c>
      <c r="F215" s="512" t="s">
        <v>58</v>
      </c>
      <c r="G215" s="546">
        <v>43343</v>
      </c>
      <c r="H215" s="49"/>
      <c r="I215" s="49"/>
      <c r="J215" s="52"/>
      <c r="K215" s="52"/>
      <c r="L215" s="49"/>
    </row>
    <row r="216" spans="1:12" s="372" customFormat="1" ht="15" customHeight="1" x14ac:dyDescent="0.25">
      <c r="A216" s="512" t="s">
        <v>590</v>
      </c>
      <c r="B216" s="512" t="s">
        <v>999</v>
      </c>
      <c r="C216" s="512" t="s">
        <v>445</v>
      </c>
      <c r="D216" s="373" t="s">
        <v>980</v>
      </c>
      <c r="E216" s="512" t="s">
        <v>236</v>
      </c>
      <c r="F216" s="512" t="s">
        <v>44</v>
      </c>
      <c r="G216" s="546">
        <v>41565</v>
      </c>
      <c r="H216" s="49"/>
      <c r="I216" s="49"/>
      <c r="J216" s="52"/>
      <c r="K216" s="52"/>
      <c r="L216" s="49"/>
    </row>
    <row r="217" spans="1:12" s="372" customFormat="1" ht="15" customHeight="1" x14ac:dyDescent="0.25">
      <c r="A217" s="512" t="s">
        <v>591</v>
      </c>
      <c r="B217" s="512" t="s">
        <v>918</v>
      </c>
      <c r="C217" s="512" t="s">
        <v>459</v>
      </c>
      <c r="D217" s="373" t="s">
        <v>980</v>
      </c>
      <c r="E217" s="512" t="s">
        <v>236</v>
      </c>
      <c r="F217" s="512" t="s">
        <v>55</v>
      </c>
      <c r="G217" s="545">
        <v>41730</v>
      </c>
      <c r="H217" s="49"/>
      <c r="I217" s="49"/>
      <c r="J217" s="52"/>
      <c r="K217" s="52"/>
      <c r="L217" s="49"/>
    </row>
    <row r="218" spans="1:12" s="372" customFormat="1" ht="15" customHeight="1" x14ac:dyDescent="0.25">
      <c r="A218" s="512" t="s">
        <v>592</v>
      </c>
      <c r="B218" s="512" t="s">
        <v>593</v>
      </c>
      <c r="C218" s="512" t="s">
        <v>594</v>
      </c>
      <c r="D218" s="373" t="s">
        <v>980</v>
      </c>
      <c r="E218" s="512" t="s">
        <v>236</v>
      </c>
      <c r="F218" s="512" t="s">
        <v>51</v>
      </c>
      <c r="G218" s="545">
        <v>42307</v>
      </c>
      <c r="H218" s="49"/>
      <c r="I218" s="49"/>
      <c r="J218" s="52"/>
      <c r="K218" s="52"/>
      <c r="L218" s="49"/>
    </row>
    <row r="219" spans="1:12" s="372" customFormat="1" ht="15" customHeight="1" x14ac:dyDescent="0.25">
      <c r="A219" s="512" t="s">
        <v>919</v>
      </c>
      <c r="B219" s="512" t="s">
        <v>920</v>
      </c>
      <c r="C219" s="512" t="s">
        <v>921</v>
      </c>
      <c r="D219" s="373" t="s">
        <v>980</v>
      </c>
      <c r="E219" s="512" t="s">
        <v>236</v>
      </c>
      <c r="F219" s="512" t="s">
        <v>48</v>
      </c>
      <c r="G219" s="545">
        <v>44361</v>
      </c>
      <c r="H219" s="49"/>
      <c r="I219" s="49"/>
      <c r="J219" s="52"/>
      <c r="K219" s="52"/>
      <c r="L219" s="49"/>
    </row>
    <row r="220" spans="1:12" s="372" customFormat="1" ht="15" customHeight="1" x14ac:dyDescent="0.25">
      <c r="A220" s="512" t="s">
        <v>595</v>
      </c>
      <c r="B220" s="512" t="s">
        <v>922</v>
      </c>
      <c r="C220" s="512" t="s">
        <v>464</v>
      </c>
      <c r="D220" s="373" t="s">
        <v>980</v>
      </c>
      <c r="E220" s="512" t="s">
        <v>236</v>
      </c>
      <c r="F220" s="512" t="s">
        <v>57</v>
      </c>
      <c r="G220" s="545">
        <v>41709</v>
      </c>
      <c r="H220" s="49"/>
      <c r="I220" s="49"/>
      <c r="J220" s="52"/>
      <c r="K220" s="52"/>
      <c r="L220" s="49"/>
    </row>
    <row r="221" spans="1:12" s="372" customFormat="1" ht="15" customHeight="1" x14ac:dyDescent="0.25">
      <c r="A221" s="512" t="s">
        <v>1000</v>
      </c>
      <c r="B221" s="512" t="s">
        <v>1001</v>
      </c>
      <c r="C221" s="512" t="s">
        <v>1002</v>
      </c>
      <c r="D221" s="373" t="s">
        <v>980</v>
      </c>
      <c r="E221" s="512" t="s">
        <v>236</v>
      </c>
      <c r="F221" s="512" t="s">
        <v>51</v>
      </c>
      <c r="G221" s="545">
        <v>41765</v>
      </c>
      <c r="H221" s="49"/>
      <c r="I221" s="49"/>
      <c r="J221" s="52"/>
      <c r="K221" s="52"/>
      <c r="L221" s="49"/>
    </row>
    <row r="222" spans="1:12" s="372" customFormat="1" ht="15" customHeight="1" x14ac:dyDescent="0.25">
      <c r="A222" s="512" t="s">
        <v>596</v>
      </c>
      <c r="B222" s="512" t="s">
        <v>494</v>
      </c>
      <c r="C222" s="512" t="s">
        <v>597</v>
      </c>
      <c r="D222" s="373" t="s">
        <v>980</v>
      </c>
      <c r="E222" s="512" t="s">
        <v>236</v>
      </c>
      <c r="F222" s="512" t="s">
        <v>47</v>
      </c>
      <c r="G222" s="545">
        <v>41779</v>
      </c>
      <c r="H222" s="49"/>
      <c r="I222" s="49"/>
      <c r="J222" s="52"/>
      <c r="K222" s="52"/>
      <c r="L222" s="49"/>
    </row>
    <row r="223" spans="1:12" s="372" customFormat="1" ht="15" customHeight="1" x14ac:dyDescent="0.25">
      <c r="A223" s="512" t="s">
        <v>805</v>
      </c>
      <c r="B223" s="512" t="s">
        <v>806</v>
      </c>
      <c r="C223" s="512" t="s">
        <v>807</v>
      </c>
      <c r="D223" s="373" t="s">
        <v>980</v>
      </c>
      <c r="E223" s="512" t="s">
        <v>236</v>
      </c>
      <c r="F223" s="512" t="s">
        <v>57</v>
      </c>
      <c r="G223" s="545">
        <v>43808</v>
      </c>
      <c r="H223" s="49"/>
      <c r="I223" s="49"/>
      <c r="J223" s="52"/>
      <c r="K223" s="52"/>
      <c r="L223" s="49"/>
    </row>
    <row r="224" spans="1:12" s="372" customFormat="1" ht="15" customHeight="1" x14ac:dyDescent="0.25">
      <c r="A224" s="512" t="s">
        <v>1003</v>
      </c>
      <c r="B224" s="512" t="s">
        <v>1004</v>
      </c>
      <c r="C224" s="633" t="s">
        <v>1005</v>
      </c>
      <c r="D224" s="634" t="s">
        <v>980</v>
      </c>
      <c r="E224" s="512" t="s">
        <v>236</v>
      </c>
      <c r="F224" s="512" t="s">
        <v>44</v>
      </c>
      <c r="G224" s="545">
        <v>44531</v>
      </c>
      <c r="H224" s="49"/>
      <c r="I224" s="49"/>
      <c r="J224" s="52"/>
      <c r="K224" s="52"/>
      <c r="L224" s="49"/>
    </row>
    <row r="225" spans="1:12" s="372" customFormat="1" ht="15" customHeight="1" x14ac:dyDescent="0.25">
      <c r="A225" s="512" t="s">
        <v>598</v>
      </c>
      <c r="B225" s="512" t="s">
        <v>495</v>
      </c>
      <c r="C225" s="512" t="s">
        <v>496</v>
      </c>
      <c r="D225" s="373" t="s">
        <v>980</v>
      </c>
      <c r="E225" s="512" t="s">
        <v>58</v>
      </c>
      <c r="F225" s="512" t="s">
        <v>58</v>
      </c>
      <c r="G225" s="546">
        <v>41954</v>
      </c>
      <c r="H225" s="49"/>
      <c r="I225" s="49"/>
      <c r="J225" s="52"/>
      <c r="K225" s="52"/>
      <c r="L225" s="49"/>
    </row>
    <row r="226" spans="1:12" s="372" customFormat="1" ht="15" customHeight="1" x14ac:dyDescent="0.25">
      <c r="A226" s="512" t="s">
        <v>599</v>
      </c>
      <c r="B226" s="512" t="s">
        <v>638</v>
      </c>
      <c r="C226" s="512" t="s">
        <v>497</v>
      </c>
      <c r="D226" s="373" t="s">
        <v>980</v>
      </c>
      <c r="E226" s="512" t="s">
        <v>236</v>
      </c>
      <c r="F226" s="512" t="s">
        <v>52</v>
      </c>
      <c r="G226" s="545">
        <v>42304</v>
      </c>
      <c r="H226" s="49"/>
      <c r="I226" s="49"/>
      <c r="J226" s="52"/>
      <c r="K226" s="52"/>
      <c r="L226" s="49"/>
    </row>
    <row r="227" spans="1:12" s="372" customFormat="1" ht="15" customHeight="1" x14ac:dyDescent="0.25">
      <c r="A227" s="512" t="s">
        <v>600</v>
      </c>
      <c r="B227" s="512" t="s">
        <v>498</v>
      </c>
      <c r="C227" s="633" t="s">
        <v>1006</v>
      </c>
      <c r="D227" s="634" t="s">
        <v>980</v>
      </c>
      <c r="E227" s="512" t="s">
        <v>58</v>
      </c>
      <c r="F227" s="512" t="s">
        <v>58</v>
      </c>
      <c r="G227" s="545">
        <v>41935</v>
      </c>
      <c r="H227" s="49"/>
      <c r="I227" s="49"/>
      <c r="J227" s="52"/>
      <c r="K227" s="52"/>
      <c r="L227" s="49"/>
    </row>
    <row r="228" spans="1:12" s="372" customFormat="1" ht="15" customHeight="1" x14ac:dyDescent="0.25">
      <c r="A228" s="512" t="s">
        <v>601</v>
      </c>
      <c r="B228" s="512" t="s">
        <v>808</v>
      </c>
      <c r="C228" s="633" t="s">
        <v>809</v>
      </c>
      <c r="D228" s="634" t="s">
        <v>980</v>
      </c>
      <c r="E228" s="512" t="s">
        <v>236</v>
      </c>
      <c r="F228" s="512" t="s">
        <v>52</v>
      </c>
      <c r="G228" s="545">
        <v>42144</v>
      </c>
      <c r="H228" s="49"/>
      <c r="I228" s="49"/>
      <c r="J228" s="52"/>
      <c r="K228" s="52"/>
      <c r="L228" s="49"/>
    </row>
    <row r="229" spans="1:12" s="372" customFormat="1" ht="15" customHeight="1" x14ac:dyDescent="0.25">
      <c r="A229" s="512" t="s">
        <v>810</v>
      </c>
      <c r="B229" s="512" t="s">
        <v>1007</v>
      </c>
      <c r="C229" s="512" t="s">
        <v>811</v>
      </c>
      <c r="D229" s="373" t="s">
        <v>980</v>
      </c>
      <c r="E229" s="512" t="s">
        <v>236</v>
      </c>
      <c r="F229" s="512" t="s">
        <v>56</v>
      </c>
      <c r="G229" s="546">
        <v>43342</v>
      </c>
      <c r="H229" s="49"/>
      <c r="I229" s="49"/>
      <c r="J229" s="52"/>
      <c r="K229" s="52"/>
      <c r="L229" s="49"/>
    </row>
    <row r="230" spans="1:12" s="372" customFormat="1" ht="15" customHeight="1" x14ac:dyDescent="0.25">
      <c r="A230" s="512" t="s">
        <v>674</v>
      </c>
      <c r="B230" s="512" t="s">
        <v>675</v>
      </c>
      <c r="C230" s="512" t="s">
        <v>676</v>
      </c>
      <c r="D230" s="373" t="s">
        <v>980</v>
      </c>
      <c r="E230" s="512" t="s">
        <v>58</v>
      </c>
      <c r="F230" s="512" t="s">
        <v>58</v>
      </c>
      <c r="G230" s="545">
        <v>42858</v>
      </c>
      <c r="H230" s="49"/>
      <c r="I230" s="49"/>
      <c r="J230" s="52"/>
      <c r="K230" s="52"/>
      <c r="L230" s="49"/>
    </row>
    <row r="231" spans="1:12" s="372" customFormat="1" ht="15" customHeight="1" x14ac:dyDescent="0.25">
      <c r="A231" s="512" t="s">
        <v>602</v>
      </c>
      <c r="B231" s="512" t="s">
        <v>812</v>
      </c>
      <c r="C231" s="512" t="s">
        <v>813</v>
      </c>
      <c r="D231" s="373" t="s">
        <v>980</v>
      </c>
      <c r="E231" s="512" t="s">
        <v>236</v>
      </c>
      <c r="F231" s="512" t="s">
        <v>52</v>
      </c>
      <c r="G231" s="545">
        <v>42090</v>
      </c>
      <c r="H231" s="49"/>
      <c r="I231" s="49"/>
      <c r="J231" s="52"/>
      <c r="K231" s="52"/>
      <c r="L231" s="49"/>
    </row>
    <row r="232" spans="1:12" s="372" customFormat="1" ht="15" customHeight="1" x14ac:dyDescent="0.25">
      <c r="A232" s="512" t="s">
        <v>677</v>
      </c>
      <c r="B232" s="512" t="s">
        <v>678</v>
      </c>
      <c r="C232" s="512" t="s">
        <v>679</v>
      </c>
      <c r="D232" s="373" t="s">
        <v>980</v>
      </c>
      <c r="E232" s="512" t="s">
        <v>236</v>
      </c>
      <c r="F232" s="512" t="s">
        <v>53</v>
      </c>
      <c r="G232" s="545">
        <v>43063</v>
      </c>
      <c r="H232" s="49"/>
      <c r="I232" s="49"/>
      <c r="J232" s="52"/>
      <c r="K232" s="52"/>
      <c r="L232" s="49"/>
    </row>
    <row r="233" spans="1:12" s="372" customFormat="1" ht="15" customHeight="1" x14ac:dyDescent="0.25">
      <c r="A233" s="512" t="s">
        <v>680</v>
      </c>
      <c r="B233" s="512" t="s">
        <v>742</v>
      </c>
      <c r="C233" s="512" t="s">
        <v>681</v>
      </c>
      <c r="D233" s="373" t="s">
        <v>980</v>
      </c>
      <c r="E233" s="512" t="s">
        <v>236</v>
      </c>
      <c r="F233" s="512" t="s">
        <v>51</v>
      </c>
      <c r="G233" s="545">
        <v>43062</v>
      </c>
      <c r="H233" s="49"/>
      <c r="I233" s="49"/>
      <c r="J233" s="52"/>
      <c r="K233" s="52"/>
      <c r="L233" s="49"/>
    </row>
    <row r="234" spans="1:12" s="372" customFormat="1" ht="15" customHeight="1" x14ac:dyDescent="0.25">
      <c r="A234" s="512" t="s">
        <v>603</v>
      </c>
      <c r="B234" s="512" t="s">
        <v>604</v>
      </c>
      <c r="C234" s="512" t="s">
        <v>639</v>
      </c>
      <c r="D234" s="373" t="s">
        <v>980</v>
      </c>
      <c r="E234" s="512" t="s">
        <v>58</v>
      </c>
      <c r="F234" s="512" t="s">
        <v>58</v>
      </c>
      <c r="G234" s="545">
        <v>42545</v>
      </c>
      <c r="H234" s="49"/>
      <c r="I234" s="49"/>
      <c r="J234" s="52"/>
      <c r="K234" s="52"/>
      <c r="L234" s="49"/>
    </row>
    <row r="235" spans="1:12" s="372" customFormat="1" ht="15" customHeight="1" x14ac:dyDescent="0.25">
      <c r="A235" s="512" t="s">
        <v>923</v>
      </c>
      <c r="B235" s="512" t="s">
        <v>924</v>
      </c>
      <c r="C235" s="512" t="s">
        <v>925</v>
      </c>
      <c r="D235" s="373" t="s">
        <v>980</v>
      </c>
      <c r="E235" s="512" t="s">
        <v>236</v>
      </c>
      <c r="F235" s="512" t="s">
        <v>52</v>
      </c>
      <c r="G235" s="545">
        <v>44085</v>
      </c>
      <c r="H235" s="49"/>
      <c r="I235" s="49"/>
      <c r="J235" s="52"/>
      <c r="K235" s="52"/>
      <c r="L235" s="49"/>
    </row>
    <row r="236" spans="1:12" s="372" customFormat="1" ht="15" customHeight="1" x14ac:dyDescent="0.25">
      <c r="A236" s="512" t="s">
        <v>682</v>
      </c>
      <c r="B236" s="512" t="s">
        <v>683</v>
      </c>
      <c r="C236" s="512" t="s">
        <v>684</v>
      </c>
      <c r="D236" s="373" t="s">
        <v>980</v>
      </c>
      <c r="E236" s="512" t="s">
        <v>236</v>
      </c>
      <c r="F236" s="512" t="s">
        <v>43</v>
      </c>
      <c r="G236" s="545">
        <v>42934</v>
      </c>
      <c r="H236" s="49"/>
      <c r="I236" s="49"/>
      <c r="J236" s="52"/>
      <c r="K236" s="52"/>
      <c r="L236" s="49"/>
    </row>
    <row r="237" spans="1:12" s="372" customFormat="1" ht="15" customHeight="1" x14ac:dyDescent="0.25">
      <c r="A237" s="512" t="s">
        <v>685</v>
      </c>
      <c r="B237" s="512" t="s">
        <v>686</v>
      </c>
      <c r="C237" s="512" t="s">
        <v>687</v>
      </c>
      <c r="D237" s="373" t="s">
        <v>980</v>
      </c>
      <c r="E237" s="512" t="s">
        <v>236</v>
      </c>
      <c r="F237" s="512" t="s">
        <v>51</v>
      </c>
      <c r="G237" s="545">
        <v>43060</v>
      </c>
      <c r="H237" s="49"/>
      <c r="I237" s="49"/>
      <c r="J237" s="52"/>
      <c r="K237" s="52"/>
      <c r="L237" s="49"/>
    </row>
    <row r="238" spans="1:12" s="372" customFormat="1" ht="15" customHeight="1" x14ac:dyDescent="0.25">
      <c r="A238" s="512" t="s">
        <v>814</v>
      </c>
      <c r="B238" s="512" t="s">
        <v>815</v>
      </c>
      <c r="C238" s="512" t="s">
        <v>816</v>
      </c>
      <c r="D238" s="373" t="s">
        <v>980</v>
      </c>
      <c r="E238" s="512" t="s">
        <v>236</v>
      </c>
      <c r="F238" s="512" t="s">
        <v>50</v>
      </c>
      <c r="G238" s="545">
        <v>43790</v>
      </c>
      <c r="H238" s="49"/>
      <c r="I238" s="49"/>
      <c r="J238" s="52"/>
      <c r="K238" s="52"/>
      <c r="L238" s="49"/>
    </row>
    <row r="239" spans="1:12" s="372" customFormat="1" ht="15" customHeight="1" x14ac:dyDescent="0.25">
      <c r="A239" s="512" t="s">
        <v>640</v>
      </c>
      <c r="B239" s="512" t="s">
        <v>641</v>
      </c>
      <c r="C239" s="512" t="s">
        <v>688</v>
      </c>
      <c r="D239" s="373" t="s">
        <v>980</v>
      </c>
      <c r="E239" s="512" t="s">
        <v>236</v>
      </c>
      <c r="F239" s="512" t="s">
        <v>49</v>
      </c>
      <c r="G239" s="545">
        <v>42571</v>
      </c>
      <c r="H239" s="49"/>
      <c r="I239" s="49"/>
      <c r="J239" s="52"/>
      <c r="K239" s="52"/>
      <c r="L239" s="49"/>
    </row>
    <row r="240" spans="1:12" s="372" customFormat="1" ht="15" customHeight="1" x14ac:dyDescent="0.25">
      <c r="A240" s="512" t="s">
        <v>689</v>
      </c>
      <c r="B240" s="512" t="s">
        <v>690</v>
      </c>
      <c r="C240" s="512" t="s">
        <v>691</v>
      </c>
      <c r="D240" s="373" t="s">
        <v>980</v>
      </c>
      <c r="E240" s="512" t="s">
        <v>236</v>
      </c>
      <c r="F240" s="512" t="s">
        <v>49</v>
      </c>
      <c r="G240" s="545">
        <v>42927</v>
      </c>
      <c r="H240" s="49"/>
      <c r="I240" s="49"/>
      <c r="J240" s="52"/>
      <c r="K240" s="52"/>
      <c r="L240" s="49"/>
    </row>
    <row r="241" spans="1:12" s="372" customFormat="1" ht="15" customHeight="1" x14ac:dyDescent="0.25">
      <c r="A241" s="512" t="s">
        <v>692</v>
      </c>
      <c r="B241" s="512" t="s">
        <v>693</v>
      </c>
      <c r="C241" s="512" t="s">
        <v>694</v>
      </c>
      <c r="D241" s="373" t="s">
        <v>980</v>
      </c>
      <c r="E241" s="512" t="s">
        <v>236</v>
      </c>
      <c r="F241" s="512" t="s">
        <v>56</v>
      </c>
      <c r="G241" s="545">
        <v>43032</v>
      </c>
      <c r="H241" s="49"/>
      <c r="I241" s="49"/>
      <c r="J241" s="52"/>
      <c r="K241" s="52"/>
      <c r="L241" s="49"/>
    </row>
    <row r="242" spans="1:12" s="372" customFormat="1" ht="15" customHeight="1" x14ac:dyDescent="0.25">
      <c r="A242" s="512" t="s">
        <v>1008</v>
      </c>
      <c r="B242" s="512" t="s">
        <v>1009</v>
      </c>
      <c r="C242" s="512" t="s">
        <v>1010</v>
      </c>
      <c r="D242" s="373" t="s">
        <v>980</v>
      </c>
      <c r="E242" s="512" t="s">
        <v>58</v>
      </c>
      <c r="F242" s="512" t="s">
        <v>58</v>
      </c>
      <c r="G242" s="545">
        <v>44453</v>
      </c>
      <c r="H242" s="49"/>
      <c r="I242" s="49"/>
      <c r="J242" s="52"/>
      <c r="K242" s="52"/>
      <c r="L242" s="49"/>
    </row>
    <row r="243" spans="1:12" s="372" customFormat="1" ht="15" customHeight="1" x14ac:dyDescent="0.25">
      <c r="A243" s="512" t="s">
        <v>926</v>
      </c>
      <c r="B243" s="512" t="s">
        <v>927</v>
      </c>
      <c r="C243" s="512" t="s">
        <v>928</v>
      </c>
      <c r="D243" s="373" t="s">
        <v>980</v>
      </c>
      <c r="E243" s="512" t="s">
        <v>236</v>
      </c>
      <c r="F243" s="512" t="s">
        <v>45</v>
      </c>
      <c r="G243" s="545">
        <v>44134</v>
      </c>
      <c r="H243" s="49"/>
      <c r="I243" s="49"/>
      <c r="J243" s="52"/>
      <c r="K243" s="52"/>
      <c r="L243" s="49"/>
    </row>
    <row r="244" spans="1:12" s="372" customFormat="1" ht="15" customHeight="1" x14ac:dyDescent="0.25">
      <c r="A244" s="512" t="s">
        <v>929</v>
      </c>
      <c r="B244" s="512" t="s">
        <v>930</v>
      </c>
      <c r="C244" s="512" t="s">
        <v>931</v>
      </c>
      <c r="D244" s="373" t="s">
        <v>980</v>
      </c>
      <c r="E244" s="512" t="s">
        <v>236</v>
      </c>
      <c r="F244" s="512" t="s">
        <v>45</v>
      </c>
      <c r="G244" s="545">
        <v>44077</v>
      </c>
      <c r="H244" s="49"/>
      <c r="I244" s="49"/>
      <c r="J244" s="52"/>
      <c r="K244" s="52"/>
      <c r="L244" s="49"/>
    </row>
    <row r="245" spans="1:12" s="372" customFormat="1" ht="15" customHeight="1" x14ac:dyDescent="0.25">
      <c r="A245" s="512" t="s">
        <v>817</v>
      </c>
      <c r="B245" s="512" t="s">
        <v>818</v>
      </c>
      <c r="C245" s="512" t="s">
        <v>819</v>
      </c>
      <c r="D245" s="373" t="s">
        <v>980</v>
      </c>
      <c r="E245" s="512" t="s">
        <v>236</v>
      </c>
      <c r="F245" s="512" t="s">
        <v>49</v>
      </c>
      <c r="G245" s="545">
        <v>43774</v>
      </c>
      <c r="H245" s="49"/>
      <c r="I245" s="49"/>
      <c r="J245" s="52"/>
      <c r="K245" s="52"/>
      <c r="L245" s="49"/>
    </row>
    <row r="246" spans="1:12" s="372" customFormat="1" ht="15" customHeight="1" x14ac:dyDescent="0.25">
      <c r="A246" s="512" t="s">
        <v>820</v>
      </c>
      <c r="B246" s="512" t="s">
        <v>821</v>
      </c>
      <c r="C246" s="512" t="s">
        <v>822</v>
      </c>
      <c r="D246" s="373" t="s">
        <v>980</v>
      </c>
      <c r="E246" s="512" t="s">
        <v>271</v>
      </c>
      <c r="F246" s="512" t="s">
        <v>271</v>
      </c>
      <c r="G246" s="545">
        <v>43655</v>
      </c>
      <c r="H246" s="49"/>
      <c r="I246" s="49"/>
      <c r="J246" s="52"/>
      <c r="K246" s="52"/>
      <c r="L246" s="49"/>
    </row>
    <row r="247" spans="1:12" s="372" customFormat="1" ht="15" customHeight="1" x14ac:dyDescent="0.25">
      <c r="A247" s="512" t="s">
        <v>863</v>
      </c>
      <c r="B247" s="512" t="s">
        <v>864</v>
      </c>
      <c r="C247" s="512" t="s">
        <v>865</v>
      </c>
      <c r="D247" s="373" t="s">
        <v>980</v>
      </c>
      <c r="E247" s="512" t="s">
        <v>236</v>
      </c>
      <c r="F247" s="512" t="s">
        <v>57</v>
      </c>
      <c r="G247" s="545">
        <v>43802</v>
      </c>
      <c r="H247" s="49"/>
      <c r="I247" s="49"/>
      <c r="J247" s="52"/>
      <c r="K247" s="52"/>
      <c r="L247" s="49"/>
    </row>
    <row r="248" spans="1:12" s="372" customFormat="1" ht="15" customHeight="1" x14ac:dyDescent="0.25">
      <c r="A248" s="512" t="s">
        <v>932</v>
      </c>
      <c r="B248" s="512" t="s">
        <v>933</v>
      </c>
      <c r="C248" s="512" t="s">
        <v>934</v>
      </c>
      <c r="D248" s="373" t="s">
        <v>980</v>
      </c>
      <c r="E248" s="512" t="s">
        <v>58</v>
      </c>
      <c r="F248" s="512" t="s">
        <v>58</v>
      </c>
      <c r="G248" s="545">
        <v>44089</v>
      </c>
      <c r="H248" s="49"/>
      <c r="I248" s="49"/>
      <c r="J248" s="52"/>
      <c r="K248" s="52"/>
      <c r="L248" s="49"/>
    </row>
    <row r="249" spans="1:12" s="372" customFormat="1" ht="15" customHeight="1" x14ac:dyDescent="0.25">
      <c r="A249" s="512" t="s">
        <v>935</v>
      </c>
      <c r="B249" s="512" t="s">
        <v>936</v>
      </c>
      <c r="C249" s="512" t="s">
        <v>937</v>
      </c>
      <c r="D249" s="373" t="s">
        <v>980</v>
      </c>
      <c r="E249" s="512" t="s">
        <v>236</v>
      </c>
      <c r="F249" s="512" t="s">
        <v>48</v>
      </c>
      <c r="G249" s="545">
        <v>44371</v>
      </c>
      <c r="H249" s="49"/>
      <c r="I249" s="49"/>
      <c r="J249" s="52"/>
      <c r="K249" s="52"/>
      <c r="L249" s="49"/>
    </row>
    <row r="250" spans="1:12" s="372" customFormat="1" ht="15" customHeight="1" x14ac:dyDescent="0.25">
      <c r="A250" s="512" t="s">
        <v>1011</v>
      </c>
      <c r="B250" s="512" t="s">
        <v>1012</v>
      </c>
      <c r="C250" s="512" t="s">
        <v>1013</v>
      </c>
      <c r="D250" s="373" t="s">
        <v>980</v>
      </c>
      <c r="E250" s="512" t="s">
        <v>236</v>
      </c>
      <c r="F250" s="512" t="s">
        <v>52</v>
      </c>
      <c r="G250" s="545">
        <v>44531</v>
      </c>
      <c r="H250" s="49"/>
      <c r="I250" s="49"/>
      <c r="J250" s="52"/>
      <c r="K250" s="52"/>
      <c r="L250" s="49"/>
    </row>
    <row r="251" spans="1:12" s="372" customFormat="1" ht="15" customHeight="1" x14ac:dyDescent="0.25">
      <c r="A251" s="512" t="s">
        <v>1014</v>
      </c>
      <c r="B251" s="512" t="s">
        <v>1015</v>
      </c>
      <c r="C251" s="512" t="s">
        <v>1016</v>
      </c>
      <c r="D251" s="373" t="s">
        <v>980</v>
      </c>
      <c r="E251" s="512" t="s">
        <v>236</v>
      </c>
      <c r="F251" s="512" t="s">
        <v>55</v>
      </c>
      <c r="G251" s="545">
        <v>44540</v>
      </c>
      <c r="H251" s="49"/>
      <c r="I251" s="49"/>
      <c r="J251" s="52"/>
      <c r="K251" s="52"/>
      <c r="L251" s="49"/>
    </row>
    <row r="252" spans="1:12" s="372" customFormat="1" ht="15" customHeight="1" x14ac:dyDescent="0.25">
      <c r="A252" s="373" t="s">
        <v>207</v>
      </c>
      <c r="B252" s="496" t="s">
        <v>339</v>
      </c>
      <c r="C252" s="496" t="s">
        <v>339</v>
      </c>
      <c r="D252" s="496" t="s">
        <v>339</v>
      </c>
      <c r="E252" s="496" t="s">
        <v>339</v>
      </c>
      <c r="F252" s="496" t="s">
        <v>339</v>
      </c>
      <c r="G252" s="513" t="s">
        <v>339</v>
      </c>
      <c r="H252" s="49"/>
      <c r="I252" s="49"/>
      <c r="J252" s="52"/>
      <c r="K252" s="52"/>
      <c r="L252" s="49"/>
    </row>
    <row r="253" spans="1:12" s="372" customFormat="1" x14ac:dyDescent="0.25">
      <c r="A253" s="308"/>
      <c r="B253" s="49"/>
      <c r="C253" s="49"/>
      <c r="D253" s="97"/>
      <c r="E253" s="97"/>
      <c r="F253" s="49"/>
      <c r="G253" s="374"/>
      <c r="H253" s="49"/>
      <c r="I253" s="49"/>
      <c r="J253" s="52"/>
      <c r="K253" s="52"/>
      <c r="L253" s="49"/>
    </row>
    <row r="254" spans="1:12" s="372" customFormat="1" x14ac:dyDescent="0.25">
      <c r="A254" s="308"/>
      <c r="B254" s="49"/>
      <c r="C254" s="49"/>
      <c r="D254" s="97"/>
      <c r="E254" s="97"/>
      <c r="F254" s="49"/>
      <c r="G254" s="374"/>
      <c r="H254" s="49"/>
      <c r="I254" s="49"/>
      <c r="J254" s="52"/>
      <c r="K254" s="52"/>
      <c r="L254" s="49"/>
    </row>
    <row r="255" spans="1:12" s="372" customFormat="1" x14ac:dyDescent="0.25">
      <c r="A255" s="308"/>
      <c r="B255" s="49"/>
      <c r="C255" s="49"/>
      <c r="D255" s="97"/>
      <c r="E255" s="97"/>
      <c r="F255" s="49"/>
      <c r="G255" s="374"/>
      <c r="H255" s="49"/>
      <c r="I255" s="49"/>
      <c r="J255" s="52"/>
      <c r="K255" s="52"/>
      <c r="L255" s="49"/>
    </row>
    <row r="256" spans="1:12" s="372" customFormat="1" x14ac:dyDescent="0.25">
      <c r="A256" s="308"/>
      <c r="B256" s="49"/>
      <c r="C256" s="49"/>
      <c r="D256" s="97"/>
      <c r="E256" s="97"/>
      <c r="F256" s="49"/>
      <c r="G256" s="374"/>
      <c r="H256" s="49"/>
      <c r="I256" s="49"/>
      <c r="J256" s="52"/>
      <c r="K256" s="52"/>
      <c r="L256" s="49"/>
    </row>
    <row r="257" spans="1:12" s="372" customFormat="1" x14ac:dyDescent="0.25">
      <c r="A257" s="308"/>
      <c r="B257" s="49"/>
      <c r="C257" s="49"/>
      <c r="D257" s="97"/>
      <c r="E257" s="97"/>
      <c r="F257" s="49"/>
      <c r="G257" s="374"/>
      <c r="H257" s="49"/>
      <c r="I257" s="49"/>
      <c r="J257" s="52"/>
      <c r="K257" s="52"/>
      <c r="L257" s="49"/>
    </row>
    <row r="258" spans="1:12" s="372" customFormat="1" x14ac:dyDescent="0.25">
      <c r="A258" s="308"/>
      <c r="B258" s="49"/>
      <c r="C258" s="49"/>
      <c r="D258" s="97"/>
      <c r="E258" s="97"/>
      <c r="F258" s="49"/>
      <c r="G258" s="374"/>
      <c r="H258" s="49"/>
      <c r="I258" s="49"/>
      <c r="J258" s="52"/>
      <c r="K258" s="52"/>
      <c r="L258" s="49"/>
    </row>
    <row r="259" spans="1:12" s="372" customFormat="1" x14ac:dyDescent="0.25">
      <c r="A259" s="308"/>
      <c r="B259" s="49"/>
      <c r="C259" s="49"/>
      <c r="D259" s="97"/>
      <c r="E259" s="97"/>
      <c r="F259" s="49"/>
      <c r="G259" s="374"/>
      <c r="H259" s="49"/>
      <c r="I259" s="49"/>
      <c r="J259" s="52"/>
      <c r="K259" s="52"/>
      <c r="L259" s="49"/>
    </row>
    <row r="260" spans="1:12" s="372" customFormat="1" x14ac:dyDescent="0.25">
      <c r="A260" s="308"/>
      <c r="B260" s="49"/>
      <c r="C260" s="49"/>
      <c r="D260" s="97"/>
      <c r="E260" s="97"/>
      <c r="F260" s="49"/>
      <c r="G260" s="374"/>
      <c r="H260" s="49"/>
      <c r="I260" s="49"/>
      <c r="J260" s="52"/>
      <c r="K260" s="52"/>
      <c r="L260" s="49"/>
    </row>
    <row r="261" spans="1:12" s="372" customFormat="1" x14ac:dyDescent="0.25">
      <c r="A261" s="308"/>
      <c r="B261" s="49"/>
      <c r="C261" s="49"/>
      <c r="D261" s="97"/>
      <c r="E261" s="97"/>
      <c r="F261" s="49"/>
      <c r="G261" s="374"/>
      <c r="H261" s="49"/>
      <c r="I261" s="49"/>
      <c r="J261" s="52"/>
      <c r="K261" s="52"/>
      <c r="L261" s="49"/>
    </row>
    <row r="262" spans="1:12" s="372" customFormat="1" x14ac:dyDescent="0.25">
      <c r="A262" s="308"/>
      <c r="B262" s="49"/>
      <c r="C262" s="49"/>
      <c r="D262" s="97"/>
      <c r="E262" s="97"/>
      <c r="F262" s="49"/>
      <c r="G262" s="374"/>
      <c r="H262" s="49"/>
      <c r="I262" s="49"/>
      <c r="J262" s="52"/>
      <c r="K262" s="52"/>
      <c r="L262" s="49"/>
    </row>
    <row r="263" spans="1:12" s="372" customFormat="1" x14ac:dyDescent="0.25">
      <c r="A263" s="308"/>
      <c r="B263" s="49"/>
      <c r="C263" s="49"/>
      <c r="D263" s="97"/>
      <c r="E263" s="97"/>
      <c r="F263" s="49"/>
      <c r="G263" s="374"/>
      <c r="H263" s="49"/>
      <c r="I263" s="49"/>
      <c r="J263" s="52"/>
      <c r="K263" s="52"/>
      <c r="L263" s="49"/>
    </row>
    <row r="264" spans="1:12" s="372" customFormat="1" x14ac:dyDescent="0.25">
      <c r="A264" s="308"/>
      <c r="B264" s="49"/>
      <c r="C264" s="49"/>
      <c r="D264" s="97"/>
      <c r="E264" s="97"/>
      <c r="F264" s="49"/>
      <c r="G264" s="374"/>
      <c r="H264" s="49"/>
      <c r="I264" s="49"/>
      <c r="J264" s="52"/>
      <c r="K264" s="52"/>
      <c r="L264" s="49"/>
    </row>
    <row r="265" spans="1:12" s="372" customFormat="1" x14ac:dyDescent="0.25">
      <c r="A265" s="308"/>
      <c r="B265" s="49"/>
      <c r="C265" s="49"/>
      <c r="D265" s="97"/>
      <c r="E265" s="97"/>
      <c r="F265" s="49"/>
      <c r="G265" s="374"/>
      <c r="H265" s="49"/>
      <c r="I265" s="49"/>
      <c r="J265" s="52"/>
      <c r="K265" s="52"/>
      <c r="L265" s="49"/>
    </row>
    <row r="266" spans="1:12" s="372" customFormat="1" x14ac:dyDescent="0.25">
      <c r="A266" s="308"/>
      <c r="B266" s="49"/>
      <c r="C266" s="49"/>
      <c r="D266" s="97"/>
      <c r="E266" s="97"/>
      <c r="F266" s="49"/>
      <c r="G266" s="374"/>
      <c r="H266" s="49"/>
      <c r="I266" s="49"/>
      <c r="J266" s="52"/>
      <c r="K266" s="52"/>
      <c r="L266" s="49"/>
    </row>
    <row r="267" spans="1:12" s="372" customFormat="1" x14ac:dyDescent="0.25">
      <c r="A267" s="308"/>
      <c r="B267" s="49"/>
      <c r="C267" s="49"/>
      <c r="D267" s="97"/>
      <c r="E267" s="97"/>
      <c r="F267" s="49"/>
      <c r="G267" s="374"/>
      <c r="H267" s="49"/>
      <c r="I267" s="49"/>
      <c r="J267" s="52"/>
      <c r="K267" s="52"/>
      <c r="L267" s="49"/>
    </row>
    <row r="268" spans="1:12" s="372" customFormat="1" x14ac:dyDescent="0.25">
      <c r="A268" s="308"/>
      <c r="B268" s="49"/>
      <c r="C268" s="49"/>
      <c r="D268" s="97"/>
      <c r="E268" s="97"/>
      <c r="F268" s="49"/>
      <c r="G268" s="374"/>
      <c r="H268" s="49"/>
      <c r="I268" s="49"/>
      <c r="J268" s="52"/>
      <c r="K268" s="52"/>
      <c r="L268" s="49"/>
    </row>
    <row r="269" spans="1:12" s="372" customFormat="1" x14ac:dyDescent="0.25">
      <c r="A269" s="308"/>
      <c r="B269" s="49"/>
      <c r="C269" s="49"/>
      <c r="D269" s="97"/>
      <c r="E269" s="97"/>
      <c r="F269" s="49"/>
      <c r="G269" s="374"/>
      <c r="H269" s="49"/>
      <c r="I269" s="49"/>
      <c r="J269" s="52"/>
      <c r="K269" s="52"/>
      <c r="L269" s="49"/>
    </row>
    <row r="270" spans="1:12" s="372" customFormat="1" x14ac:dyDescent="0.25">
      <c r="A270" s="308"/>
      <c r="B270" s="49"/>
      <c r="C270" s="49"/>
      <c r="D270" s="97"/>
      <c r="E270" s="97"/>
      <c r="F270" s="49"/>
      <c r="G270" s="374"/>
      <c r="H270" s="49"/>
      <c r="I270" s="49"/>
      <c r="J270" s="52"/>
      <c r="K270" s="52"/>
      <c r="L270" s="49"/>
    </row>
    <row r="271" spans="1:12" s="372" customFormat="1" x14ac:dyDescent="0.25">
      <c r="A271" s="308"/>
      <c r="B271" s="49"/>
      <c r="C271" s="49"/>
      <c r="D271" s="97"/>
      <c r="E271" s="97"/>
      <c r="F271" s="49"/>
      <c r="G271" s="374"/>
      <c r="H271" s="49"/>
      <c r="I271" s="49"/>
      <c r="J271" s="52"/>
      <c r="K271" s="52"/>
      <c r="L271" s="49"/>
    </row>
    <row r="272" spans="1:12" s="372" customFormat="1" x14ac:dyDescent="0.25">
      <c r="A272" s="308"/>
      <c r="B272" s="49"/>
      <c r="C272" s="49"/>
      <c r="D272" s="97"/>
      <c r="E272" s="97"/>
      <c r="F272" s="49"/>
      <c r="G272" s="374"/>
      <c r="H272" s="49"/>
      <c r="I272" s="49"/>
      <c r="J272" s="52"/>
      <c r="K272" s="52"/>
      <c r="L272" s="49"/>
    </row>
    <row r="273" spans="1:12" s="372" customFormat="1" x14ac:dyDescent="0.25">
      <c r="A273" s="308"/>
      <c r="B273" s="49"/>
      <c r="C273" s="49"/>
      <c r="D273" s="97"/>
      <c r="E273" s="97"/>
      <c r="F273" s="49"/>
      <c r="G273" s="374"/>
      <c r="H273" s="49"/>
      <c r="I273" s="49"/>
      <c r="J273" s="52"/>
      <c r="K273" s="52"/>
      <c r="L273" s="49"/>
    </row>
    <row r="274" spans="1:12" s="372" customFormat="1" x14ac:dyDescent="0.25">
      <c r="A274" s="308"/>
      <c r="B274" s="49"/>
      <c r="C274" s="49"/>
      <c r="D274" s="97"/>
      <c r="E274" s="97"/>
      <c r="F274" s="49"/>
      <c r="G274" s="374"/>
      <c r="H274" s="49"/>
      <c r="I274" s="49"/>
      <c r="J274" s="52"/>
      <c r="K274" s="52"/>
      <c r="L274" s="49"/>
    </row>
    <row r="275" spans="1:12" s="372" customFormat="1" x14ac:dyDescent="0.25">
      <c r="A275" s="308"/>
      <c r="B275" s="49"/>
      <c r="C275" s="49"/>
      <c r="D275" s="97"/>
      <c r="E275" s="97"/>
      <c r="F275" s="49"/>
      <c r="G275" s="374"/>
      <c r="H275" s="49"/>
      <c r="I275" s="49"/>
      <c r="J275" s="52"/>
      <c r="K275" s="52"/>
      <c r="L275" s="49"/>
    </row>
    <row r="276" spans="1:12" s="372" customFormat="1" x14ac:dyDescent="0.25">
      <c r="A276" s="308"/>
      <c r="B276" s="49"/>
      <c r="C276" s="49"/>
      <c r="D276" s="97"/>
      <c r="E276" s="97"/>
      <c r="F276" s="49"/>
      <c r="G276" s="374"/>
      <c r="H276" s="49"/>
      <c r="I276" s="49"/>
      <c r="J276" s="52"/>
      <c r="K276" s="52"/>
      <c r="L276" s="49"/>
    </row>
    <row r="277" spans="1:12" s="372" customFormat="1" x14ac:dyDescent="0.25">
      <c r="A277" s="308"/>
      <c r="B277" s="49"/>
      <c r="C277" s="49"/>
      <c r="D277" s="97"/>
      <c r="E277" s="97"/>
      <c r="F277" s="49"/>
      <c r="G277" s="374"/>
      <c r="H277" s="49"/>
      <c r="I277" s="49"/>
      <c r="J277" s="52"/>
      <c r="K277" s="52"/>
      <c r="L277" s="49"/>
    </row>
    <row r="278" spans="1:12" s="372" customFormat="1" x14ac:dyDescent="0.25">
      <c r="A278" s="308"/>
      <c r="B278" s="49"/>
      <c r="C278" s="49"/>
      <c r="D278" s="97"/>
      <c r="E278" s="97"/>
      <c r="F278" s="49"/>
      <c r="G278" s="374"/>
      <c r="H278" s="49"/>
      <c r="I278" s="49"/>
      <c r="J278" s="52"/>
      <c r="K278" s="52"/>
      <c r="L278" s="49"/>
    </row>
    <row r="279" spans="1:12" s="372" customFormat="1" x14ac:dyDescent="0.25">
      <c r="A279" s="308"/>
      <c r="B279" s="49"/>
      <c r="C279" s="49"/>
      <c r="D279" s="97"/>
      <c r="E279" s="97"/>
      <c r="F279" s="49"/>
      <c r="G279" s="374"/>
      <c r="H279" s="49"/>
      <c r="I279" s="49"/>
      <c r="J279" s="52"/>
      <c r="K279" s="52"/>
      <c r="L279" s="49"/>
    </row>
    <row r="280" spans="1:12" s="372" customFormat="1" x14ac:dyDescent="0.25">
      <c r="A280" s="308"/>
      <c r="B280" s="49"/>
      <c r="C280" s="49"/>
      <c r="D280" s="97"/>
      <c r="E280" s="97"/>
      <c r="F280" s="49"/>
      <c r="G280" s="374"/>
      <c r="H280" s="49"/>
      <c r="I280" s="49"/>
      <c r="J280" s="52"/>
      <c r="K280" s="52"/>
      <c r="L280" s="49"/>
    </row>
    <row r="281" spans="1:12" s="372" customFormat="1" x14ac:dyDescent="0.25">
      <c r="A281" s="308"/>
      <c r="B281" s="49"/>
      <c r="C281" s="49"/>
      <c r="D281" s="97"/>
      <c r="E281" s="97"/>
      <c r="F281" s="49"/>
      <c r="G281" s="374"/>
      <c r="H281" s="49"/>
      <c r="I281" s="49"/>
      <c r="J281" s="52"/>
      <c r="K281" s="52"/>
      <c r="L281" s="49"/>
    </row>
    <row r="282" spans="1:12" s="372" customFormat="1" x14ac:dyDescent="0.25">
      <c r="A282" s="308"/>
      <c r="B282" s="49"/>
      <c r="C282" s="49"/>
      <c r="D282" s="97"/>
      <c r="E282" s="97"/>
      <c r="F282" s="49"/>
      <c r="G282" s="374"/>
      <c r="H282" s="49"/>
      <c r="I282" s="49"/>
      <c r="J282" s="52"/>
      <c r="K282" s="52"/>
      <c r="L282" s="49"/>
    </row>
    <row r="283" spans="1:12" s="372" customFormat="1" x14ac:dyDescent="0.25">
      <c r="A283" s="308"/>
      <c r="B283" s="49"/>
      <c r="C283" s="49"/>
      <c r="D283" s="97"/>
      <c r="E283" s="97"/>
      <c r="F283" s="49"/>
      <c r="G283" s="374"/>
      <c r="H283" s="49"/>
      <c r="I283" s="49"/>
      <c r="J283" s="52"/>
      <c r="K283" s="52"/>
      <c r="L283" s="49"/>
    </row>
    <row r="284" spans="1:12" s="372" customFormat="1" x14ac:dyDescent="0.25">
      <c r="A284" s="308"/>
      <c r="B284" s="49"/>
      <c r="C284" s="49"/>
      <c r="D284" s="97"/>
      <c r="E284" s="97"/>
      <c r="F284" s="49"/>
      <c r="G284" s="374"/>
      <c r="H284" s="49"/>
      <c r="I284" s="49"/>
      <c r="J284" s="52"/>
      <c r="K284" s="52"/>
      <c r="L284" s="49"/>
    </row>
    <row r="285" spans="1:12" s="372" customFormat="1" x14ac:dyDescent="0.25">
      <c r="A285" s="308"/>
      <c r="B285" s="49"/>
      <c r="C285" s="49"/>
      <c r="D285" s="97"/>
      <c r="E285" s="97"/>
      <c r="F285" s="49"/>
      <c r="G285" s="374"/>
      <c r="H285" s="49"/>
      <c r="I285" s="49"/>
      <c r="J285" s="52"/>
      <c r="K285" s="52"/>
      <c r="L285" s="49"/>
    </row>
    <row r="286" spans="1:12" s="372" customFormat="1" x14ac:dyDescent="0.25">
      <c r="A286" s="308"/>
      <c r="B286" s="49"/>
      <c r="C286" s="49"/>
      <c r="D286" s="97"/>
      <c r="E286" s="97"/>
      <c r="F286" s="49"/>
      <c r="G286" s="374"/>
      <c r="H286" s="49"/>
      <c r="I286" s="49"/>
      <c r="J286" s="52"/>
      <c r="K286" s="52"/>
      <c r="L286" s="49"/>
    </row>
    <row r="287" spans="1:12" s="372" customFormat="1" x14ac:dyDescent="0.25">
      <c r="A287" s="308"/>
      <c r="B287" s="49"/>
      <c r="C287" s="49"/>
      <c r="D287" s="97"/>
      <c r="E287" s="97"/>
      <c r="F287" s="49"/>
      <c r="G287" s="374"/>
      <c r="H287" s="49"/>
      <c r="I287" s="49"/>
      <c r="J287" s="52"/>
      <c r="K287" s="52"/>
      <c r="L287" s="49"/>
    </row>
    <row r="288" spans="1:12" s="372" customFormat="1" x14ac:dyDescent="0.25">
      <c r="A288" s="308"/>
      <c r="B288" s="49"/>
      <c r="C288" s="49"/>
      <c r="D288" s="97"/>
      <c r="E288" s="97"/>
      <c r="F288" s="49"/>
      <c r="G288" s="374"/>
      <c r="H288" s="49"/>
      <c r="I288" s="49"/>
      <c r="J288" s="52"/>
      <c r="K288" s="52"/>
      <c r="L288" s="49"/>
    </row>
    <row r="289" spans="1:12" s="372" customFormat="1" x14ac:dyDescent="0.25">
      <c r="A289" s="308"/>
      <c r="B289" s="49"/>
      <c r="C289" s="49"/>
      <c r="D289" s="97"/>
      <c r="E289" s="97"/>
      <c r="F289" s="49"/>
      <c r="G289" s="374"/>
      <c r="H289" s="49"/>
      <c r="I289" s="49"/>
      <c r="J289" s="49"/>
      <c r="K289" s="49"/>
      <c r="L289" s="49"/>
    </row>
    <row r="290" spans="1:12" s="372" customFormat="1" x14ac:dyDescent="0.25">
      <c r="A290" s="308"/>
      <c r="B290" s="49"/>
      <c r="C290" s="49"/>
      <c r="D290" s="97"/>
      <c r="E290" s="97"/>
      <c r="F290" s="49"/>
      <c r="G290" s="374"/>
      <c r="H290" s="49"/>
      <c r="I290" s="49"/>
      <c r="J290" s="49"/>
      <c r="K290" s="49"/>
      <c r="L290" s="49"/>
    </row>
    <row r="291" spans="1:12" s="372" customFormat="1" x14ac:dyDescent="0.25">
      <c r="A291" s="308"/>
      <c r="B291" s="49"/>
      <c r="C291" s="49"/>
      <c r="D291" s="97"/>
      <c r="E291" s="97"/>
      <c r="F291" s="49"/>
      <c r="G291" s="374"/>
      <c r="H291" s="49"/>
      <c r="I291" s="49"/>
      <c r="J291" s="49"/>
      <c r="K291" s="49"/>
      <c r="L291" s="49"/>
    </row>
    <row r="292" spans="1:12" s="372" customFormat="1" x14ac:dyDescent="0.25">
      <c r="A292" s="308"/>
      <c r="B292" s="49"/>
      <c r="C292" s="49"/>
      <c r="D292" s="97"/>
      <c r="E292" s="97"/>
      <c r="F292" s="49"/>
      <c r="G292" s="374"/>
      <c r="H292" s="49"/>
      <c r="I292" s="49"/>
      <c r="J292" s="49"/>
      <c r="K292" s="49"/>
      <c r="L292" s="49"/>
    </row>
    <row r="293" spans="1:12" s="372" customFormat="1" x14ac:dyDescent="0.25">
      <c r="A293" s="308"/>
      <c r="B293" s="49"/>
      <c r="C293" s="49"/>
      <c r="D293" s="97"/>
      <c r="E293" s="97"/>
      <c r="F293" s="49"/>
      <c r="G293" s="374"/>
      <c r="H293" s="49"/>
      <c r="I293" s="49"/>
      <c r="J293" s="49"/>
      <c r="K293" s="49"/>
      <c r="L293" s="49"/>
    </row>
    <row r="294" spans="1:12" s="372" customFormat="1" x14ac:dyDescent="0.25">
      <c r="A294" s="308"/>
      <c r="B294" s="49"/>
      <c r="C294" s="49"/>
      <c r="D294" s="97"/>
      <c r="E294" s="97"/>
      <c r="F294" s="49"/>
      <c r="G294" s="374"/>
      <c r="H294" s="49"/>
      <c r="I294" s="49"/>
      <c r="J294" s="49"/>
      <c r="K294" s="49"/>
      <c r="L294" s="49"/>
    </row>
    <row r="295" spans="1:12" s="372" customFormat="1" x14ac:dyDescent="0.25">
      <c r="A295" s="308"/>
      <c r="B295" s="49"/>
      <c r="C295" s="49"/>
      <c r="D295" s="97"/>
      <c r="E295" s="97"/>
      <c r="F295" s="49"/>
      <c r="G295" s="374"/>
      <c r="H295" s="49"/>
      <c r="I295" s="49"/>
      <c r="J295" s="49"/>
      <c r="K295" s="49"/>
      <c r="L295" s="49"/>
    </row>
    <row r="296" spans="1:12" s="372" customFormat="1" x14ac:dyDescent="0.25">
      <c r="A296" s="308"/>
      <c r="B296" s="49"/>
      <c r="C296" s="49"/>
      <c r="D296" s="97"/>
      <c r="E296" s="97"/>
      <c r="F296" s="49"/>
      <c r="G296" s="374"/>
      <c r="H296" s="49"/>
      <c r="I296" s="49"/>
      <c r="J296" s="49"/>
      <c r="K296" s="49"/>
      <c r="L296" s="49"/>
    </row>
    <row r="297" spans="1:12" s="372" customFormat="1" x14ac:dyDescent="0.25">
      <c r="A297" s="308"/>
      <c r="B297" s="49"/>
      <c r="C297" s="49"/>
      <c r="D297" s="97"/>
      <c r="E297" s="97"/>
      <c r="F297" s="49"/>
      <c r="G297" s="374"/>
      <c r="H297" s="49"/>
      <c r="I297" s="49"/>
      <c r="J297" s="49"/>
      <c r="K297" s="49"/>
      <c r="L297" s="49"/>
    </row>
    <row r="298" spans="1:12" s="372" customFormat="1" x14ac:dyDescent="0.25">
      <c r="A298" s="308"/>
      <c r="B298" s="49"/>
      <c r="C298" s="49"/>
      <c r="D298" s="97"/>
      <c r="E298" s="97"/>
      <c r="F298" s="49"/>
      <c r="G298" s="374"/>
      <c r="H298" s="49"/>
      <c r="I298" s="49"/>
      <c r="J298" s="49"/>
      <c r="K298" s="49"/>
      <c r="L298" s="49"/>
    </row>
    <row r="299" spans="1:12" s="372" customFormat="1" x14ac:dyDescent="0.25">
      <c r="A299" s="308"/>
      <c r="B299" s="49"/>
      <c r="C299" s="49"/>
      <c r="D299" s="97"/>
      <c r="E299" s="97"/>
      <c r="F299" s="49"/>
      <c r="G299" s="374"/>
      <c r="H299" s="49"/>
      <c r="I299" s="49"/>
      <c r="J299" s="49"/>
      <c r="K299" s="49"/>
      <c r="L299" s="49"/>
    </row>
    <row r="300" spans="1:12" s="372" customFormat="1" x14ac:dyDescent="0.25">
      <c r="A300" s="308"/>
      <c r="B300" s="49"/>
      <c r="C300" s="49"/>
      <c r="D300" s="97"/>
      <c r="E300" s="97"/>
      <c r="F300" s="49"/>
      <c r="G300" s="374"/>
      <c r="H300" s="49"/>
      <c r="I300" s="49"/>
      <c r="J300" s="49"/>
      <c r="K300" s="49"/>
      <c r="L300" s="49"/>
    </row>
    <row r="301" spans="1:12" s="372" customFormat="1" x14ac:dyDescent="0.25">
      <c r="A301" s="308"/>
      <c r="B301" s="49"/>
      <c r="C301" s="49"/>
      <c r="D301" s="97"/>
      <c r="E301" s="97"/>
      <c r="F301" s="49"/>
      <c r="G301" s="374"/>
      <c r="H301" s="49"/>
      <c r="I301" s="49"/>
      <c r="J301" s="49"/>
      <c r="K301" s="49"/>
      <c r="L301" s="49"/>
    </row>
    <row r="302" spans="1:12" s="372" customFormat="1" x14ac:dyDescent="0.25">
      <c r="A302" s="308"/>
      <c r="B302" s="49"/>
      <c r="C302" s="49"/>
      <c r="D302" s="97"/>
      <c r="E302" s="97"/>
      <c r="F302" s="49"/>
      <c r="G302" s="374"/>
      <c r="H302" s="52"/>
      <c r="I302" s="49"/>
      <c r="J302" s="52"/>
      <c r="K302" s="52"/>
      <c r="L302" s="49"/>
    </row>
    <row r="303" spans="1:12" s="372" customFormat="1" x14ac:dyDescent="0.25">
      <c r="A303" s="49"/>
      <c r="B303" s="49"/>
      <c r="C303" s="49"/>
      <c r="D303" s="97"/>
      <c r="E303" s="97"/>
      <c r="F303" s="49"/>
      <c r="G303" s="52"/>
      <c r="H303" s="52"/>
      <c r="I303" s="49"/>
      <c r="J303" s="52"/>
      <c r="K303" s="52"/>
      <c r="L303" s="49"/>
    </row>
    <row r="304" spans="1:12" s="372" customFormat="1" x14ac:dyDescent="0.25">
      <c r="A304" s="49"/>
      <c r="B304" s="49"/>
      <c r="C304" s="49"/>
      <c r="D304" s="97"/>
      <c r="E304" s="97"/>
      <c r="F304" s="49"/>
      <c r="G304" s="52"/>
      <c r="H304" s="52"/>
      <c r="I304" s="49"/>
      <c r="J304" s="52"/>
      <c r="K304" s="52"/>
      <c r="L304" s="49"/>
    </row>
    <row r="305" spans="1:12" s="372" customFormat="1" x14ac:dyDescent="0.25">
      <c r="A305" s="49"/>
      <c r="B305" s="49"/>
      <c r="C305" s="49"/>
      <c r="D305" s="97"/>
      <c r="E305" s="97"/>
      <c r="F305" s="49"/>
      <c r="G305" s="52"/>
      <c r="H305" s="52"/>
      <c r="I305" s="49"/>
      <c r="J305" s="52"/>
      <c r="K305" s="52"/>
      <c r="L305" s="49"/>
    </row>
    <row r="306" spans="1:12" s="372" customFormat="1" x14ac:dyDescent="0.25">
      <c r="A306" s="49"/>
      <c r="B306" s="49"/>
      <c r="C306" s="49"/>
      <c r="D306" s="97"/>
      <c r="E306" s="97"/>
      <c r="F306" s="49"/>
      <c r="G306" s="52"/>
      <c r="H306" s="52"/>
      <c r="I306" s="49"/>
      <c r="J306" s="52"/>
      <c r="K306" s="52"/>
      <c r="L306" s="49"/>
    </row>
    <row r="307" spans="1:12" s="372" customFormat="1" x14ac:dyDescent="0.25">
      <c r="A307" s="49"/>
      <c r="B307" s="49"/>
      <c r="C307" s="49"/>
      <c r="D307" s="97"/>
      <c r="E307" s="97"/>
      <c r="F307" s="49"/>
      <c r="G307" s="52"/>
      <c r="H307" s="52"/>
      <c r="I307" s="49"/>
      <c r="J307" s="52"/>
      <c r="K307" s="52"/>
      <c r="L307" s="49"/>
    </row>
    <row r="308" spans="1:12" s="372" customFormat="1" x14ac:dyDescent="0.25">
      <c r="A308" s="49"/>
      <c r="B308" s="49"/>
      <c r="C308" s="49"/>
      <c r="D308" s="97"/>
      <c r="E308" s="97"/>
      <c r="F308" s="49"/>
      <c r="G308" s="52"/>
      <c r="H308" s="52"/>
      <c r="I308" s="49"/>
      <c r="J308" s="52"/>
      <c r="K308" s="52"/>
      <c r="L308" s="49"/>
    </row>
    <row r="309" spans="1:12" s="372" customFormat="1" x14ac:dyDescent="0.25">
      <c r="A309" s="49"/>
      <c r="B309" s="49"/>
      <c r="C309" s="49"/>
      <c r="D309" s="97"/>
      <c r="E309" s="97"/>
      <c r="F309" s="49"/>
      <c r="G309" s="52"/>
      <c r="H309" s="52"/>
      <c r="I309" s="49"/>
      <c r="J309" s="52"/>
      <c r="K309" s="52"/>
      <c r="L309" s="49"/>
    </row>
    <row r="310" spans="1:12" s="372" customFormat="1" x14ac:dyDescent="0.25">
      <c r="A310" s="49"/>
      <c r="B310" s="49"/>
      <c r="C310" s="49"/>
      <c r="D310" s="97"/>
      <c r="E310" s="97"/>
      <c r="F310" s="49"/>
      <c r="G310" s="52"/>
      <c r="H310" s="52"/>
      <c r="I310" s="49"/>
      <c r="J310" s="52"/>
      <c r="K310" s="52"/>
      <c r="L310" s="49"/>
    </row>
    <row r="327" spans="1:12" s="372" customFormat="1" x14ac:dyDescent="0.25">
      <c r="A327" s="49"/>
      <c r="B327" s="49"/>
      <c r="C327" s="49"/>
      <c r="D327" s="97"/>
      <c r="E327" s="97"/>
      <c r="F327" s="49"/>
      <c r="G327" s="52"/>
      <c r="H327" s="52"/>
      <c r="I327" s="49"/>
      <c r="J327" s="52"/>
      <c r="K327" s="52"/>
      <c r="L327" s="49"/>
    </row>
    <row r="328" spans="1:12" s="372" customFormat="1" x14ac:dyDescent="0.25">
      <c r="A328" s="49"/>
      <c r="B328" s="49"/>
      <c r="C328" s="49"/>
      <c r="D328" s="97"/>
      <c r="E328" s="97"/>
      <c r="F328" s="49"/>
      <c r="G328" s="52"/>
      <c r="H328" s="52"/>
      <c r="I328" s="49"/>
      <c r="J328" s="52"/>
      <c r="K328" s="52"/>
      <c r="L328" s="49"/>
    </row>
    <row r="329" spans="1:12" s="372" customFormat="1" x14ac:dyDescent="0.25">
      <c r="A329" s="49"/>
      <c r="B329" s="49"/>
      <c r="C329" s="49"/>
      <c r="D329" s="97"/>
      <c r="E329" s="97"/>
      <c r="F329" s="49"/>
      <c r="G329" s="52"/>
      <c r="H329" s="52"/>
      <c r="I329" s="49"/>
      <c r="J329" s="52"/>
      <c r="K329" s="52"/>
      <c r="L329" s="49"/>
    </row>
    <row r="330" spans="1:12" s="372" customFormat="1" x14ac:dyDescent="0.25">
      <c r="A330" s="49"/>
      <c r="B330" s="49"/>
      <c r="C330" s="49"/>
      <c r="D330" s="97"/>
      <c r="E330" s="97"/>
      <c r="F330" s="49"/>
      <c r="G330" s="52"/>
      <c r="H330" s="52"/>
      <c r="I330" s="49"/>
      <c r="J330" s="52"/>
      <c r="K330" s="52"/>
      <c r="L330" s="49"/>
    </row>
    <row r="331" spans="1:12" s="372" customFormat="1" x14ac:dyDescent="0.25">
      <c r="A331" s="49"/>
      <c r="B331" s="49"/>
      <c r="C331" s="49"/>
      <c r="D331" s="97"/>
      <c r="E331" s="97"/>
      <c r="F331" s="49"/>
      <c r="G331" s="52"/>
      <c r="H331" s="52"/>
      <c r="I331" s="49"/>
      <c r="J331" s="52"/>
      <c r="K331" s="52"/>
      <c r="L331" s="49"/>
    </row>
    <row r="332" spans="1:12" s="372" customFormat="1" x14ac:dyDescent="0.25">
      <c r="A332" s="49"/>
      <c r="B332" s="49"/>
      <c r="C332" s="49"/>
      <c r="D332" s="97"/>
      <c r="E332" s="97"/>
      <c r="F332" s="49"/>
      <c r="G332" s="52"/>
      <c r="H332" s="52"/>
      <c r="I332" s="49"/>
      <c r="J332" s="52"/>
      <c r="K332" s="52"/>
      <c r="L332" s="49"/>
    </row>
    <row r="333" spans="1:12" s="372" customFormat="1" x14ac:dyDescent="0.25">
      <c r="A333" s="49"/>
      <c r="B333" s="49"/>
      <c r="C333" s="49"/>
      <c r="D333" s="97"/>
      <c r="E333" s="97"/>
      <c r="F333" s="49"/>
      <c r="G333" s="52"/>
      <c r="H333" s="52"/>
      <c r="I333" s="49"/>
      <c r="J333" s="52"/>
      <c r="K333" s="52"/>
      <c r="L333" s="49"/>
    </row>
    <row r="334" spans="1:12" s="372" customFormat="1" x14ac:dyDescent="0.25">
      <c r="A334" s="49"/>
      <c r="B334" s="49"/>
      <c r="C334" s="49"/>
      <c r="D334" s="97"/>
      <c r="E334" s="97"/>
      <c r="F334" s="49"/>
      <c r="G334" s="52"/>
      <c r="H334" s="52"/>
      <c r="I334" s="49"/>
      <c r="J334" s="52"/>
      <c r="K334" s="52"/>
      <c r="L334" s="49"/>
    </row>
    <row r="335" spans="1:12" s="372" customFormat="1" x14ac:dyDescent="0.25">
      <c r="A335" s="49"/>
      <c r="B335" s="49"/>
      <c r="C335" s="49"/>
      <c r="D335" s="97"/>
      <c r="E335" s="97"/>
      <c r="F335" s="49"/>
      <c r="G335" s="52"/>
      <c r="H335" s="52"/>
      <c r="I335" s="49"/>
      <c r="J335" s="52"/>
      <c r="K335" s="52"/>
      <c r="L335" s="49"/>
    </row>
    <row r="336" spans="1:12" s="372" customFormat="1" x14ac:dyDescent="0.25">
      <c r="A336" s="49"/>
      <c r="B336" s="49"/>
      <c r="C336" s="49"/>
      <c r="D336" s="97"/>
      <c r="E336" s="97"/>
      <c r="F336" s="49"/>
      <c r="G336" s="52"/>
      <c r="H336" s="52"/>
      <c r="I336" s="49"/>
      <c r="J336" s="52"/>
      <c r="K336" s="52"/>
      <c r="L336" s="49"/>
    </row>
    <row r="337" spans="1:12" s="372" customFormat="1" x14ac:dyDescent="0.25">
      <c r="A337" s="49"/>
      <c r="B337" s="49"/>
      <c r="C337" s="49"/>
      <c r="D337" s="97"/>
      <c r="E337" s="97"/>
      <c r="F337" s="49"/>
      <c r="G337" s="52"/>
      <c r="H337" s="52"/>
      <c r="I337" s="49"/>
      <c r="J337" s="52"/>
      <c r="K337" s="52"/>
      <c r="L337" s="49"/>
    </row>
    <row r="338" spans="1:12" s="372" customFormat="1" x14ac:dyDescent="0.25">
      <c r="A338" s="49"/>
      <c r="B338" s="49"/>
      <c r="C338" s="49"/>
      <c r="D338" s="97"/>
      <c r="E338" s="97"/>
      <c r="F338" s="49"/>
      <c r="G338" s="52"/>
      <c r="H338" s="52"/>
      <c r="I338" s="49"/>
      <c r="J338" s="52"/>
      <c r="K338" s="52"/>
      <c r="L338" s="49"/>
    </row>
    <row r="339" spans="1:12" s="372" customFormat="1" x14ac:dyDescent="0.25">
      <c r="A339" s="49"/>
      <c r="B339" s="49"/>
      <c r="C339" s="49"/>
      <c r="D339" s="97"/>
      <c r="E339" s="97"/>
      <c r="F339" s="49"/>
      <c r="G339" s="52"/>
      <c r="H339" s="52"/>
      <c r="I339" s="49"/>
      <c r="J339" s="52"/>
      <c r="K339" s="52"/>
      <c r="L339" s="49"/>
    </row>
    <row r="340" spans="1:12" s="372" customFormat="1" x14ac:dyDescent="0.25">
      <c r="A340" s="49"/>
      <c r="B340" s="49"/>
      <c r="C340" s="49"/>
      <c r="D340" s="97"/>
      <c r="E340" s="97"/>
      <c r="F340" s="49"/>
      <c r="G340" s="52"/>
      <c r="H340" s="52"/>
      <c r="I340" s="49"/>
      <c r="J340" s="52"/>
      <c r="K340" s="52"/>
      <c r="L340" s="49"/>
    </row>
    <row r="341" spans="1:12" s="372" customFormat="1" x14ac:dyDescent="0.25">
      <c r="A341" s="49"/>
      <c r="B341" s="49"/>
      <c r="C341" s="49"/>
      <c r="D341" s="97"/>
      <c r="E341" s="97"/>
      <c r="F341" s="49"/>
      <c r="G341" s="52"/>
      <c r="H341" s="52"/>
      <c r="I341" s="49"/>
      <c r="J341" s="52"/>
      <c r="K341" s="52"/>
      <c r="L341" s="49"/>
    </row>
    <row r="342" spans="1:12" s="372" customFormat="1" x14ac:dyDescent="0.25">
      <c r="A342" s="49"/>
      <c r="B342" s="49"/>
      <c r="C342" s="49"/>
      <c r="D342" s="97"/>
      <c r="E342" s="97"/>
      <c r="F342" s="49"/>
      <c r="G342" s="52"/>
      <c r="H342" s="52"/>
      <c r="I342" s="49"/>
      <c r="J342" s="52"/>
      <c r="K342" s="52"/>
      <c r="L342" s="49"/>
    </row>
    <row r="343" spans="1:12" s="372" customFormat="1" x14ac:dyDescent="0.25">
      <c r="A343" s="49"/>
      <c r="B343" s="49"/>
      <c r="C343" s="49"/>
      <c r="D343" s="97"/>
      <c r="E343" s="97"/>
      <c r="F343" s="49"/>
      <c r="G343" s="52"/>
      <c r="H343" s="52"/>
      <c r="I343" s="49"/>
      <c r="J343" s="52"/>
      <c r="K343" s="52"/>
      <c r="L343" s="49"/>
    </row>
    <row r="344" spans="1:12" s="372" customFormat="1" x14ac:dyDescent="0.25">
      <c r="A344" s="49"/>
      <c r="B344" s="49"/>
      <c r="C344" s="49"/>
      <c r="D344" s="97"/>
      <c r="E344" s="97"/>
      <c r="F344" s="49"/>
      <c r="G344" s="52"/>
      <c r="H344" s="52"/>
      <c r="I344" s="49"/>
      <c r="J344" s="52"/>
      <c r="K344" s="52"/>
      <c r="L344" s="49"/>
    </row>
    <row r="345" spans="1:12" s="372" customFormat="1" x14ac:dyDescent="0.25">
      <c r="A345" s="49"/>
      <c r="B345" s="49"/>
      <c r="C345" s="49"/>
      <c r="D345" s="97"/>
      <c r="E345" s="97"/>
      <c r="F345" s="49"/>
      <c r="G345" s="52"/>
      <c r="H345" s="52"/>
      <c r="I345" s="49"/>
      <c r="J345" s="52"/>
      <c r="K345" s="52"/>
      <c r="L345" s="49"/>
    </row>
    <row r="346" spans="1:12" s="372" customFormat="1" x14ac:dyDescent="0.25">
      <c r="A346" s="49"/>
      <c r="B346" s="49"/>
      <c r="C346" s="49"/>
      <c r="D346" s="97"/>
      <c r="E346" s="97"/>
      <c r="F346" s="49"/>
      <c r="G346" s="52"/>
      <c r="H346" s="52"/>
      <c r="I346" s="49"/>
      <c r="J346" s="52"/>
      <c r="K346" s="52"/>
      <c r="L346" s="49"/>
    </row>
    <row r="347" spans="1:12" s="372" customFormat="1" x14ac:dyDescent="0.25">
      <c r="A347" s="49"/>
      <c r="B347" s="49"/>
      <c r="C347" s="49"/>
      <c r="D347" s="97"/>
      <c r="E347" s="97"/>
      <c r="F347" s="49"/>
      <c r="G347" s="52"/>
      <c r="H347" s="52"/>
      <c r="I347" s="49"/>
      <c r="J347" s="52"/>
      <c r="K347" s="52"/>
      <c r="L347" s="49"/>
    </row>
    <row r="348" spans="1:12" s="372" customFormat="1" x14ac:dyDescent="0.25">
      <c r="A348" s="49"/>
      <c r="B348" s="49"/>
      <c r="C348" s="49"/>
      <c r="D348" s="97"/>
      <c r="E348" s="97"/>
      <c r="F348" s="49"/>
      <c r="G348" s="52"/>
      <c r="H348" s="52"/>
      <c r="I348" s="49"/>
      <c r="J348" s="52"/>
      <c r="K348" s="52"/>
      <c r="L348" s="49"/>
    </row>
    <row r="349" spans="1:12" s="372" customFormat="1" x14ac:dyDescent="0.25">
      <c r="A349" s="49"/>
      <c r="B349" s="49"/>
      <c r="C349" s="49"/>
      <c r="D349" s="97"/>
      <c r="E349" s="97"/>
      <c r="F349" s="49"/>
      <c r="G349" s="52"/>
      <c r="H349" s="52"/>
      <c r="I349" s="49"/>
      <c r="J349" s="52"/>
      <c r="K349" s="52"/>
      <c r="L349" s="49"/>
    </row>
    <row r="350" spans="1:12" s="372" customFormat="1" x14ac:dyDescent="0.25">
      <c r="A350" s="49"/>
      <c r="B350" s="49"/>
      <c r="C350" s="49"/>
      <c r="D350" s="97"/>
      <c r="E350" s="97"/>
      <c r="F350" s="49"/>
      <c r="G350" s="52"/>
      <c r="H350" s="52"/>
      <c r="I350" s="49"/>
      <c r="J350" s="52"/>
      <c r="K350" s="52"/>
      <c r="L350" s="49"/>
    </row>
    <row r="351" spans="1:12" s="372" customFormat="1" x14ac:dyDescent="0.25">
      <c r="A351" s="49"/>
      <c r="B351" s="49"/>
      <c r="C351" s="49"/>
      <c r="D351" s="97"/>
      <c r="E351" s="97"/>
      <c r="F351" s="49"/>
      <c r="G351" s="52"/>
      <c r="H351" s="52"/>
      <c r="I351" s="49"/>
      <c r="J351" s="52"/>
      <c r="K351" s="52"/>
      <c r="L351" s="49"/>
    </row>
    <row r="352" spans="1:12" s="372" customFormat="1" x14ac:dyDescent="0.25">
      <c r="A352" s="49"/>
      <c r="B352" s="49"/>
      <c r="C352" s="49"/>
      <c r="D352" s="97"/>
      <c r="E352" s="97"/>
      <c r="F352" s="49"/>
      <c r="G352" s="52"/>
      <c r="H352" s="52"/>
      <c r="I352" s="49"/>
      <c r="J352" s="52"/>
      <c r="K352" s="52"/>
      <c r="L352" s="49"/>
    </row>
    <row r="353" spans="1:12" s="372" customFormat="1" x14ac:dyDescent="0.25">
      <c r="A353" s="49"/>
      <c r="B353" s="49"/>
      <c r="C353" s="49"/>
      <c r="D353" s="97"/>
      <c r="E353" s="97"/>
      <c r="F353" s="49"/>
      <c r="G353" s="52"/>
      <c r="H353" s="52"/>
      <c r="I353" s="49"/>
      <c r="J353" s="52"/>
      <c r="K353" s="52"/>
      <c r="L353" s="49"/>
    </row>
    <row r="354" spans="1:12" s="372" customFormat="1" x14ac:dyDescent="0.25">
      <c r="A354" s="49"/>
      <c r="B354" s="49"/>
      <c r="C354" s="49"/>
      <c r="D354" s="97"/>
      <c r="E354" s="97"/>
      <c r="F354" s="49"/>
      <c r="G354" s="52"/>
      <c r="H354" s="52"/>
      <c r="I354" s="49"/>
      <c r="J354" s="52"/>
      <c r="K354" s="52"/>
      <c r="L354" s="49"/>
    </row>
    <row r="355" spans="1:12" s="372" customFormat="1" x14ac:dyDescent="0.25">
      <c r="A355" s="49"/>
      <c r="B355" s="49"/>
      <c r="C355" s="49"/>
      <c r="D355" s="97"/>
      <c r="E355" s="97"/>
      <c r="F355" s="49"/>
      <c r="G355" s="52"/>
      <c r="H355" s="52"/>
      <c r="I355" s="49"/>
      <c r="J355" s="52"/>
      <c r="K355" s="52"/>
      <c r="L355" s="49"/>
    </row>
    <row r="356" spans="1:12" s="372" customFormat="1" x14ac:dyDescent="0.25">
      <c r="A356" s="49"/>
      <c r="B356" s="49"/>
      <c r="C356" s="49"/>
      <c r="D356" s="97"/>
      <c r="E356" s="97"/>
      <c r="F356" s="49"/>
      <c r="G356" s="52"/>
      <c r="H356" s="52"/>
      <c r="I356" s="49"/>
      <c r="J356" s="52"/>
      <c r="K356" s="52"/>
      <c r="L356" s="49"/>
    </row>
    <row r="357" spans="1:12" s="372" customFormat="1" x14ac:dyDescent="0.25">
      <c r="A357" s="49"/>
      <c r="B357" s="49"/>
      <c r="C357" s="49"/>
      <c r="D357" s="97"/>
      <c r="E357" s="97"/>
      <c r="F357" s="49"/>
      <c r="G357" s="52"/>
      <c r="H357" s="52"/>
      <c r="I357" s="49"/>
      <c r="J357" s="52"/>
      <c r="K357" s="52"/>
      <c r="L357" s="49"/>
    </row>
    <row r="358" spans="1:12" s="372" customFormat="1" x14ac:dyDescent="0.25">
      <c r="A358" s="49"/>
      <c r="B358" s="49"/>
      <c r="C358" s="49"/>
      <c r="D358" s="97"/>
      <c r="E358" s="97"/>
      <c r="F358" s="49"/>
      <c r="G358" s="52"/>
      <c r="H358" s="52"/>
      <c r="I358" s="49"/>
      <c r="J358" s="52"/>
      <c r="K358" s="52"/>
      <c r="L358" s="49"/>
    </row>
    <row r="359" spans="1:12" s="372" customFormat="1" x14ac:dyDescent="0.25">
      <c r="A359" s="49"/>
      <c r="B359" s="49"/>
      <c r="C359" s="49"/>
      <c r="D359" s="97"/>
      <c r="E359" s="97"/>
      <c r="F359" s="49"/>
      <c r="G359" s="52"/>
      <c r="H359" s="52"/>
      <c r="I359" s="49"/>
      <c r="J359" s="52"/>
      <c r="K359" s="52"/>
      <c r="L359" s="49"/>
    </row>
    <row r="360" spans="1:12" s="372" customFormat="1" x14ac:dyDescent="0.25">
      <c r="A360" s="49"/>
      <c r="B360" s="49"/>
      <c r="C360" s="49"/>
      <c r="D360" s="97"/>
      <c r="E360" s="97"/>
      <c r="F360" s="49"/>
      <c r="G360" s="52"/>
      <c r="H360" s="52"/>
      <c r="I360" s="49"/>
      <c r="J360" s="52"/>
      <c r="K360" s="52"/>
      <c r="L360" s="49"/>
    </row>
    <row r="361" spans="1:12" s="372" customFormat="1" x14ac:dyDescent="0.25">
      <c r="A361" s="49"/>
      <c r="B361" s="49"/>
      <c r="C361" s="49"/>
      <c r="D361" s="97"/>
      <c r="E361" s="97"/>
      <c r="F361" s="49"/>
      <c r="G361" s="52"/>
      <c r="H361" s="52"/>
      <c r="I361" s="49"/>
      <c r="J361" s="52"/>
      <c r="K361" s="52"/>
      <c r="L361" s="49"/>
    </row>
    <row r="362" spans="1:12" s="372" customFormat="1" x14ac:dyDescent="0.25">
      <c r="A362" s="49"/>
      <c r="B362" s="49"/>
      <c r="C362" s="49"/>
      <c r="D362" s="97"/>
      <c r="E362" s="97"/>
      <c r="F362" s="49"/>
      <c r="G362" s="52"/>
      <c r="H362" s="52"/>
      <c r="I362" s="49"/>
      <c r="J362" s="52"/>
      <c r="K362" s="52"/>
      <c r="L362" s="49"/>
    </row>
    <row r="363" spans="1:12" s="372" customFormat="1" x14ac:dyDescent="0.25">
      <c r="A363" s="49"/>
      <c r="B363" s="49"/>
      <c r="C363" s="49"/>
      <c r="D363" s="97"/>
      <c r="E363" s="97"/>
      <c r="F363" s="49"/>
      <c r="G363" s="52"/>
      <c r="H363" s="52"/>
      <c r="I363" s="49"/>
      <c r="J363" s="52"/>
      <c r="K363" s="52"/>
      <c r="L363" s="49"/>
    </row>
    <row r="364" spans="1:12" s="372" customFormat="1" x14ac:dyDescent="0.25">
      <c r="A364" s="49"/>
      <c r="B364" s="49"/>
      <c r="C364" s="49"/>
      <c r="D364" s="97"/>
      <c r="E364" s="97"/>
      <c r="F364" s="49"/>
      <c r="G364" s="52"/>
      <c r="H364" s="52"/>
      <c r="I364" s="49"/>
      <c r="J364" s="52"/>
      <c r="K364" s="52"/>
      <c r="L364" s="49"/>
    </row>
    <row r="365" spans="1:12" s="372" customFormat="1" x14ac:dyDescent="0.25">
      <c r="A365" s="49"/>
      <c r="B365" s="49"/>
      <c r="C365" s="49"/>
      <c r="D365" s="97"/>
      <c r="E365" s="97"/>
      <c r="F365" s="49"/>
      <c r="G365" s="52"/>
      <c r="H365" s="52"/>
      <c r="I365" s="49"/>
      <c r="J365" s="52"/>
      <c r="K365" s="52"/>
      <c r="L365" s="49"/>
    </row>
    <row r="366" spans="1:12" s="372" customFormat="1" x14ac:dyDescent="0.25">
      <c r="A366" s="49"/>
      <c r="B366" s="49"/>
      <c r="C366" s="49"/>
      <c r="D366" s="97"/>
      <c r="E366" s="97"/>
      <c r="F366" s="49"/>
      <c r="G366" s="52"/>
      <c r="H366" s="52"/>
      <c r="I366" s="49"/>
      <c r="J366" s="52"/>
      <c r="K366" s="52"/>
      <c r="L366" s="49"/>
    </row>
    <row r="367" spans="1:12" s="372" customFormat="1" x14ac:dyDescent="0.25">
      <c r="A367" s="49"/>
      <c r="B367" s="49"/>
      <c r="C367" s="49"/>
      <c r="D367" s="97"/>
      <c r="E367" s="97"/>
      <c r="F367" s="49"/>
      <c r="G367" s="52"/>
      <c r="H367" s="52"/>
      <c r="I367" s="49"/>
      <c r="J367" s="52"/>
      <c r="K367" s="52"/>
      <c r="L367" s="49"/>
    </row>
    <row r="368" spans="1:12" s="372" customFormat="1" x14ac:dyDescent="0.25">
      <c r="A368" s="49"/>
      <c r="B368" s="49"/>
      <c r="C368" s="49"/>
      <c r="D368" s="97"/>
      <c r="E368" s="97"/>
      <c r="F368" s="49"/>
      <c r="G368" s="52"/>
      <c r="H368" s="52"/>
      <c r="I368" s="49"/>
      <c r="J368" s="52"/>
      <c r="K368" s="52"/>
      <c r="L368" s="49"/>
    </row>
    <row r="369" spans="1:12" s="372" customFormat="1" x14ac:dyDescent="0.25">
      <c r="A369" s="49"/>
      <c r="B369" s="49"/>
      <c r="C369" s="49"/>
      <c r="D369" s="97"/>
      <c r="E369" s="97"/>
      <c r="F369" s="49"/>
      <c r="G369" s="52"/>
      <c r="H369" s="52"/>
      <c r="I369" s="49"/>
      <c r="J369" s="52"/>
      <c r="K369" s="52"/>
      <c r="L369" s="49"/>
    </row>
    <row r="370" spans="1:12" s="372" customFormat="1" x14ac:dyDescent="0.25">
      <c r="A370" s="49"/>
      <c r="B370" s="49"/>
      <c r="C370" s="49"/>
      <c r="D370" s="97"/>
      <c r="E370" s="97"/>
      <c r="F370" s="49"/>
      <c r="G370" s="52"/>
      <c r="H370" s="52"/>
      <c r="I370" s="49"/>
      <c r="J370" s="52"/>
      <c r="K370" s="52"/>
      <c r="L370" s="49"/>
    </row>
    <row r="371" spans="1:12" s="372" customFormat="1" x14ac:dyDescent="0.25">
      <c r="A371" s="49"/>
      <c r="B371" s="49"/>
      <c r="C371" s="49"/>
      <c r="D371" s="97"/>
      <c r="E371" s="97"/>
      <c r="F371" s="49"/>
      <c r="G371" s="52"/>
      <c r="H371" s="52"/>
      <c r="I371" s="49"/>
      <c r="J371" s="52"/>
      <c r="K371" s="52"/>
      <c r="L371" s="49"/>
    </row>
    <row r="372" spans="1:12" s="372" customFormat="1" x14ac:dyDescent="0.25">
      <c r="A372" s="49"/>
      <c r="B372" s="49"/>
      <c r="C372" s="49"/>
      <c r="D372" s="97"/>
      <c r="E372" s="97"/>
      <c r="F372" s="49"/>
      <c r="G372" s="52"/>
      <c r="H372" s="52"/>
      <c r="I372" s="49"/>
      <c r="J372" s="52"/>
      <c r="K372" s="52"/>
      <c r="L372" s="49"/>
    </row>
    <row r="373" spans="1:12" s="372" customFormat="1" x14ac:dyDescent="0.25">
      <c r="A373" s="49"/>
      <c r="B373" s="49"/>
      <c r="C373" s="49"/>
      <c r="D373" s="97"/>
      <c r="E373" s="97"/>
      <c r="F373" s="49"/>
      <c r="G373" s="52"/>
      <c r="H373" s="52"/>
      <c r="I373" s="49"/>
      <c r="J373" s="52"/>
      <c r="K373" s="52"/>
      <c r="L373" s="49"/>
    </row>
    <row r="374" spans="1:12" s="372" customFormat="1" x14ac:dyDescent="0.25">
      <c r="A374" s="49"/>
      <c r="B374" s="49"/>
      <c r="C374" s="49"/>
      <c r="D374" s="97"/>
      <c r="E374" s="97"/>
      <c r="F374" s="49"/>
      <c r="G374" s="52"/>
      <c r="H374" s="52"/>
      <c r="I374" s="49"/>
      <c r="J374" s="52"/>
      <c r="K374" s="52"/>
      <c r="L374" s="49"/>
    </row>
    <row r="375" spans="1:12" s="372" customFormat="1" x14ac:dyDescent="0.25">
      <c r="A375" s="49"/>
      <c r="B375" s="49"/>
      <c r="C375" s="49"/>
      <c r="D375" s="97"/>
      <c r="E375" s="97"/>
      <c r="F375" s="49"/>
      <c r="G375" s="52"/>
      <c r="H375" s="52"/>
      <c r="I375" s="49"/>
      <c r="J375" s="52"/>
      <c r="K375" s="52"/>
      <c r="L375" s="49"/>
    </row>
    <row r="376" spans="1:12" s="372" customFormat="1" x14ac:dyDescent="0.25">
      <c r="A376" s="49"/>
      <c r="B376" s="49"/>
      <c r="C376" s="49"/>
      <c r="D376" s="97"/>
      <c r="E376" s="97"/>
      <c r="F376" s="49"/>
      <c r="G376" s="52"/>
      <c r="H376" s="52"/>
      <c r="I376" s="49"/>
      <c r="J376" s="52"/>
      <c r="K376" s="52"/>
      <c r="L376" s="49"/>
    </row>
    <row r="377" spans="1:12" s="372" customFormat="1" x14ac:dyDescent="0.25">
      <c r="A377" s="49"/>
      <c r="B377" s="49"/>
      <c r="C377" s="49"/>
      <c r="D377" s="97"/>
      <c r="E377" s="97"/>
      <c r="F377" s="49"/>
      <c r="G377" s="52"/>
      <c r="H377" s="52"/>
      <c r="I377" s="49"/>
      <c r="J377" s="52"/>
      <c r="K377" s="52"/>
      <c r="L377" s="49"/>
    </row>
    <row r="378" spans="1:12" s="372" customFormat="1" x14ac:dyDescent="0.25">
      <c r="A378" s="49"/>
      <c r="B378" s="49"/>
      <c r="C378" s="49"/>
      <c r="D378" s="97"/>
      <c r="E378" s="97"/>
      <c r="F378" s="49"/>
      <c r="G378" s="52"/>
      <c r="H378" s="52"/>
      <c r="I378" s="49"/>
      <c r="J378" s="52"/>
      <c r="K378" s="52"/>
      <c r="L378" s="49"/>
    </row>
    <row r="379" spans="1:12" s="372" customFormat="1" x14ac:dyDescent="0.25">
      <c r="A379" s="49"/>
      <c r="B379" s="49"/>
      <c r="C379" s="49"/>
      <c r="D379" s="97"/>
      <c r="E379" s="97"/>
      <c r="F379" s="49"/>
      <c r="G379" s="52"/>
      <c r="H379" s="52"/>
      <c r="I379" s="49"/>
      <c r="J379" s="52"/>
      <c r="K379" s="52"/>
      <c r="L379" s="49"/>
    </row>
    <row r="380" spans="1:12" s="372" customFormat="1" x14ac:dyDescent="0.25">
      <c r="A380" s="49"/>
      <c r="B380" s="49"/>
      <c r="C380" s="49"/>
      <c r="D380" s="97"/>
      <c r="E380" s="97"/>
      <c r="F380" s="49"/>
      <c r="G380" s="52"/>
      <c r="H380" s="52"/>
      <c r="I380" s="49"/>
      <c r="J380" s="52"/>
      <c r="K380" s="52"/>
      <c r="L380" s="49"/>
    </row>
    <row r="381" spans="1:12" s="372" customFormat="1" x14ac:dyDescent="0.25">
      <c r="A381" s="49"/>
      <c r="B381" s="49"/>
      <c r="C381" s="49"/>
      <c r="D381" s="97"/>
      <c r="E381" s="97"/>
      <c r="F381" s="49"/>
      <c r="G381" s="52"/>
      <c r="H381" s="52"/>
      <c r="I381" s="49"/>
      <c r="J381" s="52"/>
      <c r="K381" s="52"/>
      <c r="L381" s="49"/>
    </row>
    <row r="382" spans="1:12" s="372" customFormat="1" x14ac:dyDescent="0.25">
      <c r="A382" s="49"/>
      <c r="B382" s="49"/>
      <c r="C382" s="49"/>
      <c r="D382" s="97"/>
      <c r="E382" s="97"/>
      <c r="F382" s="49"/>
      <c r="G382" s="52"/>
      <c r="H382" s="52"/>
      <c r="I382" s="49"/>
      <c r="J382" s="52"/>
      <c r="K382" s="52"/>
      <c r="L382" s="49"/>
    </row>
    <row r="383" spans="1:12" s="372" customFormat="1" x14ac:dyDescent="0.25">
      <c r="A383" s="49"/>
      <c r="B383" s="49"/>
      <c r="C383" s="49"/>
      <c r="D383" s="97"/>
      <c r="E383" s="97"/>
      <c r="F383" s="49"/>
      <c r="G383" s="52"/>
      <c r="H383" s="52"/>
      <c r="I383" s="49"/>
      <c r="J383" s="52"/>
      <c r="K383" s="52"/>
      <c r="L383" s="49"/>
    </row>
    <row r="384" spans="1:12" s="372" customFormat="1" x14ac:dyDescent="0.25">
      <c r="A384" s="49"/>
      <c r="B384" s="49"/>
      <c r="C384" s="49"/>
      <c r="D384" s="97"/>
      <c r="E384" s="97"/>
      <c r="F384" s="49"/>
      <c r="G384" s="52"/>
      <c r="H384" s="52"/>
      <c r="I384" s="49"/>
      <c r="J384" s="52"/>
      <c r="K384" s="52"/>
      <c r="L384" s="49"/>
    </row>
    <row r="385" spans="1:12" s="372" customFormat="1" x14ac:dyDescent="0.25">
      <c r="A385" s="49"/>
      <c r="B385" s="49"/>
      <c r="C385" s="49"/>
      <c r="D385" s="97"/>
      <c r="E385" s="97"/>
      <c r="F385" s="49"/>
      <c r="G385" s="52"/>
      <c r="H385" s="52"/>
      <c r="I385" s="49"/>
      <c r="J385" s="52"/>
      <c r="K385" s="52"/>
      <c r="L385" s="49"/>
    </row>
    <row r="386" spans="1:12" s="372" customFormat="1" x14ac:dyDescent="0.25">
      <c r="A386" s="49"/>
      <c r="B386" s="49"/>
      <c r="C386" s="49"/>
      <c r="D386" s="97"/>
      <c r="E386" s="97"/>
      <c r="F386" s="49"/>
      <c r="G386" s="52"/>
      <c r="H386" s="52"/>
      <c r="I386" s="49"/>
      <c r="J386" s="52"/>
      <c r="K386" s="52"/>
      <c r="L386" s="49"/>
    </row>
    <row r="387" spans="1:12" s="372" customFormat="1" x14ac:dyDescent="0.25">
      <c r="A387" s="49"/>
      <c r="B387" s="49"/>
      <c r="C387" s="49"/>
      <c r="D387" s="97"/>
      <c r="E387" s="97"/>
      <c r="F387" s="49"/>
      <c r="G387" s="52"/>
      <c r="H387" s="52"/>
      <c r="I387" s="49"/>
      <c r="J387" s="52"/>
      <c r="K387" s="52"/>
      <c r="L387" s="49"/>
    </row>
    <row r="388" spans="1:12" s="372" customFormat="1" x14ac:dyDescent="0.25">
      <c r="A388" s="49"/>
      <c r="B388" s="49"/>
      <c r="C388" s="49"/>
      <c r="D388" s="97"/>
      <c r="E388" s="97"/>
      <c r="F388" s="49"/>
      <c r="G388" s="52"/>
      <c r="H388" s="52"/>
      <c r="I388" s="49"/>
      <c r="J388" s="52"/>
      <c r="K388" s="52"/>
      <c r="L388" s="49"/>
    </row>
    <row r="389" spans="1:12" s="372" customFormat="1" x14ac:dyDescent="0.25">
      <c r="A389" s="49"/>
      <c r="B389" s="49"/>
      <c r="C389" s="49"/>
      <c r="D389" s="97"/>
      <c r="E389" s="97"/>
      <c r="F389" s="49"/>
      <c r="G389" s="52"/>
      <c r="H389" s="52"/>
      <c r="I389" s="49"/>
      <c r="J389" s="52"/>
      <c r="K389" s="52"/>
      <c r="L389" s="49"/>
    </row>
    <row r="390" spans="1:12" s="372" customFormat="1" x14ac:dyDescent="0.25">
      <c r="A390" s="49"/>
      <c r="B390" s="49"/>
      <c r="C390" s="49"/>
      <c r="D390" s="97"/>
      <c r="E390" s="97"/>
      <c r="F390" s="49"/>
      <c r="G390" s="52"/>
      <c r="H390" s="52"/>
      <c r="I390" s="49"/>
      <c r="J390" s="52"/>
      <c r="K390" s="52"/>
      <c r="L390" s="49"/>
    </row>
    <row r="391" spans="1:12" s="372" customFormat="1" x14ac:dyDescent="0.25">
      <c r="A391" s="49"/>
      <c r="B391" s="49"/>
      <c r="C391" s="49"/>
      <c r="D391" s="97"/>
      <c r="E391" s="97"/>
      <c r="F391" s="49"/>
      <c r="G391" s="52"/>
      <c r="H391" s="52"/>
      <c r="I391" s="49"/>
      <c r="J391" s="52"/>
      <c r="K391" s="52"/>
      <c r="L391" s="49"/>
    </row>
    <row r="392" spans="1:12" s="372" customFormat="1" x14ac:dyDescent="0.25">
      <c r="A392" s="49"/>
      <c r="B392" s="49"/>
      <c r="C392" s="49"/>
      <c r="D392" s="97"/>
      <c r="E392" s="97"/>
      <c r="F392" s="49"/>
      <c r="G392" s="52"/>
      <c r="H392" s="52"/>
      <c r="I392" s="49"/>
      <c r="J392" s="52"/>
      <c r="K392" s="52"/>
      <c r="L392" s="49"/>
    </row>
    <row r="393" spans="1:12" s="372" customFormat="1" x14ac:dyDescent="0.25">
      <c r="A393" s="49"/>
      <c r="B393" s="49"/>
      <c r="C393" s="49"/>
      <c r="D393" s="97"/>
      <c r="E393" s="97"/>
      <c r="F393" s="49"/>
      <c r="G393" s="52"/>
      <c r="H393" s="52"/>
      <c r="I393" s="49"/>
      <c r="J393" s="52"/>
      <c r="K393" s="52"/>
      <c r="L393" s="49"/>
    </row>
    <row r="394" spans="1:12" s="372" customFormat="1" x14ac:dyDescent="0.25">
      <c r="A394" s="49"/>
      <c r="B394" s="49"/>
      <c r="C394" s="49"/>
      <c r="D394" s="97"/>
      <c r="E394" s="97"/>
      <c r="F394" s="49"/>
      <c r="G394" s="52"/>
      <c r="H394" s="52"/>
      <c r="I394" s="49"/>
      <c r="J394" s="52"/>
      <c r="K394" s="52"/>
      <c r="L394" s="49"/>
    </row>
    <row r="395" spans="1:12" s="372" customFormat="1" x14ac:dyDescent="0.25">
      <c r="A395" s="49"/>
      <c r="B395" s="49"/>
      <c r="C395" s="49"/>
      <c r="D395" s="97"/>
      <c r="E395" s="97"/>
      <c r="F395" s="49"/>
      <c r="G395" s="52"/>
      <c r="H395" s="52"/>
      <c r="I395" s="49"/>
      <c r="J395" s="52"/>
      <c r="K395" s="52"/>
      <c r="L395" s="49"/>
    </row>
    <row r="396" spans="1:12" s="372" customFormat="1" x14ac:dyDescent="0.25">
      <c r="A396" s="49"/>
      <c r="B396" s="49"/>
      <c r="C396" s="49"/>
      <c r="D396" s="97"/>
      <c r="E396" s="97"/>
      <c r="F396" s="49"/>
      <c r="G396" s="52"/>
      <c r="H396" s="52"/>
      <c r="I396" s="49"/>
      <c r="J396" s="52"/>
      <c r="K396" s="52"/>
      <c r="L396" s="49"/>
    </row>
    <row r="397" spans="1:12" s="372" customFormat="1" x14ac:dyDescent="0.25">
      <c r="A397" s="49"/>
      <c r="B397" s="49"/>
      <c r="C397" s="49"/>
      <c r="D397" s="97"/>
      <c r="E397" s="97"/>
      <c r="F397" s="49"/>
      <c r="G397" s="52"/>
      <c r="H397" s="52"/>
      <c r="I397" s="49"/>
      <c r="J397" s="52"/>
      <c r="K397" s="52"/>
      <c r="L397" s="49"/>
    </row>
    <row r="398" spans="1:12" s="372" customFormat="1" x14ac:dyDescent="0.25">
      <c r="A398" s="49"/>
      <c r="B398" s="49"/>
      <c r="C398" s="49"/>
      <c r="D398" s="97"/>
      <c r="E398" s="97"/>
      <c r="F398" s="49"/>
      <c r="G398" s="52"/>
      <c r="H398" s="52"/>
      <c r="I398" s="49"/>
      <c r="J398" s="52"/>
      <c r="K398" s="52"/>
      <c r="L398" s="49"/>
    </row>
    <row r="399" spans="1:12" s="372" customFormat="1" x14ac:dyDescent="0.25">
      <c r="A399" s="49"/>
      <c r="B399" s="49"/>
      <c r="C399" s="49"/>
      <c r="D399" s="97"/>
      <c r="E399" s="97"/>
      <c r="F399" s="49"/>
      <c r="G399" s="52"/>
      <c r="H399" s="52"/>
      <c r="I399" s="49"/>
      <c r="J399" s="52"/>
      <c r="K399" s="52"/>
      <c r="L399" s="49"/>
    </row>
    <row r="400" spans="1:12" s="372" customFormat="1" x14ac:dyDescent="0.25">
      <c r="A400" s="49"/>
      <c r="B400" s="49"/>
      <c r="C400" s="49"/>
      <c r="D400" s="97"/>
      <c r="E400" s="97"/>
      <c r="F400" s="49"/>
      <c r="G400" s="52"/>
      <c r="H400" s="52"/>
      <c r="I400" s="49"/>
      <c r="J400" s="52"/>
      <c r="K400" s="52"/>
      <c r="L400" s="49"/>
    </row>
    <row r="401" spans="1:12" s="372" customFormat="1" x14ac:dyDescent="0.25">
      <c r="A401" s="49"/>
      <c r="B401" s="49"/>
      <c r="C401" s="49"/>
      <c r="D401" s="97"/>
      <c r="E401" s="97"/>
      <c r="F401" s="49"/>
      <c r="G401" s="52"/>
      <c r="H401" s="52"/>
      <c r="I401" s="49"/>
      <c r="J401" s="52"/>
      <c r="K401" s="52"/>
      <c r="L401" s="49"/>
    </row>
    <row r="402" spans="1:12" s="372" customFormat="1" x14ac:dyDescent="0.25">
      <c r="A402" s="49"/>
      <c r="B402" s="49"/>
      <c r="C402" s="49"/>
      <c r="D402" s="97"/>
      <c r="E402" s="97"/>
      <c r="F402" s="49"/>
      <c r="G402" s="52"/>
      <c r="H402" s="52"/>
      <c r="I402" s="49"/>
      <c r="J402" s="52"/>
      <c r="K402" s="52"/>
      <c r="L402" s="49"/>
    </row>
    <row r="403" spans="1:12" s="372" customFormat="1" x14ac:dyDescent="0.25">
      <c r="A403" s="49"/>
      <c r="B403" s="49"/>
      <c r="C403" s="49"/>
      <c r="D403" s="97"/>
      <c r="E403" s="97"/>
      <c r="F403" s="49"/>
      <c r="G403" s="52"/>
      <c r="H403" s="52"/>
      <c r="I403" s="49"/>
      <c r="J403" s="52"/>
      <c r="K403" s="52"/>
      <c r="L403" s="49"/>
    </row>
    <row r="404" spans="1:12" s="372" customFormat="1" x14ac:dyDescent="0.25">
      <c r="A404" s="49"/>
      <c r="B404" s="49"/>
      <c r="C404" s="49"/>
      <c r="D404" s="97"/>
      <c r="E404" s="97"/>
      <c r="F404" s="49"/>
      <c r="G404" s="52"/>
      <c r="H404" s="52"/>
      <c r="I404" s="49"/>
      <c r="J404" s="52"/>
      <c r="K404" s="52"/>
      <c r="L404" s="49"/>
    </row>
    <row r="405" spans="1:12" s="372" customFormat="1" x14ac:dyDescent="0.25">
      <c r="A405" s="49"/>
      <c r="B405" s="49"/>
      <c r="C405" s="49"/>
      <c r="D405" s="97"/>
      <c r="E405" s="97"/>
      <c r="F405" s="49"/>
      <c r="G405" s="52"/>
      <c r="H405" s="52"/>
      <c r="I405" s="49"/>
      <c r="J405" s="52"/>
      <c r="K405" s="52"/>
      <c r="L405" s="49"/>
    </row>
    <row r="406" spans="1:12" s="372" customFormat="1" x14ac:dyDescent="0.25">
      <c r="A406" s="49"/>
      <c r="B406" s="49"/>
      <c r="C406" s="49"/>
      <c r="D406" s="97"/>
      <c r="E406" s="97"/>
      <c r="F406" s="49"/>
      <c r="G406" s="52"/>
      <c r="H406" s="52"/>
      <c r="I406" s="49"/>
      <c r="J406" s="52"/>
      <c r="K406" s="52"/>
      <c r="L406" s="49"/>
    </row>
    <row r="407" spans="1:12" s="372" customFormat="1" x14ac:dyDescent="0.25">
      <c r="A407" s="49"/>
      <c r="B407" s="49"/>
      <c r="C407" s="49"/>
      <c r="D407" s="97"/>
      <c r="E407" s="97"/>
      <c r="F407" s="49"/>
      <c r="G407" s="52"/>
      <c r="H407" s="52"/>
      <c r="I407" s="49"/>
      <c r="J407" s="52"/>
      <c r="K407" s="52"/>
      <c r="L407" s="49"/>
    </row>
    <row r="408" spans="1:12" s="372" customFormat="1" x14ac:dyDescent="0.25">
      <c r="A408" s="49"/>
      <c r="B408" s="49"/>
      <c r="C408" s="49"/>
      <c r="D408" s="97"/>
      <c r="E408" s="97"/>
      <c r="F408" s="49"/>
      <c r="G408" s="52"/>
      <c r="H408" s="52"/>
      <c r="I408" s="49"/>
      <c r="J408" s="52"/>
      <c r="K408" s="52"/>
      <c r="L408" s="49"/>
    </row>
    <row r="409" spans="1:12" s="372" customFormat="1" x14ac:dyDescent="0.25">
      <c r="A409" s="49"/>
      <c r="B409" s="49"/>
      <c r="C409" s="49"/>
      <c r="D409" s="97"/>
      <c r="E409" s="97"/>
      <c r="F409" s="49"/>
      <c r="G409" s="52"/>
      <c r="H409" s="52"/>
      <c r="I409" s="49"/>
      <c r="J409" s="52"/>
      <c r="K409" s="52"/>
      <c r="L409" s="49"/>
    </row>
    <row r="410" spans="1:12" s="372" customFormat="1" x14ac:dyDescent="0.25">
      <c r="A410" s="49"/>
      <c r="B410" s="49"/>
      <c r="C410" s="49"/>
      <c r="D410" s="97"/>
      <c r="E410" s="97"/>
      <c r="F410" s="49"/>
      <c r="G410" s="52"/>
      <c r="H410" s="52"/>
      <c r="I410" s="49"/>
      <c r="J410" s="52"/>
      <c r="K410" s="52"/>
      <c r="L410" s="49"/>
    </row>
    <row r="411" spans="1:12" s="372" customFormat="1" x14ac:dyDescent="0.25">
      <c r="A411" s="49"/>
      <c r="B411" s="49"/>
      <c r="C411" s="49"/>
      <c r="D411" s="97"/>
      <c r="E411" s="97"/>
      <c r="F411" s="49"/>
      <c r="G411" s="52"/>
      <c r="H411" s="52"/>
      <c r="I411" s="49"/>
      <c r="J411" s="52"/>
      <c r="K411" s="52"/>
      <c r="L411" s="49"/>
    </row>
    <row r="412" spans="1:12" s="372" customFormat="1" x14ac:dyDescent="0.25">
      <c r="A412" s="49"/>
      <c r="B412" s="49"/>
      <c r="C412" s="49"/>
      <c r="D412" s="97"/>
      <c r="E412" s="97"/>
      <c r="F412" s="49"/>
      <c r="G412" s="52"/>
      <c r="H412" s="52"/>
      <c r="I412" s="49"/>
      <c r="J412" s="52"/>
      <c r="K412" s="52"/>
      <c r="L412" s="49"/>
    </row>
    <row r="413" spans="1:12" s="372" customFormat="1" x14ac:dyDescent="0.25">
      <c r="A413" s="49"/>
      <c r="B413" s="49"/>
      <c r="C413" s="49"/>
      <c r="D413" s="97"/>
      <c r="E413" s="97"/>
      <c r="F413" s="49"/>
      <c r="G413" s="52"/>
      <c r="H413" s="52"/>
      <c r="I413" s="49"/>
      <c r="J413" s="52"/>
      <c r="K413" s="52"/>
      <c r="L413" s="49"/>
    </row>
    <row r="414" spans="1:12" s="372" customFormat="1" x14ac:dyDescent="0.25">
      <c r="A414" s="49"/>
      <c r="B414" s="49"/>
      <c r="C414" s="49"/>
      <c r="D414" s="97"/>
      <c r="E414" s="97"/>
      <c r="F414" s="49"/>
      <c r="G414" s="52"/>
      <c r="H414" s="52"/>
      <c r="I414" s="49"/>
      <c r="J414" s="52"/>
      <c r="K414" s="52"/>
      <c r="L414" s="49"/>
    </row>
    <row r="415" spans="1:12" s="372" customFormat="1" x14ac:dyDescent="0.25">
      <c r="A415" s="49"/>
      <c r="B415" s="49"/>
      <c r="C415" s="49"/>
      <c r="D415" s="97"/>
      <c r="E415" s="97"/>
      <c r="F415" s="49"/>
      <c r="G415" s="52"/>
      <c r="H415" s="52"/>
      <c r="I415" s="49"/>
      <c r="J415" s="52"/>
      <c r="K415" s="52"/>
      <c r="L415" s="49"/>
    </row>
    <row r="416" spans="1:12" s="372" customFormat="1" x14ac:dyDescent="0.25">
      <c r="A416" s="49"/>
      <c r="B416" s="49"/>
      <c r="C416" s="49"/>
      <c r="D416" s="97"/>
      <c r="E416" s="97"/>
      <c r="F416" s="49"/>
      <c r="G416" s="52"/>
      <c r="H416" s="52"/>
      <c r="I416" s="49"/>
      <c r="J416" s="52"/>
      <c r="K416" s="52"/>
      <c r="L416" s="49"/>
    </row>
    <row r="417" spans="1:12" s="372" customFormat="1" x14ac:dyDescent="0.25">
      <c r="A417" s="49"/>
      <c r="B417" s="49"/>
      <c r="C417" s="49"/>
      <c r="D417" s="97"/>
      <c r="E417" s="97"/>
      <c r="F417" s="49"/>
      <c r="G417" s="52"/>
      <c r="H417" s="52"/>
      <c r="I417" s="49"/>
      <c r="J417" s="52"/>
      <c r="K417" s="52"/>
      <c r="L417" s="49"/>
    </row>
    <row r="418" spans="1:12" s="372" customFormat="1" x14ac:dyDescent="0.25">
      <c r="A418" s="49"/>
      <c r="B418" s="49"/>
      <c r="C418" s="49"/>
      <c r="D418" s="97"/>
      <c r="E418" s="97"/>
      <c r="F418" s="49"/>
      <c r="G418" s="52"/>
      <c r="H418" s="52"/>
      <c r="I418" s="49"/>
      <c r="J418" s="52"/>
      <c r="K418" s="52"/>
      <c r="L418" s="49"/>
    </row>
    <row r="419" spans="1:12" s="372" customFormat="1" x14ac:dyDescent="0.25">
      <c r="A419" s="49"/>
      <c r="B419" s="49"/>
      <c r="C419" s="49"/>
      <c r="D419" s="97"/>
      <c r="E419" s="97"/>
      <c r="F419" s="49"/>
      <c r="G419" s="52"/>
      <c r="H419" s="52"/>
      <c r="I419" s="49"/>
      <c r="J419" s="52"/>
      <c r="K419" s="52"/>
      <c r="L419" s="49"/>
    </row>
    <row r="420" spans="1:12" s="372" customFormat="1" x14ac:dyDescent="0.25">
      <c r="A420" s="49"/>
      <c r="B420" s="49"/>
      <c r="C420" s="49"/>
      <c r="D420" s="97"/>
      <c r="E420" s="97"/>
      <c r="F420" s="49"/>
      <c r="G420" s="52"/>
      <c r="H420" s="52"/>
      <c r="I420" s="49"/>
      <c r="J420" s="52"/>
      <c r="K420" s="52"/>
      <c r="L420" s="49"/>
    </row>
    <row r="421" spans="1:12" s="372" customFormat="1" x14ac:dyDescent="0.25">
      <c r="A421" s="49"/>
      <c r="B421" s="49"/>
      <c r="C421" s="49"/>
      <c r="D421" s="97"/>
      <c r="E421" s="97"/>
      <c r="F421" s="49"/>
      <c r="G421" s="52"/>
      <c r="H421" s="52"/>
      <c r="I421" s="49"/>
      <c r="J421" s="52"/>
      <c r="K421" s="52"/>
      <c r="L421" s="49"/>
    </row>
    <row r="422" spans="1:12" s="372" customFormat="1" x14ac:dyDescent="0.25">
      <c r="A422" s="49"/>
      <c r="B422" s="49"/>
      <c r="C422" s="49"/>
      <c r="D422" s="97"/>
      <c r="E422" s="97"/>
      <c r="F422" s="49"/>
      <c r="G422" s="52"/>
      <c r="H422" s="52"/>
      <c r="I422" s="49"/>
      <c r="J422" s="52"/>
      <c r="K422" s="52"/>
      <c r="L422" s="49"/>
    </row>
    <row r="423" spans="1:12" s="372" customFormat="1" x14ac:dyDescent="0.25">
      <c r="A423" s="49"/>
      <c r="B423" s="49"/>
      <c r="C423" s="49"/>
      <c r="D423" s="97"/>
      <c r="E423" s="97"/>
      <c r="F423" s="49"/>
      <c r="G423" s="52"/>
      <c r="H423" s="52"/>
      <c r="I423" s="49"/>
      <c r="J423" s="52"/>
      <c r="K423" s="52"/>
      <c r="L423" s="49"/>
    </row>
    <row r="424" spans="1:12" s="372" customFormat="1" x14ac:dyDescent="0.25">
      <c r="A424" s="49"/>
      <c r="B424" s="49"/>
      <c r="C424" s="49"/>
      <c r="D424" s="97"/>
      <c r="E424" s="97"/>
      <c r="F424" s="49"/>
      <c r="G424" s="52"/>
      <c r="H424" s="52"/>
      <c r="I424" s="49"/>
      <c r="J424" s="52"/>
      <c r="K424" s="52"/>
      <c r="L424" s="49"/>
    </row>
    <row r="425" spans="1:12" s="372" customFormat="1" x14ac:dyDescent="0.25">
      <c r="A425" s="49"/>
      <c r="B425" s="49"/>
      <c r="C425" s="49"/>
      <c r="D425" s="97"/>
      <c r="E425" s="97"/>
      <c r="F425" s="49"/>
      <c r="G425" s="52"/>
      <c r="H425" s="52"/>
      <c r="I425" s="49"/>
      <c r="J425" s="52"/>
      <c r="K425" s="52"/>
      <c r="L425" s="49"/>
    </row>
    <row r="426" spans="1:12" s="372" customFormat="1" x14ac:dyDescent="0.25">
      <c r="A426" s="49"/>
      <c r="B426" s="49"/>
      <c r="C426" s="49"/>
      <c r="D426" s="97"/>
      <c r="E426" s="97"/>
      <c r="F426" s="49"/>
      <c r="G426" s="52"/>
      <c r="H426" s="52"/>
      <c r="I426" s="49"/>
      <c r="J426" s="52"/>
      <c r="K426" s="52"/>
      <c r="L426" s="49"/>
    </row>
    <row r="427" spans="1:12" s="372" customFormat="1" x14ac:dyDescent="0.25">
      <c r="A427" s="49"/>
      <c r="B427" s="49"/>
      <c r="C427" s="49"/>
      <c r="D427" s="97"/>
      <c r="E427" s="97"/>
      <c r="F427" s="49"/>
      <c r="G427" s="52"/>
      <c r="H427" s="52"/>
      <c r="I427" s="49"/>
      <c r="J427" s="52"/>
      <c r="K427" s="52"/>
      <c r="L427" s="49"/>
    </row>
    <row r="428" spans="1:12" s="372" customFormat="1" x14ac:dyDescent="0.25">
      <c r="A428" s="49"/>
      <c r="B428" s="49"/>
      <c r="C428" s="49"/>
      <c r="D428" s="97"/>
      <c r="E428" s="97"/>
      <c r="F428" s="49"/>
      <c r="G428" s="52"/>
      <c r="H428" s="52"/>
      <c r="I428" s="49"/>
      <c r="J428" s="52"/>
      <c r="K428" s="52"/>
      <c r="L428" s="49"/>
    </row>
    <row r="429" spans="1:12" s="372" customFormat="1" x14ac:dyDescent="0.25">
      <c r="A429" s="49"/>
      <c r="B429" s="49"/>
      <c r="C429" s="49"/>
      <c r="D429" s="97"/>
      <c r="E429" s="97"/>
      <c r="F429" s="49"/>
      <c r="G429" s="52"/>
      <c r="H429" s="52"/>
      <c r="I429" s="49"/>
      <c r="J429" s="52"/>
      <c r="K429" s="52"/>
      <c r="L429" s="49"/>
    </row>
    <row r="430" spans="1:12" s="372" customFormat="1" x14ac:dyDescent="0.25">
      <c r="A430" s="49"/>
      <c r="B430" s="49"/>
      <c r="C430" s="49"/>
      <c r="D430" s="97"/>
      <c r="E430" s="97"/>
      <c r="F430" s="49"/>
      <c r="G430" s="52"/>
      <c r="H430" s="52"/>
      <c r="I430" s="49"/>
      <c r="J430" s="52"/>
      <c r="K430" s="52"/>
      <c r="L430" s="49"/>
    </row>
    <row r="431" spans="1:12" s="372" customFormat="1" x14ac:dyDescent="0.25">
      <c r="A431" s="49"/>
      <c r="B431" s="49"/>
      <c r="C431" s="49"/>
      <c r="D431" s="97"/>
      <c r="E431" s="97"/>
      <c r="F431" s="49"/>
      <c r="G431" s="52"/>
      <c r="H431" s="52"/>
      <c r="I431" s="49"/>
      <c r="J431" s="52"/>
      <c r="K431" s="52"/>
      <c r="L431" s="49"/>
    </row>
    <row r="432" spans="1:12" s="372" customFormat="1" x14ac:dyDescent="0.25">
      <c r="A432" s="49"/>
      <c r="B432" s="49"/>
      <c r="C432" s="49"/>
      <c r="D432" s="97"/>
      <c r="E432" s="97"/>
      <c r="F432" s="49"/>
      <c r="G432" s="52"/>
      <c r="H432" s="52"/>
      <c r="I432" s="49"/>
      <c r="J432" s="52"/>
      <c r="K432" s="52"/>
      <c r="L432" s="49"/>
    </row>
    <row r="433" spans="1:12" s="372" customFormat="1" x14ac:dyDescent="0.25">
      <c r="A433" s="49"/>
      <c r="B433" s="49"/>
      <c r="C433" s="49"/>
      <c r="D433" s="97"/>
      <c r="E433" s="97"/>
      <c r="F433" s="49"/>
      <c r="G433" s="52"/>
      <c r="H433" s="52"/>
      <c r="I433" s="49"/>
      <c r="J433" s="52"/>
      <c r="K433" s="52"/>
      <c r="L433" s="49"/>
    </row>
    <row r="434" spans="1:12" s="372" customFormat="1" x14ac:dyDescent="0.25">
      <c r="A434" s="49"/>
      <c r="B434" s="49"/>
      <c r="C434" s="49"/>
      <c r="D434" s="97"/>
      <c r="E434" s="97"/>
      <c r="F434" s="49"/>
      <c r="G434" s="52"/>
      <c r="H434" s="52"/>
      <c r="I434" s="49"/>
      <c r="J434" s="52"/>
      <c r="K434" s="52"/>
      <c r="L434" s="49"/>
    </row>
    <row r="435" spans="1:12" s="372" customFormat="1" x14ac:dyDescent="0.25">
      <c r="A435" s="49"/>
      <c r="B435" s="49"/>
      <c r="C435" s="49"/>
      <c r="D435" s="97"/>
      <c r="E435" s="97"/>
      <c r="F435" s="49"/>
      <c r="G435" s="52"/>
      <c r="H435" s="52"/>
      <c r="I435" s="49"/>
      <c r="J435" s="52"/>
      <c r="K435" s="52"/>
      <c r="L435" s="49"/>
    </row>
    <row r="436" spans="1:12" s="372" customFormat="1" x14ac:dyDescent="0.25">
      <c r="A436" s="49"/>
      <c r="B436" s="49"/>
      <c r="C436" s="49"/>
      <c r="D436" s="97"/>
      <c r="E436" s="97"/>
      <c r="F436" s="49"/>
      <c r="G436" s="52"/>
      <c r="H436" s="52"/>
      <c r="I436" s="49"/>
      <c r="J436" s="52"/>
      <c r="K436" s="52"/>
      <c r="L436" s="49"/>
    </row>
    <row r="437" spans="1:12" s="372" customFormat="1" x14ac:dyDescent="0.25">
      <c r="A437" s="49"/>
      <c r="B437" s="49"/>
      <c r="C437" s="49"/>
      <c r="D437" s="97"/>
      <c r="E437" s="97"/>
      <c r="F437" s="49"/>
      <c r="G437" s="52"/>
      <c r="H437" s="52"/>
      <c r="I437" s="49"/>
      <c r="J437" s="52"/>
      <c r="K437" s="52"/>
      <c r="L437" s="49"/>
    </row>
    <row r="438" spans="1:12" s="372" customFormat="1" x14ac:dyDescent="0.25">
      <c r="A438" s="49"/>
      <c r="B438" s="49"/>
      <c r="C438" s="49"/>
      <c r="D438" s="97"/>
      <c r="E438" s="97"/>
      <c r="F438" s="49"/>
      <c r="G438" s="52"/>
      <c r="H438" s="52"/>
      <c r="I438" s="49"/>
      <c r="J438" s="52"/>
      <c r="K438" s="52"/>
      <c r="L438" s="49"/>
    </row>
    <row r="439" spans="1:12" s="372" customFormat="1" x14ac:dyDescent="0.25">
      <c r="A439" s="49"/>
      <c r="B439" s="49"/>
      <c r="C439" s="49"/>
      <c r="D439" s="97"/>
      <c r="E439" s="97"/>
      <c r="F439" s="49"/>
      <c r="G439" s="52"/>
      <c r="H439" s="52"/>
      <c r="I439" s="49"/>
      <c r="J439" s="52"/>
      <c r="K439" s="52"/>
      <c r="L439" s="49"/>
    </row>
    <row r="440" spans="1:12" s="372" customFormat="1" x14ac:dyDescent="0.25">
      <c r="A440" s="49"/>
      <c r="B440" s="49"/>
      <c r="C440" s="49"/>
      <c r="D440" s="97"/>
      <c r="E440" s="97"/>
      <c r="F440" s="49"/>
      <c r="G440" s="52"/>
      <c r="H440" s="52"/>
      <c r="I440" s="49"/>
      <c r="J440" s="52"/>
      <c r="K440" s="52"/>
      <c r="L440" s="49"/>
    </row>
    <row r="441" spans="1:12" s="372" customFormat="1" x14ac:dyDescent="0.25">
      <c r="A441" s="49"/>
      <c r="B441" s="49"/>
      <c r="C441" s="49"/>
      <c r="D441" s="97"/>
      <c r="E441" s="97"/>
      <c r="F441" s="49"/>
      <c r="G441" s="52"/>
      <c r="H441" s="52"/>
      <c r="I441" s="49"/>
      <c r="J441" s="52"/>
      <c r="K441" s="52"/>
      <c r="L441" s="49"/>
    </row>
    <row r="442" spans="1:12" s="372" customFormat="1" x14ac:dyDescent="0.25">
      <c r="A442" s="49"/>
      <c r="B442" s="49"/>
      <c r="C442" s="49"/>
      <c r="D442" s="97"/>
      <c r="E442" s="97"/>
      <c r="F442" s="49"/>
      <c r="G442" s="52"/>
      <c r="H442" s="52"/>
      <c r="I442" s="49"/>
      <c r="J442" s="52"/>
      <c r="K442" s="52"/>
      <c r="L442" s="49"/>
    </row>
    <row r="443" spans="1:12" s="372" customFormat="1" x14ac:dyDescent="0.25">
      <c r="A443" s="49"/>
      <c r="B443" s="49"/>
      <c r="C443" s="49"/>
      <c r="D443" s="97"/>
      <c r="E443" s="97"/>
      <c r="F443" s="49"/>
      <c r="G443" s="52"/>
      <c r="H443" s="52"/>
      <c r="I443" s="49"/>
      <c r="J443" s="52"/>
      <c r="K443" s="52"/>
      <c r="L443" s="49"/>
    </row>
    <row r="444" spans="1:12" s="372" customFormat="1" x14ac:dyDescent="0.25">
      <c r="A444" s="49"/>
      <c r="B444" s="49"/>
      <c r="C444" s="49"/>
      <c r="D444" s="97"/>
      <c r="E444" s="97"/>
      <c r="F444" s="49"/>
      <c r="G444" s="52"/>
      <c r="H444" s="52"/>
      <c r="I444" s="49"/>
      <c r="J444" s="52"/>
      <c r="K444" s="52"/>
      <c r="L444" s="49"/>
    </row>
    <row r="445" spans="1:12" s="372" customFormat="1" x14ac:dyDescent="0.25">
      <c r="A445" s="49"/>
      <c r="B445" s="49"/>
      <c r="C445" s="49"/>
      <c r="D445" s="97"/>
      <c r="E445" s="97"/>
      <c r="F445" s="49"/>
      <c r="G445" s="52"/>
      <c r="H445" s="52"/>
      <c r="I445" s="49"/>
      <c r="J445" s="52"/>
      <c r="K445" s="52"/>
      <c r="L445" s="49"/>
    </row>
    <row r="446" spans="1:12" s="372" customFormat="1" x14ac:dyDescent="0.25">
      <c r="A446" s="49"/>
      <c r="B446" s="49"/>
      <c r="C446" s="49"/>
      <c r="D446" s="97"/>
      <c r="E446" s="97"/>
      <c r="F446" s="49"/>
      <c r="G446" s="52"/>
      <c r="H446" s="52"/>
      <c r="I446" s="49"/>
      <c r="J446" s="52"/>
      <c r="K446" s="52"/>
      <c r="L446" s="49"/>
    </row>
    <row r="447" spans="1:12" s="372" customFormat="1" x14ac:dyDescent="0.25">
      <c r="A447" s="49"/>
      <c r="B447" s="49"/>
      <c r="C447" s="49"/>
      <c r="D447" s="97"/>
      <c r="E447" s="97"/>
      <c r="F447" s="49"/>
      <c r="G447" s="52"/>
      <c r="H447" s="52"/>
      <c r="I447" s="49"/>
      <c r="J447" s="52"/>
      <c r="K447" s="52"/>
      <c r="L447" s="49"/>
    </row>
    <row r="448" spans="1:12" s="372" customFormat="1" x14ac:dyDescent="0.25">
      <c r="A448" s="49"/>
      <c r="B448" s="49"/>
      <c r="C448" s="49"/>
      <c r="D448" s="97"/>
      <c r="E448" s="97"/>
      <c r="F448" s="49"/>
      <c r="G448" s="52"/>
      <c r="H448" s="52"/>
      <c r="I448" s="49"/>
      <c r="J448" s="52"/>
      <c r="K448" s="52"/>
      <c r="L448" s="49"/>
    </row>
    <row r="449" spans="1:12" s="372" customFormat="1" x14ac:dyDescent="0.25">
      <c r="A449" s="49"/>
      <c r="B449" s="49"/>
      <c r="C449" s="49"/>
      <c r="D449" s="97"/>
      <c r="E449" s="97"/>
      <c r="F449" s="49"/>
      <c r="G449" s="52"/>
      <c r="H449" s="52"/>
      <c r="I449" s="49"/>
      <c r="J449" s="52"/>
      <c r="K449" s="52"/>
      <c r="L449" s="49"/>
    </row>
    <row r="450" spans="1:12" s="372" customFormat="1" x14ac:dyDescent="0.25">
      <c r="A450" s="49"/>
      <c r="B450" s="49"/>
      <c r="C450" s="49"/>
      <c r="D450" s="97"/>
      <c r="E450" s="97"/>
      <c r="F450" s="49"/>
      <c r="G450" s="52"/>
      <c r="H450" s="52"/>
      <c r="I450" s="49"/>
      <c r="J450" s="52"/>
      <c r="K450" s="52"/>
      <c r="L450" s="49"/>
    </row>
    <row r="451" spans="1:12" s="372" customFormat="1" x14ac:dyDescent="0.25">
      <c r="A451" s="49"/>
      <c r="B451" s="49"/>
      <c r="C451" s="49"/>
      <c r="D451" s="97"/>
      <c r="E451" s="97"/>
      <c r="F451" s="49"/>
      <c r="G451" s="52"/>
      <c r="H451" s="52"/>
      <c r="I451" s="49"/>
      <c r="J451" s="52"/>
      <c r="K451" s="52"/>
      <c r="L451" s="49"/>
    </row>
    <row r="452" spans="1:12" s="372" customFormat="1" x14ac:dyDescent="0.25">
      <c r="A452" s="49"/>
      <c r="B452" s="49"/>
      <c r="C452" s="49"/>
      <c r="D452" s="97"/>
      <c r="E452" s="97"/>
      <c r="F452" s="49"/>
      <c r="G452" s="52"/>
      <c r="H452" s="52"/>
      <c r="I452" s="49"/>
      <c r="J452" s="52"/>
      <c r="K452" s="52"/>
      <c r="L452" s="49"/>
    </row>
    <row r="453" spans="1:12" s="372" customFormat="1" x14ac:dyDescent="0.25">
      <c r="A453" s="49"/>
      <c r="B453" s="49"/>
      <c r="C453" s="49"/>
      <c r="D453" s="97"/>
      <c r="E453" s="97"/>
      <c r="F453" s="49"/>
      <c r="G453" s="52"/>
      <c r="H453" s="52"/>
      <c r="I453" s="49"/>
      <c r="J453" s="52"/>
      <c r="K453" s="52"/>
      <c r="L453" s="49"/>
    </row>
    <row r="454" spans="1:12" s="372" customFormat="1" x14ac:dyDescent="0.25">
      <c r="A454" s="49"/>
      <c r="B454" s="49"/>
      <c r="C454" s="49"/>
      <c r="D454" s="97"/>
      <c r="E454" s="97"/>
      <c r="F454" s="49"/>
      <c r="G454" s="52"/>
      <c r="H454" s="52"/>
      <c r="I454" s="49"/>
      <c r="J454" s="52"/>
      <c r="K454" s="52"/>
      <c r="L454" s="49"/>
    </row>
    <row r="455" spans="1:12" s="372" customFormat="1" x14ac:dyDescent="0.25">
      <c r="A455" s="49"/>
      <c r="B455" s="49"/>
      <c r="C455" s="49"/>
      <c r="D455" s="97"/>
      <c r="E455" s="97"/>
      <c r="F455" s="49"/>
      <c r="G455" s="52"/>
      <c r="H455" s="52"/>
      <c r="I455" s="49"/>
      <c r="J455" s="52"/>
      <c r="K455" s="52"/>
      <c r="L455" s="49"/>
    </row>
    <row r="456" spans="1:12" s="372" customFormat="1" x14ac:dyDescent="0.25">
      <c r="A456" s="49"/>
      <c r="B456" s="49"/>
      <c r="C456" s="49"/>
      <c r="D456" s="97"/>
      <c r="E456" s="97"/>
      <c r="F456" s="49"/>
      <c r="G456" s="52"/>
      <c r="H456" s="52"/>
      <c r="I456" s="49"/>
      <c r="J456" s="52"/>
      <c r="K456" s="52"/>
      <c r="L456" s="49"/>
    </row>
    <row r="457" spans="1:12" s="372" customFormat="1" x14ac:dyDescent="0.25">
      <c r="A457" s="49"/>
      <c r="B457" s="49"/>
      <c r="C457" s="49"/>
      <c r="D457" s="97"/>
      <c r="E457" s="97"/>
      <c r="F457" s="49"/>
      <c r="G457" s="52"/>
      <c r="H457" s="52"/>
      <c r="I457" s="49"/>
      <c r="J457" s="52"/>
      <c r="K457" s="52"/>
      <c r="L457" s="49"/>
    </row>
    <row r="458" spans="1:12" s="372" customFormat="1" x14ac:dyDescent="0.25">
      <c r="A458" s="49"/>
      <c r="B458" s="49"/>
      <c r="C458" s="49"/>
      <c r="D458" s="97"/>
      <c r="E458" s="97"/>
      <c r="F458" s="49"/>
      <c r="G458" s="52"/>
      <c r="H458" s="52"/>
      <c r="I458" s="49"/>
      <c r="J458" s="52"/>
      <c r="K458" s="52"/>
      <c r="L458" s="49"/>
    </row>
    <row r="459" spans="1:12" s="372" customFormat="1" x14ac:dyDescent="0.25">
      <c r="A459" s="49"/>
      <c r="B459" s="49"/>
      <c r="C459" s="49"/>
      <c r="D459" s="97"/>
      <c r="E459" s="97"/>
      <c r="F459" s="49"/>
      <c r="G459" s="52"/>
      <c r="H459" s="52"/>
      <c r="I459" s="49"/>
      <c r="J459" s="52"/>
      <c r="K459" s="52"/>
      <c r="L459" s="49"/>
    </row>
    <row r="460" spans="1:12" s="372" customFormat="1" x14ac:dyDescent="0.25">
      <c r="A460" s="49"/>
      <c r="B460" s="49"/>
      <c r="C460" s="49"/>
      <c r="D460" s="97"/>
      <c r="E460" s="97"/>
      <c r="F460" s="49"/>
      <c r="G460" s="52"/>
      <c r="H460" s="52"/>
      <c r="I460" s="49"/>
      <c r="J460" s="52"/>
      <c r="K460" s="52"/>
      <c r="L460" s="49"/>
    </row>
    <row r="461" spans="1:12" s="372" customFormat="1" x14ac:dyDescent="0.25">
      <c r="A461" s="49"/>
      <c r="B461" s="49"/>
      <c r="C461" s="49"/>
      <c r="D461" s="97"/>
      <c r="E461" s="97"/>
      <c r="F461" s="49"/>
      <c r="G461" s="52"/>
      <c r="H461" s="52"/>
      <c r="I461" s="49"/>
      <c r="J461" s="52"/>
      <c r="K461" s="52"/>
      <c r="L461" s="49"/>
    </row>
    <row r="462" spans="1:12" s="372" customFormat="1" x14ac:dyDescent="0.25">
      <c r="A462" s="49"/>
      <c r="B462" s="49"/>
      <c r="C462" s="49"/>
      <c r="D462" s="97"/>
      <c r="E462" s="97"/>
      <c r="F462" s="49"/>
      <c r="G462" s="52"/>
      <c r="H462" s="52"/>
      <c r="I462" s="49"/>
      <c r="J462" s="52"/>
      <c r="K462" s="52"/>
      <c r="L462" s="49"/>
    </row>
    <row r="463" spans="1:12" s="372" customFormat="1" x14ac:dyDescent="0.25">
      <c r="A463" s="49"/>
      <c r="B463" s="49"/>
      <c r="C463" s="49"/>
      <c r="D463" s="97"/>
      <c r="E463" s="97"/>
      <c r="F463" s="49"/>
      <c r="G463" s="52"/>
      <c r="H463" s="52"/>
      <c r="I463" s="49"/>
      <c r="J463" s="52"/>
      <c r="K463" s="52"/>
      <c r="L463" s="49"/>
    </row>
    <row r="464" spans="1:12" s="372" customFormat="1" x14ac:dyDescent="0.25">
      <c r="A464" s="49"/>
      <c r="B464" s="49"/>
      <c r="C464" s="49"/>
      <c r="D464" s="97"/>
      <c r="E464" s="97"/>
      <c r="F464" s="49"/>
      <c r="G464" s="52"/>
      <c r="H464" s="52"/>
      <c r="I464" s="49"/>
      <c r="J464" s="52"/>
      <c r="K464" s="52"/>
      <c r="L464" s="49"/>
    </row>
    <row r="465" spans="1:12" s="372" customFormat="1" x14ac:dyDescent="0.25">
      <c r="A465" s="49"/>
      <c r="B465" s="49"/>
      <c r="C465" s="49"/>
      <c r="D465" s="97"/>
      <c r="E465" s="97"/>
      <c r="F465" s="49"/>
      <c r="G465" s="52"/>
      <c r="H465" s="52"/>
      <c r="I465" s="49"/>
      <c r="J465" s="52"/>
      <c r="K465" s="52"/>
      <c r="L465" s="49"/>
    </row>
    <row r="466" spans="1:12" s="372" customFormat="1" x14ac:dyDescent="0.25">
      <c r="A466" s="49"/>
      <c r="B466" s="49"/>
      <c r="C466" s="49"/>
      <c r="D466" s="97"/>
      <c r="E466" s="97"/>
      <c r="F466" s="49"/>
      <c r="G466" s="52"/>
      <c r="H466" s="52"/>
      <c r="I466" s="49"/>
      <c r="J466" s="52"/>
      <c r="K466" s="52"/>
      <c r="L466" s="49"/>
    </row>
    <row r="467" spans="1:12" s="372" customFormat="1" x14ac:dyDescent="0.25">
      <c r="A467" s="49"/>
      <c r="B467" s="49"/>
      <c r="C467" s="49"/>
      <c r="D467" s="97"/>
      <c r="E467" s="97"/>
      <c r="F467" s="49"/>
      <c r="G467" s="52"/>
      <c r="H467" s="52"/>
      <c r="I467" s="49"/>
      <c r="J467" s="52"/>
      <c r="K467" s="52"/>
      <c r="L467" s="49"/>
    </row>
    <row r="468" spans="1:12" s="372" customFormat="1" x14ac:dyDescent="0.25">
      <c r="A468" s="49"/>
      <c r="B468" s="49"/>
      <c r="C468" s="49"/>
      <c r="D468" s="97"/>
      <c r="E468" s="97"/>
      <c r="F468" s="49"/>
      <c r="G468" s="52"/>
      <c r="H468" s="52"/>
      <c r="I468" s="49"/>
      <c r="J468" s="52"/>
      <c r="K468" s="52"/>
      <c r="L468" s="49"/>
    </row>
    <row r="469" spans="1:12" s="372" customFormat="1" x14ac:dyDescent="0.25">
      <c r="A469" s="49"/>
      <c r="B469" s="49"/>
      <c r="C469" s="49"/>
      <c r="D469" s="97"/>
      <c r="E469" s="97"/>
      <c r="F469" s="49"/>
      <c r="G469" s="52"/>
      <c r="H469" s="52"/>
      <c r="I469" s="49"/>
      <c r="J469" s="52"/>
      <c r="K469" s="52"/>
      <c r="L469" s="49"/>
    </row>
    <row r="470" spans="1:12" s="372" customFormat="1" x14ac:dyDescent="0.25">
      <c r="A470" s="49"/>
      <c r="B470" s="49"/>
      <c r="C470" s="49"/>
      <c r="D470" s="97"/>
      <c r="E470" s="97"/>
      <c r="F470" s="49"/>
      <c r="G470" s="52"/>
      <c r="H470" s="52"/>
      <c r="I470" s="49"/>
      <c r="J470" s="52"/>
      <c r="K470" s="52"/>
      <c r="L470" s="49"/>
    </row>
    <row r="471" spans="1:12" s="372" customFormat="1" x14ac:dyDescent="0.25">
      <c r="A471" s="49"/>
      <c r="B471" s="49"/>
      <c r="C471" s="49"/>
      <c r="D471" s="97"/>
      <c r="E471" s="97"/>
      <c r="F471" s="49"/>
      <c r="G471" s="52"/>
      <c r="H471" s="52"/>
      <c r="I471" s="49"/>
      <c r="J471" s="52"/>
      <c r="K471" s="52"/>
      <c r="L471" s="49"/>
    </row>
    <row r="472" spans="1:12" s="372" customFormat="1" x14ac:dyDescent="0.25">
      <c r="A472" s="49"/>
      <c r="B472" s="49"/>
      <c r="C472" s="49"/>
      <c r="D472" s="97"/>
      <c r="E472" s="97"/>
      <c r="F472" s="49"/>
      <c r="G472" s="52"/>
      <c r="H472" s="52"/>
      <c r="I472" s="49"/>
      <c r="J472" s="52"/>
      <c r="K472" s="52"/>
      <c r="L472" s="49"/>
    </row>
    <row r="473" spans="1:12" s="372" customFormat="1" x14ac:dyDescent="0.25">
      <c r="A473" s="49"/>
      <c r="B473" s="49"/>
      <c r="C473" s="49"/>
      <c r="D473" s="97"/>
      <c r="E473" s="97"/>
      <c r="F473" s="49"/>
      <c r="G473" s="52"/>
      <c r="H473" s="52"/>
      <c r="I473" s="49"/>
      <c r="J473" s="52"/>
      <c r="K473" s="52"/>
      <c r="L473" s="49"/>
    </row>
    <row r="474" spans="1:12" s="372" customFormat="1" x14ac:dyDescent="0.25">
      <c r="A474" s="49"/>
      <c r="B474" s="49"/>
      <c r="C474" s="49"/>
      <c r="D474" s="97"/>
      <c r="E474" s="97"/>
      <c r="F474" s="49"/>
      <c r="G474" s="52"/>
      <c r="H474" s="52"/>
      <c r="I474" s="49"/>
      <c r="J474" s="52"/>
      <c r="K474" s="52"/>
      <c r="L474" s="49"/>
    </row>
    <row r="475" spans="1:12" s="372" customFormat="1" x14ac:dyDescent="0.25">
      <c r="A475" s="49"/>
      <c r="B475" s="49"/>
      <c r="C475" s="49"/>
      <c r="D475" s="97"/>
      <c r="E475" s="97"/>
      <c r="F475" s="49"/>
      <c r="G475" s="52"/>
      <c r="H475" s="52"/>
      <c r="I475" s="49"/>
      <c r="J475" s="52"/>
      <c r="K475" s="52"/>
      <c r="L475" s="49"/>
    </row>
    <row r="476" spans="1:12" s="372" customFormat="1" x14ac:dyDescent="0.25">
      <c r="A476" s="49"/>
      <c r="B476" s="49"/>
      <c r="C476" s="49"/>
      <c r="D476" s="97"/>
      <c r="E476" s="97"/>
      <c r="F476" s="49"/>
      <c r="G476" s="52"/>
      <c r="H476" s="52"/>
      <c r="I476" s="49"/>
      <c r="J476" s="52"/>
      <c r="K476" s="52"/>
      <c r="L476" s="49"/>
    </row>
    <row r="477" spans="1:12" s="372" customFormat="1" x14ac:dyDescent="0.25">
      <c r="A477" s="49"/>
      <c r="B477" s="49"/>
      <c r="C477" s="49"/>
      <c r="D477" s="97"/>
      <c r="E477" s="97"/>
      <c r="F477" s="49"/>
      <c r="G477" s="52"/>
      <c r="H477" s="52"/>
      <c r="I477" s="49"/>
      <c r="J477" s="52"/>
      <c r="K477" s="52"/>
      <c r="L477" s="49"/>
    </row>
    <row r="478" spans="1:12" s="372" customFormat="1" x14ac:dyDescent="0.25">
      <c r="A478" s="49"/>
      <c r="B478" s="49"/>
      <c r="C478" s="49"/>
      <c r="D478" s="97"/>
      <c r="E478" s="97"/>
      <c r="F478" s="49"/>
      <c r="G478" s="49"/>
      <c r="H478" s="49"/>
      <c r="I478" s="49"/>
      <c r="J478" s="52"/>
      <c r="K478" s="52"/>
      <c r="L478" s="49"/>
    </row>
    <row r="479" spans="1:12" s="372" customFormat="1" x14ac:dyDescent="0.25">
      <c r="A479" s="49"/>
      <c r="B479" s="49"/>
      <c r="C479" s="49"/>
      <c r="D479" s="97"/>
      <c r="E479" s="97"/>
      <c r="F479" s="49"/>
      <c r="G479" s="52"/>
      <c r="H479" s="52"/>
      <c r="I479" s="49"/>
      <c r="J479" s="52"/>
      <c r="K479" s="52"/>
      <c r="L479" s="49"/>
    </row>
    <row r="480" spans="1:12" s="372" customFormat="1" x14ac:dyDescent="0.25">
      <c r="A480" s="49"/>
      <c r="B480" s="49"/>
      <c r="C480" s="49"/>
      <c r="D480" s="97"/>
      <c r="E480" s="97"/>
      <c r="F480" s="49"/>
      <c r="G480" s="52"/>
      <c r="H480" s="52"/>
      <c r="I480" s="49"/>
      <c r="J480" s="52"/>
      <c r="K480" s="52"/>
      <c r="L480" s="49"/>
    </row>
    <row r="481" spans="1:12" s="372" customFormat="1" x14ac:dyDescent="0.25">
      <c r="A481" s="49"/>
      <c r="B481" s="49"/>
      <c r="C481" s="49"/>
      <c r="D481" s="97"/>
      <c r="E481" s="97"/>
      <c r="F481" s="49"/>
      <c r="G481" s="52"/>
      <c r="H481" s="52"/>
      <c r="I481" s="49"/>
      <c r="J481" s="52"/>
      <c r="K481" s="52"/>
      <c r="L481" s="49"/>
    </row>
    <row r="482" spans="1:12" s="372" customFormat="1" x14ac:dyDescent="0.25">
      <c r="A482" s="49"/>
      <c r="B482" s="49"/>
      <c r="C482" s="49"/>
      <c r="D482" s="97"/>
      <c r="E482" s="97"/>
      <c r="F482" s="49"/>
      <c r="G482" s="52"/>
      <c r="H482" s="52"/>
      <c r="I482" s="49"/>
      <c r="J482" s="52"/>
      <c r="K482" s="52"/>
      <c r="L482" s="49"/>
    </row>
    <row r="483" spans="1:12" s="372" customFormat="1" x14ac:dyDescent="0.25">
      <c r="A483" s="49"/>
      <c r="B483" s="49"/>
      <c r="C483" s="49"/>
      <c r="D483" s="97"/>
      <c r="E483" s="97"/>
      <c r="F483" s="49"/>
      <c r="G483" s="52"/>
      <c r="H483" s="52"/>
      <c r="I483" s="49"/>
      <c r="J483" s="52"/>
      <c r="K483" s="52"/>
      <c r="L483" s="49"/>
    </row>
    <row r="484" spans="1:12" s="372" customFormat="1" x14ac:dyDescent="0.25">
      <c r="A484" s="49"/>
      <c r="B484" s="49"/>
      <c r="C484" s="49"/>
      <c r="D484" s="97"/>
      <c r="E484" s="97"/>
      <c r="F484" s="49"/>
      <c r="G484" s="52"/>
      <c r="H484" s="52"/>
      <c r="I484" s="49"/>
      <c r="J484" s="52"/>
      <c r="K484" s="52"/>
      <c r="L484" s="49"/>
    </row>
    <row r="485" spans="1:12" s="372" customFormat="1" x14ac:dyDescent="0.25">
      <c r="A485" s="49"/>
      <c r="B485" s="49"/>
      <c r="C485" s="49"/>
      <c r="D485" s="97"/>
      <c r="E485" s="97"/>
      <c r="F485" s="49"/>
      <c r="G485" s="49"/>
      <c r="H485" s="49"/>
      <c r="I485" s="49"/>
      <c r="J485" s="52"/>
      <c r="K485" s="52"/>
      <c r="L485" s="49"/>
    </row>
    <row r="486" spans="1:12" s="372" customFormat="1" x14ac:dyDescent="0.25">
      <c r="A486" s="49"/>
      <c r="B486" s="49"/>
      <c r="C486" s="49"/>
      <c r="D486" s="97"/>
      <c r="E486" s="97"/>
      <c r="F486" s="49"/>
      <c r="G486" s="49"/>
      <c r="H486" s="49"/>
      <c r="I486" s="49"/>
      <c r="J486" s="52"/>
      <c r="K486" s="52"/>
      <c r="L486" s="49"/>
    </row>
    <row r="487" spans="1:12" s="372" customFormat="1" x14ac:dyDescent="0.25">
      <c r="A487" s="49"/>
      <c r="B487" s="49"/>
      <c r="C487" s="49"/>
      <c r="D487" s="97"/>
      <c r="E487" s="97"/>
      <c r="F487" s="49"/>
      <c r="G487" s="49"/>
      <c r="H487" s="49"/>
      <c r="I487" s="49"/>
      <c r="J487" s="52"/>
      <c r="K487" s="52"/>
      <c r="L487" s="49"/>
    </row>
    <row r="488" spans="1:12" s="372" customFormat="1" x14ac:dyDescent="0.25">
      <c r="A488" s="49"/>
      <c r="B488" s="49"/>
      <c r="C488" s="49"/>
      <c r="D488" s="97"/>
      <c r="E488" s="97"/>
      <c r="F488" s="49"/>
      <c r="G488" s="49"/>
      <c r="H488" s="49"/>
      <c r="I488" s="49"/>
      <c r="J488" s="52"/>
      <c r="K488" s="52"/>
      <c r="L488" s="49"/>
    </row>
    <row r="489" spans="1:12" s="372" customFormat="1" x14ac:dyDescent="0.25">
      <c r="A489" s="49"/>
      <c r="B489" s="49"/>
      <c r="C489" s="49"/>
      <c r="D489" s="97"/>
      <c r="E489" s="97"/>
      <c r="F489" s="49"/>
      <c r="G489" s="49"/>
      <c r="H489" s="49"/>
      <c r="I489" s="49"/>
      <c r="J489" s="52"/>
      <c r="K489" s="52"/>
      <c r="L489" s="49"/>
    </row>
    <row r="490" spans="1:12" s="372" customFormat="1" x14ac:dyDescent="0.25">
      <c r="A490" s="49"/>
      <c r="B490" s="49"/>
      <c r="C490" s="49"/>
      <c r="D490" s="97"/>
      <c r="E490" s="97"/>
      <c r="F490" s="49"/>
      <c r="G490" s="52"/>
      <c r="H490" s="52"/>
      <c r="I490" s="49"/>
      <c r="J490" s="52"/>
      <c r="K490" s="52"/>
      <c r="L490" s="49"/>
    </row>
    <row r="491" spans="1:12" s="372" customFormat="1" x14ac:dyDescent="0.25">
      <c r="A491" s="49"/>
      <c r="B491" s="49"/>
      <c r="C491" s="49"/>
      <c r="D491" s="97"/>
      <c r="E491" s="97"/>
      <c r="F491" s="49"/>
      <c r="G491" s="49"/>
      <c r="H491" s="49"/>
      <c r="I491" s="49"/>
      <c r="J491" s="52"/>
      <c r="K491" s="52"/>
      <c r="L491" s="49"/>
    </row>
    <row r="492" spans="1:12" s="372" customFormat="1" x14ac:dyDescent="0.25">
      <c r="A492" s="49"/>
      <c r="B492" s="49"/>
      <c r="C492" s="49"/>
      <c r="D492" s="97"/>
      <c r="E492" s="97"/>
      <c r="F492" s="49"/>
      <c r="G492" s="49"/>
      <c r="H492" s="49"/>
      <c r="I492" s="49"/>
      <c r="J492" s="52"/>
      <c r="K492" s="52"/>
      <c r="L492" s="49"/>
    </row>
    <row r="493" spans="1:12" s="372" customFormat="1" x14ac:dyDescent="0.25">
      <c r="A493" s="49"/>
      <c r="B493" s="49"/>
      <c r="C493" s="49"/>
      <c r="D493" s="97"/>
      <c r="E493" s="97"/>
      <c r="F493" s="49"/>
      <c r="G493" s="49"/>
      <c r="H493" s="49"/>
      <c r="I493" s="49"/>
      <c r="J493" s="52"/>
      <c r="K493" s="52"/>
      <c r="L493" s="49"/>
    </row>
    <row r="494" spans="1:12" s="372" customFormat="1" x14ac:dyDescent="0.25">
      <c r="D494" s="375"/>
      <c r="E494" s="375"/>
    </row>
  </sheetData>
  <customSheetViews>
    <customSheetView guid="{DAA0C1F4-4D8F-4BD8-91F9-40281B589772}" state="hidden" topLeftCell="A106">
      <selection activeCell="C97" sqref="C97"/>
      <pageMargins left="0.7" right="0.7" top="0.78740157499999996" bottom="0.78740157499999996" header="0.3" footer="0.3"/>
      <pageSetup paperSize="9" orientation="portrait" r:id="rId1"/>
    </customSheetView>
  </customSheetViews>
  <phoneticPr fontId="40" type="noConversion"/>
  <pageMargins left="0.7" right="0.7" top="0.78740157499999996" bottom="0.78740157499999996" header="0.3" footer="0.3"/>
  <pageSetup paperSize="9" orientation="portrait"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5"/>
  <dimension ref="A1:D6"/>
  <sheetViews>
    <sheetView workbookViewId="0">
      <selection activeCell="D14" sqref="D14"/>
    </sheetView>
  </sheetViews>
  <sheetFormatPr defaultColWidth="11.44140625" defaultRowHeight="14.4" x14ac:dyDescent="0.3"/>
  <cols>
    <col min="1" max="1" width="21.88671875" customWidth="1"/>
    <col min="2" max="2" width="33.5546875" customWidth="1"/>
    <col min="3" max="3" width="44.109375" customWidth="1"/>
    <col min="4" max="4" width="41.109375" customWidth="1"/>
    <col min="5" max="5" width="46.6640625" customWidth="1"/>
    <col min="6" max="6" width="38.33203125" customWidth="1"/>
    <col min="7" max="7" width="42.88671875" customWidth="1"/>
    <col min="8" max="8" width="43.6640625" customWidth="1"/>
    <col min="9" max="9" width="36" customWidth="1"/>
    <col min="10" max="10" width="16.5546875" customWidth="1"/>
    <col min="11" max="11" width="24.109375" customWidth="1"/>
    <col min="12" max="12" width="35" customWidth="1"/>
    <col min="13" max="13" width="28.109375" customWidth="1"/>
    <col min="14" max="14" width="27.6640625" customWidth="1"/>
    <col min="15" max="15" width="30.109375" customWidth="1"/>
    <col min="16" max="16" width="28.109375" customWidth="1"/>
    <col min="17" max="17" width="29.6640625" customWidth="1"/>
    <col min="18" max="18" width="15.33203125" customWidth="1"/>
    <col min="19" max="19" width="17.33203125" customWidth="1"/>
  </cols>
  <sheetData>
    <row r="1" spans="1:4" s="119" customFormat="1" x14ac:dyDescent="0.3">
      <c r="A1" s="234" t="s">
        <v>401</v>
      </c>
      <c r="B1" s="383" t="str">
        <f>IF(Basisdaten!C12="","",Basisdaten!C12)</f>
        <v/>
      </c>
    </row>
    <row r="2" spans="1:4" s="119" customFormat="1" x14ac:dyDescent="0.3">
      <c r="A2" s="234" t="s">
        <v>78</v>
      </c>
      <c r="B2" s="384" t="str">
        <f>IF(Basisdaten!I12="","",Basisdaten!I12)</f>
        <v/>
      </c>
    </row>
    <row r="3" spans="1:4" s="119" customFormat="1" x14ac:dyDescent="0.3">
      <c r="A3" s="234" t="s">
        <v>500</v>
      </c>
      <c r="B3" s="384" t="str">
        <f>IF(Basisdaten!I14="","",Basisdaten!I14)</f>
        <v/>
      </c>
    </row>
    <row r="4" spans="1:4" s="119" customFormat="1" x14ac:dyDescent="0.3"/>
    <row r="5" spans="1:4" x14ac:dyDescent="0.3">
      <c r="A5" s="225" t="s">
        <v>17</v>
      </c>
      <c r="B5" s="226" t="s">
        <v>22</v>
      </c>
      <c r="C5" s="227" t="s">
        <v>608</v>
      </c>
      <c r="D5" s="227" t="s">
        <v>607</v>
      </c>
    </row>
    <row r="6" spans="1:4" x14ac:dyDescent="0.3">
      <c r="A6" s="228" t="str">
        <f>IF(Basisdaten!B22=0,"",Basisdaten!B22)</f>
        <v/>
      </c>
      <c r="B6" s="228" t="str">
        <f>IF(Basisdaten!B25=0,"",Basisdaten!B25)</f>
        <v/>
      </c>
      <c r="C6" s="228" t="str">
        <f>IF(Basisdaten!F22=0,"",Basisdaten!F22)</f>
        <v/>
      </c>
      <c r="D6" s="228" t="str">
        <f>IF(Basisdaten!F25=0,"",Basisdaten!F25)</f>
        <v>Noch nicht vorhanden</v>
      </c>
    </row>
  </sheetData>
  <customSheetViews>
    <customSheetView guid="{DAA0C1F4-4D8F-4BD8-91F9-40281B589772}" state="hidden">
      <selection activeCell="C26" sqref="C26"/>
      <pageMargins left="0.7" right="0.7" top="0.78740157499999996" bottom="0.78740157499999996" header="0.3" footer="0.3"/>
    </customSheetView>
    <customSheetView guid="{AD479C9E-06F7-4C03-8179-295428B49475}">
      <selection activeCell="E8" sqref="E8"/>
      <pageMargins left="0.7" right="0.7" top="0.78740157499999996" bottom="0.78740157499999996" header="0.3" footer="0.3"/>
    </customSheetView>
  </customSheetViews>
  <phoneticPr fontId="40" type="noConversion"/>
  <pageMargins left="0.7" right="0.7" top="0.78740157499999996" bottom="0.78740157499999996" header="0.3" footer="0.3"/>
  <pageSetup paperSize="9"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7"/>
  <dimension ref="A4:H11"/>
  <sheetViews>
    <sheetView workbookViewId="0">
      <selection activeCell="C16" sqref="C16"/>
    </sheetView>
  </sheetViews>
  <sheetFormatPr defaultColWidth="11.44140625" defaultRowHeight="14.4" x14ac:dyDescent="0.3"/>
  <cols>
    <col min="1" max="1" width="28.109375" style="119" customWidth="1"/>
    <col min="2" max="2" width="23.109375" style="119" customWidth="1"/>
    <col min="3" max="3" width="11.33203125" style="119" customWidth="1"/>
    <col min="4" max="4" width="13.109375" style="119" customWidth="1"/>
    <col min="5" max="5" width="13.33203125" style="119" customWidth="1"/>
    <col min="6" max="6" width="12" style="119" customWidth="1"/>
    <col min="7" max="7" width="12.109375" style="119" customWidth="1"/>
    <col min="8" max="8" width="11.88671875" style="119" customWidth="1"/>
    <col min="9" max="9" width="38.33203125" style="119" customWidth="1"/>
    <col min="10" max="10" width="42.88671875" style="119" customWidth="1"/>
    <col min="11" max="11" width="43.6640625" style="119" customWidth="1"/>
    <col min="12" max="12" width="36" style="119" customWidth="1"/>
    <col min="13" max="13" width="16.5546875" style="119" customWidth="1"/>
    <col min="14" max="14" width="24.109375" style="119" customWidth="1"/>
    <col min="15" max="15" width="35" style="119" customWidth="1"/>
    <col min="16" max="16" width="28.109375" style="119" customWidth="1"/>
    <col min="17" max="17" width="27.6640625" style="119" customWidth="1"/>
    <col min="18" max="18" width="30.109375" style="119" customWidth="1"/>
    <col min="19" max="19" width="28.109375" style="119" customWidth="1"/>
    <col min="20" max="20" width="29.6640625" style="119" customWidth="1"/>
    <col min="21" max="21" width="15.33203125" style="119" customWidth="1"/>
    <col min="22" max="22" width="17.33203125" style="119" customWidth="1"/>
    <col min="23" max="16384" width="11.44140625" style="119"/>
  </cols>
  <sheetData>
    <row r="4" spans="1:8" ht="43.5" customHeight="1" x14ac:dyDescent="0.3">
      <c r="A4" s="327" t="str">
        <f>Basisdaten!B27</f>
        <v>Primärfälle 
Pankreaskarzinom 
Def. gemäß EB 1.2.0</v>
      </c>
      <c r="B4" s="92" t="str">
        <f>Basisdaten!D27</f>
        <v>IA</v>
      </c>
      <c r="C4" s="92" t="str">
        <f>Basisdaten!E27</f>
        <v>IB</v>
      </c>
      <c r="D4" s="92" t="str">
        <f>Basisdaten!F27</f>
        <v>IIA</v>
      </c>
      <c r="E4" s="92" t="str">
        <f>Basisdaten!G27</f>
        <v>IIB</v>
      </c>
      <c r="F4" s="92" t="str">
        <f>Basisdaten!H27</f>
        <v>III</v>
      </c>
      <c r="G4" s="92" t="str">
        <f>Basisdaten!I27</f>
        <v>IV</v>
      </c>
      <c r="H4" s="321" t="str">
        <f>Basisdaten!J27</f>
        <v>Gesamt</v>
      </c>
    </row>
    <row r="5" spans="1:8" ht="43.5" customHeight="1" x14ac:dyDescent="0.3">
      <c r="A5" s="322" t="str">
        <f>Basisdaten!B31</f>
        <v xml:space="preserve">Primärfälle Pankreaskarzinom 
= Karzinome des exokrinen Pankreas </v>
      </c>
      <c r="B5" s="320" t="str">
        <f>IF(Basisdaten!D31="","",Basisdaten!D31)</f>
        <v/>
      </c>
      <c r="C5" s="320" t="str">
        <f>IF(Basisdaten!E31="","",Basisdaten!E31)</f>
        <v/>
      </c>
      <c r="D5" s="320" t="str">
        <f>IF(Basisdaten!F31="","",Basisdaten!F31)</f>
        <v/>
      </c>
      <c r="E5" s="320" t="str">
        <f>IF(Basisdaten!G31="","",Basisdaten!G31)</f>
        <v/>
      </c>
      <c r="F5" s="320" t="str">
        <f>IF(Basisdaten!H31="","",Basisdaten!H31)</f>
        <v/>
      </c>
      <c r="G5" s="320" t="str">
        <f>IF(Basisdaten!I31="","",Basisdaten!I31)</f>
        <v/>
      </c>
      <c r="H5" s="320" t="str">
        <f>IF(Basisdaten!J31="","",Basisdaten!J31)</f>
        <v/>
      </c>
    </row>
    <row r="6" spans="1:8" ht="51.75" customHeight="1" x14ac:dyDescent="0.3">
      <c r="A6" s="322" t="str">
        <f>Basisdaten!B32</f>
        <v xml:space="preserve">    davon Operative Primärfälle
    Pankreaskarzinom
     (Ausschließlich ICD-10 C25 
     in Verbindung mit OPS: 
     5-524*, 5-525*)</v>
      </c>
      <c r="B6" s="320" t="str">
        <f>IF(Basisdaten!D32="","",Basisdaten!D32)</f>
        <v/>
      </c>
      <c r="C6" s="320" t="str">
        <f>IF(Basisdaten!E32="","",Basisdaten!E32)</f>
        <v/>
      </c>
      <c r="D6" s="320" t="str">
        <f>IF(Basisdaten!F32="","",Basisdaten!F32)</f>
        <v/>
      </c>
      <c r="E6" s="320" t="str">
        <f>IF(Basisdaten!G32="","",Basisdaten!G32)</f>
        <v/>
      </c>
      <c r="F6" s="320" t="str">
        <f>IF(Basisdaten!H32="","",Basisdaten!H32)</f>
        <v/>
      </c>
      <c r="G6" s="320" t="str">
        <f>IF(Basisdaten!I32="","",Basisdaten!I32)</f>
        <v/>
      </c>
      <c r="H6" s="320" t="str">
        <f>IF(Basisdaten!J32="","",Basisdaten!J32)</f>
        <v/>
      </c>
    </row>
    <row r="7" spans="1:8" s="312" customFormat="1" ht="51.75" customHeight="1" x14ac:dyDescent="0.3">
      <c r="A7" s="702" t="str">
        <f>Basisdaten!B34</f>
        <v>Primärfälle Neuroendokrine Tumoren (NET) und Neuroendokrine Karzinome (NEC)</v>
      </c>
      <c r="B7" s="703"/>
      <c r="C7" s="703"/>
      <c r="D7" s="703"/>
      <c r="E7" s="703"/>
      <c r="F7" s="703"/>
      <c r="G7" s="704"/>
      <c r="H7" s="320" t="str">
        <f>IF(Basisdaten!J34="","",Basisdaten!J34)</f>
        <v/>
      </c>
    </row>
    <row r="8" spans="1:8" s="312" customFormat="1" ht="51.75" customHeight="1" x14ac:dyDescent="0.3">
      <c r="A8" s="702" t="str">
        <f>Basisdaten!B35</f>
        <v xml:space="preserve">     davon operative Primärfälle NET und NEC
     (Ausschließlich ICD-10 C25 in Verbindung mit OPS: 5-524*, 5-525*)</v>
      </c>
      <c r="B8" s="703"/>
      <c r="C8" s="703"/>
      <c r="D8" s="703"/>
      <c r="E8" s="703"/>
      <c r="F8" s="703"/>
      <c r="G8" s="704"/>
      <c r="H8" s="320" t="str">
        <f>IF(Basisdaten!J35="","",Basisdaten!J35)</f>
        <v/>
      </c>
    </row>
    <row r="9" spans="1:8" s="312" customFormat="1" ht="51.75" customHeight="1" x14ac:dyDescent="0.3">
      <c r="A9" s="702" t="str">
        <f>Basisdaten!B37</f>
        <v>Primärfälle Gesamt</v>
      </c>
      <c r="B9" s="703"/>
      <c r="C9" s="703"/>
      <c r="D9" s="703"/>
      <c r="E9" s="703"/>
      <c r="F9" s="703"/>
      <c r="G9" s="704"/>
      <c r="H9" s="320" t="str">
        <f>IF(Basisdaten!J37="","",Basisdaten!J37)</f>
        <v/>
      </c>
    </row>
    <row r="10" spans="1:8" s="312" customFormat="1" ht="51.75" customHeight="1" x14ac:dyDescent="0.3">
      <c r="A10" s="702" t="str">
        <f>Basisdaten!B38</f>
        <v>Primärfälle operativ Gesamt</v>
      </c>
      <c r="B10" s="703"/>
      <c r="C10" s="703"/>
      <c r="D10" s="703"/>
      <c r="E10" s="703"/>
      <c r="F10" s="703"/>
      <c r="G10" s="704"/>
      <c r="H10" s="320" t="str">
        <f>IF(Basisdaten!J38="","",Basisdaten!J38)</f>
        <v/>
      </c>
    </row>
    <row r="11" spans="1:8" ht="43.5" customHeight="1" x14ac:dyDescent="0.3">
      <c r="A11" s="700" t="s">
        <v>695</v>
      </c>
      <c r="B11" s="701"/>
      <c r="C11" s="701"/>
      <c r="D11" s="701"/>
      <c r="E11" s="701"/>
      <c r="F11" s="701"/>
      <c r="G11" s="701"/>
      <c r="H11" s="320" t="str">
        <f>IF(Basisdaten!J40="","",Basisdaten!J40)</f>
        <v/>
      </c>
    </row>
  </sheetData>
  <mergeCells count="5">
    <mergeCell ref="A11:G11"/>
    <mergeCell ref="A7:G7"/>
    <mergeCell ref="A8:G8"/>
    <mergeCell ref="A9:G9"/>
    <mergeCell ref="A10:G10"/>
  </mergeCells>
  <pageMargins left="0.7" right="0.7" top="0.78740157499999996" bottom="0.78740157499999996" header="0.3" footer="0.3"/>
  <pageSetup paperSize="9" orientation="portrait" horizontalDpi="0"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2"/>
  <dimension ref="A1:V97"/>
  <sheetViews>
    <sheetView showGridLines="0" zoomScaleNormal="100" zoomScaleSheetLayoutView="87" workbookViewId="0">
      <pane xSplit="1" ySplit="11" topLeftCell="B12" activePane="bottomRight" state="frozen"/>
      <selection pane="topRight" activeCell="B1" sqref="B1"/>
      <selection pane="bottomLeft" activeCell="A12" sqref="A12"/>
      <selection pane="bottomRight" activeCell="T12" sqref="T12:T14"/>
    </sheetView>
  </sheetViews>
  <sheetFormatPr defaultColWidth="11.44140625" defaultRowHeight="13.8" x14ac:dyDescent="0.25"/>
  <cols>
    <col min="1" max="1" width="0.44140625" style="4" customWidth="1"/>
    <col min="2" max="2" width="3.109375" style="4" customWidth="1"/>
    <col min="3" max="3" width="3.109375" style="15" customWidth="1"/>
    <col min="4" max="4" width="4.44140625" style="4" customWidth="1"/>
    <col min="5" max="5" width="16" style="4" customWidth="1"/>
    <col min="6" max="6" width="12.6640625" style="4" customWidth="1"/>
    <col min="7" max="7" width="11.88671875" style="4" customWidth="1"/>
    <col min="8" max="8" width="11.5546875" style="4" customWidth="1"/>
    <col min="9" max="9" width="3.33203125" style="4" customWidth="1"/>
    <col min="10" max="10" width="9.109375" style="4" customWidth="1"/>
    <col min="11" max="11" width="12.33203125" style="4" customWidth="1"/>
    <col min="12" max="12" width="9.109375" style="4" customWidth="1"/>
    <col min="13" max="13" width="5.88671875" style="427" customWidth="1"/>
    <col min="14" max="14" width="4.109375" style="427" customWidth="1"/>
    <col min="15" max="15" width="4.5546875" style="427" customWidth="1"/>
    <col min="16" max="16" width="5.33203125" style="427" customWidth="1"/>
    <col min="17" max="17" width="6" style="4" customWidth="1"/>
    <col min="18" max="18" width="7.88671875" style="63" customWidth="1"/>
    <col min="19" max="19" width="8.44140625" style="4" customWidth="1"/>
    <col min="20" max="21" width="71.109375" style="4" customWidth="1"/>
    <col min="22" max="22" width="9.109375" style="4" hidden="1" customWidth="1"/>
    <col min="23" max="16384" width="11.44140625" style="4"/>
  </cols>
  <sheetData>
    <row r="1" spans="1:21" ht="9.9" customHeight="1" x14ac:dyDescent="0.3">
      <c r="A1" s="7"/>
      <c r="R1" s="4"/>
    </row>
    <row r="2" spans="1:21" s="8" customFormat="1" ht="12.9" customHeight="1" x14ac:dyDescent="0.25">
      <c r="A2" s="12"/>
      <c r="B2" s="519" t="s">
        <v>962</v>
      </c>
      <c r="C2" s="68"/>
      <c r="M2" s="13"/>
      <c r="N2" s="13"/>
      <c r="O2" s="13"/>
      <c r="P2" s="13"/>
      <c r="Q2" s="4"/>
    </row>
    <row r="3" spans="1:21" ht="16.8" x14ac:dyDescent="0.3">
      <c r="A3" s="51"/>
      <c r="B3" s="51" t="s">
        <v>206</v>
      </c>
      <c r="Q3" s="27"/>
      <c r="R3" s="4"/>
    </row>
    <row r="4" spans="1:21" ht="11.25" customHeight="1" x14ac:dyDescent="0.3">
      <c r="A4" s="51"/>
      <c r="Q4" s="27"/>
      <c r="R4" s="4"/>
    </row>
    <row r="5" spans="1:21" ht="9.75" customHeight="1" x14ac:dyDescent="0.25">
      <c r="F5" s="13"/>
      <c r="G5" s="13"/>
      <c r="H5" s="13"/>
      <c r="I5" s="13"/>
      <c r="J5" s="13"/>
      <c r="K5" s="13"/>
      <c r="L5" s="13"/>
      <c r="M5" s="13"/>
      <c r="N5" s="13"/>
      <c r="O5" s="13"/>
      <c r="P5" s="13"/>
      <c r="Q5" s="27"/>
      <c r="R5" s="4"/>
    </row>
    <row r="6" spans="1:21" s="29" customFormat="1" ht="15" customHeight="1" x14ac:dyDescent="0.3">
      <c r="B6" s="32" t="s">
        <v>135</v>
      </c>
      <c r="C6" s="55"/>
      <c r="D6" s="32"/>
      <c r="F6" s="851" t="str">
        <f>IF(Basisdaten!C8=0,"",Basisdaten!C8)</f>
        <v/>
      </c>
      <c r="G6" s="852"/>
      <c r="H6" s="853"/>
      <c r="I6" s="853"/>
      <c r="J6" s="853"/>
      <c r="K6" s="853"/>
      <c r="L6" s="853"/>
      <c r="M6" s="853"/>
      <c r="N6" s="853"/>
      <c r="O6" s="854"/>
      <c r="P6" s="426"/>
      <c r="Q6" s="27"/>
      <c r="R6" s="27"/>
      <c r="S6" s="25"/>
      <c r="T6" s="27"/>
      <c r="U6" s="27"/>
    </row>
    <row r="7" spans="1:21" s="29" customFormat="1" ht="6.9" customHeight="1" x14ac:dyDescent="0.25">
      <c r="B7" s="6"/>
      <c r="C7" s="122"/>
      <c r="D7" s="6"/>
      <c r="E7" s="28"/>
      <c r="F7" s="13"/>
      <c r="G7" s="13"/>
      <c r="H7" s="13"/>
      <c r="I7" s="13"/>
      <c r="J7" s="13"/>
      <c r="K7" s="13"/>
      <c r="L7" s="13"/>
      <c r="M7" s="13"/>
      <c r="N7" s="13"/>
      <c r="O7" s="13"/>
      <c r="P7" s="13"/>
      <c r="Q7" s="27"/>
      <c r="R7" s="27"/>
      <c r="S7" s="25"/>
      <c r="T7" s="27"/>
      <c r="U7" s="27"/>
    </row>
    <row r="8" spans="1:21" s="29" customFormat="1" ht="15" customHeight="1" x14ac:dyDescent="0.25">
      <c r="B8" s="32" t="s">
        <v>81</v>
      </c>
      <c r="C8" s="55"/>
      <c r="D8" s="32"/>
      <c r="E8" s="31"/>
      <c r="F8" s="851" t="str">
        <f>IF(Basisdaten!C6=0,"",Basisdaten!C6)</f>
        <v/>
      </c>
      <c r="G8" s="855"/>
      <c r="H8" s="27"/>
      <c r="I8" s="856" t="s">
        <v>384</v>
      </c>
      <c r="J8" s="856"/>
      <c r="K8" s="857"/>
      <c r="L8" s="858" t="str">
        <f>IF(Basisdaten!I12=0,"",Basisdaten!I12)</f>
        <v/>
      </c>
      <c r="M8" s="859"/>
      <c r="N8" s="859"/>
      <c r="O8" s="860"/>
      <c r="P8" s="428"/>
      <c r="Q8" s="27"/>
      <c r="R8" s="27"/>
      <c r="S8" s="25"/>
      <c r="T8" s="27"/>
      <c r="U8" s="27"/>
    </row>
    <row r="9" spans="1:21" ht="15" customHeight="1" thickBot="1" x14ac:dyDescent="0.3">
      <c r="F9" s="13"/>
      <c r="G9" s="13"/>
      <c r="H9" s="13"/>
      <c r="I9" s="13"/>
      <c r="J9" s="13"/>
      <c r="K9" s="13"/>
      <c r="L9" s="13"/>
      <c r="M9" s="13"/>
      <c r="N9" s="13"/>
      <c r="O9" s="13"/>
      <c r="P9" s="13"/>
      <c r="Q9" s="27"/>
      <c r="R9" s="4"/>
    </row>
    <row r="10" spans="1:21" s="10" customFormat="1" ht="19.5" customHeight="1" thickBot="1" x14ac:dyDescent="0.35">
      <c r="B10" s="829" t="s">
        <v>461</v>
      </c>
      <c r="C10" s="830"/>
      <c r="D10" s="833" t="s">
        <v>840</v>
      </c>
      <c r="E10" s="835" t="s">
        <v>171</v>
      </c>
      <c r="F10" s="835" t="s">
        <v>1</v>
      </c>
      <c r="G10" s="837"/>
      <c r="H10" s="829" t="s">
        <v>2</v>
      </c>
      <c r="I10" s="861"/>
      <c r="J10" s="830"/>
      <c r="K10" s="835" t="s">
        <v>85</v>
      </c>
      <c r="L10" s="837"/>
      <c r="M10" s="791" t="s">
        <v>413</v>
      </c>
      <c r="N10" s="842" t="s">
        <v>3</v>
      </c>
      <c r="O10" s="843"/>
      <c r="P10" s="791" t="s">
        <v>413</v>
      </c>
      <c r="Q10" s="829" t="s">
        <v>517</v>
      </c>
      <c r="R10" s="844"/>
      <c r="S10" s="840" t="s">
        <v>414</v>
      </c>
      <c r="T10" s="838" t="s">
        <v>80</v>
      </c>
      <c r="U10" s="839"/>
    </row>
    <row r="11" spans="1:21" s="10" customFormat="1" ht="23.25" customHeight="1" thickBot="1" x14ac:dyDescent="0.35">
      <c r="B11" s="831"/>
      <c r="C11" s="832"/>
      <c r="D11" s="834"/>
      <c r="E11" s="836"/>
      <c r="F11" s="836"/>
      <c r="G11" s="837"/>
      <c r="H11" s="831"/>
      <c r="I11" s="862"/>
      <c r="J11" s="832"/>
      <c r="K11" s="836"/>
      <c r="L11" s="837"/>
      <c r="M11" s="792"/>
      <c r="N11" s="842"/>
      <c r="O11" s="843"/>
      <c r="P11" s="792"/>
      <c r="Q11" s="845"/>
      <c r="R11" s="846"/>
      <c r="S11" s="841"/>
      <c r="T11" s="425" t="s">
        <v>499</v>
      </c>
      <c r="U11" s="425" t="s">
        <v>450</v>
      </c>
    </row>
    <row r="12" spans="1:21" s="65" customFormat="1" ht="28.5" customHeight="1" thickBot="1" x14ac:dyDescent="0.3">
      <c r="B12" s="719" t="s">
        <v>833</v>
      </c>
      <c r="C12" s="720"/>
      <c r="D12" s="725" t="s">
        <v>501</v>
      </c>
      <c r="E12" s="728" t="s">
        <v>187</v>
      </c>
      <c r="F12" s="737" t="s">
        <v>347</v>
      </c>
      <c r="G12" s="732"/>
      <c r="H12" s="737" t="s">
        <v>6</v>
      </c>
      <c r="I12" s="738"/>
      <c r="J12" s="732"/>
      <c r="K12" s="731" t="s">
        <v>339</v>
      </c>
      <c r="L12" s="732"/>
      <c r="M12" s="741"/>
      <c r="N12" s="744" t="s">
        <v>188</v>
      </c>
      <c r="O12" s="745"/>
      <c r="P12" s="741"/>
      <c r="Q12" s="705" t="s">
        <v>7</v>
      </c>
      <c r="R12" s="812">
        <f>IF(Basisdaten!$J$37="",0,Basisdaten!$J$37)</f>
        <v>0</v>
      </c>
      <c r="S12" s="711" t="str">
        <f>IF('Kennzahlenbogen_(KB)'!R12=0,Berechnung1!$F$4,IF('Kennzahlenbogen_(KB)'!R12=Berechnung1!D33,Berechnung1!$F$4,IF(OR('Kennzahlenbogen_(KB)'!R12&lt; Berechnung1!E33,'Kennzahlenbogen_(KB)'!R12&gt; Berechnung1!F33),Berechnung1!$G$4,IF(OR(ROUND('Kennzahlenbogen_(KB)'!R12,4)&lt;Berechnung1!J33,ROUND('Kennzahlenbogen_(KB)'!R12,4)&gt;Berechnung1!K33),Berechnung1!$D$4,IF(OR(ROUND('Kennzahlenbogen_(KB)'!R12,4)&lt;Berechnung1!G33,ROUND('Kennzahlenbogen_(KB)'!R12,4)&gt;Berechnung1!H33),Berechnung1!$E$4,Berechnung1!$C$4)))))</f>
        <v>Unvollständig</v>
      </c>
      <c r="T12" s="714"/>
      <c r="U12" s="716"/>
    </row>
    <row r="13" spans="1:21" s="65" customFormat="1" ht="28.5" customHeight="1" thickBot="1" x14ac:dyDescent="0.3">
      <c r="B13" s="721"/>
      <c r="C13" s="722"/>
      <c r="D13" s="726"/>
      <c r="E13" s="729"/>
      <c r="F13" s="733"/>
      <c r="G13" s="734"/>
      <c r="H13" s="733"/>
      <c r="I13" s="739"/>
      <c r="J13" s="734"/>
      <c r="K13" s="733"/>
      <c r="L13" s="734"/>
      <c r="M13" s="742"/>
      <c r="N13" s="746"/>
      <c r="O13" s="747"/>
      <c r="P13" s="742"/>
      <c r="Q13" s="706"/>
      <c r="R13" s="812"/>
      <c r="S13" s="712"/>
      <c r="T13" s="715"/>
      <c r="U13" s="717"/>
    </row>
    <row r="14" spans="1:21" s="65" customFormat="1" ht="28.5" customHeight="1" thickBot="1" x14ac:dyDescent="0.3">
      <c r="B14" s="723"/>
      <c r="C14" s="724"/>
      <c r="D14" s="727"/>
      <c r="E14" s="730"/>
      <c r="F14" s="735"/>
      <c r="G14" s="736"/>
      <c r="H14" s="735"/>
      <c r="I14" s="740"/>
      <c r="J14" s="736"/>
      <c r="K14" s="735"/>
      <c r="L14" s="736"/>
      <c r="M14" s="743"/>
      <c r="N14" s="748"/>
      <c r="O14" s="749"/>
      <c r="P14" s="743"/>
      <c r="Q14" s="707"/>
      <c r="R14" s="812"/>
      <c r="S14" s="713"/>
      <c r="T14" s="715"/>
      <c r="U14" s="718"/>
    </row>
    <row r="15" spans="1:21" s="65" customFormat="1" ht="28.5" customHeight="1" thickBot="1" x14ac:dyDescent="0.3">
      <c r="B15" s="719" t="s">
        <v>834</v>
      </c>
      <c r="C15" s="720"/>
      <c r="D15" s="725"/>
      <c r="E15" s="728" t="s">
        <v>880</v>
      </c>
      <c r="F15" s="731" t="s">
        <v>339</v>
      </c>
      <c r="G15" s="732"/>
      <c r="H15" s="737" t="s">
        <v>880</v>
      </c>
      <c r="I15" s="738"/>
      <c r="J15" s="732"/>
      <c r="K15" s="731" t="s">
        <v>339</v>
      </c>
      <c r="L15" s="732"/>
      <c r="M15" s="741"/>
      <c r="N15" s="744" t="s">
        <v>191</v>
      </c>
      <c r="O15" s="745"/>
      <c r="P15" s="741"/>
      <c r="Q15" s="705" t="s">
        <v>7</v>
      </c>
      <c r="R15" s="708"/>
      <c r="S15" s="711" t="str">
        <f>IF('Kennzahlenbogen_(KB)'!R15="",Berechnung1!$F$4,IF(R15=0,Berechnung1!H$4,IF('Kennzahlenbogen_(KB)'!R15=Berechnung1!D36,Berechnung1!$F$4,IF(OR('Kennzahlenbogen_(KB)'!R15&lt;Berechnung1!E36,'Kennzahlenbogen_(KB)'!R15&gt;Berechnung1!F36),Berechnung1!$G$4,IF(OR(ROUND('Kennzahlenbogen_(KB)'!R15,4)&lt;Berechnung1!J36,ROUND('Kennzahlenbogen_(KB)'!R15,4)&gt;Berechnung1!K36),Berechnung1!$D$4,IF(OR(ROUND('Kennzahlenbogen_(KB)'!R15,4)&lt;Berechnung1!G36,ROUND('Kennzahlenbogen_(KB)'!R15,4)&gt;Berechnung1!H36),Berechnung1!$E$4,Berechnung1!$C$4))))))</f>
        <v>Unvollständig</v>
      </c>
      <c r="T15" s="714"/>
      <c r="U15" s="716"/>
    </row>
    <row r="16" spans="1:21" s="65" customFormat="1" ht="28.5" customHeight="1" thickBot="1" x14ac:dyDescent="0.3">
      <c r="B16" s="721"/>
      <c r="C16" s="722"/>
      <c r="D16" s="726"/>
      <c r="E16" s="729"/>
      <c r="F16" s="733"/>
      <c r="G16" s="734"/>
      <c r="H16" s="733"/>
      <c r="I16" s="739"/>
      <c r="J16" s="734"/>
      <c r="K16" s="733"/>
      <c r="L16" s="734"/>
      <c r="M16" s="742"/>
      <c r="N16" s="746"/>
      <c r="O16" s="747"/>
      <c r="P16" s="742"/>
      <c r="Q16" s="706"/>
      <c r="R16" s="709"/>
      <c r="S16" s="712"/>
      <c r="T16" s="715"/>
      <c r="U16" s="717"/>
    </row>
    <row r="17" spans="2:21" s="65" customFormat="1" ht="28.5" customHeight="1" thickBot="1" x14ac:dyDescent="0.3">
      <c r="B17" s="723"/>
      <c r="C17" s="724"/>
      <c r="D17" s="727"/>
      <c r="E17" s="730"/>
      <c r="F17" s="735"/>
      <c r="G17" s="736"/>
      <c r="H17" s="735"/>
      <c r="I17" s="740"/>
      <c r="J17" s="736"/>
      <c r="K17" s="735"/>
      <c r="L17" s="736"/>
      <c r="M17" s="743"/>
      <c r="N17" s="748"/>
      <c r="O17" s="749"/>
      <c r="P17" s="743"/>
      <c r="Q17" s="707"/>
      <c r="R17" s="710"/>
      <c r="S17" s="713"/>
      <c r="T17" s="715"/>
      <c r="U17" s="718"/>
    </row>
    <row r="18" spans="2:21" ht="28.5" customHeight="1" thickBot="1" x14ac:dyDescent="0.3">
      <c r="B18" s="719" t="s">
        <v>144</v>
      </c>
      <c r="C18" s="720"/>
      <c r="D18" s="725"/>
      <c r="E18" s="728" t="s">
        <v>696</v>
      </c>
      <c r="F18" s="737" t="s">
        <v>774</v>
      </c>
      <c r="G18" s="732"/>
      <c r="H18" s="863" t="s">
        <v>699</v>
      </c>
      <c r="I18" s="864"/>
      <c r="J18" s="865"/>
      <c r="K18" s="737" t="s">
        <v>837</v>
      </c>
      <c r="L18" s="732"/>
      <c r="M18" s="741"/>
      <c r="N18" s="744" t="s">
        <v>189</v>
      </c>
      <c r="O18" s="745"/>
      <c r="P18" s="741"/>
      <c r="Q18" s="67" t="s">
        <v>2</v>
      </c>
      <c r="R18" s="79"/>
      <c r="S18" s="711" t="str">
        <f>IF('Kennzahlenbogen_(KB)'!R20=Berechnung1!D39,Berechnung1!$F$4,IF(OR('Kennzahlenbogen_(KB)'!R20&lt; Berechnung1!E39,'Kennzahlenbogen_(KB)'!R20&gt; Berechnung1!F39),Berechnung1!$G$4,IF(OR(ROUND('Kennzahlenbogen_(KB)'!R20,4)&lt;Berechnung1!J39,ROUND('Kennzahlenbogen_(KB)'!R20,4)&gt;Berechnung1!K39),Berechnung1!$D$4,IF(OR(ROUND('Kennzahlenbogen_(KB)'!R20,4)&lt;Berechnung1!G39,ROUND('Kennzahlenbogen_(KB)'!R20,4)&gt;Berechnung1!H39),Berechnung1!$E$4,Berechnung1!$C$4))))</f>
        <v>Unvollständig</v>
      </c>
      <c r="T18" s="714"/>
      <c r="U18" s="714"/>
    </row>
    <row r="19" spans="2:21" ht="28.5" customHeight="1" thickBot="1" x14ac:dyDescent="0.3">
      <c r="B19" s="721"/>
      <c r="C19" s="722"/>
      <c r="D19" s="726"/>
      <c r="E19" s="729"/>
      <c r="F19" s="733"/>
      <c r="G19" s="734"/>
      <c r="H19" s="866"/>
      <c r="I19" s="867"/>
      <c r="J19" s="868"/>
      <c r="K19" s="733"/>
      <c r="L19" s="734"/>
      <c r="M19" s="742"/>
      <c r="N19" s="746"/>
      <c r="O19" s="747"/>
      <c r="P19" s="742"/>
      <c r="Q19" s="67" t="s">
        <v>4</v>
      </c>
      <c r="R19" s="218">
        <f>IF(Basisdaten!$J$37="",0,Basisdaten!$J$37)</f>
        <v>0</v>
      </c>
      <c r="S19" s="712"/>
      <c r="T19" s="754"/>
      <c r="U19" s="754"/>
    </row>
    <row r="20" spans="2:21" ht="28.5" customHeight="1" thickBot="1" x14ac:dyDescent="0.3">
      <c r="B20" s="723"/>
      <c r="C20" s="724"/>
      <c r="D20" s="727"/>
      <c r="E20" s="730"/>
      <c r="F20" s="735"/>
      <c r="G20" s="736"/>
      <c r="H20" s="869"/>
      <c r="I20" s="870"/>
      <c r="J20" s="871"/>
      <c r="K20" s="735"/>
      <c r="L20" s="736"/>
      <c r="M20" s="743"/>
      <c r="N20" s="748"/>
      <c r="O20" s="749"/>
      <c r="P20" s="743"/>
      <c r="Q20" s="67" t="s">
        <v>5</v>
      </c>
      <c r="R20" s="478" t="str">
        <f>IF(R18="","n.d.",IF(R19="","n.d.",IF(R19=0,"",R18/R19)))</f>
        <v>n.d.</v>
      </c>
      <c r="S20" s="713"/>
      <c r="T20" s="755"/>
      <c r="U20" s="755"/>
    </row>
    <row r="21" spans="2:21" s="65" customFormat="1" ht="28.5" customHeight="1" thickBot="1" x14ac:dyDescent="0.3">
      <c r="B21" s="719" t="s">
        <v>145</v>
      </c>
      <c r="C21" s="720"/>
      <c r="D21" s="725"/>
      <c r="E21" s="728" t="s">
        <v>190</v>
      </c>
      <c r="F21" s="737" t="s">
        <v>453</v>
      </c>
      <c r="G21" s="732"/>
      <c r="H21" s="737" t="s">
        <v>700</v>
      </c>
      <c r="I21" s="738"/>
      <c r="J21" s="732"/>
      <c r="K21" s="737" t="s">
        <v>701</v>
      </c>
      <c r="L21" s="732"/>
      <c r="M21" s="741"/>
      <c r="N21" s="744" t="s">
        <v>189</v>
      </c>
      <c r="O21" s="745"/>
      <c r="P21" s="741"/>
      <c r="Q21" s="168" t="s">
        <v>2</v>
      </c>
      <c r="R21" s="79"/>
      <c r="S21" s="711" t="str">
        <f>IF('Kennzahlenbogen_(KB)'!R23=Berechnung1!D42,Berechnung1!$F$4,IF(OR('Kennzahlenbogen_(KB)'!R23&lt; Berechnung1!E42,'Kennzahlenbogen_(KB)'!R23&gt; Berechnung1!F42),Berechnung1!$G$4,IF(OR(ROUND('Kennzahlenbogen_(KB)'!R23,4)&lt;Berechnung1!J42,ROUND('Kennzahlenbogen_(KB)'!R23,4)&gt;Berechnung1!K42),Berechnung1!$D$4,IF(OR(ROUND('Kennzahlenbogen_(KB)'!R23,4)&lt;Berechnung1!G42,ROUND('Kennzahlenbogen_(KB)'!R23,4)&gt;Berechnung1!H42),Berechnung1!$E$4,Berechnung1!$C$4))))</f>
        <v>Unvollständig</v>
      </c>
      <c r="T21" s="714"/>
      <c r="U21" s="716"/>
    </row>
    <row r="22" spans="2:21" s="65" customFormat="1" ht="28.5" customHeight="1" thickBot="1" x14ac:dyDescent="0.3">
      <c r="B22" s="721"/>
      <c r="C22" s="722"/>
      <c r="D22" s="726"/>
      <c r="E22" s="729"/>
      <c r="F22" s="733"/>
      <c r="G22" s="734"/>
      <c r="H22" s="733"/>
      <c r="I22" s="739"/>
      <c r="J22" s="734"/>
      <c r="K22" s="733"/>
      <c r="L22" s="734"/>
      <c r="M22" s="742"/>
      <c r="N22" s="746"/>
      <c r="O22" s="747"/>
      <c r="P22" s="742"/>
      <c r="Q22" s="168" t="s">
        <v>4</v>
      </c>
      <c r="R22" s="218">
        <f>IF(Basisdaten!$J$38="",0,Basisdaten!$J$38)</f>
        <v>0</v>
      </c>
      <c r="S22" s="712"/>
      <c r="T22" s="754"/>
      <c r="U22" s="717"/>
    </row>
    <row r="23" spans="2:21" s="65" customFormat="1" ht="28.5" customHeight="1" thickBot="1" x14ac:dyDescent="0.3">
      <c r="B23" s="723"/>
      <c r="C23" s="724"/>
      <c r="D23" s="727"/>
      <c r="E23" s="730"/>
      <c r="F23" s="735"/>
      <c r="G23" s="736"/>
      <c r="H23" s="735"/>
      <c r="I23" s="740"/>
      <c r="J23" s="736"/>
      <c r="K23" s="735"/>
      <c r="L23" s="736"/>
      <c r="M23" s="743"/>
      <c r="N23" s="748"/>
      <c r="O23" s="749"/>
      <c r="P23" s="743"/>
      <c r="Q23" s="168" t="s">
        <v>5</v>
      </c>
      <c r="R23" s="478" t="str">
        <f>IF(R21="","n.d.",IF(R22="","n.d.",IF(R22=0,"",R21/R22)))</f>
        <v>n.d.</v>
      </c>
      <c r="S23" s="713"/>
      <c r="T23" s="755"/>
      <c r="U23" s="718"/>
    </row>
    <row r="24" spans="2:21" ht="28.5" customHeight="1" thickBot="1" x14ac:dyDescent="0.3">
      <c r="B24" s="821" t="s">
        <v>146</v>
      </c>
      <c r="C24" s="822"/>
      <c r="D24" s="725"/>
      <c r="E24" s="728" t="s">
        <v>8</v>
      </c>
      <c r="F24" s="737" t="s">
        <v>172</v>
      </c>
      <c r="G24" s="732"/>
      <c r="H24" s="737" t="s">
        <v>894</v>
      </c>
      <c r="I24" s="738"/>
      <c r="J24" s="732"/>
      <c r="K24" s="737" t="s">
        <v>881</v>
      </c>
      <c r="L24" s="732"/>
      <c r="M24" s="741" t="s">
        <v>378</v>
      </c>
      <c r="N24" s="744" t="s">
        <v>191</v>
      </c>
      <c r="O24" s="745"/>
      <c r="P24" s="741" t="s">
        <v>340</v>
      </c>
      <c r="Q24" s="168" t="s">
        <v>2</v>
      </c>
      <c r="R24" s="79"/>
      <c r="S24" s="711" t="str">
        <f>IF('Kennzahlenbogen_(KB)'!R26=Berechnung1!D45,Berechnung1!$F$4,IF(OR('Kennzahlenbogen_(KB)'!R26&lt; Berechnung1!E45,'Kennzahlenbogen_(KB)'!R26&gt; Berechnung1!F45),Berechnung1!$G$4,IF(OR(ROUND('Kennzahlenbogen_(KB)'!R26,4)&lt;Berechnung1!J45,ROUND('Kennzahlenbogen_(KB)'!R26,4)&gt;Berechnung1!K45),Berechnung1!$D$4,IF(OR(ROUND('Kennzahlenbogen_(KB)'!R26,4)&lt;Berechnung1!G45,ROUND('Kennzahlenbogen_(KB)'!R26,4)&gt;Berechnung1!H45),Berechnung1!$E$4,Berechnung1!$C$4))))</f>
        <v>Unvollständig</v>
      </c>
      <c r="T24" s="753"/>
      <c r="U24" s="714"/>
    </row>
    <row r="25" spans="2:21" ht="28.5" customHeight="1" thickBot="1" x14ac:dyDescent="0.3">
      <c r="B25" s="823"/>
      <c r="C25" s="824"/>
      <c r="D25" s="726"/>
      <c r="E25" s="729"/>
      <c r="F25" s="733"/>
      <c r="G25" s="734"/>
      <c r="H25" s="733"/>
      <c r="I25" s="739"/>
      <c r="J25" s="734"/>
      <c r="K25" s="733"/>
      <c r="L25" s="734"/>
      <c r="M25" s="742"/>
      <c r="N25" s="746"/>
      <c r="O25" s="747"/>
      <c r="P25" s="742"/>
      <c r="Q25" s="499" t="s">
        <v>4</v>
      </c>
      <c r="R25" s="218">
        <f>R12+R15</f>
        <v>0</v>
      </c>
      <c r="S25" s="712"/>
      <c r="T25" s="754"/>
      <c r="U25" s="754"/>
    </row>
    <row r="26" spans="2:21" ht="28.5" customHeight="1" thickBot="1" x14ac:dyDescent="0.3">
      <c r="B26" s="825"/>
      <c r="C26" s="826"/>
      <c r="D26" s="727"/>
      <c r="E26" s="730"/>
      <c r="F26" s="735"/>
      <c r="G26" s="736"/>
      <c r="H26" s="735"/>
      <c r="I26" s="740"/>
      <c r="J26" s="736"/>
      <c r="K26" s="735"/>
      <c r="L26" s="736"/>
      <c r="M26" s="743"/>
      <c r="N26" s="748"/>
      <c r="O26" s="749"/>
      <c r="P26" s="743"/>
      <c r="Q26" s="168" t="s">
        <v>5</v>
      </c>
      <c r="R26" s="478" t="str">
        <f>IF(R24="","n.d.",IF(R25="","n.d.",IF(R25=0,"",R24/R25)))</f>
        <v>n.d.</v>
      </c>
      <c r="S26" s="713"/>
      <c r="T26" s="755"/>
      <c r="U26" s="755"/>
    </row>
    <row r="27" spans="2:21" s="65" customFormat="1" ht="28.5" customHeight="1" thickBot="1" x14ac:dyDescent="0.3">
      <c r="B27" s="821" t="s">
        <v>147</v>
      </c>
      <c r="C27" s="822"/>
      <c r="D27" s="725"/>
      <c r="E27" s="728" t="s">
        <v>9</v>
      </c>
      <c r="F27" s="737" t="s">
        <v>965</v>
      </c>
      <c r="G27" s="732"/>
      <c r="H27" s="737" t="s">
        <v>966</v>
      </c>
      <c r="I27" s="738"/>
      <c r="J27" s="732"/>
      <c r="K27" s="737" t="s">
        <v>881</v>
      </c>
      <c r="L27" s="732"/>
      <c r="M27" s="741" t="s">
        <v>379</v>
      </c>
      <c r="N27" s="744" t="s">
        <v>191</v>
      </c>
      <c r="O27" s="745"/>
      <c r="P27" s="762"/>
      <c r="Q27" s="168" t="s">
        <v>2</v>
      </c>
      <c r="R27" s="79"/>
      <c r="S27" s="711" t="str">
        <f>IF('Kennzahlenbogen_(KB)'!R29=Berechnung1!D48,Berechnung1!$F$4,IF(OR('Kennzahlenbogen_(KB)'!R29&lt; Berechnung1!E48,'Kennzahlenbogen_(KB)'!R29&gt; Berechnung1!F48),Berechnung1!$G$4,IF(OR(ROUND('Kennzahlenbogen_(KB)'!R29,4)&lt;Berechnung1!J48,ROUND('Kennzahlenbogen_(KB)'!R29,4)&gt;Berechnung1!K48),Berechnung1!$D$4,IF(OR(ROUND('Kennzahlenbogen_(KB)'!R29,4)&lt;Berechnung1!G48,ROUND('Kennzahlenbogen_(KB)'!R29,4)&gt;Berechnung1!H48),Berechnung1!$E$4,Berechnung1!$C$4))))</f>
        <v>Unvollständig</v>
      </c>
      <c r="T27" s="753"/>
      <c r="U27" s="716"/>
    </row>
    <row r="28" spans="2:21" s="65" customFormat="1" ht="28.5" customHeight="1" thickBot="1" x14ac:dyDescent="0.3">
      <c r="B28" s="823"/>
      <c r="C28" s="824"/>
      <c r="D28" s="726"/>
      <c r="E28" s="729"/>
      <c r="F28" s="733"/>
      <c r="G28" s="734"/>
      <c r="H28" s="733"/>
      <c r="I28" s="739"/>
      <c r="J28" s="734"/>
      <c r="K28" s="733"/>
      <c r="L28" s="734"/>
      <c r="M28" s="742"/>
      <c r="N28" s="746"/>
      <c r="O28" s="747"/>
      <c r="P28" s="742"/>
      <c r="Q28" s="498" t="s">
        <v>4</v>
      </c>
      <c r="R28" s="218">
        <f>R25</f>
        <v>0</v>
      </c>
      <c r="S28" s="712"/>
      <c r="T28" s="754"/>
      <c r="U28" s="717"/>
    </row>
    <row r="29" spans="2:21" s="65" customFormat="1" ht="28.5" customHeight="1" thickBot="1" x14ac:dyDescent="0.3">
      <c r="B29" s="825"/>
      <c r="C29" s="826"/>
      <c r="D29" s="727"/>
      <c r="E29" s="730"/>
      <c r="F29" s="735"/>
      <c r="G29" s="736"/>
      <c r="H29" s="735"/>
      <c r="I29" s="740"/>
      <c r="J29" s="736"/>
      <c r="K29" s="735"/>
      <c r="L29" s="736"/>
      <c r="M29" s="743"/>
      <c r="N29" s="748"/>
      <c r="O29" s="749"/>
      <c r="P29" s="743"/>
      <c r="Q29" s="168" t="s">
        <v>5</v>
      </c>
      <c r="R29" s="478" t="str">
        <f>IF(R27="","n.d.",IF(R28="","n.d.",IF(R28=0,"",R27/R28)))</f>
        <v>n.d.</v>
      </c>
      <c r="S29" s="713"/>
      <c r="T29" s="755"/>
      <c r="U29" s="718"/>
    </row>
    <row r="30" spans="2:21" ht="28.5" customHeight="1" thickBot="1" x14ac:dyDescent="0.3">
      <c r="B30" s="719" t="s">
        <v>148</v>
      </c>
      <c r="C30" s="720"/>
      <c r="D30" s="725" t="s">
        <v>502</v>
      </c>
      <c r="E30" s="728" t="s">
        <v>882</v>
      </c>
      <c r="F30" s="737" t="s">
        <v>967</v>
      </c>
      <c r="G30" s="732"/>
      <c r="H30" s="737" t="s">
        <v>968</v>
      </c>
      <c r="I30" s="738"/>
      <c r="J30" s="732"/>
      <c r="K30" s="737" t="s">
        <v>837</v>
      </c>
      <c r="L30" s="732"/>
      <c r="M30" s="741"/>
      <c r="N30" s="744" t="s">
        <v>479</v>
      </c>
      <c r="O30" s="745"/>
      <c r="P30" s="741" t="s">
        <v>380</v>
      </c>
      <c r="Q30" s="168" t="s">
        <v>2</v>
      </c>
      <c r="R30" s="79"/>
      <c r="S30" s="711" t="str">
        <f>IF('Kennzahlenbogen_(KB)'!R32=Berechnung1!D51,Berechnung1!$F$4,IF(OR('Kennzahlenbogen_(KB)'!R32&lt; Berechnung1!E51,'Kennzahlenbogen_(KB)'!R32&gt; Berechnung1!F51),Berechnung1!$G$4,IF(OR(ROUND('Kennzahlenbogen_(KB)'!R32,4)&lt;Berechnung1!J51,ROUND('Kennzahlenbogen_(KB)'!R32,4)&gt;Berechnung1!K51),Berechnung1!$D$4,IF(OR(ROUND('Kennzahlenbogen_(KB)'!R32,4)&lt;Berechnung1!G51,ROUND('Kennzahlenbogen_(KB)'!R32,4)&gt;Berechnung1!H51),Berechnung1!$E$4,Berechnung1!$C$4))))</f>
        <v>Unvollständig</v>
      </c>
      <c r="T30" s="714"/>
      <c r="U30" s="714"/>
    </row>
    <row r="31" spans="2:21" ht="28.5" customHeight="1" thickBot="1" x14ac:dyDescent="0.3">
      <c r="B31" s="721"/>
      <c r="C31" s="722"/>
      <c r="D31" s="726"/>
      <c r="E31" s="729"/>
      <c r="F31" s="733"/>
      <c r="G31" s="734"/>
      <c r="H31" s="733"/>
      <c r="I31" s="739"/>
      <c r="J31" s="734"/>
      <c r="K31" s="733"/>
      <c r="L31" s="734"/>
      <c r="M31" s="742"/>
      <c r="N31" s="746"/>
      <c r="O31" s="747"/>
      <c r="P31" s="742"/>
      <c r="Q31" s="168" t="s">
        <v>4</v>
      </c>
      <c r="R31" s="165">
        <f>IF(Basisdaten!$J$37="",0,Basisdaten!$J$37)</f>
        <v>0</v>
      </c>
      <c r="S31" s="712"/>
      <c r="T31" s="754"/>
      <c r="U31" s="754"/>
    </row>
    <row r="32" spans="2:21" ht="28.5" customHeight="1" thickBot="1" x14ac:dyDescent="0.3">
      <c r="B32" s="723"/>
      <c r="C32" s="724"/>
      <c r="D32" s="727"/>
      <c r="E32" s="730"/>
      <c r="F32" s="735"/>
      <c r="G32" s="736"/>
      <c r="H32" s="735"/>
      <c r="I32" s="740"/>
      <c r="J32" s="736"/>
      <c r="K32" s="735"/>
      <c r="L32" s="736"/>
      <c r="M32" s="743"/>
      <c r="N32" s="748"/>
      <c r="O32" s="749"/>
      <c r="P32" s="743"/>
      <c r="Q32" s="168" t="s">
        <v>5</v>
      </c>
      <c r="R32" s="478" t="str">
        <f>IF(R30="","n.d.",IF(R31="","n.d.",IF(R31=0,"",R30/R31)))</f>
        <v>n.d.</v>
      </c>
      <c r="S32" s="713"/>
      <c r="T32" s="755"/>
      <c r="U32" s="755"/>
    </row>
    <row r="33" spans="2:21" ht="28.5" customHeight="1" thickBot="1" x14ac:dyDescent="0.3">
      <c r="B33" s="827" t="s">
        <v>149</v>
      </c>
      <c r="C33" s="817" t="s">
        <v>185</v>
      </c>
      <c r="D33" s="725" t="s">
        <v>503</v>
      </c>
      <c r="E33" s="728" t="s">
        <v>192</v>
      </c>
      <c r="F33" s="737" t="s">
        <v>193</v>
      </c>
      <c r="G33" s="732"/>
      <c r="H33" s="847" t="s">
        <v>702</v>
      </c>
      <c r="I33" s="848"/>
      <c r="J33" s="813" t="s">
        <v>509</v>
      </c>
      <c r="K33" s="808" t="s">
        <v>609</v>
      </c>
      <c r="L33" s="809"/>
      <c r="M33" s="787" t="s">
        <v>348</v>
      </c>
      <c r="N33" s="800" t="s">
        <v>204</v>
      </c>
      <c r="O33" s="801"/>
      <c r="P33" s="790"/>
      <c r="Q33" s="168" t="s">
        <v>2</v>
      </c>
      <c r="R33" s="79"/>
      <c r="S33" s="711" t="str">
        <f>IF('Kennzahlenbogen_(KB)'!R35=Berechnung1!D54,Berechnung1!$F$4,IF(OR('Kennzahlenbogen_(KB)'!R35&lt; Berechnung1!E54,'Kennzahlenbogen_(KB)'!R35&gt; Berechnung1!F54),Berechnung1!$G$4,IF(OR('Kennzahlenbogen_(KB)'!R35&lt;Berechnung1!J54,'Kennzahlenbogen_(KB)'!R35&gt;Berechnung1!K54),Berechnung1!$D$4,IF(OR(ROUND('Kennzahlenbogen_(KB)'!R35,4)&lt;Berechnung1!G54,ROUND('Kennzahlenbogen_(KB)'!R35,4)&gt;Berechnung1!H54),Berechnung1!$E$4,Berechnung1!$C$4))))</f>
        <v>Unvollständig</v>
      </c>
      <c r="T33" s="714"/>
      <c r="U33" s="714"/>
    </row>
    <row r="34" spans="2:21" ht="28.5" customHeight="1" thickBot="1" x14ac:dyDescent="0.3">
      <c r="B34" s="828"/>
      <c r="C34" s="818"/>
      <c r="D34" s="726"/>
      <c r="E34" s="729"/>
      <c r="F34" s="733"/>
      <c r="G34" s="734"/>
      <c r="H34" s="849"/>
      <c r="I34" s="850"/>
      <c r="J34" s="814"/>
      <c r="K34" s="810"/>
      <c r="L34" s="811"/>
      <c r="M34" s="788"/>
      <c r="N34" s="800"/>
      <c r="O34" s="801"/>
      <c r="P34" s="760"/>
      <c r="Q34" s="498" t="s">
        <v>4</v>
      </c>
      <c r="R34" s="79"/>
      <c r="S34" s="712"/>
      <c r="T34" s="754"/>
      <c r="U34" s="754"/>
    </row>
    <row r="35" spans="2:21" ht="28.5" customHeight="1" thickBot="1" x14ac:dyDescent="0.3">
      <c r="B35" s="828"/>
      <c r="C35" s="819"/>
      <c r="D35" s="726"/>
      <c r="E35" s="729"/>
      <c r="F35" s="733"/>
      <c r="G35" s="734"/>
      <c r="H35" s="849"/>
      <c r="I35" s="850"/>
      <c r="J35" s="815"/>
      <c r="K35" s="810"/>
      <c r="L35" s="811"/>
      <c r="M35" s="788"/>
      <c r="N35" s="800"/>
      <c r="O35" s="801"/>
      <c r="P35" s="761"/>
      <c r="Q35" s="168" t="s">
        <v>5</v>
      </c>
      <c r="R35" s="478" t="str">
        <f>IF(R33="","n.d.",IF(R34="","n.d.",IF(R34=0,"",R33/R34)))</f>
        <v>n.d.</v>
      </c>
      <c r="S35" s="713"/>
      <c r="T35" s="755"/>
      <c r="U35" s="755"/>
    </row>
    <row r="36" spans="2:21" ht="28.5" customHeight="1" thickBot="1" x14ac:dyDescent="0.3">
      <c r="B36" s="828"/>
      <c r="C36" s="820" t="s">
        <v>186</v>
      </c>
      <c r="D36" s="726"/>
      <c r="E36" s="729"/>
      <c r="F36" s="733"/>
      <c r="G36" s="734"/>
      <c r="H36" s="849"/>
      <c r="I36" s="850"/>
      <c r="J36" s="816" t="s">
        <v>510</v>
      </c>
      <c r="K36" s="810"/>
      <c r="L36" s="811"/>
      <c r="M36" s="787" t="s">
        <v>348</v>
      </c>
      <c r="N36" s="800" t="s">
        <v>202</v>
      </c>
      <c r="O36" s="801"/>
      <c r="P36" s="790"/>
      <c r="Q36" s="168" t="s">
        <v>2</v>
      </c>
      <c r="R36" s="79"/>
      <c r="S36" s="711" t="str">
        <f>IF('Kennzahlenbogen_(KB)'!R38=Berechnung1!D57,Berechnung1!$F$4,IF(OR('Kennzahlenbogen_(KB)'!R38&lt; Berechnung1!E57,'Kennzahlenbogen_(KB)'!R38&gt; Berechnung1!F57),Berechnung1!$G$4,IF(OR('Kennzahlenbogen_(KB)'!R38&lt;Berechnung1!J57,'Kennzahlenbogen_(KB)'!R38&gt;Berechnung1!K57),Berechnung1!$D$4,IF(OR(ROUND('Kennzahlenbogen_(KB)'!R38,4)&lt;Berechnung1!G57,ROUND('Kennzahlenbogen_(KB)'!R38,4)&gt;Berechnung1!H57),Berechnung1!$E$4,Berechnung1!$C$4))))</f>
        <v>Unvollständig</v>
      </c>
      <c r="T36" s="714"/>
      <c r="U36" s="714"/>
    </row>
    <row r="37" spans="2:21" ht="28.5" customHeight="1" thickBot="1" x14ac:dyDescent="0.3">
      <c r="B37" s="828"/>
      <c r="C37" s="818"/>
      <c r="D37" s="726"/>
      <c r="E37" s="729"/>
      <c r="F37" s="733"/>
      <c r="G37" s="734"/>
      <c r="H37" s="849"/>
      <c r="I37" s="850"/>
      <c r="J37" s="814"/>
      <c r="K37" s="810"/>
      <c r="L37" s="811"/>
      <c r="M37" s="788"/>
      <c r="N37" s="800"/>
      <c r="O37" s="801"/>
      <c r="P37" s="760"/>
      <c r="Q37" s="498" t="s">
        <v>4</v>
      </c>
      <c r="R37" s="165">
        <f>R34</f>
        <v>0</v>
      </c>
      <c r="S37" s="712"/>
      <c r="T37" s="754"/>
      <c r="U37" s="754"/>
    </row>
    <row r="38" spans="2:21" ht="28.5" customHeight="1" thickBot="1" x14ac:dyDescent="0.3">
      <c r="B38" s="828"/>
      <c r="C38" s="819"/>
      <c r="D38" s="726"/>
      <c r="E38" s="729"/>
      <c r="F38" s="735"/>
      <c r="G38" s="736"/>
      <c r="H38" s="849"/>
      <c r="I38" s="850"/>
      <c r="J38" s="814"/>
      <c r="K38" s="810"/>
      <c r="L38" s="811"/>
      <c r="M38" s="789"/>
      <c r="N38" s="800"/>
      <c r="O38" s="801"/>
      <c r="P38" s="761"/>
      <c r="Q38" s="168" t="s">
        <v>5</v>
      </c>
      <c r="R38" s="478" t="str">
        <f>IF(R36="","n.d.",IF(R37="","n.d.",IF(R37=0,"",R36/R37)))</f>
        <v>n.d.</v>
      </c>
      <c r="S38" s="713"/>
      <c r="T38" s="755"/>
      <c r="U38" s="755"/>
    </row>
    <row r="39" spans="2:21" s="65" customFormat="1" ht="28.5" customHeight="1" thickBot="1" x14ac:dyDescent="0.3">
      <c r="B39" s="719" t="s">
        <v>150</v>
      </c>
      <c r="C39" s="720"/>
      <c r="D39" s="725" t="s">
        <v>504</v>
      </c>
      <c r="E39" s="728" t="s">
        <v>824</v>
      </c>
      <c r="F39" s="737" t="s">
        <v>347</v>
      </c>
      <c r="G39" s="732"/>
      <c r="H39" s="737" t="s">
        <v>648</v>
      </c>
      <c r="I39" s="738"/>
      <c r="J39" s="732"/>
      <c r="K39" s="874" t="s">
        <v>339</v>
      </c>
      <c r="L39" s="763"/>
      <c r="M39" s="741"/>
      <c r="N39" s="744" t="s">
        <v>194</v>
      </c>
      <c r="O39" s="745"/>
      <c r="P39" s="741"/>
      <c r="Q39" s="795" t="s">
        <v>7</v>
      </c>
      <c r="R39" s="798">
        <f>IF(Basisdaten!$J$38="",0,Basisdaten!$J$38)</f>
        <v>0</v>
      </c>
      <c r="S39" s="711" t="str">
        <f>IF('Kennzahlenbogen_(KB)'!R39=0,Berechnung1!$F$4,IF('Kennzahlenbogen_(KB)'!R39=Berechnung1!D60,Berechnung1!$F$4,IF(OR('Kennzahlenbogen_(KB)'!R39&lt; Berechnung1!E60,'Kennzahlenbogen_(KB)'!R39&gt; Berechnung1!F60),Berechnung1!$G$4,IF(OR(ROUND('Kennzahlenbogen_(KB)'!R39,4)&lt;Berechnung1!J60,ROUND('Kennzahlenbogen_(KB)'!R39,4)&gt;Berechnung1!K60),Berechnung1!$D$4,IF(OR(ROUND('Kennzahlenbogen_(KB)'!R39,4)&lt;Berechnung1!G60,ROUND('Kennzahlenbogen_(KB)'!R39,4)&gt;Berechnung1!H60),Berechnung1!$E$4,Berechnung1!$C$4)))))</f>
        <v>Unvollständig</v>
      </c>
      <c r="T39" s="714"/>
      <c r="U39" s="716"/>
    </row>
    <row r="40" spans="2:21" s="65" customFormat="1" ht="28.5" customHeight="1" thickBot="1" x14ac:dyDescent="0.3">
      <c r="B40" s="721"/>
      <c r="C40" s="722"/>
      <c r="D40" s="726"/>
      <c r="E40" s="729"/>
      <c r="F40" s="733"/>
      <c r="G40" s="734"/>
      <c r="H40" s="733"/>
      <c r="I40" s="739"/>
      <c r="J40" s="734"/>
      <c r="K40" s="763"/>
      <c r="L40" s="763"/>
      <c r="M40" s="742"/>
      <c r="N40" s="746"/>
      <c r="O40" s="747"/>
      <c r="P40" s="742"/>
      <c r="Q40" s="796"/>
      <c r="R40" s="799"/>
      <c r="S40" s="712"/>
      <c r="T40" s="754"/>
      <c r="U40" s="717"/>
    </row>
    <row r="41" spans="2:21" s="65" customFormat="1" ht="28.5" customHeight="1" thickBot="1" x14ac:dyDescent="0.3">
      <c r="B41" s="721"/>
      <c r="C41" s="722"/>
      <c r="D41" s="727"/>
      <c r="E41" s="730"/>
      <c r="F41" s="735"/>
      <c r="G41" s="736"/>
      <c r="H41" s="735"/>
      <c r="I41" s="740"/>
      <c r="J41" s="736"/>
      <c r="K41" s="763"/>
      <c r="L41" s="763"/>
      <c r="M41" s="743"/>
      <c r="N41" s="748"/>
      <c r="O41" s="749"/>
      <c r="P41" s="743"/>
      <c r="Q41" s="797"/>
      <c r="R41" s="799"/>
      <c r="S41" s="713"/>
      <c r="T41" s="755"/>
      <c r="U41" s="718"/>
    </row>
    <row r="42" spans="2:21" ht="28.5" customHeight="1" thickBot="1" x14ac:dyDescent="0.3">
      <c r="B42" s="719" t="s">
        <v>151</v>
      </c>
      <c r="C42" s="720"/>
      <c r="D42" s="726" t="s">
        <v>504</v>
      </c>
      <c r="E42" s="729" t="s">
        <v>196</v>
      </c>
      <c r="F42" s="737" t="s">
        <v>347</v>
      </c>
      <c r="G42" s="732"/>
      <c r="H42" s="737" t="s">
        <v>649</v>
      </c>
      <c r="I42" s="738"/>
      <c r="J42" s="732"/>
      <c r="K42" s="875" t="s">
        <v>339</v>
      </c>
      <c r="L42" s="730"/>
      <c r="M42" s="741"/>
      <c r="N42" s="744" t="s">
        <v>195</v>
      </c>
      <c r="O42" s="745"/>
      <c r="P42" s="741"/>
      <c r="Q42" s="795" t="s">
        <v>7</v>
      </c>
      <c r="R42" s="798">
        <f>IF(Basisdaten!$J$40="",0,Basisdaten!$J$40)</f>
        <v>0</v>
      </c>
      <c r="S42" s="711" t="str">
        <f>IF('Kennzahlenbogen_(KB)'!R42=0,Berechnung1!$F$4,IF('Kennzahlenbogen_(KB)'!R42=Berechnung1!D63,Berechnung1!$F$4,IF(OR('Kennzahlenbogen_(KB)'!R42&lt; Berechnung1!E63,'Kennzahlenbogen_(KB)'!R42&gt; Berechnung1!F63),Berechnung1!$G$4,IF(OR(ROUND('Kennzahlenbogen_(KB)'!R42,4)&lt;Berechnung1!J63,ROUND('Kennzahlenbogen_(KB)'!R42,4)&gt;Berechnung1!K63),Berechnung1!$D$4,IF(OR(ROUND('Kennzahlenbogen_(KB)'!R42,4)&lt;Berechnung1!G63,ROUND('Kennzahlenbogen_(KB)'!R42,4)&gt;Berechnung1!H63),Berechnung1!$E$4,Berechnung1!$C$4)))))</f>
        <v>Unvollständig</v>
      </c>
      <c r="T42" s="714"/>
      <c r="U42" s="714"/>
    </row>
    <row r="43" spans="2:21" ht="28.5" customHeight="1" thickBot="1" x14ac:dyDescent="0.3">
      <c r="B43" s="721"/>
      <c r="C43" s="722"/>
      <c r="D43" s="726"/>
      <c r="E43" s="729"/>
      <c r="F43" s="733"/>
      <c r="G43" s="734"/>
      <c r="H43" s="733"/>
      <c r="I43" s="739"/>
      <c r="J43" s="734"/>
      <c r="K43" s="763"/>
      <c r="L43" s="763"/>
      <c r="M43" s="742"/>
      <c r="N43" s="746"/>
      <c r="O43" s="747"/>
      <c r="P43" s="742"/>
      <c r="Q43" s="796"/>
      <c r="R43" s="799"/>
      <c r="S43" s="712"/>
      <c r="T43" s="754"/>
      <c r="U43" s="754"/>
    </row>
    <row r="44" spans="2:21" ht="28.5" customHeight="1" thickBot="1" x14ac:dyDescent="0.3">
      <c r="B44" s="723"/>
      <c r="C44" s="724"/>
      <c r="D44" s="727"/>
      <c r="E44" s="730"/>
      <c r="F44" s="735"/>
      <c r="G44" s="736"/>
      <c r="H44" s="735"/>
      <c r="I44" s="740"/>
      <c r="J44" s="736"/>
      <c r="K44" s="763"/>
      <c r="L44" s="763"/>
      <c r="M44" s="743"/>
      <c r="N44" s="748"/>
      <c r="O44" s="749"/>
      <c r="P44" s="743"/>
      <c r="Q44" s="797"/>
      <c r="R44" s="799"/>
      <c r="S44" s="713"/>
      <c r="T44" s="755"/>
      <c r="U44" s="755"/>
    </row>
    <row r="45" spans="2:21" s="66" customFormat="1" ht="28.5" customHeight="1" thickBot="1" x14ac:dyDescent="0.3">
      <c r="B45" s="719" t="s">
        <v>152</v>
      </c>
      <c r="C45" s="720"/>
      <c r="D45" s="725"/>
      <c r="E45" s="763" t="s">
        <v>197</v>
      </c>
      <c r="F45" s="763" t="s">
        <v>480</v>
      </c>
      <c r="G45" s="764"/>
      <c r="H45" s="737" t="s">
        <v>703</v>
      </c>
      <c r="I45" s="738"/>
      <c r="J45" s="732"/>
      <c r="K45" s="874" t="s">
        <v>650</v>
      </c>
      <c r="L45" s="764"/>
      <c r="M45" s="759" t="s">
        <v>348</v>
      </c>
      <c r="N45" s="800" t="s">
        <v>203</v>
      </c>
      <c r="O45" s="801"/>
      <c r="P45" s="790"/>
      <c r="Q45" s="120" t="s">
        <v>2</v>
      </c>
      <c r="R45" s="79"/>
      <c r="S45" s="711" t="str">
        <f>IF('Kennzahlenbogen_(KB)'!R47=Berechnung1!D66,Berechnung1!$F$4,IF(OR('Kennzahlenbogen_(KB)'!R47&lt; Berechnung1!E66,'Kennzahlenbogen_(KB)'!R47&gt; Berechnung1!F66),Berechnung1!$G$4,IF(OR('Kennzahlenbogen_(KB)'!R47&lt;Berechnung1!J66,'Kennzahlenbogen_(KB)'!R47&gt;Berechnung1!K66),Berechnung1!$D$4,IF(OR(ROUND('Kennzahlenbogen_(KB)'!R47,4)&lt;Berechnung1!G66,ROUND('Kennzahlenbogen_(KB)'!R47,4)&gt;Berechnung1!H66),Berechnung1!$E$4,Berechnung1!$C$4))))</f>
        <v>Unvollständig</v>
      </c>
      <c r="T45" s="714"/>
      <c r="U45" s="716"/>
    </row>
    <row r="46" spans="2:21" s="65" customFormat="1" ht="28.5" customHeight="1" thickBot="1" x14ac:dyDescent="0.3">
      <c r="B46" s="721"/>
      <c r="C46" s="722"/>
      <c r="D46" s="726"/>
      <c r="E46" s="763"/>
      <c r="F46" s="763"/>
      <c r="G46" s="764"/>
      <c r="H46" s="733"/>
      <c r="I46" s="739"/>
      <c r="J46" s="734"/>
      <c r="K46" s="763"/>
      <c r="L46" s="764"/>
      <c r="M46" s="760"/>
      <c r="N46" s="800"/>
      <c r="O46" s="801"/>
      <c r="P46" s="760"/>
      <c r="Q46" s="120" t="s">
        <v>4</v>
      </c>
      <c r="R46" s="218">
        <f>IF(Basisdaten!$J$40="",0,Basisdaten!$J$40)</f>
        <v>0</v>
      </c>
      <c r="S46" s="712"/>
      <c r="T46" s="754"/>
      <c r="U46" s="717"/>
    </row>
    <row r="47" spans="2:21" s="65" customFormat="1" ht="28.5" customHeight="1" thickBot="1" x14ac:dyDescent="0.3">
      <c r="B47" s="723"/>
      <c r="C47" s="724"/>
      <c r="D47" s="727"/>
      <c r="E47" s="763"/>
      <c r="F47" s="763"/>
      <c r="G47" s="764"/>
      <c r="H47" s="735"/>
      <c r="I47" s="740"/>
      <c r="J47" s="736"/>
      <c r="K47" s="763"/>
      <c r="L47" s="764"/>
      <c r="M47" s="761"/>
      <c r="N47" s="800"/>
      <c r="O47" s="801"/>
      <c r="P47" s="761"/>
      <c r="Q47" s="120" t="s">
        <v>5</v>
      </c>
      <c r="R47" s="478" t="str">
        <f>IF(R45="","n.d.",IF(R46="","n.d.",IF(R46=0,"",R45/R46)))</f>
        <v>n.d.</v>
      </c>
      <c r="S47" s="713"/>
      <c r="T47" s="755"/>
      <c r="U47" s="718"/>
    </row>
    <row r="48" spans="2:21" ht="28.5" customHeight="1" thickBot="1" x14ac:dyDescent="0.3">
      <c r="B48" s="719" t="s">
        <v>102</v>
      </c>
      <c r="C48" s="720"/>
      <c r="D48" s="725"/>
      <c r="E48" s="763" t="s">
        <v>198</v>
      </c>
      <c r="F48" s="763" t="s">
        <v>353</v>
      </c>
      <c r="G48" s="764"/>
      <c r="H48" s="737" t="s">
        <v>704</v>
      </c>
      <c r="I48" s="738"/>
      <c r="J48" s="732"/>
      <c r="K48" s="874" t="s">
        <v>650</v>
      </c>
      <c r="L48" s="764"/>
      <c r="M48" s="759" t="s">
        <v>348</v>
      </c>
      <c r="N48" s="744" t="s">
        <v>191</v>
      </c>
      <c r="O48" s="745"/>
      <c r="P48" s="762" t="s">
        <v>526</v>
      </c>
      <c r="Q48" s="120" t="s">
        <v>2</v>
      </c>
      <c r="R48" s="79"/>
      <c r="S48" s="711" t="str">
        <f>IF('Kennzahlenbogen_(KB)'!R50=Berechnung1!D69,Berechnung1!$F$4,IF(OR('Kennzahlenbogen_(KB)'!R50&lt; Berechnung1!E69,'Kennzahlenbogen_(KB)'!R50&gt; Berechnung1!F69),Berechnung1!$G$4,IF(OR('Kennzahlenbogen_(KB)'!R50&lt;Berechnung1!J69,'Kennzahlenbogen_(KB)'!R50&gt;Berechnung1!K69),Berechnung1!$D$4,IF(OR(ROUND('Kennzahlenbogen_(KB)'!R50,4)&lt;Berechnung1!G69,ROUND('Kennzahlenbogen_(KB)'!R50,4)&gt;Berechnung1!H69),Berechnung1!$E$4,Berechnung1!$C$4))))</f>
        <v>Unvollständig</v>
      </c>
      <c r="T48" s="714"/>
      <c r="U48" s="714"/>
    </row>
    <row r="49" spans="2:22" ht="28.5" customHeight="1" thickBot="1" x14ac:dyDescent="0.3">
      <c r="B49" s="721"/>
      <c r="C49" s="722"/>
      <c r="D49" s="726"/>
      <c r="E49" s="763"/>
      <c r="F49" s="763"/>
      <c r="G49" s="764"/>
      <c r="H49" s="733"/>
      <c r="I49" s="739"/>
      <c r="J49" s="734"/>
      <c r="K49" s="763"/>
      <c r="L49" s="764"/>
      <c r="M49" s="760"/>
      <c r="N49" s="746"/>
      <c r="O49" s="747"/>
      <c r="P49" s="742"/>
      <c r="Q49" s="120" t="s">
        <v>4</v>
      </c>
      <c r="R49" s="218">
        <f>IF(Basisdaten!$J$40="",0,Basisdaten!$J$40)</f>
        <v>0</v>
      </c>
      <c r="S49" s="712"/>
      <c r="T49" s="754"/>
      <c r="U49" s="754"/>
    </row>
    <row r="50" spans="2:22" ht="28.5" customHeight="1" thickBot="1" x14ac:dyDescent="0.3">
      <c r="B50" s="723"/>
      <c r="C50" s="724"/>
      <c r="D50" s="727"/>
      <c r="E50" s="763"/>
      <c r="F50" s="763"/>
      <c r="G50" s="764"/>
      <c r="H50" s="735"/>
      <c r="I50" s="740"/>
      <c r="J50" s="736"/>
      <c r="K50" s="763"/>
      <c r="L50" s="764"/>
      <c r="M50" s="761"/>
      <c r="N50" s="748"/>
      <c r="O50" s="749"/>
      <c r="P50" s="743"/>
      <c r="Q50" s="120" t="s">
        <v>5</v>
      </c>
      <c r="R50" s="478" t="str">
        <f>IF(R48="","n.d.",IF(R49="","n.d.",IF(R49=0,"",R48/R49)))</f>
        <v>n.d.</v>
      </c>
      <c r="S50" s="713"/>
      <c r="T50" s="755"/>
      <c r="U50" s="755"/>
    </row>
    <row r="51" spans="2:22" s="65" customFormat="1" ht="28.5" customHeight="1" thickBot="1" x14ac:dyDescent="0.3">
      <c r="B51" s="719" t="s">
        <v>103</v>
      </c>
      <c r="C51" s="720"/>
      <c r="D51" s="725"/>
      <c r="E51" s="763" t="s">
        <v>199</v>
      </c>
      <c r="F51" s="763" t="s">
        <v>884</v>
      </c>
      <c r="G51" s="764"/>
      <c r="H51" s="737" t="s">
        <v>883</v>
      </c>
      <c r="I51" s="738"/>
      <c r="J51" s="732"/>
      <c r="K51" s="763" t="s">
        <v>651</v>
      </c>
      <c r="L51" s="764"/>
      <c r="M51" s="759" t="s">
        <v>348</v>
      </c>
      <c r="N51" s="800" t="s">
        <v>202</v>
      </c>
      <c r="O51" s="801"/>
      <c r="P51" s="790"/>
      <c r="Q51" s="120" t="s">
        <v>2</v>
      </c>
      <c r="R51" s="173"/>
      <c r="S51" s="711" t="str">
        <f>IF('Kennzahlenbogen_(KB)'!R53=Berechnung1!D72,Berechnung1!$F$4,IF(OR('Kennzahlenbogen_(KB)'!R53&lt; Berechnung1!E72,'Kennzahlenbogen_(KB)'!R53&gt; Berechnung1!F72),Berechnung1!$G$4,IF(OR('Kennzahlenbogen_(KB)'!R53&lt;Berechnung1!J72,'Kennzahlenbogen_(KB)'!R53&gt;Berechnung1!K72),Berechnung1!$D$4,IF(OR(ROUND('Kennzahlenbogen_(KB)'!R53,4)&lt;Berechnung1!G72,ROUND('Kennzahlenbogen_(KB)'!R53,4)&gt;Berechnung1!H72),Berechnung1!$E$4,Berechnung1!$C$4))))</f>
        <v>Unvollständig</v>
      </c>
      <c r="T51" s="714"/>
      <c r="U51" s="716"/>
    </row>
    <row r="52" spans="2:22" s="65" customFormat="1" ht="28.5" customHeight="1" thickBot="1" x14ac:dyDescent="0.3">
      <c r="B52" s="721"/>
      <c r="C52" s="722"/>
      <c r="D52" s="726"/>
      <c r="E52" s="763"/>
      <c r="F52" s="763"/>
      <c r="G52" s="764"/>
      <c r="H52" s="733"/>
      <c r="I52" s="739"/>
      <c r="J52" s="734"/>
      <c r="K52" s="763"/>
      <c r="L52" s="764"/>
      <c r="M52" s="760"/>
      <c r="N52" s="800"/>
      <c r="O52" s="801"/>
      <c r="P52" s="760"/>
      <c r="Q52" s="120" t="s">
        <v>4</v>
      </c>
      <c r="R52" s="121">
        <f>IF(Basisdaten!$J$40="",0,Basisdaten!$J$40)</f>
        <v>0</v>
      </c>
      <c r="S52" s="712"/>
      <c r="T52" s="754"/>
      <c r="U52" s="717"/>
    </row>
    <row r="53" spans="2:22" s="65" customFormat="1" ht="28.5" customHeight="1" thickBot="1" x14ac:dyDescent="0.3">
      <c r="B53" s="723"/>
      <c r="C53" s="724"/>
      <c r="D53" s="727"/>
      <c r="E53" s="763"/>
      <c r="F53" s="763"/>
      <c r="G53" s="764"/>
      <c r="H53" s="735"/>
      <c r="I53" s="740"/>
      <c r="J53" s="736"/>
      <c r="K53" s="763"/>
      <c r="L53" s="764"/>
      <c r="M53" s="761"/>
      <c r="N53" s="800"/>
      <c r="O53" s="801"/>
      <c r="P53" s="761"/>
      <c r="Q53" s="120" t="s">
        <v>5</v>
      </c>
      <c r="R53" s="479" t="str">
        <f>IF(R51="","n.d.",IF(R52="","n.d.",IF(R52=0,"",R51/R52)))</f>
        <v>n.d.</v>
      </c>
      <c r="S53" s="713"/>
      <c r="T53" s="755"/>
      <c r="U53" s="718"/>
    </row>
    <row r="54" spans="2:22" ht="28.5" customHeight="1" thickBot="1" x14ac:dyDescent="0.3">
      <c r="B54" s="719" t="s">
        <v>104</v>
      </c>
      <c r="C54" s="720"/>
      <c r="D54" s="725" t="s">
        <v>838</v>
      </c>
      <c r="E54" s="728" t="s">
        <v>200</v>
      </c>
      <c r="F54" s="763" t="s">
        <v>377</v>
      </c>
      <c r="G54" s="764"/>
      <c r="H54" s="737" t="s">
        <v>705</v>
      </c>
      <c r="I54" s="738"/>
      <c r="J54" s="732"/>
      <c r="K54" s="763" t="s">
        <v>707</v>
      </c>
      <c r="L54" s="764"/>
      <c r="M54" s="759" t="s">
        <v>354</v>
      </c>
      <c r="N54" s="744" t="s">
        <v>191</v>
      </c>
      <c r="O54" s="745"/>
      <c r="P54" s="762"/>
      <c r="Q54" s="120" t="s">
        <v>2</v>
      </c>
      <c r="R54" s="173"/>
      <c r="S54" s="711" t="str">
        <f>IF('Kennzahlenbogen_(KB)'!R56=Berechnung1!D75,Berechnung1!$F$4,IF(OR('Kennzahlenbogen_(KB)'!R56&lt; Berechnung1!E75,'Kennzahlenbogen_(KB)'!R56&gt; Berechnung1!F75),Berechnung1!$G$4,IF(OR(ROUND('Kennzahlenbogen_(KB)'!R56,4)&lt;Berechnung1!J75,ROUND('Kennzahlenbogen_(KB)'!R56,4)&gt;Berechnung1!K75),Berechnung1!$D$4,IF(OR(ROUND('Kennzahlenbogen_(KB)'!R56,4)&lt;Berechnung1!G75,ROUND('Kennzahlenbogen_(KB)'!R56,4)&gt;Berechnung1!H75),Berechnung1!$E$4,Berechnung1!$C$4))))</f>
        <v>Unvollständig</v>
      </c>
      <c r="T54" s="714"/>
      <c r="U54" s="714"/>
    </row>
    <row r="55" spans="2:22" ht="28.5" customHeight="1" thickBot="1" x14ac:dyDescent="0.3">
      <c r="B55" s="721"/>
      <c r="C55" s="722"/>
      <c r="D55" s="726"/>
      <c r="E55" s="729"/>
      <c r="F55" s="763"/>
      <c r="G55" s="764"/>
      <c r="H55" s="733"/>
      <c r="I55" s="739"/>
      <c r="J55" s="734"/>
      <c r="K55" s="763"/>
      <c r="L55" s="764"/>
      <c r="M55" s="760"/>
      <c r="N55" s="746"/>
      <c r="O55" s="747"/>
      <c r="P55" s="742"/>
      <c r="Q55" s="120" t="s">
        <v>4</v>
      </c>
      <c r="R55" s="121">
        <f>IF(Basisdaten!$J$38="",0,Basisdaten!$J$38)</f>
        <v>0</v>
      </c>
      <c r="S55" s="712"/>
      <c r="T55" s="754"/>
      <c r="U55" s="754"/>
    </row>
    <row r="56" spans="2:22" ht="28.5" customHeight="1" thickBot="1" x14ac:dyDescent="0.3">
      <c r="B56" s="723"/>
      <c r="C56" s="724"/>
      <c r="D56" s="727"/>
      <c r="E56" s="730"/>
      <c r="F56" s="763"/>
      <c r="G56" s="764"/>
      <c r="H56" s="735"/>
      <c r="I56" s="740"/>
      <c r="J56" s="736"/>
      <c r="K56" s="763"/>
      <c r="L56" s="764"/>
      <c r="M56" s="761"/>
      <c r="N56" s="748"/>
      <c r="O56" s="749"/>
      <c r="P56" s="743"/>
      <c r="Q56" s="120" t="s">
        <v>5</v>
      </c>
      <c r="R56" s="479" t="str">
        <f>IF(R54="","n.d.",IF(R55="","n.d.",IF(R55=0,"",R54/R55)))</f>
        <v>n.d.</v>
      </c>
      <c r="S56" s="713"/>
      <c r="T56" s="755"/>
      <c r="U56" s="755"/>
    </row>
    <row r="57" spans="2:22" ht="28.5" customHeight="1" thickBot="1" x14ac:dyDescent="0.3">
      <c r="B57" s="888">
        <v>14</v>
      </c>
      <c r="C57" s="720"/>
      <c r="D57" s="889" t="s">
        <v>838</v>
      </c>
      <c r="E57" s="783" t="s">
        <v>839</v>
      </c>
      <c r="F57" s="783" t="s">
        <v>642</v>
      </c>
      <c r="G57" s="892"/>
      <c r="H57" s="847" t="s">
        <v>706</v>
      </c>
      <c r="I57" s="848"/>
      <c r="J57" s="876"/>
      <c r="K57" s="872" t="s">
        <v>775</v>
      </c>
      <c r="L57" s="873"/>
      <c r="M57" s="807" t="s">
        <v>355</v>
      </c>
      <c r="N57" s="802" t="s">
        <v>191</v>
      </c>
      <c r="O57" s="803"/>
      <c r="P57" s="804"/>
      <c r="Q57" s="120" t="s">
        <v>2</v>
      </c>
      <c r="R57" s="173"/>
      <c r="S57" s="711" t="str">
        <f>IF('Kennzahlenbogen_(KB)'!R59=Berechnung1!D78,Berechnung1!$F$4,IF(OR('Kennzahlenbogen_(KB)'!R59&lt; Berechnung1!E78,'Kennzahlenbogen_(KB)'!R59&gt; Berechnung1!F78),Berechnung1!$G$4,IF(OR(ROUND('Kennzahlenbogen_(KB)'!R59,4)&lt;Berechnung1!J78,ROUND('Kennzahlenbogen_(KB)'!R59,4)&gt;Berechnung1!K78),Berechnung1!$D$4,IF(OR(ROUND('Kennzahlenbogen_(KB)'!R59,4)&lt;Berechnung1!G78,ROUND('Kennzahlenbogen_(KB)'!R59,4)&gt;Berechnung1!H78),Berechnung1!$E$4,Berechnung1!$C$4))))</f>
        <v>Unvollständig</v>
      </c>
      <c r="T57" s="753"/>
      <c r="U57" s="716"/>
    </row>
    <row r="58" spans="2:22" ht="28.5" customHeight="1" thickBot="1" x14ac:dyDescent="0.3">
      <c r="B58" s="721"/>
      <c r="C58" s="722"/>
      <c r="D58" s="890"/>
      <c r="E58" s="783"/>
      <c r="F58" s="783"/>
      <c r="G58" s="892"/>
      <c r="H58" s="849"/>
      <c r="I58" s="850"/>
      <c r="J58" s="877"/>
      <c r="K58" s="872"/>
      <c r="L58" s="873"/>
      <c r="M58" s="805"/>
      <c r="N58" s="802"/>
      <c r="O58" s="803"/>
      <c r="P58" s="805"/>
      <c r="Q58" s="120" t="s">
        <v>4</v>
      </c>
      <c r="R58" s="232"/>
      <c r="S58" s="712"/>
      <c r="T58" s="754"/>
      <c r="U58" s="717"/>
      <c r="V58" s="539" t="str">
        <f>Basisdaten!J32</f>
        <v/>
      </c>
    </row>
    <row r="59" spans="2:22" ht="28.5" customHeight="1" thickBot="1" x14ac:dyDescent="0.3">
      <c r="B59" s="723"/>
      <c r="C59" s="724"/>
      <c r="D59" s="891"/>
      <c r="E59" s="783"/>
      <c r="F59" s="783"/>
      <c r="G59" s="892"/>
      <c r="H59" s="878"/>
      <c r="I59" s="879"/>
      <c r="J59" s="880"/>
      <c r="K59" s="872"/>
      <c r="L59" s="873"/>
      <c r="M59" s="806"/>
      <c r="N59" s="802"/>
      <c r="O59" s="803"/>
      <c r="P59" s="806"/>
      <c r="Q59" s="120" t="s">
        <v>5</v>
      </c>
      <c r="R59" s="479" t="str">
        <f>IF(R57="","n.d.",IF(R58="","n.d.",IF(R58=0,"",R57/R58)))</f>
        <v>n.d.</v>
      </c>
      <c r="S59" s="713"/>
      <c r="T59" s="755"/>
      <c r="U59" s="718"/>
    </row>
    <row r="60" spans="2:22" ht="28.5" customHeight="1" thickBot="1" x14ac:dyDescent="0.3">
      <c r="B60" s="768">
        <v>15</v>
      </c>
      <c r="C60" s="769"/>
      <c r="D60" s="765" t="s">
        <v>838</v>
      </c>
      <c r="E60" s="783" t="s">
        <v>454</v>
      </c>
      <c r="F60" s="774" t="s">
        <v>455</v>
      </c>
      <c r="G60" s="776"/>
      <c r="H60" s="774" t="s">
        <v>866</v>
      </c>
      <c r="I60" s="775"/>
      <c r="J60" s="776"/>
      <c r="K60" s="774" t="s">
        <v>867</v>
      </c>
      <c r="L60" s="776"/>
      <c r="M60" s="759" t="s">
        <v>525</v>
      </c>
      <c r="N60" s="744" t="s">
        <v>191</v>
      </c>
      <c r="O60" s="745"/>
      <c r="P60" s="762"/>
      <c r="Q60" s="120" t="s">
        <v>2</v>
      </c>
      <c r="R60" s="173"/>
      <c r="S60" s="711" t="str">
        <f>IF('Kennzahlenbogen_(KB)'!R62=Berechnung1!D81,Berechnung1!$F$4,IF(OR('Kennzahlenbogen_(KB)'!R62&lt; Berechnung1!E81,'Kennzahlenbogen_(KB)'!R62&gt; Berechnung1!F81),Berechnung1!$G$4,IF(OR(ROUND('Kennzahlenbogen_(KB)'!R62,4)&lt;Berechnung1!J81,ROUND('Kennzahlenbogen_(KB)'!R62,4)&gt;Berechnung1!K81),Berechnung1!$D$4,IF(OR(ROUND('Kennzahlenbogen_(KB)'!R62,4)&lt;Berechnung1!G81,ROUND('Kennzahlenbogen_(KB)'!R62,4)&gt;Berechnung1!H81),Berechnung1!$E$4,Berechnung1!$C$4))))</f>
        <v>Unvollständig</v>
      </c>
      <c r="T60" s="753"/>
      <c r="U60" s="750"/>
    </row>
    <row r="61" spans="2:22" ht="28.5" customHeight="1" thickBot="1" x14ac:dyDescent="0.3">
      <c r="B61" s="770"/>
      <c r="C61" s="771"/>
      <c r="D61" s="766"/>
      <c r="E61" s="783"/>
      <c r="F61" s="777"/>
      <c r="G61" s="779"/>
      <c r="H61" s="777"/>
      <c r="I61" s="778"/>
      <c r="J61" s="779"/>
      <c r="K61" s="777"/>
      <c r="L61" s="779"/>
      <c r="M61" s="760"/>
      <c r="N61" s="746"/>
      <c r="O61" s="747"/>
      <c r="P61" s="742"/>
      <c r="Q61" s="497" t="s">
        <v>4</v>
      </c>
      <c r="R61" s="121">
        <f>IF(Basisdaten!$J$32="",0,Basisdaten!$J$32)</f>
        <v>0</v>
      </c>
      <c r="S61" s="712"/>
      <c r="T61" s="754"/>
      <c r="U61" s="751"/>
      <c r="V61" s="539" t="str">
        <f>Basisdaten!J38</f>
        <v/>
      </c>
    </row>
    <row r="62" spans="2:22" ht="28.5" customHeight="1" thickBot="1" x14ac:dyDescent="0.3">
      <c r="B62" s="772"/>
      <c r="C62" s="773"/>
      <c r="D62" s="767"/>
      <c r="E62" s="783"/>
      <c r="F62" s="780"/>
      <c r="G62" s="782"/>
      <c r="H62" s="780"/>
      <c r="I62" s="781"/>
      <c r="J62" s="782"/>
      <c r="K62" s="780"/>
      <c r="L62" s="782"/>
      <c r="M62" s="761"/>
      <c r="N62" s="748"/>
      <c r="O62" s="749"/>
      <c r="P62" s="743"/>
      <c r="Q62" s="120" t="s">
        <v>5</v>
      </c>
      <c r="R62" s="488" t="str">
        <f>IF(R60="","n.d.",IF(R61="","n.d.",IF(R61=0,"",R60/R61)))</f>
        <v>n.d.</v>
      </c>
      <c r="S62" s="713"/>
      <c r="T62" s="755"/>
      <c r="U62" s="752"/>
    </row>
    <row r="63" spans="2:22" ht="28.5" customHeight="1" thickBot="1" x14ac:dyDescent="0.3">
      <c r="B63" s="768">
        <v>16</v>
      </c>
      <c r="C63" s="769"/>
      <c r="D63" s="765" t="s">
        <v>838</v>
      </c>
      <c r="E63" s="784" t="s">
        <v>201</v>
      </c>
      <c r="F63" s="774" t="s">
        <v>868</v>
      </c>
      <c r="G63" s="776"/>
      <c r="H63" s="774" t="s">
        <v>869</v>
      </c>
      <c r="I63" s="775"/>
      <c r="J63" s="776"/>
      <c r="K63" s="774" t="s">
        <v>825</v>
      </c>
      <c r="L63" s="776"/>
      <c r="M63" s="900"/>
      <c r="N63" s="894" t="s">
        <v>457</v>
      </c>
      <c r="O63" s="895"/>
      <c r="P63" s="900"/>
      <c r="Q63" s="120" t="s">
        <v>2</v>
      </c>
      <c r="R63" s="173"/>
      <c r="S63" s="711" t="str">
        <f>IF('Kennzahlenbogen_(KB)'!R65=Berechnung1!D84,Berechnung1!$F$4,IF(OR('Kennzahlenbogen_(KB)'!R65&lt; Berechnung1!E84,'Kennzahlenbogen_(KB)'!R65&gt; Berechnung1!F84),Berechnung1!$G$4,IF(OR(ROUND('Kennzahlenbogen_(KB)'!R65,4)&lt;Berechnung1!J84,ROUND('Kennzahlenbogen_(KB)'!R65,4)&gt;Berechnung1!K84),Berechnung1!$D$4,IF(OR(ROUND('Kennzahlenbogen_(KB)'!R65,4)&lt;Berechnung1!G84,ROUND('Kennzahlenbogen_(KB)'!R65,4)&gt;Berechnung1!H84),Berechnung1!$E$4,Berechnung1!$C$4))))</f>
        <v>Unvollständig</v>
      </c>
      <c r="T63" s="753"/>
      <c r="U63" s="756"/>
    </row>
    <row r="64" spans="2:22" ht="28.5" customHeight="1" thickBot="1" x14ac:dyDescent="0.3">
      <c r="B64" s="770"/>
      <c r="C64" s="771"/>
      <c r="D64" s="766"/>
      <c r="E64" s="785"/>
      <c r="F64" s="777"/>
      <c r="G64" s="779"/>
      <c r="H64" s="777"/>
      <c r="I64" s="778"/>
      <c r="J64" s="779"/>
      <c r="K64" s="777"/>
      <c r="L64" s="779"/>
      <c r="M64" s="901"/>
      <c r="N64" s="896"/>
      <c r="O64" s="897"/>
      <c r="P64" s="901"/>
      <c r="Q64" s="497" t="s">
        <v>4</v>
      </c>
      <c r="R64" s="173"/>
      <c r="S64" s="712"/>
      <c r="T64" s="754"/>
      <c r="U64" s="757"/>
    </row>
    <row r="65" spans="2:22" ht="28.5" customHeight="1" thickBot="1" x14ac:dyDescent="0.3">
      <c r="B65" s="772"/>
      <c r="C65" s="773"/>
      <c r="D65" s="767"/>
      <c r="E65" s="786"/>
      <c r="F65" s="780"/>
      <c r="G65" s="782"/>
      <c r="H65" s="780"/>
      <c r="I65" s="781"/>
      <c r="J65" s="782"/>
      <c r="K65" s="780"/>
      <c r="L65" s="782"/>
      <c r="M65" s="902"/>
      <c r="N65" s="898"/>
      <c r="O65" s="899"/>
      <c r="P65" s="902"/>
      <c r="Q65" s="120" t="s">
        <v>5</v>
      </c>
      <c r="R65" s="488" t="str">
        <f>IF(R63="","n.d.",IF(R64="","n.d.",IF(R64=0,"",R63/R64)))</f>
        <v>n.d.</v>
      </c>
      <c r="S65" s="713"/>
      <c r="T65" s="755"/>
      <c r="U65" s="758"/>
    </row>
    <row r="66" spans="2:22" ht="36" customHeight="1" thickBot="1" x14ac:dyDescent="0.3">
      <c r="B66" s="768">
        <v>17</v>
      </c>
      <c r="C66" s="769"/>
      <c r="D66" s="765" t="s">
        <v>838</v>
      </c>
      <c r="E66" s="783" t="s">
        <v>456</v>
      </c>
      <c r="F66" s="774" t="s">
        <v>969</v>
      </c>
      <c r="G66" s="776"/>
      <c r="H66" s="774" t="s">
        <v>892</v>
      </c>
      <c r="I66" s="775"/>
      <c r="J66" s="776"/>
      <c r="K66" s="774" t="s">
        <v>893</v>
      </c>
      <c r="L66" s="776"/>
      <c r="M66" s="759" t="s">
        <v>378</v>
      </c>
      <c r="N66" s="744" t="s">
        <v>191</v>
      </c>
      <c r="O66" s="745"/>
      <c r="P66" s="762"/>
      <c r="Q66" s="120" t="s">
        <v>2</v>
      </c>
      <c r="R66" s="173"/>
      <c r="S66" s="711" t="str">
        <f>IF('Kennzahlenbogen_(KB)'!R68=Berechnung1!D87,Berechnung1!$F$4,IF(OR('Kennzahlenbogen_(KB)'!R68&lt; Berechnung1!E87,'Kennzahlenbogen_(KB)'!R68&gt; Berechnung1!F87),Berechnung1!$G$4,IF(OR(ROUND('Kennzahlenbogen_(KB)'!R68,4)&lt;Berechnung1!J87,ROUND('Kennzahlenbogen_(KB)'!R68,4)&gt;Berechnung1!K87),Berechnung1!$D$4,IF(OR(ROUND('Kennzahlenbogen_(KB)'!R68,4)&lt;Berechnung1!G87,ROUND('Kennzahlenbogen_(KB)'!R68,4)&gt;Berechnung1!H87),Berechnung1!$E$4,Berechnung1!$C$4))))</f>
        <v>Unvollständig</v>
      </c>
      <c r="T66" s="753"/>
      <c r="U66" s="750"/>
    </row>
    <row r="67" spans="2:22" ht="36" customHeight="1" thickBot="1" x14ac:dyDescent="0.3">
      <c r="B67" s="770"/>
      <c r="C67" s="771"/>
      <c r="D67" s="766"/>
      <c r="E67" s="783"/>
      <c r="F67" s="777"/>
      <c r="G67" s="779"/>
      <c r="H67" s="777"/>
      <c r="I67" s="778"/>
      <c r="J67" s="779"/>
      <c r="K67" s="777"/>
      <c r="L67" s="779"/>
      <c r="M67" s="760"/>
      <c r="N67" s="746"/>
      <c r="O67" s="747"/>
      <c r="P67" s="742"/>
      <c r="Q67" s="497" t="s">
        <v>4</v>
      </c>
      <c r="R67" s="173"/>
      <c r="S67" s="712"/>
      <c r="T67" s="754"/>
      <c r="U67" s="751"/>
    </row>
    <row r="68" spans="2:22" ht="36" customHeight="1" thickBot="1" x14ac:dyDescent="0.3">
      <c r="B68" s="772"/>
      <c r="C68" s="773"/>
      <c r="D68" s="767"/>
      <c r="E68" s="783"/>
      <c r="F68" s="780"/>
      <c r="G68" s="782"/>
      <c r="H68" s="780"/>
      <c r="I68" s="781"/>
      <c r="J68" s="782"/>
      <c r="K68" s="780"/>
      <c r="L68" s="782"/>
      <c r="M68" s="761"/>
      <c r="N68" s="748"/>
      <c r="O68" s="749"/>
      <c r="P68" s="743"/>
      <c r="Q68" s="120" t="s">
        <v>5</v>
      </c>
      <c r="R68" s="488" t="str">
        <f>IF(R66="","n.d.",IF(R67="","n.d.",IF(R67=0,"",R66/R67)))</f>
        <v>n.d.</v>
      </c>
      <c r="S68" s="713"/>
      <c r="T68" s="755"/>
      <c r="U68" s="752"/>
    </row>
    <row r="69" spans="2:22" ht="36" customHeight="1" thickBot="1" x14ac:dyDescent="0.3">
      <c r="B69" s="768">
        <v>18</v>
      </c>
      <c r="C69" s="769"/>
      <c r="D69" s="765" t="s">
        <v>838</v>
      </c>
      <c r="E69" s="783" t="s">
        <v>870</v>
      </c>
      <c r="F69" s="774" t="s">
        <v>872</v>
      </c>
      <c r="G69" s="776"/>
      <c r="H69" s="774" t="s">
        <v>874</v>
      </c>
      <c r="I69" s="775"/>
      <c r="J69" s="776"/>
      <c r="K69" s="774" t="s">
        <v>875</v>
      </c>
      <c r="L69" s="776"/>
      <c r="M69" s="807"/>
      <c r="N69" s="907" t="s">
        <v>191</v>
      </c>
      <c r="O69" s="908"/>
      <c r="P69" s="913"/>
      <c r="Q69" s="120" t="s">
        <v>2</v>
      </c>
      <c r="R69" s="173"/>
      <c r="S69" s="916" t="str">
        <f>IF(AND(R69&lt;&gt;"",R70&lt;&gt;"",R69=0,R70=0),Berechnung1!$H$4,IF('Kennzahlenbogen_(KB)'!R71=Berechnung1!D90,Berechnung1!$F$4,IF(OR('Kennzahlenbogen_(KB)'!R71&lt;Berechnung1!E90,'Kennzahlenbogen_(KB)'!R71&gt;Berechnung1!F90),Berechnung1!$G$4,IF(OR(ROUND('Kennzahlenbogen_(KB)'!R71,4)&lt;Berechnung1!J90,ROUND('Kennzahlenbogen_(KB)'!R71,4)&gt;Berechnung1!K90),Berechnung1!$D$4,IF(OR(ROUND('Kennzahlenbogen_(KB)'!R71,4)&lt;Berechnung1!G90,ROUND('Kennzahlenbogen_(KB)'!R71,4)&gt;Berechnung1!H90),Berechnung1!$E$4,Berechnung1!$C$4)))))</f>
        <v>Unvollständig</v>
      </c>
      <c r="T69" s="714"/>
      <c r="U69" s="904"/>
    </row>
    <row r="70" spans="2:22" ht="36" customHeight="1" thickBot="1" x14ac:dyDescent="0.3">
      <c r="B70" s="770"/>
      <c r="C70" s="771"/>
      <c r="D70" s="766"/>
      <c r="E70" s="783"/>
      <c r="F70" s="777"/>
      <c r="G70" s="779"/>
      <c r="H70" s="777"/>
      <c r="I70" s="778"/>
      <c r="J70" s="779"/>
      <c r="K70" s="777"/>
      <c r="L70" s="779"/>
      <c r="M70" s="805"/>
      <c r="N70" s="909"/>
      <c r="O70" s="910"/>
      <c r="P70" s="914"/>
      <c r="Q70" s="497" t="s">
        <v>4</v>
      </c>
      <c r="R70" s="121">
        <f>IF(Basisdaten!$I$31="",0,Basisdaten!$I$31)</f>
        <v>0</v>
      </c>
      <c r="S70" s="917"/>
      <c r="T70" s="715"/>
      <c r="U70" s="905"/>
      <c r="V70" s="8">
        <f>Basisdaten!I31</f>
        <v>0</v>
      </c>
    </row>
    <row r="71" spans="2:22" ht="36" customHeight="1" thickBot="1" x14ac:dyDescent="0.3">
      <c r="B71" s="772"/>
      <c r="C71" s="773"/>
      <c r="D71" s="767"/>
      <c r="E71" s="783"/>
      <c r="F71" s="780"/>
      <c r="G71" s="782"/>
      <c r="H71" s="780"/>
      <c r="I71" s="781"/>
      <c r="J71" s="782"/>
      <c r="K71" s="780"/>
      <c r="L71" s="782"/>
      <c r="M71" s="806"/>
      <c r="N71" s="911"/>
      <c r="O71" s="912"/>
      <c r="P71" s="915"/>
      <c r="Q71" s="120" t="s">
        <v>5</v>
      </c>
      <c r="R71" s="488" t="str">
        <f>IF(R69="","n.d.",IF(R70="","n.d.",IF(R70=0,"",R69/R70)))</f>
        <v>n.d.</v>
      </c>
      <c r="S71" s="918"/>
      <c r="T71" s="715"/>
      <c r="U71" s="906"/>
    </row>
    <row r="72" spans="2:22" ht="36" customHeight="1" thickBot="1" x14ac:dyDescent="0.3">
      <c r="B72" s="768">
        <v>19</v>
      </c>
      <c r="C72" s="769"/>
      <c r="D72" s="765" t="s">
        <v>838</v>
      </c>
      <c r="E72" s="783" t="s">
        <v>871</v>
      </c>
      <c r="F72" s="774" t="s">
        <v>873</v>
      </c>
      <c r="G72" s="776"/>
      <c r="H72" s="774" t="s">
        <v>885</v>
      </c>
      <c r="I72" s="775"/>
      <c r="J72" s="776"/>
      <c r="K72" s="774" t="s">
        <v>886</v>
      </c>
      <c r="L72" s="776"/>
      <c r="M72" s="807"/>
      <c r="N72" s="907" t="s">
        <v>191</v>
      </c>
      <c r="O72" s="908"/>
      <c r="P72" s="913"/>
      <c r="Q72" s="120" t="s">
        <v>2</v>
      </c>
      <c r="R72" s="173"/>
      <c r="S72" s="916" t="str">
        <f>IF(AND(R72&lt;&gt;"",R73&lt;&gt;"",R72=0,R73=0),Berechnung1!$H$4,IF('Kennzahlenbogen_(KB)'!R74=Berechnung1!D93,Berechnung1!$F$4,IF(OR('Kennzahlenbogen_(KB)'!R74&lt;Berechnung1!E93,'Kennzahlenbogen_(KB)'!R74&gt;Berechnung1!F93),Berechnung1!$G$4,IF(OR(ROUND('Kennzahlenbogen_(KB)'!R74,4)&lt;Berechnung1!J93,ROUND('Kennzahlenbogen_(KB)'!R74,4)&gt;Berechnung1!K93),Berechnung1!$D$4,IF(OR(ROUND('Kennzahlenbogen_(KB)'!R74,4)&lt;Berechnung1!G93,ROUND('Kennzahlenbogen_(KB)'!R74,4)&gt;Berechnung1!H93),Berechnung1!$E$4,Berechnung1!$C$4)))))</f>
        <v>Unvollständig</v>
      </c>
      <c r="T72" s="714"/>
      <c r="U72" s="904"/>
    </row>
    <row r="73" spans="2:22" ht="36" customHeight="1" thickBot="1" x14ac:dyDescent="0.3">
      <c r="B73" s="770"/>
      <c r="C73" s="771"/>
      <c r="D73" s="766"/>
      <c r="E73" s="783"/>
      <c r="F73" s="777"/>
      <c r="G73" s="779"/>
      <c r="H73" s="777"/>
      <c r="I73" s="778"/>
      <c r="J73" s="779"/>
      <c r="K73" s="777"/>
      <c r="L73" s="779"/>
      <c r="M73" s="805"/>
      <c r="N73" s="909"/>
      <c r="O73" s="910"/>
      <c r="P73" s="914"/>
      <c r="Q73" s="497" t="s">
        <v>4</v>
      </c>
      <c r="R73" s="173"/>
      <c r="S73" s="917"/>
      <c r="T73" s="715"/>
      <c r="U73" s="905"/>
    </row>
    <row r="74" spans="2:22" ht="36" customHeight="1" thickBot="1" x14ac:dyDescent="0.3">
      <c r="B74" s="772"/>
      <c r="C74" s="773"/>
      <c r="D74" s="767"/>
      <c r="E74" s="783"/>
      <c r="F74" s="780"/>
      <c r="G74" s="782"/>
      <c r="H74" s="780"/>
      <c r="I74" s="781"/>
      <c r="J74" s="782"/>
      <c r="K74" s="780"/>
      <c r="L74" s="782"/>
      <c r="M74" s="806"/>
      <c r="N74" s="911"/>
      <c r="O74" s="912"/>
      <c r="P74" s="915"/>
      <c r="Q74" s="120" t="s">
        <v>5</v>
      </c>
      <c r="R74" s="488" t="str">
        <f>IF(R72="","n.d.",IF(R73="","n.d.",IF(R73=0,"",R72/R73)))</f>
        <v>n.d.</v>
      </c>
      <c r="S74" s="918"/>
      <c r="T74" s="715"/>
      <c r="U74" s="906"/>
    </row>
    <row r="75" spans="2:22" ht="7.5" customHeight="1" x14ac:dyDescent="0.25">
      <c r="B75" s="50"/>
      <c r="C75" s="123"/>
      <c r="D75" s="50"/>
      <c r="E75" s="50"/>
      <c r="F75" s="50"/>
      <c r="G75" s="50"/>
      <c r="H75" s="50"/>
      <c r="I75" s="50"/>
      <c r="J75" s="50"/>
      <c r="K75" s="50"/>
      <c r="L75" s="50"/>
      <c r="M75" s="309"/>
      <c r="N75" s="309"/>
      <c r="O75" s="309"/>
      <c r="P75" s="309"/>
      <c r="Q75" s="50"/>
      <c r="R75" s="50"/>
    </row>
    <row r="76" spans="2:22" ht="18" customHeight="1" thickBot="1" x14ac:dyDescent="0.3">
      <c r="B76" s="622" t="s">
        <v>84</v>
      </c>
      <c r="C76" s="623"/>
      <c r="D76" s="621"/>
      <c r="E76" s="621"/>
      <c r="F76" s="621"/>
      <c r="G76" s="621"/>
      <c r="H76" s="621"/>
      <c r="I76" s="621"/>
      <c r="J76" s="621"/>
      <c r="K76" s="50"/>
      <c r="L76" s="50"/>
      <c r="M76" s="309"/>
      <c r="N76" s="309"/>
      <c r="O76" s="309"/>
      <c r="P76" s="309"/>
      <c r="Q76" s="50"/>
      <c r="R76" s="50"/>
    </row>
    <row r="77" spans="2:22" ht="18" customHeight="1" thickBot="1" x14ac:dyDescent="0.3">
      <c r="B77" s="621"/>
      <c r="C77" s="623"/>
      <c r="D77" s="922" t="s">
        <v>888</v>
      </c>
      <c r="E77" s="923"/>
      <c r="F77" s="624" t="s">
        <v>98</v>
      </c>
      <c r="G77" s="625" t="str">
        <f>CONCATENATE(TEXT(Berechnung1!C8,"0,00%"),"  (",Berechnung1!C5, ")")</f>
        <v>0,00%  (0)</v>
      </c>
      <c r="H77" s="926" t="str">
        <f>CONCATENATE(TEXT(Berechnung1!D9,"0,00%"),"  (",Berechnung1!D6, ")")</f>
        <v>0,00%  (0)</v>
      </c>
      <c r="I77" s="937" t="s">
        <v>107</v>
      </c>
      <c r="J77" s="938"/>
      <c r="K77" s="50"/>
      <c r="L77" s="50"/>
      <c r="M77" s="309"/>
      <c r="N77" s="309"/>
      <c r="O77" s="309"/>
      <c r="P77" s="309"/>
      <c r="Q77" s="50"/>
      <c r="R77" s="50"/>
    </row>
    <row r="78" spans="2:22" ht="18" customHeight="1" thickBot="1" x14ac:dyDescent="0.3">
      <c r="B78" s="621"/>
      <c r="C78" s="623"/>
      <c r="D78" s="924"/>
      <c r="E78" s="925"/>
      <c r="F78" s="626" t="s">
        <v>79</v>
      </c>
      <c r="G78" s="627" t="str">
        <f>CONCATENATE(TEXT(Berechnung1!K8,"0,00%"),"  (",Berechnung1!K5, ")")</f>
        <v>0,00%  (0)</v>
      </c>
      <c r="H78" s="926"/>
      <c r="I78" s="939"/>
      <c r="J78" s="940"/>
      <c r="K78" s="50"/>
      <c r="L78" s="50"/>
      <c r="M78" s="309"/>
      <c r="N78" s="309"/>
      <c r="O78" s="309"/>
      <c r="P78" s="309"/>
      <c r="Q78" s="50"/>
      <c r="R78" s="50"/>
    </row>
    <row r="79" spans="2:22" ht="18" customHeight="1" thickBot="1" x14ac:dyDescent="0.3">
      <c r="B79" s="621"/>
      <c r="C79" s="623"/>
      <c r="D79" s="927" t="s">
        <v>889</v>
      </c>
      <c r="E79" s="928"/>
      <c r="F79" s="928"/>
      <c r="G79" s="929"/>
      <c r="H79" s="632" t="str">
        <f>CONCATENATE(TEXT(Berechnung1!E9,"0,00%"),"  (",Berechnung1!E6, ")")</f>
        <v>0,00%  (0)</v>
      </c>
      <c r="I79" s="935" t="str">
        <f>CONCATENATE(TEXT(Berechnung1!E10,"0,00%"),"  (",Berechnung1!E7, ")")</f>
        <v>0,00%  (0)</v>
      </c>
      <c r="J79" s="936"/>
      <c r="K79" s="50"/>
      <c r="L79" s="50"/>
      <c r="M79" s="309"/>
      <c r="N79" s="309"/>
      <c r="O79" s="309"/>
      <c r="P79" s="309"/>
      <c r="Q79" s="50"/>
      <c r="R79" s="50"/>
    </row>
    <row r="80" spans="2:22" ht="18" customHeight="1" thickBot="1" x14ac:dyDescent="0.3">
      <c r="B80" s="621"/>
      <c r="C80" s="623"/>
      <c r="D80" s="930" t="s">
        <v>100</v>
      </c>
      <c r="E80" s="931"/>
      <c r="F80" s="628" t="s">
        <v>99</v>
      </c>
      <c r="G80" s="629" t="str">
        <f>CONCATENATE(TEXT(Berechnung1!G8,"0,00%"),"  (",Berechnung1!G5, ")")</f>
        <v>0,00%  (0)</v>
      </c>
      <c r="H80" s="926" t="str">
        <f>CONCATENATE(TEXT(Berechnung1!G9,"0,00%"),"  (",Berechnung1!G7, ")")</f>
        <v>100,00%  (21)</v>
      </c>
      <c r="I80" s="926"/>
      <c r="J80" s="926"/>
      <c r="K80" s="50"/>
      <c r="L80" s="50"/>
      <c r="M80" s="309"/>
      <c r="N80" s="309"/>
      <c r="O80" s="309"/>
      <c r="P80" s="309"/>
      <c r="Q80" s="50"/>
      <c r="R80" s="50"/>
    </row>
    <row r="81" spans="2:19" ht="18" customHeight="1" thickBot="1" x14ac:dyDescent="0.3">
      <c r="B81" s="621"/>
      <c r="C81" s="623"/>
      <c r="D81" s="932"/>
      <c r="E81" s="933"/>
      <c r="F81" s="630" t="s">
        <v>101</v>
      </c>
      <c r="G81" s="631" t="str">
        <f>CONCATENATE(TEXT(Berechnung1!F8,"0,00%"),"  (",Berechnung1!F5, ")")</f>
        <v>100,00%  (21)</v>
      </c>
      <c r="H81" s="926"/>
      <c r="I81" s="926"/>
      <c r="J81" s="926"/>
      <c r="K81" s="50"/>
      <c r="L81" s="50"/>
      <c r="M81" s="309"/>
      <c r="N81" s="309"/>
      <c r="O81" s="309"/>
      <c r="P81" s="309"/>
      <c r="Q81" s="50"/>
      <c r="R81" s="50"/>
    </row>
    <row r="82" spans="2:19" ht="7.5" customHeight="1" x14ac:dyDescent="0.25">
      <c r="B82" s="893" t="s">
        <v>890</v>
      </c>
      <c r="C82" s="893"/>
      <c r="D82" s="893"/>
      <c r="E82" s="893"/>
      <c r="F82" s="893"/>
      <c r="G82" s="893"/>
      <c r="H82" s="893"/>
      <c r="I82" s="893"/>
      <c r="J82" s="893"/>
      <c r="K82" s="893"/>
      <c r="L82" s="893"/>
      <c r="M82" s="893"/>
      <c r="N82" s="893"/>
      <c r="O82" s="893"/>
      <c r="P82" s="893"/>
      <c r="Q82" s="893"/>
      <c r="R82" s="893"/>
      <c r="S82" s="893"/>
    </row>
    <row r="83" spans="2:19" s="620" customFormat="1" ht="15" customHeight="1" x14ac:dyDescent="0.25">
      <c r="B83" s="934" t="s">
        <v>891</v>
      </c>
      <c r="C83" s="934"/>
      <c r="D83" s="934"/>
      <c r="E83" s="934"/>
      <c r="F83" s="619"/>
      <c r="G83" s="619"/>
      <c r="H83" s="619"/>
      <c r="I83" s="619"/>
      <c r="J83" s="619"/>
      <c r="K83" s="619"/>
      <c r="L83" s="619"/>
      <c r="M83" s="619"/>
      <c r="N83" s="619"/>
      <c r="O83" s="619"/>
      <c r="P83" s="619"/>
      <c r="Q83" s="619"/>
      <c r="R83" s="619"/>
      <c r="S83" s="619"/>
    </row>
    <row r="84" spans="2:19" ht="23.25" customHeight="1" x14ac:dyDescent="0.25">
      <c r="B84" s="920" t="s">
        <v>978</v>
      </c>
      <c r="C84" s="921"/>
      <c r="D84" s="921"/>
      <c r="E84" s="921"/>
      <c r="F84" s="921"/>
      <c r="G84" s="921"/>
      <c r="H84" s="921"/>
      <c r="I84" s="921"/>
      <c r="J84" s="921"/>
      <c r="K84" s="921"/>
      <c r="L84" s="921"/>
      <c r="M84" s="921"/>
      <c r="N84" s="921"/>
      <c r="O84" s="921"/>
      <c r="P84" s="921"/>
      <c r="Q84" s="921"/>
      <c r="R84" s="921"/>
      <c r="S84" s="921"/>
    </row>
    <row r="85" spans="2:19" ht="133.5" customHeight="1" x14ac:dyDescent="0.25">
      <c r="B85" s="793" t="s">
        <v>951</v>
      </c>
      <c r="C85" s="794"/>
      <c r="D85" s="794"/>
      <c r="E85" s="794"/>
      <c r="F85" s="794"/>
      <c r="G85" s="794"/>
      <c r="H85" s="794"/>
      <c r="I85" s="794"/>
      <c r="J85" s="794"/>
      <c r="K85" s="794"/>
      <c r="L85" s="794"/>
      <c r="M85" s="794"/>
      <c r="N85" s="794"/>
      <c r="O85" s="794"/>
      <c r="P85" s="794"/>
      <c r="Q85" s="794"/>
      <c r="R85" s="794"/>
      <c r="S85" s="794"/>
    </row>
    <row r="86" spans="2:19" ht="15" customHeight="1" x14ac:dyDescent="0.25">
      <c r="B86" s="903" t="s">
        <v>776</v>
      </c>
      <c r="C86" s="903"/>
      <c r="D86" s="903"/>
      <c r="E86" s="903"/>
      <c r="F86" s="903"/>
      <c r="G86" s="903"/>
      <c r="H86" s="903"/>
      <c r="I86" s="903"/>
      <c r="J86" s="903"/>
      <c r="K86" s="903"/>
      <c r="L86" s="903"/>
      <c r="M86" s="903"/>
      <c r="N86" s="903"/>
      <c r="O86" s="903"/>
      <c r="P86" s="903"/>
      <c r="Q86" s="903"/>
      <c r="R86" s="903"/>
      <c r="S86" s="903"/>
    </row>
    <row r="87" spans="2:19" ht="22.5" customHeight="1" x14ac:dyDescent="0.25">
      <c r="B87" s="919" t="s">
        <v>887</v>
      </c>
      <c r="C87" s="919"/>
      <c r="D87" s="919"/>
      <c r="E87" s="919"/>
      <c r="F87" s="919"/>
      <c r="G87" s="919"/>
      <c r="H87" s="919"/>
      <c r="I87" s="919"/>
      <c r="J87" s="919"/>
      <c r="K87" s="919"/>
      <c r="L87" s="919"/>
      <c r="M87" s="919"/>
      <c r="N87" s="919"/>
      <c r="O87" s="919"/>
      <c r="P87" s="919"/>
      <c r="Q87" s="919"/>
      <c r="R87" s="919"/>
      <c r="S87" s="919"/>
    </row>
    <row r="88" spans="2:19" x14ac:dyDescent="0.25">
      <c r="B88" s="9"/>
    </row>
    <row r="89" spans="2:19" hidden="1" x14ac:dyDescent="0.25"/>
    <row r="90" spans="2:19" hidden="1" x14ac:dyDescent="0.25">
      <c r="D90" s="884" t="str">
        <f>Basisdaten!B27</f>
        <v>Primärfälle 
Pankreaskarzinom 
Def. gemäß EB 1.2.0</v>
      </c>
      <c r="E90" s="885"/>
      <c r="F90" s="885"/>
      <c r="G90" s="885"/>
      <c r="H90" s="885"/>
      <c r="I90" s="885"/>
      <c r="J90" s="885"/>
      <c r="K90" s="886"/>
      <c r="L90" s="480" t="str">
        <f>Basisdaten!D27</f>
        <v>IA</v>
      </c>
      <c r="M90" s="480" t="str">
        <f>Basisdaten!E27</f>
        <v>IB</v>
      </c>
      <c r="N90" s="480" t="str">
        <f>Basisdaten!F27</f>
        <v>IIA</v>
      </c>
      <c r="O90" s="480" t="str">
        <f>Basisdaten!G27</f>
        <v>IIB</v>
      </c>
      <c r="P90" s="480" t="str">
        <f>Basisdaten!H27</f>
        <v>III</v>
      </c>
      <c r="Q90" s="481" t="str">
        <f>Basisdaten!I27</f>
        <v>IV</v>
      </c>
      <c r="R90" s="480" t="str">
        <f>Basisdaten!J27</f>
        <v>Gesamt</v>
      </c>
    </row>
    <row r="91" spans="2:19" hidden="1" x14ac:dyDescent="0.25">
      <c r="D91" s="887" t="str">
        <f>Basisdaten!B31</f>
        <v xml:space="preserve">Primärfälle Pankreaskarzinom 
= Karzinome des exokrinen Pankreas </v>
      </c>
      <c r="E91" s="887"/>
      <c r="F91" s="887"/>
      <c r="G91" s="887"/>
      <c r="H91" s="887"/>
      <c r="I91" s="887"/>
      <c r="J91" s="887"/>
      <c r="K91" s="887"/>
      <c r="L91" s="540">
        <f>Basisdaten!D31</f>
        <v>0</v>
      </c>
      <c r="M91" s="540">
        <f>Basisdaten!E31</f>
        <v>0</v>
      </c>
      <c r="N91" s="540">
        <f>Basisdaten!F31</f>
        <v>0</v>
      </c>
      <c r="O91" s="540">
        <f>Basisdaten!G31</f>
        <v>0</v>
      </c>
      <c r="P91" s="540">
        <f>Basisdaten!H31</f>
        <v>0</v>
      </c>
      <c r="Q91" s="540">
        <f>Basisdaten!I31</f>
        <v>0</v>
      </c>
      <c r="R91" s="540" t="str">
        <f>Basisdaten!J31</f>
        <v/>
      </c>
    </row>
    <row r="92" spans="2:19" hidden="1" x14ac:dyDescent="0.25">
      <c r="D92" s="887" t="str">
        <f>Basisdaten!B32</f>
        <v xml:space="preserve">    davon Operative Primärfälle
    Pankreaskarzinom
     (Ausschließlich ICD-10 C25 
     in Verbindung mit OPS: 
     5-524*, 5-525*)</v>
      </c>
      <c r="E92" s="887"/>
      <c r="F92" s="887"/>
      <c r="G92" s="887"/>
      <c r="H92" s="887"/>
      <c r="I92" s="887"/>
      <c r="J92" s="887"/>
      <c r="K92" s="887"/>
      <c r="L92" s="540">
        <f>Basisdaten!D32</f>
        <v>0</v>
      </c>
      <c r="M92" s="540">
        <f>Basisdaten!E32</f>
        <v>0</v>
      </c>
      <c r="N92" s="540">
        <f>Basisdaten!F32</f>
        <v>0</v>
      </c>
      <c r="O92" s="540">
        <f>Basisdaten!G32</f>
        <v>0</v>
      </c>
      <c r="P92" s="540">
        <f>Basisdaten!H32</f>
        <v>0</v>
      </c>
      <c r="Q92" s="540">
        <f>Basisdaten!I32</f>
        <v>0</v>
      </c>
      <c r="R92" s="540" t="str">
        <f>Basisdaten!J32</f>
        <v/>
      </c>
    </row>
    <row r="93" spans="2:19" hidden="1" x14ac:dyDescent="0.25">
      <c r="D93" s="887" t="str">
        <f>Basisdaten!B34</f>
        <v>Primärfälle Neuroendokrine Tumoren (NET) und Neuroendokrine Karzinome (NEC)</v>
      </c>
      <c r="E93" s="887"/>
      <c r="F93" s="887"/>
      <c r="G93" s="887"/>
      <c r="H93" s="887"/>
      <c r="I93" s="887"/>
      <c r="J93" s="887"/>
      <c r="K93" s="887"/>
      <c r="L93" s="887"/>
      <c r="M93" s="887"/>
      <c r="N93" s="887"/>
      <c r="O93" s="887"/>
      <c r="P93" s="887"/>
      <c r="Q93" s="887"/>
      <c r="R93" s="540">
        <f>Basisdaten!J34</f>
        <v>0</v>
      </c>
    </row>
    <row r="94" spans="2:19" hidden="1" x14ac:dyDescent="0.25">
      <c r="D94" s="887" t="str">
        <f>Basisdaten!B35</f>
        <v xml:space="preserve">     davon operative Primärfälle NET und NEC
     (Ausschließlich ICD-10 C25 in Verbindung mit OPS: 5-524*, 5-525*)</v>
      </c>
      <c r="E94" s="887"/>
      <c r="F94" s="887"/>
      <c r="G94" s="887"/>
      <c r="H94" s="887"/>
      <c r="I94" s="887"/>
      <c r="J94" s="887"/>
      <c r="K94" s="887"/>
      <c r="L94" s="887"/>
      <c r="M94" s="887"/>
      <c r="N94" s="887"/>
      <c r="O94" s="887"/>
      <c r="P94" s="887"/>
      <c r="Q94" s="887"/>
      <c r="R94" s="540">
        <f>Basisdaten!J35</f>
        <v>0</v>
      </c>
    </row>
    <row r="95" spans="2:19" hidden="1" x14ac:dyDescent="0.25">
      <c r="D95" s="887" t="str">
        <f>Basisdaten!B37</f>
        <v>Primärfälle Gesamt</v>
      </c>
      <c r="E95" s="887"/>
      <c r="F95" s="887"/>
      <c r="G95" s="887"/>
      <c r="H95" s="887"/>
      <c r="I95" s="887"/>
      <c r="J95" s="887"/>
      <c r="K95" s="887"/>
      <c r="L95" s="887"/>
      <c r="M95" s="887"/>
      <c r="N95" s="887"/>
      <c r="O95" s="887"/>
      <c r="P95" s="887"/>
      <c r="Q95" s="887"/>
      <c r="R95" s="540" t="str">
        <f>Basisdaten!J37</f>
        <v/>
      </c>
    </row>
    <row r="96" spans="2:19" hidden="1" x14ac:dyDescent="0.25">
      <c r="D96" s="887" t="str">
        <f>Basisdaten!B38</f>
        <v>Primärfälle operativ Gesamt</v>
      </c>
      <c r="E96" s="887"/>
      <c r="F96" s="887"/>
      <c r="G96" s="887"/>
      <c r="H96" s="887"/>
      <c r="I96" s="887"/>
      <c r="J96" s="887"/>
      <c r="K96" s="887"/>
      <c r="L96" s="887"/>
      <c r="M96" s="887"/>
      <c r="N96" s="887"/>
      <c r="O96" s="887"/>
      <c r="P96" s="887"/>
      <c r="Q96" s="887"/>
      <c r="R96" s="540" t="str">
        <f>Basisdaten!J38</f>
        <v/>
      </c>
    </row>
    <row r="97" spans="4:18" hidden="1" x14ac:dyDescent="0.25">
      <c r="D97" s="881" t="str">
        <f>Basisdaten!B40</f>
        <v>Operative Expertise - Anzahl Pankreasresektionen 
(OPS: 5-524* und 5-525*, mit und ohne ICD-10 C25)</v>
      </c>
      <c r="E97" s="882"/>
      <c r="F97" s="882"/>
      <c r="G97" s="882"/>
      <c r="H97" s="882"/>
      <c r="I97" s="882"/>
      <c r="J97" s="882"/>
      <c r="K97" s="882"/>
      <c r="L97" s="882"/>
      <c r="M97" s="882"/>
      <c r="N97" s="882"/>
      <c r="O97" s="882"/>
      <c r="P97" s="882"/>
      <c r="Q97" s="883"/>
      <c r="R97" s="541">
        <f>Basisdaten!J40</f>
        <v>0</v>
      </c>
    </row>
  </sheetData>
  <sheetProtection algorithmName="SHA-512" hashValue="qsp97gSPnQEIBA2qU5Ph0BsMkReS8C9R76NC+Gwje9hc0xFjLl5AfT7x2U4VwbMmzvECmtdu1L2TaF78BgICHA==" saltValue="tJ+RU30gKBQSEnDXxQ7b3A==" spinCount="100000" sheet="1" objects="1" scenarios="1" selectLockedCells="1"/>
  <dataConsolidate/>
  <customSheetViews>
    <customSheetView guid="{DAA0C1F4-4D8F-4BD8-91F9-40281B589772}" showGridLines="0" topLeftCell="A7">
      <selection activeCell="K19" sqref="K19"/>
      <pageMargins left="3.937007874015748E-2" right="3.937007874015748E-2" top="0.27559055118110237" bottom="0.27559055118110237" header="0.11811023622047245" footer="0.11811023622047245"/>
      <pageSetup paperSize="9" orientation="landscape" r:id="rId1"/>
      <headerFooter>
        <oddFooter>&amp;L&amp;"Arial,Standard"&amp;7&amp;F&amp;C&amp;"Arial,Standard"&amp;7 © DKG  Alle Rechte vorbehalten&amp;R&amp;"Arial,Standard"&amp;7&amp;P</oddFooter>
        <firstHeader>&amp;C&amp;F&amp;RUnabhängiges Zertifizierungsinstitut
der Deutschen Krebsgesellschaft
Gartenstraße 24, D-89231 Neu-Ulm
Tel. +49  (0)7 31 / 70 51 16 - 0
Fax  +49  (0)7 31 / 70 51 16 - 16
www.onkozert.de, info@onkozert.d</firstHeader>
      </headerFooter>
    </customSheetView>
  </customSheetViews>
  <mergeCells count="295">
    <mergeCell ref="B87:S87"/>
    <mergeCell ref="B84:S84"/>
    <mergeCell ref="D77:E78"/>
    <mergeCell ref="H77:H78"/>
    <mergeCell ref="D79:G79"/>
    <mergeCell ref="D80:E81"/>
    <mergeCell ref="H80:J81"/>
    <mergeCell ref="B83:E83"/>
    <mergeCell ref="I79:J79"/>
    <mergeCell ref="I77:J78"/>
    <mergeCell ref="T69:T71"/>
    <mergeCell ref="U69:U71"/>
    <mergeCell ref="B72:C74"/>
    <mergeCell ref="D72:D74"/>
    <mergeCell ref="E72:E74"/>
    <mergeCell ref="F72:G74"/>
    <mergeCell ref="H72:J74"/>
    <mergeCell ref="K72:L74"/>
    <mergeCell ref="M72:M74"/>
    <mergeCell ref="N72:O74"/>
    <mergeCell ref="P72:P74"/>
    <mergeCell ref="S72:S74"/>
    <mergeCell ref="T72:T74"/>
    <mergeCell ref="U72:U74"/>
    <mergeCell ref="D69:D71"/>
    <mergeCell ref="E69:E71"/>
    <mergeCell ref="F69:G71"/>
    <mergeCell ref="H69:J71"/>
    <mergeCell ref="K69:L71"/>
    <mergeCell ref="M69:M71"/>
    <mergeCell ref="N69:O71"/>
    <mergeCell ref="P69:P71"/>
    <mergeCell ref="S69:S71"/>
    <mergeCell ref="D97:Q97"/>
    <mergeCell ref="D90:K90"/>
    <mergeCell ref="D91:K91"/>
    <mergeCell ref="D92:K92"/>
    <mergeCell ref="D93:Q93"/>
    <mergeCell ref="D94:Q94"/>
    <mergeCell ref="D96:Q96"/>
    <mergeCell ref="D95:Q95"/>
    <mergeCell ref="B57:C59"/>
    <mergeCell ref="D57:D59"/>
    <mergeCell ref="E57:E59"/>
    <mergeCell ref="F57:G59"/>
    <mergeCell ref="B82:S82"/>
    <mergeCell ref="N63:O65"/>
    <mergeCell ref="N60:O62"/>
    <mergeCell ref="K66:L68"/>
    <mergeCell ref="M66:M68"/>
    <mergeCell ref="N66:O68"/>
    <mergeCell ref="P66:P68"/>
    <mergeCell ref="K63:L65"/>
    <mergeCell ref="M63:M65"/>
    <mergeCell ref="P63:P65"/>
    <mergeCell ref="B86:S86"/>
    <mergeCell ref="B69:C71"/>
    <mergeCell ref="B39:C41"/>
    <mergeCell ref="B45:C47"/>
    <mergeCell ref="B42:C44"/>
    <mergeCell ref="E42:E44"/>
    <mergeCell ref="F39:G41"/>
    <mergeCell ref="F51:G53"/>
    <mergeCell ref="E39:E41"/>
    <mergeCell ref="S57:S59"/>
    <mergeCell ref="K57:L59"/>
    <mergeCell ref="K39:L41"/>
    <mergeCell ref="F42:G44"/>
    <mergeCell ref="S42:S44"/>
    <mergeCell ref="D39:D41"/>
    <mergeCell ref="D42:D44"/>
    <mergeCell ref="K54:L56"/>
    <mergeCell ref="K45:L47"/>
    <mergeCell ref="H42:J44"/>
    <mergeCell ref="H45:J47"/>
    <mergeCell ref="H48:J50"/>
    <mergeCell ref="K42:L44"/>
    <mergeCell ref="K48:L50"/>
    <mergeCell ref="B48:C50"/>
    <mergeCell ref="H57:J59"/>
    <mergeCell ref="E54:E56"/>
    <mergeCell ref="F6:O6"/>
    <mergeCell ref="F8:G8"/>
    <mergeCell ref="F24:G26"/>
    <mergeCell ref="F27:G29"/>
    <mergeCell ref="F30:G32"/>
    <mergeCell ref="K27:L29"/>
    <mergeCell ref="K30:L32"/>
    <mergeCell ref="I8:K8"/>
    <mergeCell ref="L8:O8"/>
    <mergeCell ref="H10:J11"/>
    <mergeCell ref="H12:J14"/>
    <mergeCell ref="H18:J20"/>
    <mergeCell ref="H21:J23"/>
    <mergeCell ref="H24:J26"/>
    <mergeCell ref="K10:L11"/>
    <mergeCell ref="M12:M14"/>
    <mergeCell ref="M18:M20"/>
    <mergeCell ref="M21:M23"/>
    <mergeCell ref="M24:M26"/>
    <mergeCell ref="M27:M29"/>
    <mergeCell ref="D45:D47"/>
    <mergeCell ref="D24:D26"/>
    <mergeCell ref="E45:E47"/>
    <mergeCell ref="H30:J32"/>
    <mergeCell ref="H33:I38"/>
    <mergeCell ref="H27:J29"/>
    <mergeCell ref="U12:U14"/>
    <mergeCell ref="U24:U26"/>
    <mergeCell ref="T24:T26"/>
    <mergeCell ref="U36:U38"/>
    <mergeCell ref="N39:O41"/>
    <mergeCell ref="S36:S38"/>
    <mergeCell ref="T36:T38"/>
    <mergeCell ref="T27:T29"/>
    <mergeCell ref="U27:U29"/>
    <mergeCell ref="T21:T23"/>
    <mergeCell ref="P18:P20"/>
    <mergeCell ref="P21:P23"/>
    <mergeCell ref="S18:S20"/>
    <mergeCell ref="S24:S26"/>
    <mergeCell ref="N33:O35"/>
    <mergeCell ref="T33:T35"/>
    <mergeCell ref="U33:U35"/>
    <mergeCell ref="S33:S35"/>
    <mergeCell ref="B12:C14"/>
    <mergeCell ref="B10:C11"/>
    <mergeCell ref="D10:D11"/>
    <mergeCell ref="E10:E11"/>
    <mergeCell ref="F10:G11"/>
    <mergeCell ref="U21:U23"/>
    <mergeCell ref="U18:U20"/>
    <mergeCell ref="T18:T20"/>
    <mergeCell ref="N18:O20"/>
    <mergeCell ref="S21:S23"/>
    <mergeCell ref="T10:U10"/>
    <mergeCell ref="D18:D20"/>
    <mergeCell ref="D21:D23"/>
    <mergeCell ref="F21:G23"/>
    <mergeCell ref="T12:T14"/>
    <mergeCell ref="K18:L20"/>
    <mergeCell ref="E18:E20"/>
    <mergeCell ref="F18:G20"/>
    <mergeCell ref="E12:E14"/>
    <mergeCell ref="D12:D14"/>
    <mergeCell ref="S10:S11"/>
    <mergeCell ref="N10:O11"/>
    <mergeCell ref="Q10:R11"/>
    <mergeCell ref="M10:M11"/>
    <mergeCell ref="C33:C35"/>
    <mergeCell ref="C36:C38"/>
    <mergeCell ref="B18:C20"/>
    <mergeCell ref="E21:E23"/>
    <mergeCell ref="B21:C23"/>
    <mergeCell ref="B24:C26"/>
    <mergeCell ref="B33:B38"/>
    <mergeCell ref="E30:E32"/>
    <mergeCell ref="F33:G38"/>
    <mergeCell ref="D33:D38"/>
    <mergeCell ref="B27:C29"/>
    <mergeCell ref="B30:C32"/>
    <mergeCell ref="E27:E29"/>
    <mergeCell ref="E24:E26"/>
    <mergeCell ref="E33:E38"/>
    <mergeCell ref="D27:D29"/>
    <mergeCell ref="D30:D32"/>
    <mergeCell ref="U30:U32"/>
    <mergeCell ref="P33:P35"/>
    <mergeCell ref="F12:G14"/>
    <mergeCell ref="K12:L14"/>
    <mergeCell ref="T39:T41"/>
    <mergeCell ref="K33:L38"/>
    <mergeCell ref="Q12:Q14"/>
    <mergeCell ref="R12:R14"/>
    <mergeCell ref="Q39:Q41"/>
    <mergeCell ref="R39:R41"/>
    <mergeCell ref="S12:S14"/>
    <mergeCell ref="S27:S29"/>
    <mergeCell ref="K21:L23"/>
    <mergeCell ref="S39:S41"/>
    <mergeCell ref="N21:O23"/>
    <mergeCell ref="K24:L26"/>
    <mergeCell ref="J33:J35"/>
    <mergeCell ref="N36:O38"/>
    <mergeCell ref="N12:O14"/>
    <mergeCell ref="N24:O26"/>
    <mergeCell ref="J36:J38"/>
    <mergeCell ref="H39:J41"/>
    <mergeCell ref="P12:P14"/>
    <mergeCell ref="P36:P38"/>
    <mergeCell ref="U51:U53"/>
    <mergeCell ref="U45:U47"/>
    <mergeCell ref="T57:T59"/>
    <mergeCell ref="U57:U59"/>
    <mergeCell ref="T45:T47"/>
    <mergeCell ref="U54:U56"/>
    <mergeCell ref="U48:U50"/>
    <mergeCell ref="M54:M56"/>
    <mergeCell ref="S45:S47"/>
    <mergeCell ref="N54:O56"/>
    <mergeCell ref="N51:O53"/>
    <mergeCell ref="T48:T50"/>
    <mergeCell ref="S51:S53"/>
    <mergeCell ref="N57:O59"/>
    <mergeCell ref="P51:P53"/>
    <mergeCell ref="S54:S56"/>
    <mergeCell ref="T51:T53"/>
    <mergeCell ref="T54:T56"/>
    <mergeCell ref="P57:P59"/>
    <mergeCell ref="M57:M59"/>
    <mergeCell ref="P54:P56"/>
    <mergeCell ref="P10:P11"/>
    <mergeCell ref="B85:S85"/>
    <mergeCell ref="U39:U41"/>
    <mergeCell ref="T42:T44"/>
    <mergeCell ref="U42:U44"/>
    <mergeCell ref="N30:O32"/>
    <mergeCell ref="N27:O29"/>
    <mergeCell ref="S30:S32"/>
    <mergeCell ref="T30:T32"/>
    <mergeCell ref="N42:O44"/>
    <mergeCell ref="Q42:Q44"/>
    <mergeCell ref="R42:R44"/>
    <mergeCell ref="F45:G47"/>
    <mergeCell ref="F54:G56"/>
    <mergeCell ref="D48:D50"/>
    <mergeCell ref="H51:J53"/>
    <mergeCell ref="H54:J56"/>
    <mergeCell ref="S48:S50"/>
    <mergeCell ref="N45:O47"/>
    <mergeCell ref="N48:O50"/>
    <mergeCell ref="P24:P26"/>
    <mergeCell ref="P27:P29"/>
    <mergeCell ref="P30:P32"/>
    <mergeCell ref="M30:M32"/>
    <mergeCell ref="M33:M35"/>
    <mergeCell ref="M36:M38"/>
    <mergeCell ref="P39:P41"/>
    <mergeCell ref="P42:P44"/>
    <mergeCell ref="P45:P47"/>
    <mergeCell ref="M42:M44"/>
    <mergeCell ref="P48:P50"/>
    <mergeCell ref="M48:M50"/>
    <mergeCell ref="M51:M53"/>
    <mergeCell ref="M45:M47"/>
    <mergeCell ref="M39:M41"/>
    <mergeCell ref="E51:E53"/>
    <mergeCell ref="D51:D53"/>
    <mergeCell ref="K51:L53"/>
    <mergeCell ref="E48:E50"/>
    <mergeCell ref="F48:G50"/>
    <mergeCell ref="B54:C56"/>
    <mergeCell ref="D54:D56"/>
    <mergeCell ref="B51:C53"/>
    <mergeCell ref="D66:D68"/>
    <mergeCell ref="B60:C62"/>
    <mergeCell ref="B63:C65"/>
    <mergeCell ref="B66:C68"/>
    <mergeCell ref="H60:J62"/>
    <mergeCell ref="D60:D62"/>
    <mergeCell ref="E60:E62"/>
    <mergeCell ref="F60:G62"/>
    <mergeCell ref="D63:D65"/>
    <mergeCell ref="E63:E65"/>
    <mergeCell ref="K60:L62"/>
    <mergeCell ref="F63:G65"/>
    <mergeCell ref="H63:J65"/>
    <mergeCell ref="E66:E68"/>
    <mergeCell ref="F66:G68"/>
    <mergeCell ref="H66:J68"/>
    <mergeCell ref="U66:U68"/>
    <mergeCell ref="T63:T65"/>
    <mergeCell ref="T66:T68"/>
    <mergeCell ref="S60:S62"/>
    <mergeCell ref="S63:S65"/>
    <mergeCell ref="S66:S68"/>
    <mergeCell ref="U63:U65"/>
    <mergeCell ref="U60:U62"/>
    <mergeCell ref="M60:M62"/>
    <mergeCell ref="T60:T62"/>
    <mergeCell ref="P60:P62"/>
    <mergeCell ref="Q15:Q17"/>
    <mergeCell ref="R15:R17"/>
    <mergeCell ref="S15:S17"/>
    <mergeCell ref="T15:T17"/>
    <mergeCell ref="U15:U17"/>
    <mergeCell ref="B15:C17"/>
    <mergeCell ref="D15:D17"/>
    <mergeCell ref="E15:E17"/>
    <mergeCell ref="F15:G17"/>
    <mergeCell ref="H15:J17"/>
    <mergeCell ref="K15:L17"/>
    <mergeCell ref="M15:M17"/>
    <mergeCell ref="N15:O17"/>
    <mergeCell ref="P15:P17"/>
  </mergeCells>
  <phoneticPr fontId="40" type="noConversion"/>
  <conditionalFormatting sqref="R21 R27 R30 R18 R24 R33:R34 R36 R45 R48 R57:R58 R51 R54">
    <cfRule type="containsBlanks" dxfId="404" priority="755">
      <formula>LEN(TRIM(R18))=0</formula>
    </cfRule>
  </conditionalFormatting>
  <conditionalFormatting sqref="S33:S35">
    <cfRule type="cellIs" dxfId="403" priority="254" stopIfTrue="1" operator="equal">
      <formula>#REF!</formula>
    </cfRule>
    <cfRule type="expression" dxfId="402" priority="261" stopIfTrue="1">
      <formula>OR(S33=#REF!,S33=#REF!)</formula>
    </cfRule>
    <cfRule type="cellIs" dxfId="401" priority="262" stopIfTrue="1" operator="equal">
      <formula>"I.O. (Plausibilität unklar)"</formula>
    </cfRule>
    <cfRule type="cellIs" dxfId="400" priority="263" stopIfTrue="1" operator="equal">
      <formula>"I.O."</formula>
    </cfRule>
  </conditionalFormatting>
  <conditionalFormatting sqref="S36:S38">
    <cfRule type="cellIs" dxfId="399" priority="252" stopIfTrue="1" operator="equal">
      <formula>#REF!</formula>
    </cfRule>
    <cfRule type="expression" dxfId="398" priority="258" stopIfTrue="1">
      <formula>OR(S36=#REF!,S36=#REF!)</formula>
    </cfRule>
    <cfRule type="cellIs" dxfId="397" priority="259" stopIfTrue="1" operator="equal">
      <formula>"I.O. (Plausibilität unklar)"</formula>
    </cfRule>
    <cfRule type="cellIs" dxfId="396" priority="260" stopIfTrue="1" operator="equal">
      <formula>"I.O."</formula>
    </cfRule>
  </conditionalFormatting>
  <conditionalFormatting sqref="S12:S14 S45:S68 S18:S38">
    <cfRule type="expression" dxfId="395" priority="175" stopIfTrue="1">
      <formula>OR(S12=$F$81,S12=$F$80)</formula>
    </cfRule>
    <cfRule type="cellIs" dxfId="394" priority="199" stopIfTrue="1" operator="equal">
      <formula>"Sollvorgabe nicht erfüllt"</formula>
    </cfRule>
    <cfRule type="cellIs" dxfId="393" priority="223" stopIfTrue="1" operator="equal">
      <formula>"I.O. (Plausibilität unklar)"</formula>
    </cfRule>
    <cfRule type="cellIs" dxfId="392" priority="249" stopIfTrue="1" operator="equal">
      <formula>"I.O."</formula>
    </cfRule>
  </conditionalFormatting>
  <conditionalFormatting sqref="S21:S23">
    <cfRule type="expression" dxfId="391" priority="174" stopIfTrue="1">
      <formula>OR(S21=#REF!,S21=#REF!)</formula>
    </cfRule>
    <cfRule type="cellIs" dxfId="390" priority="198" stopIfTrue="1" operator="equal">
      <formula>#REF!</formula>
    </cfRule>
    <cfRule type="cellIs" dxfId="389" priority="222" stopIfTrue="1" operator="equal">
      <formula>"I.O. (Plausibilität unklar)"</formula>
    </cfRule>
    <cfRule type="cellIs" dxfId="388" priority="248" stopIfTrue="1" operator="equal">
      <formula>"I.O."</formula>
    </cfRule>
  </conditionalFormatting>
  <conditionalFormatting sqref="S24:S26">
    <cfRule type="expression" dxfId="387" priority="173" stopIfTrue="1">
      <formula>OR(S24=#REF!,S24=#REF!)</formula>
    </cfRule>
    <cfRule type="cellIs" dxfId="386" priority="197" stopIfTrue="1" operator="equal">
      <formula>#REF!</formula>
    </cfRule>
    <cfRule type="cellIs" dxfId="385" priority="221" stopIfTrue="1" operator="equal">
      <formula>"I.O. (Plausibilität unklar)"</formula>
    </cfRule>
    <cfRule type="cellIs" dxfId="384" priority="247" stopIfTrue="1" operator="equal">
      <formula>"I.O."</formula>
    </cfRule>
  </conditionalFormatting>
  <conditionalFormatting sqref="S27:S29">
    <cfRule type="expression" dxfId="383" priority="172" stopIfTrue="1">
      <formula>OR(S27=#REF!,S27=#REF!)</formula>
    </cfRule>
    <cfRule type="cellIs" dxfId="382" priority="196" stopIfTrue="1" operator="equal">
      <formula>#REF!</formula>
    </cfRule>
    <cfRule type="cellIs" dxfId="381" priority="220" stopIfTrue="1" operator="equal">
      <formula>"I.O. (Plausibilität unklar)"</formula>
    </cfRule>
    <cfRule type="cellIs" dxfId="380" priority="246" stopIfTrue="1" operator="equal">
      <formula>"I.O."</formula>
    </cfRule>
  </conditionalFormatting>
  <conditionalFormatting sqref="S30:S32">
    <cfRule type="expression" dxfId="379" priority="171" stopIfTrue="1">
      <formula>OR(S30=#REF!,S30=#REF!)</formula>
    </cfRule>
    <cfRule type="cellIs" dxfId="378" priority="195" stopIfTrue="1" operator="equal">
      <formula>#REF!</formula>
    </cfRule>
    <cfRule type="cellIs" dxfId="377" priority="219" stopIfTrue="1" operator="equal">
      <formula>"I.O. (Plausibilität unklar)"</formula>
    </cfRule>
    <cfRule type="cellIs" dxfId="376" priority="245" stopIfTrue="1" operator="equal">
      <formula>"I.O."</formula>
    </cfRule>
  </conditionalFormatting>
  <conditionalFormatting sqref="S51:S53">
    <cfRule type="expression" dxfId="375" priority="166" stopIfTrue="1">
      <formula>OR(S51=#REF!,S51=#REF!)</formula>
    </cfRule>
    <cfRule type="cellIs" dxfId="374" priority="190" stopIfTrue="1" operator="equal">
      <formula>#REF!</formula>
    </cfRule>
    <cfRule type="cellIs" dxfId="373" priority="214" stopIfTrue="1" operator="equal">
      <formula>"I.O. (Plausibilität unklar)"</formula>
    </cfRule>
    <cfRule type="cellIs" dxfId="372" priority="240" stopIfTrue="1" operator="equal">
      <formula>"I.O."</formula>
    </cfRule>
  </conditionalFormatting>
  <conditionalFormatting sqref="S54:S56">
    <cfRule type="expression" dxfId="371" priority="165" stopIfTrue="1">
      <formula>OR(S54=#REF!,S54=#REF!)</formula>
    </cfRule>
    <cfRule type="cellIs" dxfId="370" priority="189" stopIfTrue="1" operator="equal">
      <formula>#REF!</formula>
    </cfRule>
    <cfRule type="cellIs" dxfId="369" priority="213" stopIfTrue="1" operator="equal">
      <formula>"I.O. (Plausibilität unklar)"</formula>
    </cfRule>
    <cfRule type="cellIs" dxfId="368" priority="239" stopIfTrue="1" operator="equal">
      <formula>"I.O."</formula>
    </cfRule>
  </conditionalFormatting>
  <conditionalFormatting sqref="S33:S35">
    <cfRule type="cellIs" dxfId="367" priority="121" stopIfTrue="1" operator="equal">
      <formula>#REF!</formula>
    </cfRule>
    <cfRule type="expression" dxfId="366" priority="122" stopIfTrue="1">
      <formula>OR(S33=#REF!,S33=#REF!)</formula>
    </cfRule>
    <cfRule type="cellIs" dxfId="365" priority="123" stopIfTrue="1" operator="equal">
      <formula>"I.O. (Plausibilität unklar)"</formula>
    </cfRule>
    <cfRule type="cellIs" dxfId="364" priority="124" stopIfTrue="1" operator="equal">
      <formula>"I.O."</formula>
    </cfRule>
  </conditionalFormatting>
  <conditionalFormatting sqref="S36:S38">
    <cfRule type="cellIs" dxfId="363" priority="117" stopIfTrue="1" operator="equal">
      <formula>#REF!</formula>
    </cfRule>
    <cfRule type="expression" dxfId="362" priority="118" stopIfTrue="1">
      <formula>OR(S36=#REF!,S36=#REF!)</formula>
    </cfRule>
    <cfRule type="cellIs" dxfId="361" priority="119" stopIfTrue="1" operator="equal">
      <formula>"I.O. (Plausibilität unklar)"</formula>
    </cfRule>
    <cfRule type="cellIs" dxfId="360" priority="120" stopIfTrue="1" operator="equal">
      <formula>"I.O."</formula>
    </cfRule>
  </conditionalFormatting>
  <conditionalFormatting sqref="S12:S14">
    <cfRule type="expression" dxfId="359" priority="109" stopIfTrue="1">
      <formula>OR(S12=$F$81,S12=$F$80)</formula>
    </cfRule>
    <cfRule type="cellIs" dxfId="358" priority="110" stopIfTrue="1" operator="equal">
      <formula>"Sollvorgabe nicht erfüllt"</formula>
    </cfRule>
    <cfRule type="cellIs" dxfId="357" priority="111" stopIfTrue="1" operator="equal">
      <formula>"I.O. (Plausibilität unklar)"</formula>
    </cfRule>
    <cfRule type="cellIs" dxfId="356" priority="112" stopIfTrue="1" operator="equal">
      <formula>"I.O."</formula>
    </cfRule>
  </conditionalFormatting>
  <conditionalFormatting sqref="S21:S23">
    <cfRule type="expression" dxfId="355" priority="105" stopIfTrue="1">
      <formula>OR(S21=#REF!,S21=#REF!)</formula>
    </cfRule>
    <cfRule type="cellIs" dxfId="354" priority="106" stopIfTrue="1" operator="equal">
      <formula>#REF!</formula>
    </cfRule>
    <cfRule type="cellIs" dxfId="353" priority="107" stopIfTrue="1" operator="equal">
      <formula>"I.O. (Plausibilität unklar)"</formula>
    </cfRule>
    <cfRule type="cellIs" dxfId="352" priority="108" stopIfTrue="1" operator="equal">
      <formula>"I.O."</formula>
    </cfRule>
  </conditionalFormatting>
  <conditionalFormatting sqref="S24:S26">
    <cfRule type="expression" dxfId="351" priority="101" stopIfTrue="1">
      <formula>OR(S24=#REF!,S24=#REF!)</formula>
    </cfRule>
    <cfRule type="cellIs" dxfId="350" priority="102" stopIfTrue="1" operator="equal">
      <formula>#REF!</formula>
    </cfRule>
    <cfRule type="cellIs" dxfId="349" priority="103" stopIfTrue="1" operator="equal">
      <formula>"I.O. (Plausibilität unklar)"</formula>
    </cfRule>
    <cfRule type="cellIs" dxfId="348" priority="104" stopIfTrue="1" operator="equal">
      <formula>"I.O."</formula>
    </cfRule>
  </conditionalFormatting>
  <conditionalFormatting sqref="S27:S29">
    <cfRule type="expression" dxfId="347" priority="97" stopIfTrue="1">
      <formula>OR(S27=#REF!,S27=#REF!)</formula>
    </cfRule>
    <cfRule type="cellIs" dxfId="346" priority="98" stopIfTrue="1" operator="equal">
      <formula>#REF!</formula>
    </cfRule>
    <cfRule type="cellIs" dxfId="345" priority="99" stopIfTrue="1" operator="equal">
      <formula>"I.O. (Plausibilität unklar)"</formula>
    </cfRule>
    <cfRule type="cellIs" dxfId="344" priority="100" stopIfTrue="1" operator="equal">
      <formula>"I.O."</formula>
    </cfRule>
  </conditionalFormatting>
  <conditionalFormatting sqref="S30:S32">
    <cfRule type="expression" dxfId="343" priority="93" stopIfTrue="1">
      <formula>OR(S30=#REF!,S30=#REF!)</formula>
    </cfRule>
    <cfRule type="cellIs" dxfId="342" priority="94" stopIfTrue="1" operator="equal">
      <formula>#REF!</formula>
    </cfRule>
    <cfRule type="cellIs" dxfId="341" priority="95" stopIfTrue="1" operator="equal">
      <formula>"I.O. (Plausibilität unklar)"</formula>
    </cfRule>
    <cfRule type="cellIs" dxfId="340" priority="96" stopIfTrue="1" operator="equal">
      <formula>"I.O."</formula>
    </cfRule>
  </conditionalFormatting>
  <conditionalFormatting sqref="S51:S53">
    <cfRule type="expression" dxfId="339" priority="77" stopIfTrue="1">
      <formula>OR(S51=#REF!,S51=#REF!)</formula>
    </cfRule>
    <cfRule type="cellIs" dxfId="338" priority="78" stopIfTrue="1" operator="equal">
      <formula>#REF!</formula>
    </cfRule>
    <cfRule type="cellIs" dxfId="337" priority="79" stopIfTrue="1" operator="equal">
      <formula>"I.O. (Plausibilität unklar)"</formula>
    </cfRule>
    <cfRule type="cellIs" dxfId="336" priority="80" stopIfTrue="1" operator="equal">
      <formula>"I.O."</formula>
    </cfRule>
  </conditionalFormatting>
  <conditionalFormatting sqref="S54:S56">
    <cfRule type="expression" dxfId="335" priority="73" stopIfTrue="1">
      <formula>OR(S54=#REF!,S54=#REF!)</formula>
    </cfRule>
    <cfRule type="cellIs" dxfId="334" priority="74" stopIfTrue="1" operator="equal">
      <formula>#REF!</formula>
    </cfRule>
    <cfRule type="cellIs" dxfId="333" priority="75" stopIfTrue="1" operator="equal">
      <formula>"I.O. (Plausibilität unklar)"</formula>
    </cfRule>
    <cfRule type="cellIs" dxfId="332" priority="76" stopIfTrue="1" operator="equal">
      <formula>"I.O."</formula>
    </cfRule>
  </conditionalFormatting>
  <conditionalFormatting sqref="R60">
    <cfRule type="containsBlanks" dxfId="331" priority="52">
      <formula>LEN(TRIM(R60))=0</formula>
    </cfRule>
  </conditionalFormatting>
  <conditionalFormatting sqref="R63:R64">
    <cfRule type="containsBlanks" dxfId="330" priority="51">
      <formula>LEN(TRIM(R63))=0</formula>
    </cfRule>
  </conditionalFormatting>
  <conditionalFormatting sqref="R66:R67 R69 R72:R73">
    <cfRule type="containsBlanks" dxfId="329" priority="50">
      <formula>LEN(TRIM(R66))=0</formula>
    </cfRule>
  </conditionalFormatting>
  <conditionalFormatting sqref="R15">
    <cfRule type="containsBlanks" dxfId="328" priority="37">
      <formula>LEN(TRIM(R15))=0</formula>
    </cfRule>
  </conditionalFormatting>
  <conditionalFormatting sqref="S69:S74">
    <cfRule type="cellIs" dxfId="327" priority="30" operator="equal">
      <formula>"Ausnahme (Plausibilität unklar)"</formula>
    </cfRule>
    <cfRule type="cellIs" dxfId="326" priority="31" operator="equal">
      <formula>"I.O."</formula>
    </cfRule>
  </conditionalFormatting>
  <conditionalFormatting sqref="T15:T17">
    <cfRule type="notContainsBlanks" dxfId="325" priority="3394" stopIfTrue="1">
      <formula>LEN(TRIM(T15))&gt;0</formula>
    </cfRule>
    <cfRule type="expression" dxfId="324" priority="3395" stopIfTrue="1">
      <formula>OR($S15=$D$79,$S15="Ausnahme (Plausibilität unklar)",$S15=$F$81)</formula>
    </cfRule>
  </conditionalFormatting>
  <conditionalFormatting sqref="T12:T14 T18:T68">
    <cfRule type="notContainsBlanks" dxfId="323" priority="3396" stopIfTrue="1">
      <formula>LEN(TRIM(T12))&gt;0</formula>
    </cfRule>
    <cfRule type="expression" dxfId="322" priority="3397" stopIfTrue="1">
      <formula>OR($S12="Sollvorgabe nicht erfüllt",$S12="I.O. (Plausibilität unklar)",$S12=$F$81)</formula>
    </cfRule>
  </conditionalFormatting>
  <conditionalFormatting sqref="S15:S17">
    <cfRule type="expression" dxfId="321" priority="26" stopIfTrue="1">
      <formula>OR(S15=$F$81,S15=$F$80)</formula>
    </cfRule>
    <cfRule type="cellIs" dxfId="320" priority="27" stopIfTrue="1" operator="equal">
      <formula>"Sollvorgabe nicht erfüllt"</formula>
    </cfRule>
    <cfRule type="cellIs" dxfId="319" priority="28" stopIfTrue="1" operator="equal">
      <formula>"I.O. (Plausibilität unklar)"</formula>
    </cfRule>
    <cfRule type="cellIs" dxfId="318" priority="29" stopIfTrue="1" operator="equal">
      <formula>"I.O."</formula>
    </cfRule>
  </conditionalFormatting>
  <conditionalFormatting sqref="S15:S17">
    <cfRule type="cellIs" dxfId="317" priority="21" stopIfTrue="1" operator="equal">
      <formula>"Ausnahme (Plausibilität unklar)"</formula>
    </cfRule>
    <cfRule type="expression" dxfId="316" priority="22" stopIfTrue="1">
      <formula>OR(S15=$F$81,S15=$F$80)</formula>
    </cfRule>
    <cfRule type="cellIs" dxfId="315" priority="23" stopIfTrue="1" operator="equal">
      <formula>"Sollvorgabe nicht erfüllt"</formula>
    </cfRule>
    <cfRule type="cellIs" dxfId="314" priority="24" stopIfTrue="1" operator="equal">
      <formula>"I.O. (Plausibilität unklar)"</formula>
    </cfRule>
    <cfRule type="cellIs" dxfId="313" priority="25" stopIfTrue="1" operator="equal">
      <formula>"I.O."</formula>
    </cfRule>
  </conditionalFormatting>
  <conditionalFormatting sqref="S39:S41">
    <cfRule type="expression" dxfId="312" priority="17" stopIfTrue="1">
      <formula>OR(S39=$F$81,S39=$F$80)</formula>
    </cfRule>
    <cfRule type="cellIs" dxfId="311" priority="18" stopIfTrue="1" operator="equal">
      <formula>"Sollvorgabe nicht erfüllt"</formula>
    </cfRule>
    <cfRule type="cellIs" dxfId="310" priority="19" stopIfTrue="1" operator="equal">
      <formula>"I.O. (Plausibilität unklar)"</formula>
    </cfRule>
    <cfRule type="cellIs" dxfId="309" priority="20" stopIfTrue="1" operator="equal">
      <formula>"I.O."</formula>
    </cfRule>
  </conditionalFormatting>
  <conditionalFormatting sqref="S39:S41">
    <cfRule type="expression" dxfId="308" priority="13" stopIfTrue="1">
      <formula>OR(S39=$F$81,S39=$F$80)</formula>
    </cfRule>
    <cfRule type="cellIs" dxfId="307" priority="14" stopIfTrue="1" operator="equal">
      <formula>"Sollvorgabe nicht erfüllt"</formula>
    </cfRule>
    <cfRule type="cellIs" dxfId="306" priority="15" stopIfTrue="1" operator="equal">
      <formula>"I.O. (Plausibilität unklar)"</formula>
    </cfRule>
    <cfRule type="cellIs" dxfId="305" priority="16" stopIfTrue="1" operator="equal">
      <formula>"I.O."</formula>
    </cfRule>
  </conditionalFormatting>
  <conditionalFormatting sqref="S42:S44">
    <cfRule type="expression" dxfId="304" priority="9" stopIfTrue="1">
      <formula>OR(S42=$F$81,S42=$F$80)</formula>
    </cfRule>
    <cfRule type="cellIs" dxfId="303" priority="10" stopIfTrue="1" operator="equal">
      <formula>"Sollvorgabe nicht erfüllt"</formula>
    </cfRule>
    <cfRule type="cellIs" dxfId="302" priority="11" stopIfTrue="1" operator="equal">
      <formula>"I.O. (Plausibilität unklar)"</formula>
    </cfRule>
    <cfRule type="cellIs" dxfId="301" priority="12" stopIfTrue="1" operator="equal">
      <formula>"I.O."</formula>
    </cfRule>
  </conditionalFormatting>
  <conditionalFormatting sqref="S42:S44">
    <cfRule type="expression" dxfId="300" priority="5" stopIfTrue="1">
      <formula>OR(S42=$F$81,S42=$F$80)</formula>
    </cfRule>
    <cfRule type="cellIs" dxfId="299" priority="6" stopIfTrue="1" operator="equal">
      <formula>"Sollvorgabe nicht erfüllt"</formula>
    </cfRule>
    <cfRule type="cellIs" dxfId="298" priority="7" stopIfTrue="1" operator="equal">
      <formula>"I.O. (Plausibilität unklar)"</formula>
    </cfRule>
    <cfRule type="cellIs" dxfId="297" priority="8" stopIfTrue="1" operator="equal">
      <formula>"I.O."</formula>
    </cfRule>
  </conditionalFormatting>
  <conditionalFormatting sqref="S69:S74">
    <cfRule type="cellIs" dxfId="296" priority="3" operator="equal">
      <formula>"Inkorrekt"</formula>
    </cfRule>
    <cfRule type="cellIs" dxfId="295" priority="4" operator="equal">
      <formula>"Unvollständig"</formula>
    </cfRule>
  </conditionalFormatting>
  <conditionalFormatting sqref="T69:T74">
    <cfRule type="notContainsBlanks" dxfId="294" priority="1" stopIfTrue="1">
      <formula>LEN(TRIM(T69))&gt;0</formula>
    </cfRule>
    <cfRule type="expression" dxfId="293" priority="2" stopIfTrue="1">
      <formula>OR($S69=$D$79,$S69="Ausnahme (Plausibilität unklar)",$S69=$F$81)</formula>
    </cfRule>
  </conditionalFormatting>
  <dataValidations xWindow="1109" yWindow="471" count="22">
    <dataValidation operator="equal" showInputMessage="1" showErrorMessage="1" sqref="R31 R22" xr:uid="{00000000-0002-0000-0400-000000000000}"/>
    <dataValidation errorStyle="information" allowBlank="1" showInputMessage="1" showErrorMessage="1" errorTitle="Kennzahl" promptTitle="Kennzahl" sqref="D10 B10" xr:uid="{00000000-0002-0000-0400-000001000000}"/>
    <dataValidation type="whole" showInputMessage="1" showErrorMessage="1" errorTitle="Eingabefehler" error="1. Tabellenblatt Basisdaten muss vollständig ausgefüllt sein._x000a_2. Zähler muss eine positive ganze Zahl sein." sqref="R30" xr:uid="{00000000-0002-0000-0400-000002000000}">
      <formula1>0</formula1>
      <formula2>5000</formula2>
    </dataValidation>
    <dataValidation type="whole" showInputMessage="1" showErrorMessage="1" errorTitle="Eingabefehler" error="1. Zähler muss eine positive ganze Zahl sein._x000a_2. Zähler kann nicht größer als Nenner sein." sqref="R36 R57 R60 R72 R24 R63 R33 R69 R66" xr:uid="{00000000-0002-0000-0400-000003000000}">
      <formula1>0</formula1>
      <formula2>IF(R25="",5000,R25)</formula2>
    </dataValidation>
    <dataValidation showInputMessage="1" showErrorMessage="1" sqref="R19 R39:R44" xr:uid="{00000000-0002-0000-0400-000004000000}"/>
    <dataValidation type="textLength" allowBlank="1" showInputMessage="1" showErrorMessage="1" errorTitle="Zeichenlänge" error="Minimal 30 Zeichen und max. 500 Zeichen." sqref="T18:T74 U12:U74" xr:uid="{00000000-0002-0000-0400-000005000000}">
      <formula1>30</formula1>
      <formula2>500</formula2>
    </dataValidation>
    <dataValidation operator="equal" showInputMessage="1" showErrorMessage="1" error="_x000a_" sqref="R49 R46" xr:uid="{00000000-0002-0000-0400-000006000000}"/>
    <dataValidation type="custom" operator="equal" showErrorMessage="1" errorTitle="Eingabefehler" error="1. Nenner muss eine positive ganze Zahl sein. _x000a_2. Nenner kann nicht kleiner als Zähler sein." sqref="R34" xr:uid="{00000000-0002-0000-0400-000007000000}">
      <formula1>IF(ISNUMBER(R34),IF(R34&gt;0,IF(AND(R34&gt;=R33,R34&lt;5001),R34),FALSE),FALSE)</formula1>
    </dataValidation>
    <dataValidation type="custom" showInputMessage="1" showErrorMessage="1" errorTitle="Eingabefehler" error="1. Nenner muss eine positive ganze Zahl sein. _x000a_2. Nenner kann nicht kleiner als Zähler sein._x000a_3. Nenner kann nicht größer als Operative Primärfälle (ohne NET und NEC) sein." sqref="R58" xr:uid="{00000000-0002-0000-0400-000008000000}">
      <formula1>IF(ISNUMBER(R58),IF(R58&gt;0,IF(AND(R58&gt;=R57,R58&lt;=V58),R58,FALSE),FALSE),FALSE)</formula1>
    </dataValidation>
    <dataValidation showInputMessage="1" showErrorMessage="1" errorTitle="Eingabefehler" error="1. Nenner muss eine positive ganze Zahl sein. _x000a_2. Nenner kann nicht kleiner als Zähler sein._x000a_3. Nenner kann nicht größer als Operative Primärfälle sein." sqref="R61" xr:uid="{00000000-0002-0000-0400-000009000000}"/>
    <dataValidation operator="equal" showErrorMessage="1" sqref="R37" xr:uid="{00000000-0002-0000-0400-00000A000000}"/>
    <dataValidation type="textLength" allowBlank="1" showInputMessage="1" showErrorMessage="1" errorTitle="Zeichenlänge" error="Minimal 30 Zeichen und max. 500 Zeichen." promptTitle="Hinweis" prompt="Wenn die Datenqualität nicht &quot;I.O.&quot;ist, ist der Kennzahlenwert zu begründen." sqref="T12:T17" xr:uid="{00000000-0002-0000-0400-00000B000000}">
      <formula1>30</formula1>
      <formula2>500</formula2>
    </dataValidation>
    <dataValidation showInputMessage="1" showErrorMessage="1" errorTitle="Eingabefehler" error="1. Nenner muss eine positive ganze Zahl sein. _x000a_2. Nenner kann nicht kleiner als Zähler sein._x000a_3. Nenner kann nicht kleiner als Primärfälle sein." sqref="R25" xr:uid="{00000000-0002-0000-0400-00000C000000}"/>
    <dataValidation operator="equal" showInputMessage="1" showErrorMessage="1" errorTitle="Eingabefehler" error="1. Nenner muss eine positive ganze Zahl sein. _x000a_2. Nenner kann nicht kleiner als Zähler sein." sqref="R28" xr:uid="{00000000-0002-0000-0400-00000D000000}"/>
    <dataValidation type="whole" showInputMessage="1" showErrorMessage="1" errorTitle="Eingabefehler" error="1. Tabellenblatt Basisdaten muss vollständig ausgefüllt sein._x000a_2. Zähler muss eine positive ganze Zahl sein._x000a_3. Zähler kann nicht größer als Nenner sein." sqref="R45 R21 R48 R18" xr:uid="{00000000-0002-0000-0400-00000E000000}">
      <formula1>0</formula1>
      <formula2>IF(R19="",5000,R19)</formula2>
    </dataValidation>
    <dataValidation type="whole" allowBlank="1" showInputMessage="1" showErrorMessage="1" errorTitle="Eingabefehler" error="1. Tabellenblatt Basisdaten muss vollständig ausgefüllt sein._x000a_2. Zähler muss eine positive ganze Zahl sein._x000a_3. Zähler kann nicht größer als Nenner sein." sqref="R51 R54" xr:uid="{00000000-0002-0000-0400-00000F000000}">
      <formula1>0</formula1>
      <formula2>IF(R52="",5000,R52)</formula2>
    </dataValidation>
    <dataValidation type="whole" showInputMessage="1" showErrorMessage="1" errorTitle="Eingabefehler" error="1. Zähler muss eine positive ganze Zahl sein._x000a_3. Zähler kann nicht größer als Nenner sein." sqref="R27" xr:uid="{00000000-0002-0000-0400-000010000000}">
      <formula1>0</formula1>
      <formula2>IF(R28="",5000,R28)</formula2>
    </dataValidation>
    <dataValidation type="custom" showInputMessage="1" showErrorMessage="1" errorTitle="Eingabefehler" error="1. Nenner muss eine positive ganze Zahl sein. _x000a_2. Nenner kann nicht kleiner als Zähler sein._x000a_3. Nenner kann nicht größer sein als Operative Primärfälle Pankreaskarzinom UICC Stad. I-III." sqref="R64" xr:uid="{00000000-0002-0000-0400-000011000000}">
      <formula1>IF(ISNUMBER(R64),IF(R64&gt;0,IF(AND(R64&gt;=R63,R64&lt;=SUM(L92:P92),R64&lt;5001),R64,FALSE),FALSE),FALSE)</formula1>
    </dataValidation>
    <dataValidation type="whole" showInputMessage="1" showErrorMessage="1" errorTitle="Eingabefehler" error="1. Nenner muss eine positive ganze Zahl sein. _x000a_2. Nenner kann nicht kleiner als Zähler sein." sqref="R73" xr:uid="{00000000-0002-0000-0400-000012000000}">
      <formula1>R72</formula1>
      <formula2>5000</formula2>
    </dataValidation>
    <dataValidation type="whole" allowBlank="1" showInputMessage="1" showErrorMessage="1" errorTitle="Eingabefehler" error="Ganze Zahl zwischen 0 und 5000 eingeben." sqref="R15:R17" xr:uid="{00000000-0002-0000-0400-000013000000}">
      <formula1>0</formula1>
      <formula2>5000</formula2>
    </dataValidation>
    <dataValidation showInputMessage="1" showErrorMessage="1" errorTitle="Eingabefehler" error="1. Nenner muss eine positive ganze Zahl sein. _x000a_2. Nenner kann nicht kleiner als Zähler sein._x000a_3. Nenner kann nicht größer sein als Primärfälle mit Pankreaskarzinom UICC Stad. III-IV." sqref="R70" xr:uid="{00000000-0002-0000-0400-000014000000}"/>
    <dataValidation type="custom" showInputMessage="1" showErrorMessage="1" errorTitle="Eingabefehler" error="1. Nenner muss eine positive ganze Zahl sein. _x000a_2. Nenner kann nicht kleiner als Zähler sein." sqref="R67" xr:uid="{00000000-0002-0000-0400-000015000000}">
      <formula1>IF(ISNUMBER(R67),IF(R67&gt;0,IF(AND(R67&gt;=R66,R67&lt;5001),R67,FALSE),FALSE),FALSE)</formula1>
    </dataValidation>
  </dataValidations>
  <pageMargins left="0.39370078740157483" right="3.937007874015748E-2" top="0.59055118110236227" bottom="0.39370078740157483" header="0.11811023622047245" footer="0.11811023622047245"/>
  <pageSetup paperSize="9" scale="99" orientation="landscape" r:id="rId2"/>
  <headerFooter>
    <oddFooter xml:space="preserve">&amp;L&amp;"Arial,Standard"&amp;7&amp;F&amp;C&amp;"Arial,Standard"&amp;7 © DKG  Alle Rechte vorbehalten&amp;R&amp;"Arial,Standard"&amp;7&amp;P                                           </oddFooter>
    <firstHeader>&amp;C&amp;F&amp;RUnabhängiges Zertifizierungsinstitut
der Deutschen Krebsgesellschaft
Gartenstraße 24, D-89231 Neu-Ulm
Tel. +49  (0)7 31 / 70 51 16 - 0
Fax  +49  (0)7 31 / 70 51 16 - 16
www.onkozert.de, info@onkozert.d</firstHeader>
  </headerFooter>
  <rowBreaks count="6" manualBreakCount="6">
    <brk id="20" max="18" man="1"/>
    <brk id="32" max="18" man="1"/>
    <brk id="47" max="18" man="1"/>
    <brk id="59" max="18" man="1"/>
    <brk id="71" max="18" man="1"/>
    <brk id="88" max="18" man="1"/>
  </rowBreaks>
  <ignoredErrors>
    <ignoredError sqref="D12:D14 D58:D59 D61:D62 D30:D44 D55:D56 D64:D65 D67:D68" twoDigitTextYear="1"/>
    <ignoredError sqref="B18:C38 B39:C56 B58:C59 C57 B13:C14 C12" numberStoredAsText="1"/>
  </ignoredErrors>
  <drawing r:id="rId3"/>
  <legacyDrawing r:id="rId4"/>
  <legacyDrawingHF r:id="rId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15"/>
  <dimension ref="A1:K32"/>
  <sheetViews>
    <sheetView workbookViewId="0">
      <selection activeCell="D30" sqref="D30"/>
    </sheetView>
  </sheetViews>
  <sheetFormatPr defaultColWidth="11.44140625" defaultRowHeight="14.4" x14ac:dyDescent="0.3"/>
  <cols>
    <col min="1" max="1" width="23" style="241" customWidth="1"/>
    <col min="2" max="4" width="28.109375" style="241" customWidth="1"/>
    <col min="5" max="5" width="9.109375" style="241" customWidth="1"/>
    <col min="6" max="6" width="33.33203125" style="242" customWidth="1"/>
    <col min="7" max="7" width="32.33203125" style="243" customWidth="1"/>
    <col min="8" max="8" width="10.5546875" style="242" customWidth="1"/>
    <col min="9" max="9" width="29.5546875" style="119" customWidth="1"/>
    <col min="10" max="11" width="29.5546875" style="1" customWidth="1"/>
    <col min="12" max="16384" width="11.44140625" style="1"/>
  </cols>
  <sheetData>
    <row r="1" spans="1:11" x14ac:dyDescent="0.3">
      <c r="A1" s="234" t="s">
        <v>71</v>
      </c>
      <c r="B1" s="635">
        <v>179</v>
      </c>
      <c r="C1" s="235"/>
      <c r="D1" s="235"/>
      <c r="E1" s="235"/>
      <c r="F1" s="236"/>
      <c r="G1" s="237"/>
      <c r="H1" s="236"/>
    </row>
    <row r="2" spans="1:11" x14ac:dyDescent="0.3">
      <c r="A2" s="234" t="s">
        <v>16</v>
      </c>
      <c r="B2" s="240" t="str">
        <f>IF(Basisdaten!C6=0,"",Basisdaten!C6)</f>
        <v/>
      </c>
      <c r="C2" s="235"/>
      <c r="D2" s="235"/>
      <c r="E2" s="235"/>
      <c r="F2" s="236"/>
      <c r="G2" s="237"/>
      <c r="H2" s="236"/>
      <c r="K2" s="6"/>
    </row>
    <row r="3" spans="1:11" x14ac:dyDescent="0.3">
      <c r="A3" s="234" t="s">
        <v>78</v>
      </c>
      <c r="B3" s="385" t="str">
        <f>IF(Basisdaten!I12=0,"",Basisdaten!I12)</f>
        <v/>
      </c>
      <c r="C3" s="235"/>
      <c r="D3" s="235"/>
      <c r="E3" s="235"/>
      <c r="F3" s="236"/>
      <c r="G3" s="237"/>
      <c r="H3" s="236"/>
    </row>
    <row r="4" spans="1:11" x14ac:dyDescent="0.3">
      <c r="A4" s="234"/>
      <c r="B4" s="313"/>
      <c r="C4" s="235"/>
      <c r="D4" s="235"/>
      <c r="E4" s="235"/>
      <c r="F4" s="236"/>
      <c r="G4" s="237"/>
      <c r="H4" s="236"/>
      <c r="I4" s="312"/>
    </row>
    <row r="5" spans="1:11" x14ac:dyDescent="0.3">
      <c r="A5" s="319" t="s">
        <v>419</v>
      </c>
      <c r="B5" s="328"/>
      <c r="C5" s="235"/>
      <c r="D5" s="235"/>
      <c r="E5" s="235"/>
      <c r="F5" s="236"/>
      <c r="G5" s="237"/>
      <c r="H5" s="236"/>
      <c r="I5" s="312"/>
    </row>
    <row r="6" spans="1:11" x14ac:dyDescent="0.3">
      <c r="A6" s="319" t="s">
        <v>420</v>
      </c>
      <c r="B6" s="328"/>
      <c r="C6" s="235"/>
      <c r="D6" s="235"/>
      <c r="E6" s="235"/>
      <c r="F6" s="236"/>
      <c r="G6" s="237"/>
      <c r="H6" s="236"/>
      <c r="I6" s="312"/>
    </row>
    <row r="7" spans="1:11" x14ac:dyDescent="0.3">
      <c r="A7" s="319" t="s">
        <v>421</v>
      </c>
      <c r="B7" s="328"/>
      <c r="C7" s="235"/>
      <c r="D7" s="235"/>
      <c r="E7" s="235"/>
      <c r="F7" s="236"/>
      <c r="G7" s="237"/>
      <c r="H7" s="236"/>
      <c r="I7" s="312"/>
    </row>
    <row r="8" spans="1:11" x14ac:dyDescent="0.3">
      <c r="A8" s="319" t="s">
        <v>422</v>
      </c>
      <c r="B8" s="328"/>
      <c r="C8" s="235"/>
      <c r="D8" s="235"/>
      <c r="E8" s="235"/>
      <c r="F8" s="236"/>
      <c r="G8" s="237"/>
      <c r="H8" s="236"/>
      <c r="I8" s="312"/>
    </row>
    <row r="9" spans="1:11" x14ac:dyDescent="0.3">
      <c r="A9" s="319" t="s">
        <v>423</v>
      </c>
      <c r="B9" s="328"/>
      <c r="C9" s="235"/>
      <c r="D9" s="235"/>
      <c r="E9" s="235"/>
      <c r="F9" s="236"/>
      <c r="G9" s="237"/>
      <c r="H9" s="236"/>
      <c r="I9" s="312"/>
    </row>
    <row r="10" spans="1:11" x14ac:dyDescent="0.3">
      <c r="A10" s="234"/>
      <c r="B10" s="313"/>
      <c r="C10" s="235"/>
      <c r="D10" s="235"/>
      <c r="E10" s="235"/>
      <c r="F10" s="236"/>
      <c r="G10" s="237"/>
      <c r="H10" s="236"/>
      <c r="I10" s="312"/>
    </row>
    <row r="11" spans="1:11" x14ac:dyDescent="0.3">
      <c r="A11" s="78" t="s">
        <v>70</v>
      </c>
      <c r="B11" s="78" t="s">
        <v>69</v>
      </c>
      <c r="C11" s="78" t="s">
        <v>4</v>
      </c>
      <c r="D11" s="78" t="s">
        <v>15</v>
      </c>
      <c r="E11" s="78" t="s">
        <v>68</v>
      </c>
      <c r="F11" s="238" t="s">
        <v>72</v>
      </c>
      <c r="G11" s="238" t="s">
        <v>66</v>
      </c>
      <c r="H11" s="92" t="s">
        <v>67</v>
      </c>
      <c r="I11" s="229" t="s">
        <v>424</v>
      </c>
      <c r="J11" s="326" t="s">
        <v>425</v>
      </c>
      <c r="K11" s="326" t="s">
        <v>426</v>
      </c>
    </row>
    <row r="12" spans="1:11" x14ac:dyDescent="0.3">
      <c r="A12" s="117" t="s">
        <v>833</v>
      </c>
      <c r="B12" s="259">
        <f>IF('Kennzahlenbogen_(KB)'!R12="","n.d.",'Kennzahlenbogen_(KB)'!R12)</f>
        <v>0</v>
      </c>
      <c r="C12" s="260"/>
      <c r="D12" s="472"/>
      <c r="E12" s="259">
        <f>Berechnung1!N33</f>
        <v>1</v>
      </c>
      <c r="F12" s="240" t="str">
        <f>IF('Kennzahlenbogen_(KB)'!T12=0,"",'Kennzahlenbogen_(KB)'!T12)</f>
        <v/>
      </c>
      <c r="G12" s="240" t="str">
        <f>IF('Kennzahlenbogen_(KB)'!U12=0,"",'Kennzahlenbogen_(KB)'!U12)</f>
        <v/>
      </c>
      <c r="H12" s="259">
        <f>Berechnung1!O33</f>
        <v>0</v>
      </c>
      <c r="I12" s="319"/>
      <c r="J12" s="240"/>
      <c r="K12" s="240"/>
    </row>
    <row r="13" spans="1:11" x14ac:dyDescent="0.3">
      <c r="A13" s="117" t="s">
        <v>834</v>
      </c>
      <c r="B13" s="618" t="str">
        <f>IF('Kennzahlenbogen_(KB)'!R15="","n.d.",'Kennzahlenbogen_(KB)'!R15)</f>
        <v>n.d.</v>
      </c>
      <c r="C13" s="260"/>
      <c r="D13" s="472"/>
      <c r="E13" s="259">
        <f>Berechnung1!N36</f>
        <v>1</v>
      </c>
      <c r="F13" s="240" t="str">
        <f>IF('Kennzahlenbogen_(KB)'!T15=0,"",'Kennzahlenbogen_(KB)'!T15)</f>
        <v/>
      </c>
      <c r="G13" s="240" t="str">
        <f>IF('Kennzahlenbogen_(KB)'!U15=0,"",'Kennzahlenbogen_(KB)'!U15)</f>
        <v/>
      </c>
      <c r="H13" s="259">
        <f>Berechnung1!O36</f>
        <v>0</v>
      </c>
      <c r="I13" s="591"/>
      <c r="J13" s="240"/>
      <c r="K13" s="240"/>
    </row>
    <row r="14" spans="1:11" x14ac:dyDescent="0.3">
      <c r="A14" s="239" t="s">
        <v>144</v>
      </c>
      <c r="B14" s="259" t="str">
        <f>IF('Kennzahlenbogen_(KB)'!R18= "", "",'Kennzahlenbogen_(KB)'!R18)</f>
        <v/>
      </c>
      <c r="C14" s="259">
        <f>IF('Kennzahlenbogen_(KB)'!R19= "", "",'Kennzahlenbogen_(KB)'!R19)</f>
        <v>0</v>
      </c>
      <c r="D14" s="473" t="str">
        <f>IF('Kennzahlenbogen_(KB)'!R20="n.d.","n.d.",'Kennzahlenbogen_(KB)'!R20*100)</f>
        <v>n.d.</v>
      </c>
      <c r="E14" s="259">
        <f>Berechnung1!N39</f>
        <v>1</v>
      </c>
      <c r="F14" s="240" t="str">
        <f>IF('Kennzahlenbogen_(KB)'!T18=0,"",'Kennzahlenbogen_(KB)'!T18)</f>
        <v/>
      </c>
      <c r="G14" s="240" t="str">
        <f>IF('Kennzahlenbogen_(KB)'!U18=0,"",'Kennzahlenbogen_(KB)'!U18)</f>
        <v/>
      </c>
      <c r="H14" s="259">
        <f>Berechnung1!O39</f>
        <v>0</v>
      </c>
      <c r="I14" s="319"/>
      <c r="J14" s="240"/>
      <c r="K14" s="240"/>
    </row>
    <row r="15" spans="1:11" x14ac:dyDescent="0.3">
      <c r="A15" s="239" t="s">
        <v>145</v>
      </c>
      <c r="B15" s="259" t="str">
        <f>IF('Kennzahlenbogen_(KB)'!$R21= "", "",'Kennzahlenbogen_(KB)'!$R21)</f>
        <v/>
      </c>
      <c r="C15" s="259">
        <f>IF('Kennzahlenbogen_(KB)'!$R22= "", "",'Kennzahlenbogen_(KB)'!$R22)</f>
        <v>0</v>
      </c>
      <c r="D15" s="473" t="str">
        <f>IF('Kennzahlenbogen_(KB)'!R23="n.d.","n.d.",'Kennzahlenbogen_(KB)'!R23*100)</f>
        <v>n.d.</v>
      </c>
      <c r="E15" s="259">
        <f>Berechnung1!N42</f>
        <v>1</v>
      </c>
      <c r="F15" s="240" t="str">
        <f>IF('Kennzahlenbogen_(KB)'!T21=0,"",'Kennzahlenbogen_(KB)'!T21)</f>
        <v/>
      </c>
      <c r="G15" s="240" t="str">
        <f>IF('Kennzahlenbogen_(KB)'!U21=0,"",'Kennzahlenbogen_(KB)'!U21)</f>
        <v/>
      </c>
      <c r="H15" s="259">
        <f>Berechnung1!O42</f>
        <v>0</v>
      </c>
      <c r="I15" s="319"/>
      <c r="J15" s="240"/>
      <c r="K15" s="318"/>
    </row>
    <row r="16" spans="1:11" x14ac:dyDescent="0.3">
      <c r="A16" s="239" t="s">
        <v>146</v>
      </c>
      <c r="B16" s="259" t="str">
        <f>IF('Kennzahlenbogen_(KB)'!$R24= "", "",'Kennzahlenbogen_(KB)'!$R24)</f>
        <v/>
      </c>
      <c r="C16" s="259">
        <f>IF('Kennzahlenbogen_(KB)'!$R25= "", "",'Kennzahlenbogen_(KB)'!$R25)</f>
        <v>0</v>
      </c>
      <c r="D16" s="473" t="str">
        <f>IF('Kennzahlenbogen_(KB)'!R26="n.d.","n.d.",'Kennzahlenbogen_(KB)'!R26*100)</f>
        <v>n.d.</v>
      </c>
      <c r="E16" s="259">
        <f>Berechnung1!N45</f>
        <v>1</v>
      </c>
      <c r="F16" s="240" t="str">
        <f>IF('Kennzahlenbogen_(KB)'!T24=0,"",'Kennzahlenbogen_(KB)'!T24)</f>
        <v/>
      </c>
      <c r="G16" s="240" t="str">
        <f>IF('Kennzahlenbogen_(KB)'!U24=0,"",'Kennzahlenbogen_(KB)'!U24)</f>
        <v/>
      </c>
      <c r="H16" s="259">
        <f>Berechnung1!O45</f>
        <v>0</v>
      </c>
      <c r="I16" s="319"/>
      <c r="J16" s="240"/>
      <c r="K16" s="318"/>
    </row>
    <row r="17" spans="1:11" x14ac:dyDescent="0.3">
      <c r="A17" s="239" t="s">
        <v>147</v>
      </c>
      <c r="B17" s="259" t="str">
        <f>IF('Kennzahlenbogen_(KB)'!$R27= "", "",'Kennzahlenbogen_(KB)'!$R27)</f>
        <v/>
      </c>
      <c r="C17" s="259">
        <f>IF('Kennzahlenbogen_(KB)'!$R28= "", "",'Kennzahlenbogen_(KB)'!$R28)</f>
        <v>0</v>
      </c>
      <c r="D17" s="473" t="str">
        <f>IF('Kennzahlenbogen_(KB)'!R29="n.d.","n.d.",'Kennzahlenbogen_(KB)'!R29*100)</f>
        <v>n.d.</v>
      </c>
      <c r="E17" s="259">
        <f>Berechnung1!N48</f>
        <v>1</v>
      </c>
      <c r="F17" s="240" t="str">
        <f>IF('Kennzahlenbogen_(KB)'!T27=0,"",'Kennzahlenbogen_(KB)'!T27)</f>
        <v/>
      </c>
      <c r="G17" s="240" t="str">
        <f>IF('Kennzahlenbogen_(KB)'!U27=0,"",'Kennzahlenbogen_(KB)'!U27)</f>
        <v/>
      </c>
      <c r="H17" s="259">
        <f>Berechnung1!O48</f>
        <v>0</v>
      </c>
      <c r="I17" s="319"/>
      <c r="J17" s="240"/>
      <c r="K17" s="318"/>
    </row>
    <row r="18" spans="1:11" x14ac:dyDescent="0.3">
      <c r="A18" s="239" t="s">
        <v>148</v>
      </c>
      <c r="B18" s="259" t="str">
        <f>IF('Kennzahlenbogen_(KB)'!$R30= "", "",'Kennzahlenbogen_(KB)'!$R30)</f>
        <v/>
      </c>
      <c r="C18" s="259">
        <f>IF('Kennzahlenbogen_(KB)'!$R31 = "", "",'Kennzahlenbogen_(KB)'!$R31)</f>
        <v>0</v>
      </c>
      <c r="D18" s="473" t="str">
        <f>IF('Kennzahlenbogen_(KB)'!R32="n.d.","n.d.",'Kennzahlenbogen_(KB)'!R32*100)</f>
        <v>n.d.</v>
      </c>
      <c r="E18" s="259">
        <f>Berechnung1!N51</f>
        <v>1</v>
      </c>
      <c r="F18" s="240" t="str">
        <f>IF('Kennzahlenbogen_(KB)'!T30=0,"",'Kennzahlenbogen_(KB)'!T30)</f>
        <v/>
      </c>
      <c r="G18" s="240" t="str">
        <f>IF('Kennzahlenbogen_(KB)'!U30=0,"",'Kennzahlenbogen_(KB)'!U30)</f>
        <v/>
      </c>
      <c r="H18" s="261">
        <f>Berechnung1!O51</f>
        <v>0</v>
      </c>
      <c r="I18" s="319"/>
      <c r="J18" s="240"/>
      <c r="K18" s="240"/>
    </row>
    <row r="19" spans="1:11" x14ac:dyDescent="0.3">
      <c r="A19" s="239" t="s">
        <v>341</v>
      </c>
      <c r="B19" s="259" t="str">
        <f>IF('Kennzahlenbogen_(KB)'!$R33 ="", "",'Kennzahlenbogen_(KB)'!$R33)</f>
        <v/>
      </c>
      <c r="C19" s="259" t="str">
        <f>IF('Kennzahlenbogen_(KB)'!$R34 = "", "",'Kennzahlenbogen_(KB)'!$R34)</f>
        <v/>
      </c>
      <c r="D19" s="473" t="str">
        <f>IF('Kennzahlenbogen_(KB)'!R35="n.d.","n.d.",'Kennzahlenbogen_(KB)'!R35*100)</f>
        <v>n.d.</v>
      </c>
      <c r="E19" s="261">
        <f>Berechnung1!N54</f>
        <v>1</v>
      </c>
      <c r="F19" s="240" t="str">
        <f>IF('Kennzahlenbogen_(KB)'!T33=0,"",'Kennzahlenbogen_(KB)'!T33)</f>
        <v/>
      </c>
      <c r="G19" s="240" t="str">
        <f>IF('Kennzahlenbogen_(KB)'!U33=0,"",'Kennzahlenbogen_(KB)'!U33)</f>
        <v/>
      </c>
      <c r="H19" s="261">
        <f>Berechnung1!O54</f>
        <v>0</v>
      </c>
      <c r="I19" s="319"/>
      <c r="J19" s="240"/>
      <c r="K19" s="240"/>
    </row>
    <row r="20" spans="1:11" s="119" customFormat="1" x14ac:dyDescent="0.3">
      <c r="A20" s="239" t="s">
        <v>342</v>
      </c>
      <c r="B20" s="259" t="str">
        <f>IF('Kennzahlenbogen_(KB)'!$R36= "", "",'Kennzahlenbogen_(KB)'!$R36)</f>
        <v/>
      </c>
      <c r="C20" s="259">
        <f>IF('Kennzahlenbogen_(KB)'!$R37= "", "",'Kennzahlenbogen_(KB)'!$R37)</f>
        <v>0</v>
      </c>
      <c r="D20" s="473" t="str">
        <f>IF('Kennzahlenbogen_(KB)'!R38="n.d.","n.d.",'Kennzahlenbogen_(KB)'!R38*100)</f>
        <v>n.d.</v>
      </c>
      <c r="E20" s="261">
        <f>Berechnung1!N57</f>
        <v>1</v>
      </c>
      <c r="F20" s="240" t="str">
        <f>IF('Kennzahlenbogen_(KB)'!T36=0,"",'Kennzahlenbogen_(KB)'!T36)</f>
        <v/>
      </c>
      <c r="G20" s="240" t="str">
        <f>IF('Kennzahlenbogen_(KB)'!U36=0,"",'Kennzahlenbogen_(KB)'!U36)</f>
        <v/>
      </c>
      <c r="H20" s="259">
        <f>Berechnung1!O57</f>
        <v>0</v>
      </c>
      <c r="I20" s="319"/>
      <c r="J20" s="240"/>
      <c r="K20" s="240"/>
    </row>
    <row r="21" spans="1:11" s="119" customFormat="1" x14ac:dyDescent="0.3">
      <c r="A21" s="239" t="s">
        <v>150</v>
      </c>
      <c r="B21" s="259">
        <f>IF('Kennzahlenbogen_(KB)'!$R39= "", "n.d.",'Kennzahlenbogen_(KB)'!$R39)</f>
        <v>0</v>
      </c>
      <c r="C21" s="260"/>
      <c r="D21" s="472"/>
      <c r="E21" s="259">
        <f>Berechnung1!N60</f>
        <v>1</v>
      </c>
      <c r="F21" s="240" t="str">
        <f>IF('Kennzahlenbogen_(KB)'!T39=0,"",'Kennzahlenbogen_(KB)'!T39)</f>
        <v/>
      </c>
      <c r="G21" s="240" t="str">
        <f>IF('Kennzahlenbogen_(KB)'!U39=0,"",'Kennzahlenbogen_(KB)'!U39)</f>
        <v/>
      </c>
      <c r="H21" s="259">
        <f>Berechnung1!O60</f>
        <v>0</v>
      </c>
      <c r="I21" s="319"/>
      <c r="J21" s="240"/>
      <c r="K21" s="240"/>
    </row>
    <row r="22" spans="1:11" s="119" customFormat="1" x14ac:dyDescent="0.3">
      <c r="A22" s="239" t="s">
        <v>151</v>
      </c>
      <c r="B22" s="259">
        <f>IF('Kennzahlenbogen_(KB)'!$R42= "", "n.d.",'Kennzahlenbogen_(KB)'!$R42)</f>
        <v>0</v>
      </c>
      <c r="C22" s="260"/>
      <c r="D22" s="472"/>
      <c r="E22" s="259">
        <f>Berechnung1!N63</f>
        <v>1</v>
      </c>
      <c r="F22" s="240" t="str">
        <f>IF('Kennzahlenbogen_(KB)'!T42=0,"",'Kennzahlenbogen_(KB)'!T42)</f>
        <v/>
      </c>
      <c r="G22" s="240" t="str">
        <f>IF('Kennzahlenbogen_(KB)'!U42=0,"",'Kennzahlenbogen_(KB)'!U42)</f>
        <v/>
      </c>
      <c r="H22" s="259">
        <f>Berechnung1!O63</f>
        <v>0</v>
      </c>
      <c r="I22" s="319"/>
      <c r="J22" s="240"/>
      <c r="K22" s="240"/>
    </row>
    <row r="23" spans="1:11" s="119" customFormat="1" x14ac:dyDescent="0.3">
      <c r="A23" s="239" t="s">
        <v>152</v>
      </c>
      <c r="B23" s="259" t="str">
        <f>IF('Kennzahlenbogen_(KB)'!$R45= "", "",'Kennzahlenbogen_(KB)'!$R45)</f>
        <v/>
      </c>
      <c r="C23" s="259">
        <f>IF('Kennzahlenbogen_(KB)'!$R46= "", "",'Kennzahlenbogen_(KB)'!$R46)</f>
        <v>0</v>
      </c>
      <c r="D23" s="473" t="str">
        <f>IF('Kennzahlenbogen_(KB)'!R47="n.d.","n.d.",'Kennzahlenbogen_(KB)'!R47*100)</f>
        <v>n.d.</v>
      </c>
      <c r="E23" s="259">
        <f>Berechnung1!N66</f>
        <v>1</v>
      </c>
      <c r="F23" s="240" t="str">
        <f>IF('Kennzahlenbogen_(KB)'!T45=0,"",'Kennzahlenbogen_(KB)'!T45)</f>
        <v/>
      </c>
      <c r="G23" s="240" t="str">
        <f>IF('Kennzahlenbogen_(KB)'!U45=0,"",'Kennzahlenbogen_(KB)'!U45)</f>
        <v/>
      </c>
      <c r="H23" s="259">
        <f>Berechnung1!O66</f>
        <v>0</v>
      </c>
      <c r="I23" s="319"/>
      <c r="J23" s="240"/>
      <c r="K23" s="240"/>
    </row>
    <row r="24" spans="1:11" s="119" customFormat="1" x14ac:dyDescent="0.3">
      <c r="A24" s="239" t="s">
        <v>102</v>
      </c>
      <c r="B24" s="259" t="str">
        <f>IF('Kennzahlenbogen_(KB)'!$R48= "", "",'Kennzahlenbogen_(KB)'!$R48)</f>
        <v/>
      </c>
      <c r="C24" s="259">
        <f>IF('Kennzahlenbogen_(KB)'!$R49= "", "",'Kennzahlenbogen_(KB)'!$R49)</f>
        <v>0</v>
      </c>
      <c r="D24" s="473" t="str">
        <f>IF('Kennzahlenbogen_(KB)'!R50="n.d.","n.d.",'Kennzahlenbogen_(KB)'!R50*100)</f>
        <v>n.d.</v>
      </c>
      <c r="E24" s="259">
        <f>Berechnung1!N69</f>
        <v>1</v>
      </c>
      <c r="F24" s="240" t="str">
        <f>IF('Kennzahlenbogen_(KB)'!T48=0,"",'Kennzahlenbogen_(KB)'!T48)</f>
        <v/>
      </c>
      <c r="G24" s="240" t="str">
        <f>IF('Kennzahlenbogen_(KB)'!U48=0,"",'Kennzahlenbogen_(KB)'!U48)</f>
        <v/>
      </c>
      <c r="H24" s="259">
        <f>Berechnung1!O69</f>
        <v>0</v>
      </c>
      <c r="I24" s="319"/>
      <c r="J24" s="240"/>
      <c r="K24" s="240"/>
    </row>
    <row r="25" spans="1:11" s="119" customFormat="1" x14ac:dyDescent="0.3">
      <c r="A25" s="239" t="s">
        <v>103</v>
      </c>
      <c r="B25" s="259" t="str">
        <f>IF('Kennzahlenbogen_(KB)'!$R51= "", "",'Kennzahlenbogen_(KB)'!$R51)</f>
        <v/>
      </c>
      <c r="C25" s="259">
        <f>IF('Kennzahlenbogen_(KB)'!$R52= "", "",'Kennzahlenbogen_(KB)'!$R52)</f>
        <v>0</v>
      </c>
      <c r="D25" s="473" t="str">
        <f>IF('Kennzahlenbogen_(KB)'!R53="n.d.","n.d.",'Kennzahlenbogen_(KB)'!R53*100)</f>
        <v>n.d.</v>
      </c>
      <c r="E25" s="259">
        <f>Berechnung1!N72</f>
        <v>1</v>
      </c>
      <c r="F25" s="240" t="str">
        <f>IF('Kennzahlenbogen_(KB)'!T51=0,"",'Kennzahlenbogen_(KB)'!T51)</f>
        <v/>
      </c>
      <c r="G25" s="240" t="str">
        <f>IF('Kennzahlenbogen_(KB)'!U51=0,"",'Kennzahlenbogen_(KB)'!U51)</f>
        <v/>
      </c>
      <c r="H25" s="259">
        <f>Berechnung1!O72</f>
        <v>0</v>
      </c>
      <c r="I25" s="319"/>
      <c r="J25" s="240"/>
      <c r="K25" s="240"/>
    </row>
    <row r="26" spans="1:11" s="119" customFormat="1" x14ac:dyDescent="0.3">
      <c r="A26" s="239" t="s">
        <v>104</v>
      </c>
      <c r="B26" s="259" t="str">
        <f>IF('Kennzahlenbogen_(KB)'!$R54= "", "",'Kennzahlenbogen_(KB)'!$R54)</f>
        <v/>
      </c>
      <c r="C26" s="259">
        <f>IF('Kennzahlenbogen_(KB)'!$R55= "", "",'Kennzahlenbogen_(KB)'!$R55)</f>
        <v>0</v>
      </c>
      <c r="D26" s="473" t="str">
        <f>IF('Kennzahlenbogen_(KB)'!R56="n.d.","n.d.",'Kennzahlenbogen_(KB)'!R56*100)</f>
        <v>n.d.</v>
      </c>
      <c r="E26" s="259">
        <f>Berechnung1!N75</f>
        <v>1</v>
      </c>
      <c r="F26" s="240" t="str">
        <f>IF('Kennzahlenbogen_(KB)'!T54=0,"",'Kennzahlenbogen_(KB)'!T54)</f>
        <v/>
      </c>
      <c r="G26" s="240" t="str">
        <f>IF('Kennzahlenbogen_(KB)'!U54=0,"",'Kennzahlenbogen_(KB)'!U54)</f>
        <v/>
      </c>
      <c r="H26" s="259">
        <f>Berechnung1!O75</f>
        <v>0</v>
      </c>
      <c r="I26" s="319"/>
      <c r="J26" s="240"/>
      <c r="K26" s="240"/>
    </row>
    <row r="27" spans="1:11" s="119" customFormat="1" x14ac:dyDescent="0.3">
      <c r="A27" s="108">
        <v>14</v>
      </c>
      <c r="B27" s="259" t="str">
        <f>IF('Kennzahlenbogen_(KB)'!$R57= "", "",'Kennzahlenbogen_(KB)'!$R57)</f>
        <v/>
      </c>
      <c r="C27" s="259" t="str">
        <f>IF('Kennzahlenbogen_(KB)'!$R58= "", "",'Kennzahlenbogen_(KB)'!$R58)</f>
        <v/>
      </c>
      <c r="D27" s="473" t="str">
        <f>IF('Kennzahlenbogen_(KB)'!R59="n.d.","n.d.",'Kennzahlenbogen_(KB)'!R59*100)</f>
        <v>n.d.</v>
      </c>
      <c r="E27" s="259">
        <f>Berechnung1!N78</f>
        <v>1</v>
      </c>
      <c r="F27" s="240" t="str">
        <f>IF('Kennzahlenbogen_(KB)'!T57=0,"",'Kennzahlenbogen_(KB)'!T57)</f>
        <v/>
      </c>
      <c r="G27" s="240" t="str">
        <f>IF('Kennzahlenbogen_(KB)'!U57=0,"",'Kennzahlenbogen_(KB)'!U57)</f>
        <v/>
      </c>
      <c r="H27" s="259">
        <f>Berechnung1!O78</f>
        <v>0</v>
      </c>
      <c r="I27" s="319"/>
      <c r="J27" s="240"/>
      <c r="K27" s="240"/>
    </row>
    <row r="28" spans="1:11" s="99" customFormat="1" x14ac:dyDescent="0.3">
      <c r="A28" s="467">
        <v>15</v>
      </c>
      <c r="B28" s="467" t="str">
        <f>IF('Kennzahlenbogen_(KB)'!$R60= "", "",'Kennzahlenbogen_(KB)'!$R60)</f>
        <v/>
      </c>
      <c r="C28" s="467">
        <f>IF('Kennzahlenbogen_(KB)'!$R61= "", "",'Kennzahlenbogen_(KB)'!$R61)</f>
        <v>0</v>
      </c>
      <c r="D28" s="474" t="str">
        <f>IF('Kennzahlenbogen_(KB)'!R62="n.d.","n.d.",'Kennzahlenbogen_(KB)'!R62*100)</f>
        <v>n.d.</v>
      </c>
      <c r="E28" s="467">
        <f>Berechnung1!N81</f>
        <v>1</v>
      </c>
      <c r="F28" s="468" t="str">
        <f>IF('Kennzahlenbogen_(KB)'!T60=0,"",'Kennzahlenbogen_(KB)'!T60)</f>
        <v/>
      </c>
      <c r="G28" s="469" t="str">
        <f>IF('Kennzahlenbogen_(KB)'!U60=0,"",'Kennzahlenbogen_(KB)'!U60)</f>
        <v/>
      </c>
      <c r="H28" s="467">
        <f>Berechnung1!O81</f>
        <v>0</v>
      </c>
      <c r="I28" s="469"/>
      <c r="J28" s="468"/>
      <c r="K28" s="468"/>
    </row>
    <row r="29" spans="1:11" s="99" customFormat="1" x14ac:dyDescent="0.3">
      <c r="A29" s="467">
        <v>16</v>
      </c>
      <c r="B29" s="467" t="str">
        <f>IF('Kennzahlenbogen_(KB)'!$R63= "", "",'Kennzahlenbogen_(KB)'!$R63)</f>
        <v/>
      </c>
      <c r="C29" s="467" t="str">
        <f>IF('Kennzahlenbogen_(KB)'!$R64= "", "",'Kennzahlenbogen_(KB)'!$R64)</f>
        <v/>
      </c>
      <c r="D29" s="474" t="str">
        <f>IF('Kennzahlenbogen_(KB)'!R65="n.d.","n.d.",'Kennzahlenbogen_(KB)'!R65*100)</f>
        <v>n.d.</v>
      </c>
      <c r="E29" s="467">
        <f>Berechnung1!N84</f>
        <v>1</v>
      </c>
      <c r="F29" s="468" t="str">
        <f>IF('Kennzahlenbogen_(KB)'!T63=0,"",'Kennzahlenbogen_(KB)'!T63)</f>
        <v/>
      </c>
      <c r="G29" s="469" t="str">
        <f>IF('Kennzahlenbogen_(KB)'!U63=0,"",'Kennzahlenbogen_(KB)'!U63)</f>
        <v/>
      </c>
      <c r="H29" s="467">
        <f>Berechnung1!O84</f>
        <v>0</v>
      </c>
      <c r="I29" s="469"/>
      <c r="J29" s="468"/>
      <c r="K29" s="468"/>
    </row>
    <row r="30" spans="1:11" s="99" customFormat="1" x14ac:dyDescent="0.3">
      <c r="A30" s="467">
        <v>17</v>
      </c>
      <c r="B30" s="467" t="str">
        <f>IF('Kennzahlenbogen_(KB)'!$R66= "", "",'Kennzahlenbogen_(KB)'!$R66)</f>
        <v/>
      </c>
      <c r="C30" s="467" t="str">
        <f>IF('Kennzahlenbogen_(KB)'!$R67= "", "",'Kennzahlenbogen_(KB)'!$R67)</f>
        <v/>
      </c>
      <c r="D30" s="474" t="str">
        <f>IF('Kennzahlenbogen_(KB)'!R68="n.d.","n.d.",'Kennzahlenbogen_(KB)'!R68*100)</f>
        <v>n.d.</v>
      </c>
      <c r="E30" s="467">
        <f>Berechnung1!N87</f>
        <v>1</v>
      </c>
      <c r="F30" s="468" t="str">
        <f>IF('Kennzahlenbogen_(KB)'!T66=0,"",'Kennzahlenbogen_(KB)'!T66)</f>
        <v/>
      </c>
      <c r="G30" s="469" t="str">
        <f>IF('Kennzahlenbogen_(KB)'!U66=0,"",'Kennzahlenbogen_(KB)'!U66)</f>
        <v/>
      </c>
      <c r="H30" s="467">
        <f>Berechnung1!O87</f>
        <v>0</v>
      </c>
      <c r="I30" s="469"/>
      <c r="J30" s="468"/>
      <c r="K30" s="468"/>
    </row>
    <row r="31" spans="1:11" x14ac:dyDescent="0.3">
      <c r="A31" s="467">
        <v>18</v>
      </c>
      <c r="B31" s="467" t="str">
        <f>IF('Kennzahlenbogen_(KB)'!$R69= "", "",'Kennzahlenbogen_(KB)'!$R69)</f>
        <v/>
      </c>
      <c r="C31" s="467">
        <f>IF('Kennzahlenbogen_(KB)'!$R70= "", "",'Kennzahlenbogen_(KB)'!$R70)</f>
        <v>0</v>
      </c>
      <c r="D31" s="617" t="str">
        <f>IF('Kennzahlenbogen_(KB)'!R71="n.d.","n.d.",IF('Kennzahlenbogen_(KB)'!$R71="","n.d.",'Kennzahlenbogen_(KB)'!R71*100))</f>
        <v>n.d.</v>
      </c>
      <c r="E31" s="467">
        <f>Berechnung1!N90</f>
        <v>1</v>
      </c>
      <c r="F31" s="468" t="str">
        <f>IF('Kennzahlenbogen_(KB)'!T69=0,"",'Kennzahlenbogen_(KB)'!T69)</f>
        <v/>
      </c>
      <c r="G31" s="469" t="str">
        <f>IF('Kennzahlenbogen_(KB)'!U69=0,"",'Kennzahlenbogen_(KB)'!U69)</f>
        <v/>
      </c>
      <c r="H31" s="467">
        <f>Berechnung1!O90</f>
        <v>0</v>
      </c>
      <c r="I31" s="469"/>
      <c r="J31" s="468"/>
      <c r="K31" s="468"/>
    </row>
    <row r="32" spans="1:11" x14ac:dyDescent="0.3">
      <c r="A32" s="467">
        <v>19</v>
      </c>
      <c r="B32" s="467" t="str">
        <f>IF('Kennzahlenbogen_(KB)'!$R72= "", "",'Kennzahlenbogen_(KB)'!$R72)</f>
        <v/>
      </c>
      <c r="C32" s="467" t="str">
        <f>IF('Kennzahlenbogen_(KB)'!$R73= "", "",'Kennzahlenbogen_(KB)'!$R73)</f>
        <v/>
      </c>
      <c r="D32" s="617" t="str">
        <f>IF('Kennzahlenbogen_(KB)'!R74="n.d.","n.d.",IF('Kennzahlenbogen_(KB)'!$R74="","n.d.",'Kennzahlenbogen_(KB)'!R74*100))</f>
        <v>n.d.</v>
      </c>
      <c r="E32" s="467">
        <f>Berechnung1!N93</f>
        <v>1</v>
      </c>
      <c r="F32" s="468" t="str">
        <f>IF('Kennzahlenbogen_(KB)'!T72=0,"",'Kennzahlenbogen_(KB)'!T72)</f>
        <v/>
      </c>
      <c r="G32" s="469" t="str">
        <f>IF('Kennzahlenbogen_(KB)'!U72=0,"",'Kennzahlenbogen_(KB)'!U72)</f>
        <v/>
      </c>
      <c r="H32" s="467">
        <f>Berechnung1!O93</f>
        <v>0</v>
      </c>
      <c r="I32" s="469"/>
      <c r="J32" s="468"/>
      <c r="K32" s="468"/>
    </row>
  </sheetData>
  <phoneticPr fontId="118" type="noConversion"/>
  <pageMargins left="0.7" right="0.7" top="0.78740157499999996" bottom="0.78740157499999996" header="0.3" footer="0.3"/>
  <pageSetup paperSize="9" orientation="portrait" r:id="rId1"/>
  <ignoredErrors>
    <ignoredError sqref="A14:A26" numberStoredAsText="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12"/>
  <dimension ref="A2:Q137"/>
  <sheetViews>
    <sheetView zoomScaleNormal="100" workbookViewId="0">
      <selection activeCell="K12" sqref="K12"/>
    </sheetView>
  </sheetViews>
  <sheetFormatPr defaultColWidth="11.44140625" defaultRowHeight="14.4" x14ac:dyDescent="0.3"/>
  <cols>
    <col min="1" max="1" width="9.109375" style="1" customWidth="1"/>
    <col min="2" max="2" width="23.5546875" style="1" customWidth="1"/>
    <col min="3" max="3" width="23" style="1" customWidth="1"/>
    <col min="4" max="4" width="20.44140625" style="1" customWidth="1"/>
    <col min="5" max="5" width="21.88671875" style="1" customWidth="1"/>
    <col min="6" max="6" width="15.44140625" style="1" customWidth="1"/>
    <col min="7" max="7" width="23.33203125" style="1" customWidth="1"/>
    <col min="8" max="8" width="22.44140625" style="1" customWidth="1"/>
    <col min="9" max="9" width="20.33203125" style="1" customWidth="1"/>
    <col min="10" max="10" width="14.5546875" style="1" customWidth="1"/>
    <col min="11" max="11" width="15.44140625" style="1" customWidth="1"/>
    <col min="12" max="12" width="16.33203125" style="1" customWidth="1"/>
    <col min="13" max="16384" width="11.44140625" style="1"/>
  </cols>
  <sheetData>
    <row r="2" spans="1:16" x14ac:dyDescent="0.3">
      <c r="A2" s="2"/>
      <c r="B2" s="2"/>
      <c r="C2" s="35"/>
      <c r="D2" s="2"/>
      <c r="E2" s="2"/>
      <c r="F2" s="2"/>
      <c r="G2" s="2"/>
      <c r="H2" s="2"/>
      <c r="I2" s="2"/>
      <c r="J2" s="2"/>
      <c r="K2" s="2"/>
    </row>
    <row r="3" spans="1:16" s="8" customFormat="1" ht="13.8" x14ac:dyDescent="0.25">
      <c r="C3" s="35"/>
      <c r="D3" s="91" t="s">
        <v>79</v>
      </c>
      <c r="M3" s="26"/>
      <c r="N3" s="26"/>
      <c r="O3" s="26"/>
    </row>
    <row r="4" spans="1:16" s="8" customFormat="1" ht="26.25" customHeight="1" x14ac:dyDescent="0.25">
      <c r="A4" s="93" t="s">
        <v>90</v>
      </c>
      <c r="C4" s="90" t="s">
        <v>88</v>
      </c>
      <c r="D4" s="90" t="s">
        <v>89</v>
      </c>
      <c r="E4" s="90" t="s">
        <v>10</v>
      </c>
      <c r="F4" s="90" t="s">
        <v>101</v>
      </c>
      <c r="G4" s="90" t="s">
        <v>99</v>
      </c>
      <c r="H4" s="90" t="s">
        <v>835</v>
      </c>
      <c r="I4" s="90" t="s">
        <v>13</v>
      </c>
      <c r="J4" s="61"/>
      <c r="K4" s="50" t="s">
        <v>841</v>
      </c>
      <c r="N4" s="26"/>
      <c r="O4" s="26"/>
      <c r="P4" s="26"/>
    </row>
    <row r="5" spans="1:16" s="8" customFormat="1" ht="13.8" x14ac:dyDescent="0.25">
      <c r="A5" s="56"/>
      <c r="C5" s="89">
        <f>COUNTIF('Kennzahlenbogen_(KB)'!$S$12:$S$72,C4)</f>
        <v>0</v>
      </c>
      <c r="D5" s="89">
        <f>COUNTIF('Kennzahlenbogen_(KB)'!$S$12:$S$72,D4)</f>
        <v>0</v>
      </c>
      <c r="E5" s="89">
        <f>COUNTIF('Kennzahlenbogen_(KB)'!$S$12:$S$72,E4)</f>
        <v>0</v>
      </c>
      <c r="F5" s="89">
        <f>COUNTIF('Kennzahlenbogen_(KB)'!$S$12:$S$72,F4)</f>
        <v>21</v>
      </c>
      <c r="G5" s="89">
        <f>COUNTIF('Kennzahlenbogen_(KB)'!$S$12:$S$72,G4)</f>
        <v>0</v>
      </c>
      <c r="H5" s="89">
        <f>COUNTIF('Kennzahlenbogen_(KB)'!$S$12:$S$72,H4)</f>
        <v>0</v>
      </c>
      <c r="I5" s="89">
        <f>SUM(C5:G5)</f>
        <v>21</v>
      </c>
      <c r="J5" s="61"/>
      <c r="K5" s="58">
        <f>D5+H5</f>
        <v>0</v>
      </c>
      <c r="N5" s="26"/>
      <c r="O5" s="26"/>
      <c r="P5" s="26"/>
    </row>
    <row r="6" spans="1:16" s="8" customFormat="1" ht="13.8" x14ac:dyDescent="0.25">
      <c r="A6" s="56"/>
      <c r="C6" s="89"/>
      <c r="D6" s="89">
        <f>C5+D5+H5</f>
        <v>0</v>
      </c>
      <c r="E6" s="89">
        <f>E5</f>
        <v>0</v>
      </c>
      <c r="F6" s="89"/>
      <c r="G6" s="89">
        <f>F5+G5</f>
        <v>21</v>
      </c>
      <c r="H6" s="89"/>
      <c r="I6" s="89">
        <f>SUM(C6:G6)</f>
        <v>21</v>
      </c>
      <c r="J6" s="61"/>
      <c r="K6" s="58"/>
      <c r="N6" s="26"/>
      <c r="O6" s="26"/>
      <c r="P6" s="26"/>
    </row>
    <row r="7" spans="1:16" s="8" customFormat="1" ht="13.8" x14ac:dyDescent="0.25">
      <c r="A7" s="56"/>
      <c r="B7" s="8" t="s">
        <v>461</v>
      </c>
      <c r="C7" s="89"/>
      <c r="D7" s="89"/>
      <c r="E7" s="89">
        <f>D6+E6</f>
        <v>0</v>
      </c>
      <c r="F7" s="89"/>
      <c r="G7" s="89">
        <f>G6</f>
        <v>21</v>
      </c>
      <c r="H7" s="89"/>
      <c r="I7" s="89">
        <f>SUM(C7:G7)</f>
        <v>21</v>
      </c>
      <c r="J7" s="61"/>
      <c r="K7" s="58"/>
      <c r="N7" s="26"/>
      <c r="O7" s="26"/>
      <c r="P7" s="26"/>
    </row>
    <row r="8" spans="1:16" s="8" customFormat="1" ht="13.8" x14ac:dyDescent="0.25">
      <c r="A8" s="56"/>
      <c r="B8" s="542">
        <v>21</v>
      </c>
      <c r="C8" s="510">
        <f t="shared" ref="C8:G8" si="0">ROUND(C5/$B$8,4)</f>
        <v>0</v>
      </c>
      <c r="D8" s="510">
        <f>ROUND(D5/$B$8,4)</f>
        <v>0</v>
      </c>
      <c r="E8" s="510">
        <f t="shared" si="0"/>
        <v>0</v>
      </c>
      <c r="F8" s="510">
        <f>ROUND(F5/$B$8,4)</f>
        <v>1</v>
      </c>
      <c r="G8" s="510">
        <f t="shared" si="0"/>
        <v>0</v>
      </c>
      <c r="H8" s="510">
        <f>ROUND(H5/$B$8,4)</f>
        <v>0</v>
      </c>
      <c r="I8" s="510"/>
      <c r="J8" s="62"/>
      <c r="K8" s="610">
        <f>D8+H8</f>
        <v>0</v>
      </c>
      <c r="N8" s="26"/>
      <c r="O8" s="26"/>
      <c r="P8" s="26"/>
    </row>
    <row r="9" spans="1:16" s="8" customFormat="1" ht="13.8" x14ac:dyDescent="0.25">
      <c r="A9" s="56"/>
      <c r="C9" s="510"/>
      <c r="D9" s="510">
        <f>ROUND((C5+D5+H5)/$B$8,4)</f>
        <v>0</v>
      </c>
      <c r="E9" s="510">
        <f>ROUND(E5/$B$8,4)</f>
        <v>0</v>
      </c>
      <c r="F9" s="510"/>
      <c r="G9" s="510">
        <f>ROUND((F5+G5)/$B$8,4)</f>
        <v>1</v>
      </c>
      <c r="H9" s="510">
        <f>ROUND((H5+D5+C5)/$B$8,4)</f>
        <v>0</v>
      </c>
      <c r="I9" s="510">
        <f>SUM(C9:G9)</f>
        <v>1</v>
      </c>
      <c r="J9" s="62"/>
      <c r="K9" s="609"/>
      <c r="N9" s="26"/>
      <c r="O9" s="26"/>
      <c r="P9" s="26"/>
    </row>
    <row r="10" spans="1:16" s="8" customFormat="1" ht="13.8" x14ac:dyDescent="0.25">
      <c r="A10" s="56"/>
      <c r="C10" s="511"/>
      <c r="D10" s="511"/>
      <c r="E10" s="510">
        <f>ROUND((C5+D5+E5+H5)/$B$8,4)</f>
        <v>0</v>
      </c>
      <c r="F10" s="511"/>
      <c r="G10" s="510">
        <f>G9</f>
        <v>1</v>
      </c>
      <c r="H10" s="510"/>
      <c r="I10" s="510">
        <f>SUM(C10:G10)</f>
        <v>1</v>
      </c>
      <c r="J10" s="62"/>
      <c r="N10" s="26"/>
      <c r="O10" s="26"/>
      <c r="P10" s="26"/>
    </row>
    <row r="11" spans="1:16" s="8" customFormat="1" ht="13.8" x14ac:dyDescent="0.25">
      <c r="A11" s="56"/>
      <c r="E11" s="62"/>
      <c r="G11" s="62"/>
      <c r="H11" s="62"/>
      <c r="I11" s="62"/>
      <c r="M11" s="26"/>
      <c r="N11" s="26"/>
      <c r="O11" s="26"/>
    </row>
    <row r="12" spans="1:16" s="8" customFormat="1" ht="13.8" x14ac:dyDescent="0.25">
      <c r="A12" s="56"/>
      <c r="E12" s="62"/>
      <c r="G12" s="62"/>
      <c r="H12" s="62"/>
      <c r="I12" s="62"/>
      <c r="M12" s="26"/>
      <c r="N12" s="26"/>
      <c r="O12" s="26"/>
    </row>
    <row r="13" spans="1:16" s="8" customFormat="1" ht="13.8" x14ac:dyDescent="0.25">
      <c r="A13" s="56"/>
      <c r="M13" s="26"/>
      <c r="N13" s="26"/>
      <c r="O13" s="26"/>
    </row>
    <row r="14" spans="1:16" s="8" customFormat="1" ht="13.8" x14ac:dyDescent="0.25">
      <c r="A14" s="56"/>
      <c r="M14" s="26"/>
      <c r="N14" s="26"/>
      <c r="O14" s="26"/>
    </row>
    <row r="15" spans="1:16" s="8" customFormat="1" ht="13.8" x14ac:dyDescent="0.25">
      <c r="A15" s="56"/>
      <c r="C15" s="35"/>
      <c r="M15" s="26"/>
      <c r="N15" s="26"/>
      <c r="O15" s="26"/>
    </row>
    <row r="16" spans="1:16" s="8" customFormat="1" ht="13.8" x14ac:dyDescent="0.25">
      <c r="A16" s="93"/>
      <c r="C16" s="90"/>
      <c r="D16" s="90"/>
      <c r="E16" s="90"/>
      <c r="F16" s="90"/>
      <c r="G16" s="90"/>
      <c r="H16" s="266"/>
      <c r="M16" s="26"/>
      <c r="N16" s="26"/>
      <c r="O16" s="26"/>
    </row>
    <row r="17" spans="1:15" s="8" customFormat="1" ht="24" x14ac:dyDescent="0.25">
      <c r="A17" s="93" t="s">
        <v>91</v>
      </c>
      <c r="C17" s="90" t="s">
        <v>92</v>
      </c>
      <c r="D17" s="90" t="s">
        <v>93</v>
      </c>
      <c r="E17" s="90" t="s">
        <v>94</v>
      </c>
      <c r="F17" s="90" t="s">
        <v>95</v>
      </c>
      <c r="G17" s="90" t="s">
        <v>96</v>
      </c>
      <c r="H17" s="90" t="s">
        <v>878</v>
      </c>
      <c r="M17" s="26"/>
      <c r="N17" s="26"/>
      <c r="O17" s="26"/>
    </row>
    <row r="18" spans="1:15" s="8" customFormat="1" ht="13.8" x14ac:dyDescent="0.25">
      <c r="A18" s="93"/>
      <c r="C18" s="45"/>
      <c r="D18" s="45"/>
      <c r="E18" s="45"/>
      <c r="F18" s="45"/>
      <c r="G18" s="45"/>
      <c r="M18" s="26"/>
      <c r="N18" s="26"/>
      <c r="O18" s="26"/>
    </row>
    <row r="19" spans="1:15" s="8" customFormat="1" ht="13.8" x14ac:dyDescent="0.25">
      <c r="A19" s="56"/>
      <c r="C19" s="35"/>
      <c r="D19" s="45"/>
      <c r="E19" s="45"/>
      <c r="F19" s="45"/>
      <c r="G19" s="45"/>
      <c r="M19" s="26"/>
      <c r="N19" s="26"/>
      <c r="O19" s="26"/>
    </row>
    <row r="20" spans="1:15" s="8" customFormat="1" ht="13.8" x14ac:dyDescent="0.25">
      <c r="A20" s="56"/>
      <c r="D20" s="45"/>
      <c r="E20" s="45"/>
      <c r="F20" s="45"/>
      <c r="G20" s="45"/>
      <c r="M20" s="26"/>
      <c r="N20" s="26"/>
      <c r="O20" s="26"/>
    </row>
    <row r="21" spans="1:15" s="8" customFormat="1" ht="13.8" x14ac:dyDescent="0.25">
      <c r="A21" s="56"/>
      <c r="C21" s="45"/>
      <c r="D21" s="45"/>
      <c r="E21" s="45"/>
      <c r="F21" s="45"/>
      <c r="G21" s="45"/>
      <c r="M21" s="26"/>
      <c r="N21" s="26"/>
      <c r="O21" s="26"/>
    </row>
    <row r="22" spans="1:15" s="8" customFormat="1" ht="13.8" x14ac:dyDescent="0.25">
      <c r="A22" s="93" t="s">
        <v>132</v>
      </c>
      <c r="C22" s="92" t="s">
        <v>6</v>
      </c>
      <c r="D22" s="263" t="s">
        <v>173</v>
      </c>
      <c r="E22" s="3" t="s">
        <v>174</v>
      </c>
      <c r="F22" s="3" t="s">
        <v>175</v>
      </c>
      <c r="G22" s="263" t="s">
        <v>176</v>
      </c>
      <c r="H22" s="263" t="s">
        <v>177</v>
      </c>
      <c r="I22" s="263" t="s">
        <v>178</v>
      </c>
      <c r="J22" s="92" t="s">
        <v>14</v>
      </c>
      <c r="M22" s="26"/>
      <c r="N22" s="26"/>
      <c r="O22" s="26"/>
    </row>
    <row r="23" spans="1:15" s="8" customFormat="1" ht="13.8" x14ac:dyDescent="0.25">
      <c r="A23" s="56" t="s">
        <v>83</v>
      </c>
      <c r="C23" s="265" t="s">
        <v>6</v>
      </c>
      <c r="D23" s="262">
        <f>Basisdaten!D31</f>
        <v>0</v>
      </c>
      <c r="E23" s="262">
        <f>Basisdaten!E31</f>
        <v>0</v>
      </c>
      <c r="F23" s="262">
        <f>Basisdaten!F31</f>
        <v>0</v>
      </c>
      <c r="G23" s="262">
        <f>Basisdaten!G31</f>
        <v>0</v>
      </c>
      <c r="H23" s="262">
        <f>Basisdaten!H31</f>
        <v>0</v>
      </c>
      <c r="I23" s="262">
        <f>Basisdaten!I31</f>
        <v>0</v>
      </c>
      <c r="J23" s="60" t="str">
        <f>Basisdaten!J31</f>
        <v/>
      </c>
      <c r="M23" s="26"/>
      <c r="N23" s="26"/>
      <c r="O23" s="26"/>
    </row>
    <row r="24" spans="1:15" s="8" customFormat="1" ht="13.8" x14ac:dyDescent="0.25">
      <c r="C24" s="264" t="s">
        <v>211</v>
      </c>
      <c r="D24" s="262">
        <f>Basisdaten!D32</f>
        <v>0</v>
      </c>
      <c r="E24" s="262">
        <f>Basisdaten!E32</f>
        <v>0</v>
      </c>
      <c r="F24" s="262">
        <f>Basisdaten!F32</f>
        <v>0</v>
      </c>
      <c r="G24" s="262">
        <f>Basisdaten!G32</f>
        <v>0</v>
      </c>
      <c r="H24" s="262">
        <f>Basisdaten!H32</f>
        <v>0</v>
      </c>
      <c r="I24" s="262">
        <f>Basisdaten!I32</f>
        <v>0</v>
      </c>
      <c r="J24" s="60" t="str">
        <f>Basisdaten!J32</f>
        <v/>
      </c>
      <c r="M24" s="26"/>
      <c r="N24" s="26"/>
      <c r="O24" s="26"/>
    </row>
    <row r="25" spans="1:15" s="8" customFormat="1" ht="13.8" x14ac:dyDescent="0.25">
      <c r="C25" s="941" t="s">
        <v>210</v>
      </c>
      <c r="D25" s="941"/>
      <c r="E25" s="941"/>
      <c r="F25" s="941"/>
      <c r="G25" s="941"/>
      <c r="H25" s="941"/>
      <c r="I25" s="941"/>
      <c r="J25" s="60">
        <f>Basisdaten!J40</f>
        <v>0</v>
      </c>
      <c r="M25" s="26"/>
      <c r="N25" s="26"/>
      <c r="O25" s="26"/>
    </row>
    <row r="26" spans="1:15" x14ac:dyDescent="0.3">
      <c r="A26" s="2"/>
      <c r="B26" s="2"/>
      <c r="C26" s="2"/>
      <c r="D26" s="2"/>
      <c r="E26" s="46"/>
      <c r="F26" s="46"/>
      <c r="G26" s="46"/>
      <c r="H26" s="46"/>
      <c r="I26" s="46"/>
      <c r="J26" s="46"/>
      <c r="K26" s="2"/>
    </row>
    <row r="27" spans="1:15" s="8" customFormat="1" ht="13.8" x14ac:dyDescent="0.25">
      <c r="C27" s="45"/>
      <c r="D27" s="45"/>
      <c r="E27" s="45"/>
      <c r="F27" s="45"/>
      <c r="G27" s="45"/>
      <c r="M27" s="26"/>
      <c r="N27" s="26"/>
      <c r="O27" s="26"/>
    </row>
    <row r="28" spans="1:15" s="8" customFormat="1" ht="13.8" x14ac:dyDescent="0.25">
      <c r="C28" s="45"/>
      <c r="D28" s="45"/>
      <c r="E28" s="45"/>
      <c r="F28" s="45"/>
      <c r="G28" s="45"/>
      <c r="M28" s="26"/>
      <c r="N28" s="26"/>
      <c r="O28" s="26"/>
    </row>
    <row r="29" spans="1:15" s="8" customFormat="1" ht="13.8" x14ac:dyDescent="0.25">
      <c r="C29" s="45"/>
      <c r="D29" s="45"/>
      <c r="E29" s="45"/>
      <c r="F29" s="45"/>
      <c r="G29" s="45"/>
      <c r="M29" s="26"/>
      <c r="N29" s="26"/>
      <c r="O29" s="26"/>
    </row>
    <row r="30" spans="1:15" s="8" customFormat="1" ht="13.8" x14ac:dyDescent="0.25">
      <c r="C30" s="45"/>
      <c r="D30" s="45"/>
      <c r="E30" s="45"/>
      <c r="F30" s="45"/>
      <c r="G30" s="45"/>
      <c r="M30" s="26"/>
      <c r="N30" s="26"/>
      <c r="O30" s="26"/>
    </row>
    <row r="31" spans="1:15" s="4" customFormat="1" ht="13.8" x14ac:dyDescent="0.25">
      <c r="A31" s="64" t="s">
        <v>77</v>
      </c>
      <c r="C31" s="78" t="s">
        <v>0</v>
      </c>
      <c r="D31" s="78" t="s">
        <v>105</v>
      </c>
      <c r="E31" s="78" t="s">
        <v>114</v>
      </c>
      <c r="F31" s="78" t="s">
        <v>113</v>
      </c>
      <c r="G31" s="78" t="s">
        <v>111</v>
      </c>
      <c r="H31" s="78" t="s">
        <v>112</v>
      </c>
      <c r="I31" s="78"/>
      <c r="J31" s="78" t="s">
        <v>115</v>
      </c>
      <c r="K31" s="78" t="s">
        <v>116</v>
      </c>
      <c r="L31" s="78" t="s">
        <v>110</v>
      </c>
      <c r="M31" s="18" t="s">
        <v>65</v>
      </c>
      <c r="N31" s="18" t="s">
        <v>64</v>
      </c>
      <c r="O31" s="19" t="s">
        <v>63</v>
      </c>
    </row>
    <row r="32" spans="1:15" s="4" customFormat="1" ht="13.8" x14ac:dyDescent="0.25">
      <c r="A32" s="94"/>
      <c r="B32" s="8"/>
      <c r="C32" s="98"/>
      <c r="D32" s="98"/>
      <c r="E32" s="98"/>
      <c r="F32" s="98"/>
      <c r="G32" s="98"/>
      <c r="H32" s="98"/>
      <c r="I32" s="98"/>
      <c r="J32" s="98"/>
      <c r="K32" s="98"/>
      <c r="L32" s="98"/>
      <c r="M32" s="18"/>
      <c r="N32" s="18"/>
      <c r="O32" s="18"/>
    </row>
    <row r="33" spans="1:15" s="4" customFormat="1" ht="13.8" x14ac:dyDescent="0.25">
      <c r="A33" s="11"/>
      <c r="B33" s="8"/>
      <c r="C33" s="536" t="s">
        <v>833</v>
      </c>
      <c r="D33" s="100" t="s">
        <v>106</v>
      </c>
      <c r="E33" s="101">
        <v>0</v>
      </c>
      <c r="F33" s="101">
        <v>100000000</v>
      </c>
      <c r="G33" s="101">
        <v>25</v>
      </c>
      <c r="H33" s="101">
        <v>100000000</v>
      </c>
      <c r="I33" s="101"/>
      <c r="J33" s="101">
        <v>-100000000</v>
      </c>
      <c r="K33" s="101">
        <v>1000000</v>
      </c>
      <c r="L33" s="102">
        <f>'Kennzahlenbogen_(KB)'!R12</f>
        <v>0</v>
      </c>
      <c r="M33" s="100">
        <f>IF('Kennzahlenbogen_(KB)'!S12=Berechnung1!$G$4,1,IF('Kennzahlenbogen_(KB)'!S12=Berechnung1!$F$4,1,IF('Kennzahlenbogen_(KB)'!S12=Berechnung1!$E$4,2,IF('Kennzahlenbogen_(KB)'!S12=Berechnung1!$D$4,3,IF('Kennzahlenbogen_(KB)'!S12=Berechnung1!$C$4,4,"")))))</f>
        <v>1</v>
      </c>
      <c r="N33" s="100">
        <f>IF(M33&gt;1,M33+3,M33)</f>
        <v>1</v>
      </c>
      <c r="O33" s="100">
        <f>IF('Kennzahlenbogen_(KB)'!U12="",0,1)</f>
        <v>0</v>
      </c>
    </row>
    <row r="34" spans="1:15" s="4" customFormat="1" ht="13.8" x14ac:dyDescent="0.25">
      <c r="A34" s="11"/>
      <c r="B34" s="8"/>
      <c r="C34" s="108"/>
      <c r="D34" s="59"/>
      <c r="E34" s="109"/>
      <c r="F34" s="109"/>
      <c r="G34" s="109"/>
      <c r="H34" s="109"/>
      <c r="I34" s="109"/>
      <c r="J34" s="109"/>
      <c r="K34" s="109"/>
      <c r="L34" s="106"/>
      <c r="M34" s="59"/>
      <c r="N34" s="59"/>
      <c r="O34" s="59"/>
    </row>
    <row r="35" spans="1:15" s="4" customFormat="1" ht="13.8" x14ac:dyDescent="0.25">
      <c r="A35" s="11"/>
      <c r="B35" s="8"/>
      <c r="C35" s="108"/>
      <c r="D35" s="59"/>
      <c r="E35" s="109"/>
      <c r="F35" s="109"/>
      <c r="G35" s="109"/>
      <c r="H35" s="109"/>
      <c r="I35" s="109"/>
      <c r="J35" s="109"/>
      <c r="K35" s="109"/>
      <c r="L35" s="106"/>
      <c r="M35" s="59"/>
      <c r="N35" s="59"/>
      <c r="O35" s="59"/>
    </row>
    <row r="36" spans="1:15" s="4" customFormat="1" ht="13.8" x14ac:dyDescent="0.25">
      <c r="A36" s="11"/>
      <c r="B36" s="58" t="s">
        <v>836</v>
      </c>
      <c r="C36" s="611" t="s">
        <v>834</v>
      </c>
      <c r="D36" s="612" t="s">
        <v>106</v>
      </c>
      <c r="E36" s="615">
        <v>0</v>
      </c>
      <c r="F36" s="615">
        <v>100000000</v>
      </c>
      <c r="G36" s="615">
        <v>-1000000</v>
      </c>
      <c r="H36" s="615">
        <v>100000000</v>
      </c>
      <c r="I36" s="615"/>
      <c r="J36" s="615">
        <v>-100000000</v>
      </c>
      <c r="K36" s="615">
        <v>1000000</v>
      </c>
      <c r="L36" s="616">
        <f>'Kennzahlenbogen_(KB)'!R15</f>
        <v>0</v>
      </c>
      <c r="M36" s="612">
        <f>IF('Kennzahlenbogen_(KB)'!S15=Berechnung1!$H$4,5,IF('Kennzahlenbogen_(KB)'!S15=Berechnung1!$G$4,1,IF('Kennzahlenbogen_(KB)'!S15=Berechnung1!$F$4,1,IF('Kennzahlenbogen_(KB)'!S15=Berechnung1!$E$4,2,IF('Kennzahlenbogen_(KB)'!S15=Berechnung1!$D$4,3,IF('Kennzahlenbogen_(KB)'!S15=Berechnung1!$C$4,4,""))))))</f>
        <v>1</v>
      </c>
      <c r="N36" s="612">
        <f t="shared" ref="N36" si="1">IF(M36&gt;1,M36+3,M36)</f>
        <v>1</v>
      </c>
      <c r="O36" s="612">
        <f>IF('Kennzahlenbogen_(KB)'!U15="",0,1)</f>
        <v>0</v>
      </c>
    </row>
    <row r="37" spans="1:15" s="4" customFormat="1" ht="13.8" x14ac:dyDescent="0.25">
      <c r="A37" s="11"/>
      <c r="B37" s="8"/>
      <c r="C37" s="103"/>
      <c r="D37" s="595"/>
      <c r="E37" s="105"/>
      <c r="F37" s="105"/>
      <c r="G37" s="105"/>
      <c r="H37" s="105"/>
      <c r="I37" s="105"/>
      <c r="J37" s="105"/>
      <c r="K37" s="105"/>
      <c r="L37" s="106"/>
      <c r="M37" s="59"/>
      <c r="N37" s="59"/>
      <c r="O37" s="107"/>
    </row>
    <row r="38" spans="1:15" s="4" customFormat="1" ht="13.8" x14ac:dyDescent="0.25">
      <c r="A38" s="11"/>
      <c r="B38" s="8"/>
      <c r="C38" s="103"/>
      <c r="D38" s="595"/>
      <c r="E38" s="105"/>
      <c r="F38" s="105"/>
      <c r="G38" s="105"/>
      <c r="H38" s="105"/>
      <c r="I38" s="105"/>
      <c r="J38" s="105"/>
      <c r="K38" s="105"/>
      <c r="L38" s="106"/>
      <c r="M38" s="59"/>
      <c r="N38" s="59"/>
      <c r="O38" s="107"/>
    </row>
    <row r="39" spans="1:15" s="4" customFormat="1" ht="13.8" x14ac:dyDescent="0.25">
      <c r="A39" s="11"/>
      <c r="B39" s="8"/>
      <c r="C39" s="112">
        <v>2</v>
      </c>
      <c r="D39" s="112" t="s">
        <v>106</v>
      </c>
      <c r="E39" s="113">
        <v>0</v>
      </c>
      <c r="F39" s="113">
        <v>1</v>
      </c>
      <c r="G39" s="113">
        <v>0.95</v>
      </c>
      <c r="H39" s="113">
        <v>10000</v>
      </c>
      <c r="I39" s="114"/>
      <c r="J39" s="113">
        <v>-10000</v>
      </c>
      <c r="K39" s="113">
        <v>10000</v>
      </c>
      <c r="L39" s="470" t="str">
        <f>'Kennzahlenbogen_(KB)'!R20</f>
        <v>n.d.</v>
      </c>
      <c r="M39" s="115">
        <f>IF('Kennzahlenbogen_(KB)'!S18=Berechnung1!$G$4,1,IF('Kennzahlenbogen_(KB)'!S18=Berechnung1!$F$4,1,IF('Kennzahlenbogen_(KB)'!S18=Berechnung1!$E$4,2,IF('Kennzahlenbogen_(KB)'!S18=Berechnung1!$D$4,3,IF('Kennzahlenbogen_(KB)'!S18=Berechnung1!$C$4,4,"")))))</f>
        <v>1</v>
      </c>
      <c r="N39" s="115">
        <f>IF(M39&gt;1,M39+3,M39)</f>
        <v>1</v>
      </c>
      <c r="O39" s="115">
        <f>IF('Kennzahlenbogen_(KB)'!U18="",0,1)</f>
        <v>0</v>
      </c>
    </row>
    <row r="40" spans="1:15" s="4" customFormat="1" ht="13.8" x14ac:dyDescent="0.25">
      <c r="A40" s="11"/>
      <c r="B40" s="8"/>
      <c r="C40" s="108"/>
      <c r="D40" s="109"/>
      <c r="E40" s="109"/>
      <c r="F40" s="109"/>
      <c r="G40" s="109"/>
      <c r="H40" s="109"/>
      <c r="I40" s="109"/>
      <c r="J40" s="109"/>
      <c r="K40" s="109"/>
      <c r="L40" s="471"/>
      <c r="M40" s="223"/>
      <c r="N40" s="223"/>
      <c r="O40" s="223"/>
    </row>
    <row r="41" spans="1:15" s="4" customFormat="1" ht="13.8" x14ac:dyDescent="0.25">
      <c r="A41" s="11"/>
      <c r="B41" s="8"/>
      <c r="C41" s="108"/>
      <c r="D41" s="108"/>
      <c r="E41" s="109"/>
      <c r="F41" s="109"/>
      <c r="G41" s="109"/>
      <c r="H41" s="109"/>
      <c r="I41" s="109"/>
      <c r="J41" s="109"/>
      <c r="K41" s="109"/>
      <c r="L41" s="471"/>
      <c r="M41" s="223"/>
      <c r="N41" s="223"/>
      <c r="O41" s="223"/>
    </row>
    <row r="42" spans="1:15" s="4" customFormat="1" ht="13.8" x14ac:dyDescent="0.25">
      <c r="A42" s="11"/>
      <c r="B42" s="8"/>
      <c r="C42" s="112">
        <v>3</v>
      </c>
      <c r="D42" s="112" t="s">
        <v>106</v>
      </c>
      <c r="E42" s="113">
        <v>0</v>
      </c>
      <c r="F42" s="113">
        <v>1</v>
      </c>
      <c r="G42" s="113">
        <v>0.95</v>
      </c>
      <c r="H42" s="113">
        <v>10000</v>
      </c>
      <c r="I42" s="114"/>
      <c r="J42" s="113">
        <v>-10000</v>
      </c>
      <c r="K42" s="113">
        <v>10000</v>
      </c>
      <c r="L42" s="470" t="str">
        <f>'Kennzahlenbogen_(KB)'!R23</f>
        <v>n.d.</v>
      </c>
      <c r="M42" s="115">
        <f>IF('Kennzahlenbogen_(KB)'!S21=Berechnung1!$G$4,1,IF('Kennzahlenbogen_(KB)'!S21=Berechnung1!$F$4,1,IF('Kennzahlenbogen_(KB)'!S21=Berechnung1!$E$4,2,IF('Kennzahlenbogen_(KB)'!S21=Berechnung1!$D$4,3,IF('Kennzahlenbogen_(KB)'!S21=Berechnung1!$C$4,4,"")))))</f>
        <v>1</v>
      </c>
      <c r="N42" s="115">
        <f>IF(M42&gt;1,M42+3,M42)</f>
        <v>1</v>
      </c>
      <c r="O42" s="115">
        <f>IF('Kennzahlenbogen_(KB)'!U21="",0,1)</f>
        <v>0</v>
      </c>
    </row>
    <row r="43" spans="1:15" s="4" customFormat="1" ht="13.8" x14ac:dyDescent="0.25">
      <c r="A43" s="11"/>
      <c r="B43" s="8"/>
      <c r="C43" s="108"/>
      <c r="D43" s="108"/>
      <c r="E43" s="109"/>
      <c r="F43" s="109"/>
      <c r="G43" s="109"/>
      <c r="H43" s="109"/>
      <c r="I43" s="109"/>
      <c r="J43" s="109"/>
      <c r="K43" s="109"/>
      <c r="L43" s="471"/>
      <c r="M43" s="223"/>
      <c r="N43" s="223"/>
      <c r="O43" s="223"/>
    </row>
    <row r="44" spans="1:15" s="4" customFormat="1" ht="13.8" x14ac:dyDescent="0.25">
      <c r="A44" s="11"/>
      <c r="B44" s="8"/>
      <c r="C44" s="108"/>
      <c r="D44" s="108"/>
      <c r="E44" s="109"/>
      <c r="F44" s="109"/>
      <c r="G44" s="109"/>
      <c r="H44" s="109"/>
      <c r="I44" s="109"/>
      <c r="J44" s="109"/>
      <c r="K44" s="109"/>
      <c r="L44" s="471"/>
      <c r="M44" s="223"/>
      <c r="N44" s="223"/>
      <c r="O44" s="223"/>
    </row>
    <row r="45" spans="1:15" s="4" customFormat="1" ht="13.8" x14ac:dyDescent="0.25">
      <c r="A45" s="11"/>
      <c r="B45" s="8"/>
      <c r="C45" s="112">
        <v>4</v>
      </c>
      <c r="D45" s="112" t="s">
        <v>106</v>
      </c>
      <c r="E45" s="113">
        <v>0</v>
      </c>
      <c r="F45" s="113">
        <v>1</v>
      </c>
      <c r="G45" s="113">
        <v>-10000</v>
      </c>
      <c r="H45" s="113">
        <v>10000</v>
      </c>
      <c r="I45" s="114"/>
      <c r="J45" s="113">
        <v>0.3</v>
      </c>
      <c r="K45" s="113">
        <v>0.95</v>
      </c>
      <c r="L45" s="470" t="str">
        <f>'Kennzahlenbogen_(KB)'!R26</f>
        <v>n.d.</v>
      </c>
      <c r="M45" s="115">
        <f>IF('Kennzahlenbogen_(KB)'!S24=Berechnung1!$G$4,1,IF('Kennzahlenbogen_(KB)'!S24=Berechnung1!$F$4,1,IF('Kennzahlenbogen_(KB)'!S24=Berechnung1!$E$4,2,IF('Kennzahlenbogen_(KB)'!S24=Berechnung1!$D$4,3,IF('Kennzahlenbogen_(KB)'!S24=Berechnung1!$C$4,4,"")))))</f>
        <v>1</v>
      </c>
      <c r="N45" s="115">
        <f>IF(M45&gt;1,M45+3,M45)</f>
        <v>1</v>
      </c>
      <c r="O45" s="115">
        <f>IF('Kennzahlenbogen_(KB)'!U24="",0,1)</f>
        <v>0</v>
      </c>
    </row>
    <row r="46" spans="1:15" s="4" customFormat="1" ht="13.8" x14ac:dyDescent="0.25">
      <c r="A46" s="11"/>
      <c r="B46" s="8"/>
      <c r="C46" s="110"/>
      <c r="D46" s="110"/>
      <c r="E46" s="111"/>
      <c r="F46" s="111"/>
      <c r="G46" s="111"/>
      <c r="H46" s="111"/>
      <c r="I46" s="111"/>
      <c r="J46" s="111"/>
      <c r="K46" s="111"/>
      <c r="L46" s="471"/>
      <c r="M46" s="223"/>
      <c r="N46" s="223"/>
      <c r="O46" s="223"/>
    </row>
    <row r="47" spans="1:15" s="4" customFormat="1" ht="13.8" x14ac:dyDescent="0.25">
      <c r="A47" s="11"/>
      <c r="B47" s="8"/>
      <c r="C47" s="110"/>
      <c r="D47" s="110"/>
      <c r="E47" s="111"/>
      <c r="F47" s="111"/>
      <c r="G47" s="111"/>
      <c r="H47" s="111"/>
      <c r="I47" s="111"/>
      <c r="J47" s="111"/>
      <c r="K47" s="111"/>
      <c r="L47" s="471"/>
      <c r="M47" s="223"/>
      <c r="N47" s="223"/>
      <c r="O47" s="223"/>
    </row>
    <row r="48" spans="1:15" s="4" customFormat="1" ht="13.8" x14ac:dyDescent="0.25">
      <c r="A48" s="11"/>
      <c r="B48" s="8"/>
      <c r="C48" s="112">
        <v>5</v>
      </c>
      <c r="D48" s="112" t="s">
        <v>106</v>
      </c>
      <c r="E48" s="113">
        <v>0</v>
      </c>
      <c r="F48" s="113">
        <v>1</v>
      </c>
      <c r="G48" s="113">
        <v>-10000</v>
      </c>
      <c r="H48" s="113">
        <v>10000</v>
      </c>
      <c r="I48" s="114"/>
      <c r="J48" s="113">
        <v>0.45</v>
      </c>
      <c r="K48" s="113">
        <v>10000</v>
      </c>
      <c r="L48" s="470" t="str">
        <f>'Kennzahlenbogen_(KB)'!R29</f>
        <v>n.d.</v>
      </c>
      <c r="M48" s="115">
        <f>IF('Kennzahlenbogen_(KB)'!S27=Berechnung1!$G$4,1,IF('Kennzahlenbogen_(KB)'!S27=Berechnung1!$F$4,1,IF('Kennzahlenbogen_(KB)'!S27=Berechnung1!$E$4,2,IF('Kennzahlenbogen_(KB)'!S27=Berechnung1!$D$4,3,IF('Kennzahlenbogen_(KB)'!S27=Berechnung1!$C$4,4,"")))))</f>
        <v>1</v>
      </c>
      <c r="N48" s="115">
        <f>IF(M48&gt;1,M48+3,M48)</f>
        <v>1</v>
      </c>
      <c r="O48" s="115">
        <f>IF('Kennzahlenbogen_(KB)'!U27="",0,1)</f>
        <v>0</v>
      </c>
    </row>
    <row r="49" spans="1:17" s="4" customFormat="1" ht="13.8" x14ac:dyDescent="0.25">
      <c r="A49" s="11"/>
      <c r="B49" s="8"/>
      <c r="C49" s="103"/>
      <c r="D49" s="104"/>
      <c r="E49" s="105"/>
      <c r="F49" s="105"/>
      <c r="G49" s="105"/>
      <c r="H49" s="105"/>
      <c r="I49" s="105"/>
      <c r="J49" s="105"/>
      <c r="K49" s="105"/>
      <c r="L49" s="471"/>
      <c r="M49" s="223"/>
      <c r="N49" s="223"/>
      <c r="O49" s="223"/>
    </row>
    <row r="50" spans="1:17" s="4" customFormat="1" ht="13.8" x14ac:dyDescent="0.25">
      <c r="A50" s="11"/>
      <c r="B50" s="8"/>
      <c r="C50" s="103"/>
      <c r="D50" s="104"/>
      <c r="E50" s="105"/>
      <c r="F50" s="105"/>
      <c r="G50" s="105"/>
      <c r="H50" s="105"/>
      <c r="I50" s="105"/>
      <c r="J50" s="105"/>
      <c r="K50" s="105"/>
      <c r="L50" s="471"/>
      <c r="M50" s="223"/>
      <c r="N50" s="223"/>
      <c r="O50" s="223"/>
    </row>
    <row r="51" spans="1:17" s="4" customFormat="1" ht="13.8" x14ac:dyDescent="0.25">
      <c r="A51" s="11"/>
      <c r="B51" s="8"/>
      <c r="C51" s="112">
        <v>6</v>
      </c>
      <c r="D51" s="115" t="s">
        <v>106</v>
      </c>
      <c r="E51" s="113">
        <v>0</v>
      </c>
      <c r="F51" s="113">
        <v>10</v>
      </c>
      <c r="G51" s="113">
        <v>0.05</v>
      </c>
      <c r="H51" s="113">
        <v>10000</v>
      </c>
      <c r="I51" s="113"/>
      <c r="J51" s="113">
        <v>-10000</v>
      </c>
      <c r="K51" s="113">
        <v>0.5</v>
      </c>
      <c r="L51" s="470" t="str">
        <f>'Kennzahlenbogen_(KB)'!R32</f>
        <v>n.d.</v>
      </c>
      <c r="M51" s="115">
        <f>IF('Kennzahlenbogen_(KB)'!S30=Berechnung1!$G$4,1,IF('Kennzahlenbogen_(KB)'!S30=Berechnung1!$F$4,1,IF('Kennzahlenbogen_(KB)'!S30=Berechnung1!$E$4,2,IF('Kennzahlenbogen_(KB)'!S30=Berechnung1!$D$4,3,IF('Kennzahlenbogen_(KB)'!S30=Berechnung1!$C$4,4,"")))))</f>
        <v>1</v>
      </c>
      <c r="N51" s="115">
        <f>IF(M51&gt;1,M51+3,M51)</f>
        <v>1</v>
      </c>
      <c r="O51" s="115">
        <f>IF('Kennzahlenbogen_(KB)'!U30="",0,1)</f>
        <v>0</v>
      </c>
    </row>
    <row r="52" spans="1:17" s="4" customFormat="1" ht="13.8" x14ac:dyDescent="0.25">
      <c r="A52" s="11"/>
      <c r="B52" s="8"/>
      <c r="C52" s="103"/>
      <c r="D52" s="104"/>
      <c r="E52" s="105"/>
      <c r="F52" s="105"/>
      <c r="G52" s="105"/>
      <c r="H52" s="105"/>
      <c r="I52" s="105"/>
      <c r="J52" s="105"/>
      <c r="K52" s="105"/>
      <c r="L52" s="471"/>
      <c r="M52" s="223"/>
      <c r="N52" s="223"/>
      <c r="O52" s="223"/>
    </row>
    <row r="53" spans="1:17" s="4" customFormat="1" ht="13.8" x14ac:dyDescent="0.25">
      <c r="A53" s="11"/>
      <c r="B53" s="8"/>
      <c r="C53" s="103"/>
      <c r="D53" s="104"/>
      <c r="E53" s="105"/>
      <c r="F53" s="105"/>
      <c r="G53" s="105"/>
      <c r="H53" s="105"/>
      <c r="I53" s="105"/>
      <c r="J53" s="105"/>
      <c r="K53" s="105"/>
      <c r="L53" s="471"/>
      <c r="M53" s="223"/>
      <c r="N53" s="223"/>
      <c r="O53" s="223"/>
    </row>
    <row r="54" spans="1:17" s="4" customFormat="1" ht="13.8" x14ac:dyDescent="0.25">
      <c r="A54" s="11"/>
      <c r="B54" s="8"/>
      <c r="C54" s="116" t="s">
        <v>341</v>
      </c>
      <c r="D54" s="115" t="s">
        <v>106</v>
      </c>
      <c r="E54" s="113">
        <v>0</v>
      </c>
      <c r="F54" s="113">
        <v>1</v>
      </c>
      <c r="G54" s="113">
        <v>-10000</v>
      </c>
      <c r="H54" s="113">
        <v>0.1</v>
      </c>
      <c r="I54" s="113"/>
      <c r="J54" s="246">
        <v>1E-4</v>
      </c>
      <c r="K54" s="113">
        <v>10000</v>
      </c>
      <c r="L54" s="470" t="str">
        <f>'Kennzahlenbogen_(KB)'!R35</f>
        <v>n.d.</v>
      </c>
      <c r="M54" s="115">
        <f>IF('Kennzahlenbogen_(KB)'!S33=Berechnung1!$G$4,1,IF('Kennzahlenbogen_(KB)'!S33=Berechnung1!$F$4,1,IF('Kennzahlenbogen_(KB)'!S33=Berechnung1!$E$4,2,IF('Kennzahlenbogen_(KB)'!S33=Berechnung1!$D$4,3,IF('Kennzahlenbogen_(KB)'!S33=Berechnung1!$C$4,4,"")))))</f>
        <v>1</v>
      </c>
      <c r="N54" s="115">
        <f>IF(M54&gt;1,M54+3,M54)</f>
        <v>1</v>
      </c>
      <c r="O54" s="115">
        <f>IF('Kennzahlenbogen_(KB)'!U33="",0,1)</f>
        <v>0</v>
      </c>
    </row>
    <row r="55" spans="1:17" s="4" customFormat="1" ht="13.8" x14ac:dyDescent="0.25">
      <c r="A55" s="11"/>
      <c r="B55" s="8"/>
      <c r="C55" s="103"/>
      <c r="D55" s="104"/>
      <c r="E55" s="105"/>
      <c r="F55" s="105"/>
      <c r="G55" s="105"/>
      <c r="H55" s="105"/>
      <c r="I55" s="105"/>
      <c r="J55" s="105"/>
      <c r="K55" s="105"/>
      <c r="L55" s="471"/>
      <c r="M55" s="223"/>
      <c r="N55" s="223"/>
      <c r="O55" s="223"/>
    </row>
    <row r="56" spans="1:17" s="4" customFormat="1" ht="13.8" x14ac:dyDescent="0.25">
      <c r="A56" s="11"/>
      <c r="B56" s="8"/>
      <c r="C56" s="103"/>
      <c r="D56" s="104"/>
      <c r="E56" s="105"/>
      <c r="F56" s="105"/>
      <c r="G56" s="105"/>
      <c r="H56" s="105"/>
      <c r="I56" s="105"/>
      <c r="J56" s="105"/>
      <c r="K56" s="105"/>
      <c r="L56" s="471"/>
      <c r="M56" s="223"/>
      <c r="N56" s="223"/>
      <c r="O56" s="223"/>
      <c r="Q56" s="8"/>
    </row>
    <row r="57" spans="1:17" s="4" customFormat="1" ht="13.8" x14ac:dyDescent="0.25">
      <c r="A57" s="11"/>
      <c r="B57" s="8"/>
      <c r="C57" s="116" t="s">
        <v>342</v>
      </c>
      <c r="D57" s="115" t="s">
        <v>106</v>
      </c>
      <c r="E57" s="113">
        <v>0</v>
      </c>
      <c r="F57" s="113">
        <v>1</v>
      </c>
      <c r="G57" s="113">
        <v>-10000</v>
      </c>
      <c r="H57" s="113">
        <v>0.05</v>
      </c>
      <c r="I57" s="113"/>
      <c r="J57" s="246">
        <v>1E-4</v>
      </c>
      <c r="K57" s="113">
        <v>10000</v>
      </c>
      <c r="L57" s="470" t="str">
        <f>'Kennzahlenbogen_(KB)'!R38</f>
        <v>n.d.</v>
      </c>
      <c r="M57" s="115">
        <f>IF('Kennzahlenbogen_(KB)'!S36=Berechnung1!$G$4,1,IF('Kennzahlenbogen_(KB)'!S36=Berechnung1!$F$4,1,IF('Kennzahlenbogen_(KB)'!S36=Berechnung1!$E$4,2,IF('Kennzahlenbogen_(KB)'!S36=Berechnung1!$D$4,3,IF('Kennzahlenbogen_(KB)'!S36=Berechnung1!$C$4,4,"")))))</f>
        <v>1</v>
      </c>
      <c r="N57" s="115">
        <f>IF(M57&gt;1,M57+3,M57)</f>
        <v>1</v>
      </c>
      <c r="O57" s="115">
        <f>IF('Kennzahlenbogen_(KB)'!U36="",0,1)</f>
        <v>0</v>
      </c>
      <c r="Q57" s="8"/>
    </row>
    <row r="58" spans="1:17" s="4" customFormat="1" ht="13.8" x14ac:dyDescent="0.25">
      <c r="A58" s="11"/>
      <c r="B58" s="8"/>
      <c r="C58" s="103"/>
      <c r="D58" s="104"/>
      <c r="E58" s="105"/>
      <c r="F58" s="105"/>
      <c r="G58" s="105"/>
      <c r="H58" s="105"/>
      <c r="I58" s="105"/>
      <c r="J58" s="105"/>
      <c r="K58" s="105"/>
      <c r="L58" s="471"/>
      <c r="M58" s="223"/>
      <c r="N58" s="223"/>
      <c r="O58" s="223"/>
    </row>
    <row r="59" spans="1:17" s="4" customFormat="1" ht="13.8" x14ac:dyDescent="0.25">
      <c r="A59" s="11"/>
      <c r="B59" s="8"/>
      <c r="C59" s="103"/>
      <c r="D59" s="104"/>
      <c r="E59" s="105"/>
      <c r="F59" s="105"/>
      <c r="G59" s="105"/>
      <c r="H59" s="105"/>
      <c r="I59" s="105"/>
      <c r="J59" s="105"/>
      <c r="K59" s="105"/>
      <c r="L59" s="471"/>
      <c r="M59" s="223"/>
      <c r="N59" s="223"/>
      <c r="O59" s="223"/>
    </row>
    <row r="60" spans="1:17" s="4" customFormat="1" ht="13.8" x14ac:dyDescent="0.25">
      <c r="A60" s="11"/>
      <c r="B60" s="8"/>
      <c r="C60" s="536">
        <v>8</v>
      </c>
      <c r="D60" s="100" t="s">
        <v>106</v>
      </c>
      <c r="E60" s="101">
        <v>0</v>
      </c>
      <c r="F60" s="101">
        <v>100000000</v>
      </c>
      <c r="G60" s="101">
        <v>12</v>
      </c>
      <c r="H60" s="101">
        <v>100000000</v>
      </c>
      <c r="I60" s="221"/>
      <c r="J60" s="101">
        <v>-100000000</v>
      </c>
      <c r="K60" s="101">
        <v>1000000</v>
      </c>
      <c r="L60" s="102">
        <f>'Kennzahlenbogen_(KB)'!R39</f>
        <v>0</v>
      </c>
      <c r="M60" s="100">
        <f>IF('Kennzahlenbogen_(KB)'!S39=Berechnung1!$G$4,1,IF('Kennzahlenbogen_(KB)'!S39=Berechnung1!$F$4,1,IF('Kennzahlenbogen_(KB)'!S39=Berechnung1!$E$4,2,IF('Kennzahlenbogen_(KB)'!S39=Berechnung1!$D$4,3,IF('Kennzahlenbogen_(KB)'!S39=Berechnung1!$C$4,4,"")))))</f>
        <v>1</v>
      </c>
      <c r="N60" s="100">
        <f>IF(M60&gt;1,M60+3,M60)</f>
        <v>1</v>
      </c>
      <c r="O60" s="100">
        <f>IF('Kennzahlenbogen_(KB)'!U39="",0,1)</f>
        <v>0</v>
      </c>
    </row>
    <row r="61" spans="1:17" s="4" customFormat="1" ht="13.8" x14ac:dyDescent="0.25">
      <c r="A61" s="11"/>
      <c r="B61" s="8"/>
      <c r="C61" s="103"/>
      <c r="D61" s="104"/>
      <c r="E61" s="105"/>
      <c r="F61" s="105"/>
      <c r="G61" s="105"/>
      <c r="H61" s="105"/>
      <c r="I61" s="105"/>
      <c r="J61" s="105"/>
      <c r="K61" s="105"/>
      <c r="L61" s="106"/>
      <c r="M61" s="59"/>
      <c r="N61" s="59"/>
      <c r="O61" s="59"/>
    </row>
    <row r="62" spans="1:17" s="4" customFormat="1" ht="13.8" x14ac:dyDescent="0.25">
      <c r="A62" s="11"/>
      <c r="B62" s="8"/>
      <c r="C62" s="103"/>
      <c r="D62" s="104"/>
      <c r="E62" s="105"/>
      <c r="F62" s="105"/>
      <c r="G62" s="105"/>
      <c r="H62" s="105"/>
      <c r="I62" s="105"/>
      <c r="J62" s="105"/>
      <c r="K62" s="105"/>
      <c r="L62" s="106"/>
      <c r="M62" s="59"/>
      <c r="N62" s="59"/>
      <c r="O62" s="59"/>
    </row>
    <row r="63" spans="1:17" s="4" customFormat="1" ht="13.8" x14ac:dyDescent="0.25">
      <c r="A63" s="11"/>
      <c r="B63" s="8"/>
      <c r="C63" s="536">
        <v>9</v>
      </c>
      <c r="D63" s="100" t="s">
        <v>106</v>
      </c>
      <c r="E63" s="101">
        <v>0</v>
      </c>
      <c r="F63" s="101">
        <v>100000000</v>
      </c>
      <c r="G63" s="101">
        <v>20</v>
      </c>
      <c r="H63" s="101">
        <v>100000000</v>
      </c>
      <c r="I63" s="221"/>
      <c r="J63" s="101">
        <v>-100000000</v>
      </c>
      <c r="K63" s="101">
        <v>1000000</v>
      </c>
      <c r="L63" s="102">
        <f>'Kennzahlenbogen_(KB)'!R42</f>
        <v>0</v>
      </c>
      <c r="M63" s="100">
        <f>IF('Kennzahlenbogen_(KB)'!S42=Berechnung1!$G$4,1,IF('Kennzahlenbogen_(KB)'!S42=Berechnung1!$F$4,1,IF('Kennzahlenbogen_(KB)'!S42=Berechnung1!$E$4,2,IF('Kennzahlenbogen_(KB)'!S42=Berechnung1!$D$4,3,IF('Kennzahlenbogen_(KB)'!S42=Berechnung1!$C$4,4,"")))))</f>
        <v>1</v>
      </c>
      <c r="N63" s="100">
        <f>IF(M63&gt;1,M63+3,M63)</f>
        <v>1</v>
      </c>
      <c r="O63" s="100">
        <f>IF('Kennzahlenbogen_(KB)'!U42="",0,1)</f>
        <v>0</v>
      </c>
    </row>
    <row r="64" spans="1:17" s="4" customFormat="1" ht="13.8" x14ac:dyDescent="0.25">
      <c r="A64" s="11"/>
      <c r="B64" s="8"/>
      <c r="C64" s="103"/>
      <c r="D64" s="104"/>
      <c r="E64" s="105"/>
      <c r="F64" s="105"/>
      <c r="G64" s="105"/>
      <c r="H64" s="105"/>
      <c r="I64" s="105"/>
      <c r="J64" s="105"/>
      <c r="K64" s="105"/>
      <c r="L64" s="106"/>
      <c r="M64" s="59"/>
      <c r="N64" s="59"/>
      <c r="O64" s="59"/>
    </row>
    <row r="65" spans="1:15" s="4" customFormat="1" ht="13.8" x14ac:dyDescent="0.25">
      <c r="A65" s="11"/>
      <c r="B65" s="8"/>
      <c r="C65" s="103"/>
      <c r="D65" s="104"/>
      <c r="E65" s="105"/>
      <c r="F65" s="105"/>
      <c r="G65" s="105"/>
      <c r="H65" s="105"/>
      <c r="I65" s="105"/>
      <c r="J65" s="105"/>
      <c r="K65" s="105"/>
      <c r="L65" s="106"/>
      <c r="M65" s="59"/>
      <c r="N65" s="59"/>
      <c r="O65" s="59"/>
    </row>
    <row r="66" spans="1:15" s="4" customFormat="1" ht="13.8" x14ac:dyDescent="0.25">
      <c r="A66" s="11"/>
      <c r="B66" s="8"/>
      <c r="C66" s="112">
        <v>10</v>
      </c>
      <c r="D66" s="115" t="s">
        <v>106</v>
      </c>
      <c r="E66" s="113">
        <v>0</v>
      </c>
      <c r="F66" s="113">
        <v>1</v>
      </c>
      <c r="G66" s="113">
        <v>-10000</v>
      </c>
      <c r="H66" s="113">
        <v>0.1</v>
      </c>
      <c r="I66" s="113"/>
      <c r="J66" s="246">
        <v>1E-4</v>
      </c>
      <c r="K66" s="113">
        <v>10000</v>
      </c>
      <c r="L66" s="470" t="str">
        <f>'Kennzahlenbogen_(KB)'!R47</f>
        <v>n.d.</v>
      </c>
      <c r="M66" s="115">
        <f>IF('Kennzahlenbogen_(KB)'!S45=Berechnung1!$G$4,1,IF('Kennzahlenbogen_(KB)'!S45=Berechnung1!$F$4,1,IF('Kennzahlenbogen_(KB)'!S45=Berechnung1!$E$4,2,IF('Kennzahlenbogen_(KB)'!S45=Berechnung1!$D$4,3,IF('Kennzahlenbogen_(KB)'!S45=Berechnung1!$C$4,4,"")))))</f>
        <v>1</v>
      </c>
      <c r="N66" s="115">
        <f>IF(M66&gt;1,M66+3,M66)</f>
        <v>1</v>
      </c>
      <c r="O66" s="115">
        <f>IF('Kennzahlenbogen_(KB)'!U45="",0,1)</f>
        <v>0</v>
      </c>
    </row>
    <row r="67" spans="1:15" s="4" customFormat="1" ht="13.8" x14ac:dyDescent="0.25">
      <c r="A67" s="11"/>
      <c r="B67" s="8"/>
      <c r="C67" s="103"/>
      <c r="D67" s="104"/>
      <c r="E67" s="105"/>
      <c r="F67" s="105"/>
      <c r="G67" s="105"/>
      <c r="H67" s="105"/>
      <c r="I67" s="105"/>
      <c r="J67" s="105"/>
      <c r="K67" s="105"/>
      <c r="L67" s="471"/>
      <c r="M67" s="223"/>
      <c r="N67" s="223"/>
      <c r="O67" s="223"/>
    </row>
    <row r="68" spans="1:15" s="4" customFormat="1" ht="13.8" x14ac:dyDescent="0.25">
      <c r="A68" s="11"/>
      <c r="B68" s="8"/>
      <c r="C68" s="103"/>
      <c r="D68" s="104"/>
      <c r="E68" s="105"/>
      <c r="F68" s="105"/>
      <c r="G68" s="105"/>
      <c r="H68" s="105"/>
      <c r="I68" s="105"/>
      <c r="J68" s="105"/>
      <c r="K68" s="105"/>
      <c r="L68" s="471"/>
      <c r="M68" s="223"/>
      <c r="N68" s="223"/>
      <c r="O68" s="223"/>
    </row>
    <row r="69" spans="1:15" s="4" customFormat="1" ht="13.8" x14ac:dyDescent="0.25">
      <c r="A69" s="11"/>
      <c r="B69" s="8"/>
      <c r="C69" s="112">
        <v>11</v>
      </c>
      <c r="D69" s="115" t="s">
        <v>106</v>
      </c>
      <c r="E69" s="113">
        <v>0</v>
      </c>
      <c r="F69" s="113">
        <v>1</v>
      </c>
      <c r="G69" s="113">
        <v>-10000</v>
      </c>
      <c r="H69" s="113">
        <v>10000</v>
      </c>
      <c r="I69" s="113"/>
      <c r="J69" s="246">
        <v>1E-4</v>
      </c>
      <c r="K69" s="246">
        <v>0.1</v>
      </c>
      <c r="L69" s="470" t="str">
        <f>'Kennzahlenbogen_(KB)'!R50</f>
        <v>n.d.</v>
      </c>
      <c r="M69" s="115">
        <f>IF('Kennzahlenbogen_(KB)'!S48=Berechnung1!$G$4,1,IF('Kennzahlenbogen_(KB)'!S48=Berechnung1!$F$4,1,IF('Kennzahlenbogen_(KB)'!S48=Berechnung1!$E$4,2,IF('Kennzahlenbogen_(KB)'!S48=Berechnung1!$D$4,3,IF('Kennzahlenbogen_(KB)'!S48=Berechnung1!$C$4,4,"")))))</f>
        <v>1</v>
      </c>
      <c r="N69" s="115">
        <f>IF(M69&gt;1,M69+3,M69)</f>
        <v>1</v>
      </c>
      <c r="O69" s="115">
        <f>IF('Kennzahlenbogen_(KB)'!U48="",0,1)</f>
        <v>0</v>
      </c>
    </row>
    <row r="70" spans="1:15" s="4" customFormat="1" ht="13.8" x14ac:dyDescent="0.25">
      <c r="A70" s="11"/>
      <c r="B70" s="8"/>
      <c r="C70" s="103"/>
      <c r="D70" s="104"/>
      <c r="E70" s="105"/>
      <c r="F70" s="105"/>
      <c r="G70" s="105"/>
      <c r="H70" s="105"/>
      <c r="I70" s="105"/>
      <c r="J70" s="105"/>
      <c r="K70" s="105"/>
      <c r="L70" s="471"/>
      <c r="M70" s="223"/>
      <c r="N70" s="223"/>
      <c r="O70" s="223"/>
    </row>
    <row r="71" spans="1:15" s="4" customFormat="1" ht="13.8" x14ac:dyDescent="0.25">
      <c r="A71" s="11"/>
      <c r="B71" s="8"/>
      <c r="C71" s="103"/>
      <c r="D71" s="104"/>
      <c r="E71" s="105"/>
      <c r="F71" s="105"/>
      <c r="G71" s="105"/>
      <c r="H71" s="105"/>
      <c r="I71" s="105"/>
      <c r="J71" s="105"/>
      <c r="K71" s="105"/>
      <c r="L71" s="471"/>
      <c r="M71" s="223"/>
      <c r="N71" s="223"/>
      <c r="O71" s="223"/>
    </row>
    <row r="72" spans="1:15" s="4" customFormat="1" ht="13.8" x14ac:dyDescent="0.25">
      <c r="A72" s="11"/>
      <c r="B72" s="8"/>
      <c r="C72" s="112">
        <v>12</v>
      </c>
      <c r="D72" s="115" t="s">
        <v>106</v>
      </c>
      <c r="E72" s="113">
        <v>0</v>
      </c>
      <c r="F72" s="113">
        <v>1</v>
      </c>
      <c r="G72" s="113">
        <v>-10000</v>
      </c>
      <c r="H72" s="113">
        <v>0.05</v>
      </c>
      <c r="I72" s="113"/>
      <c r="J72" s="246">
        <v>1E-4</v>
      </c>
      <c r="K72" s="113">
        <v>10000</v>
      </c>
      <c r="L72" s="470" t="str">
        <f>'Kennzahlenbogen_(KB)'!R53</f>
        <v>n.d.</v>
      </c>
      <c r="M72" s="115">
        <f>IF('Kennzahlenbogen_(KB)'!S51=Berechnung1!$G$4,1,IF('Kennzahlenbogen_(KB)'!S51=Berechnung1!$F$4,1,IF('Kennzahlenbogen_(KB)'!S51=Berechnung1!$E$4,2,IF('Kennzahlenbogen_(KB)'!S51=Berechnung1!$D$4,3,IF('Kennzahlenbogen_(KB)'!S51=Berechnung1!$C$4,4,"")))))</f>
        <v>1</v>
      </c>
      <c r="N72" s="115">
        <f>IF(M72&gt;1,M72+3,M72)</f>
        <v>1</v>
      </c>
      <c r="O72" s="115">
        <f>IF('Kennzahlenbogen_(KB)'!U51="",0,1)</f>
        <v>0</v>
      </c>
    </row>
    <row r="73" spans="1:15" s="4" customFormat="1" ht="13.8" x14ac:dyDescent="0.25">
      <c r="A73" s="11"/>
      <c r="B73" s="8"/>
      <c r="C73" s="103"/>
      <c r="D73" s="104"/>
      <c r="E73" s="105"/>
      <c r="F73" s="105"/>
      <c r="G73" s="105"/>
      <c r="H73" s="105"/>
      <c r="I73" s="105"/>
      <c r="J73" s="105"/>
      <c r="K73" s="105"/>
      <c r="L73" s="471"/>
      <c r="M73" s="223"/>
      <c r="N73" s="223"/>
      <c r="O73" s="223"/>
    </row>
    <row r="74" spans="1:15" s="4" customFormat="1" ht="13.8" x14ac:dyDescent="0.25">
      <c r="A74" s="11"/>
      <c r="B74" s="8"/>
      <c r="C74" s="103"/>
      <c r="D74" s="104"/>
      <c r="E74" s="105"/>
      <c r="F74" s="105"/>
      <c r="G74" s="105"/>
      <c r="H74" s="105"/>
      <c r="I74" s="105"/>
      <c r="J74" s="105"/>
      <c r="K74" s="105"/>
      <c r="L74" s="471"/>
      <c r="M74" s="223"/>
      <c r="N74" s="223"/>
      <c r="O74" s="223"/>
    </row>
    <row r="75" spans="1:15" s="4" customFormat="1" ht="13.8" x14ac:dyDescent="0.25">
      <c r="A75" s="11"/>
      <c r="B75" s="8"/>
      <c r="C75" s="112">
        <v>13</v>
      </c>
      <c r="D75" s="115" t="s">
        <v>106</v>
      </c>
      <c r="E75" s="113">
        <v>0</v>
      </c>
      <c r="F75" s="113">
        <v>1</v>
      </c>
      <c r="G75" s="113">
        <v>-10000</v>
      </c>
      <c r="H75" s="113">
        <v>10000</v>
      </c>
      <c r="I75" s="113"/>
      <c r="J75" s="113">
        <v>0.4</v>
      </c>
      <c r="K75" s="113">
        <v>10000</v>
      </c>
      <c r="L75" s="470" t="str">
        <f>'Kennzahlenbogen_(KB)'!R56</f>
        <v>n.d.</v>
      </c>
      <c r="M75" s="115">
        <f>IF('Kennzahlenbogen_(KB)'!S54=Berechnung1!$G$4,1,IF('Kennzahlenbogen_(KB)'!S54=Berechnung1!$F$4,1,IF('Kennzahlenbogen_(KB)'!S54=Berechnung1!$E$4,2,IF('Kennzahlenbogen_(KB)'!S54=Berechnung1!$D$4,3,IF('Kennzahlenbogen_(KB)'!S54=Berechnung1!$C$4,4,"")))))</f>
        <v>1</v>
      </c>
      <c r="N75" s="115">
        <f>IF(M75&gt;1,M75+3,M75)</f>
        <v>1</v>
      </c>
      <c r="O75" s="115">
        <f>IF('Kennzahlenbogen_(KB)'!U54="",0,1)</f>
        <v>0</v>
      </c>
    </row>
    <row r="76" spans="1:15" s="4" customFormat="1" ht="13.8" x14ac:dyDescent="0.25">
      <c r="A76" s="11"/>
      <c r="B76" s="8"/>
      <c r="C76" s="103"/>
      <c r="D76" s="104"/>
      <c r="E76" s="105"/>
      <c r="F76" s="105"/>
      <c r="G76" s="105"/>
      <c r="H76" s="105"/>
      <c r="I76" s="105"/>
      <c r="J76" s="105"/>
      <c r="K76" s="105"/>
      <c r="L76" s="471"/>
      <c r="M76" s="223"/>
      <c r="N76" s="223"/>
      <c r="O76" s="223"/>
    </row>
    <row r="77" spans="1:15" s="4" customFormat="1" ht="13.8" x14ac:dyDescent="0.25">
      <c r="A77" s="11"/>
      <c r="B77" s="8"/>
      <c r="C77" s="117"/>
      <c r="D77" s="59"/>
      <c r="E77" s="118"/>
      <c r="F77" s="118"/>
      <c r="G77" s="118"/>
      <c r="H77" s="118"/>
      <c r="I77" s="118"/>
      <c r="J77" s="118"/>
      <c r="K77" s="118"/>
      <c r="L77" s="471"/>
      <c r="M77" s="223"/>
      <c r="N77" s="223"/>
      <c r="O77" s="223"/>
    </row>
    <row r="78" spans="1:15" s="4" customFormat="1" ht="13.8" x14ac:dyDescent="0.25">
      <c r="A78" s="11"/>
      <c r="B78" s="8"/>
      <c r="C78" s="112">
        <v>14</v>
      </c>
      <c r="D78" s="115" t="s">
        <v>106</v>
      </c>
      <c r="E78" s="113">
        <v>0</v>
      </c>
      <c r="F78" s="113">
        <v>1</v>
      </c>
      <c r="G78" s="113">
        <v>-10000</v>
      </c>
      <c r="H78" s="113">
        <v>10000</v>
      </c>
      <c r="I78" s="113"/>
      <c r="J78" s="113">
        <v>0.65</v>
      </c>
      <c r="K78" s="113">
        <v>10000</v>
      </c>
      <c r="L78" s="470" t="str">
        <f>'Kennzahlenbogen_(KB)'!R59</f>
        <v>n.d.</v>
      </c>
      <c r="M78" s="115">
        <f>IF('Kennzahlenbogen_(KB)'!S57=Berechnung1!$G$4,1,IF('Kennzahlenbogen_(KB)'!S57=Berechnung1!$F$4,1,IF('Kennzahlenbogen_(KB)'!S57=Berechnung1!$E$4,2,IF('Kennzahlenbogen_(KB)'!S57=Berechnung1!$D$4,3,IF('Kennzahlenbogen_(KB)'!S57=Berechnung1!$C$4,4,"")))))</f>
        <v>1</v>
      </c>
      <c r="N78" s="115">
        <f>IF(M78&gt;1,M78+3,M78)</f>
        <v>1</v>
      </c>
      <c r="O78" s="115">
        <f>IF('Kennzahlenbogen_(KB)'!U57="",0,1)</f>
        <v>0</v>
      </c>
    </row>
    <row r="79" spans="1:15" s="4" customFormat="1" ht="13.8" x14ac:dyDescent="0.25">
      <c r="A79" s="11"/>
      <c r="B79" s="8"/>
      <c r="C79" s="103"/>
      <c r="D79" s="104"/>
      <c r="E79" s="105"/>
      <c r="F79" s="105"/>
      <c r="G79" s="105"/>
      <c r="H79" s="105"/>
      <c r="I79" s="105"/>
      <c r="J79" s="105"/>
      <c r="K79" s="105"/>
      <c r="L79" s="471"/>
      <c r="M79" s="223"/>
      <c r="N79" s="223"/>
      <c r="O79" s="223"/>
    </row>
    <row r="80" spans="1:15" s="4" customFormat="1" ht="13.8" x14ac:dyDescent="0.25">
      <c r="A80" s="11"/>
      <c r="B80" s="8"/>
      <c r="C80" s="103"/>
      <c r="D80" s="104"/>
      <c r="E80" s="105"/>
      <c r="F80" s="105"/>
      <c r="G80" s="105"/>
      <c r="H80" s="105"/>
      <c r="I80" s="105"/>
      <c r="J80" s="105"/>
      <c r="K80" s="105"/>
      <c r="L80" s="471"/>
      <c r="M80" s="223"/>
      <c r="N80" s="223"/>
      <c r="O80" s="223"/>
    </row>
    <row r="81" spans="1:15" s="4" customFormat="1" ht="16.5" customHeight="1" x14ac:dyDescent="0.25">
      <c r="A81" s="11"/>
      <c r="B81" s="8"/>
      <c r="C81" s="112">
        <v>15</v>
      </c>
      <c r="D81" s="115" t="s">
        <v>106</v>
      </c>
      <c r="E81" s="113">
        <v>0</v>
      </c>
      <c r="F81" s="113">
        <v>1</v>
      </c>
      <c r="G81" s="113">
        <v>-10000</v>
      </c>
      <c r="H81" s="113">
        <v>10000</v>
      </c>
      <c r="I81" s="113"/>
      <c r="J81" s="113">
        <v>0.8</v>
      </c>
      <c r="K81" s="113">
        <v>10000</v>
      </c>
      <c r="L81" s="470" t="str">
        <f>'Kennzahlenbogen_(KB)'!R62</f>
        <v>n.d.</v>
      </c>
      <c r="M81" s="115">
        <f>IF('Kennzahlenbogen_(KB)'!S60=Berechnung1!$G$4,1,IF('Kennzahlenbogen_(KB)'!S60=Berechnung1!$F$4,1,IF('Kennzahlenbogen_(KB)'!S60=Berechnung1!$E$4,2,IF('Kennzahlenbogen_(KB)'!S60=Berechnung1!$D$4,3,IF('Kennzahlenbogen_(KB)'!S60=Berechnung1!$C$4,4,"")))))</f>
        <v>1</v>
      </c>
      <c r="N81" s="115">
        <f>IF(M81&gt;1,M81+3,M81)</f>
        <v>1</v>
      </c>
      <c r="O81" s="115">
        <f>IF('Kennzahlenbogen_(KB)'!U60="",0,1)</f>
        <v>0</v>
      </c>
    </row>
    <row r="82" spans="1:15" s="4" customFormat="1" ht="13.8" x14ac:dyDescent="0.25">
      <c r="A82" s="11"/>
      <c r="B82" s="8"/>
      <c r="C82" s="103"/>
      <c r="D82" s="104"/>
      <c r="E82" s="105"/>
      <c r="F82" s="105"/>
      <c r="G82" s="105"/>
      <c r="H82" s="105"/>
      <c r="I82" s="105"/>
      <c r="J82" s="105"/>
      <c r="K82" s="105"/>
      <c r="L82" s="471"/>
      <c r="M82" s="59" t="str">
        <f>IF('Kennzahlenbogen_(KB)'!S61=Berechnung1!$G$4,1,IF('Kennzahlenbogen_(KB)'!S61=Berechnung1!$F$4,1,IF('Kennzahlenbogen_(KB)'!S61=Berechnung1!$E$4,2,IF('Kennzahlenbogen_(KB)'!S61=Berechnung1!$D$4,3,IF('Kennzahlenbogen_(KB)'!S61=Berechnung1!$C$4,4,"")))))</f>
        <v/>
      </c>
      <c r="N82" s="223"/>
      <c r="O82" s="223"/>
    </row>
    <row r="83" spans="1:15" s="4" customFormat="1" ht="13.8" x14ac:dyDescent="0.25">
      <c r="A83" s="11"/>
      <c r="B83" s="8"/>
      <c r="C83" s="103"/>
      <c r="D83" s="104"/>
      <c r="E83" s="105"/>
      <c r="F83" s="105"/>
      <c r="G83" s="105"/>
      <c r="H83" s="105"/>
      <c r="I83" s="105"/>
      <c r="J83" s="105"/>
      <c r="K83" s="105"/>
      <c r="L83" s="471"/>
      <c r="M83" s="59" t="str">
        <f>IF('Kennzahlenbogen_(KB)'!S62=Berechnung1!$G$4,1,IF('Kennzahlenbogen_(KB)'!S62=Berechnung1!$F$4,1,IF('Kennzahlenbogen_(KB)'!S62=Berechnung1!$E$4,2,IF('Kennzahlenbogen_(KB)'!S62=Berechnung1!$D$4,3,IF('Kennzahlenbogen_(KB)'!S62=Berechnung1!$C$4,4,"")))))</f>
        <v/>
      </c>
      <c r="N83" s="223"/>
      <c r="O83" s="223"/>
    </row>
    <row r="84" spans="1:15" s="4" customFormat="1" ht="13.8" x14ac:dyDescent="0.25">
      <c r="A84" s="11"/>
      <c r="B84" s="8"/>
      <c r="C84" s="112">
        <v>16</v>
      </c>
      <c r="D84" s="115" t="s">
        <v>106</v>
      </c>
      <c r="E84" s="113">
        <v>0</v>
      </c>
      <c r="F84" s="113">
        <v>1</v>
      </c>
      <c r="G84" s="113">
        <v>0.5</v>
      </c>
      <c r="H84" s="113">
        <v>10000</v>
      </c>
      <c r="I84" s="113"/>
      <c r="J84" s="113">
        <v>-10000</v>
      </c>
      <c r="K84" s="113">
        <v>10000</v>
      </c>
      <c r="L84" s="470" t="str">
        <f>'Kennzahlenbogen_(KB)'!R65</f>
        <v>n.d.</v>
      </c>
      <c r="M84" s="115">
        <f>IF('Kennzahlenbogen_(KB)'!S63=Berechnung1!$G$4,1,IF('Kennzahlenbogen_(KB)'!S63=Berechnung1!$F$4,1,IF('Kennzahlenbogen_(KB)'!S63=Berechnung1!$E$4,2,IF('Kennzahlenbogen_(KB)'!S63=Berechnung1!$D$4,3,IF('Kennzahlenbogen_(KB)'!S63=Berechnung1!$C$4,4,"")))))</f>
        <v>1</v>
      </c>
      <c r="N84" s="115">
        <f>IF(M84&gt;1,M84+3,M84)</f>
        <v>1</v>
      </c>
      <c r="O84" s="115">
        <f>IF('Kennzahlenbogen_(KB)'!U63="",0,1)</f>
        <v>0</v>
      </c>
    </row>
    <row r="85" spans="1:15" s="4" customFormat="1" ht="13.8" x14ac:dyDescent="0.25">
      <c r="A85" s="11"/>
      <c r="B85" s="8"/>
      <c r="C85" s="103"/>
      <c r="D85" s="104"/>
      <c r="E85" s="105"/>
      <c r="F85" s="105"/>
      <c r="G85" s="105"/>
      <c r="H85" s="105"/>
      <c r="I85" s="105"/>
      <c r="J85" s="105"/>
      <c r="K85" s="105"/>
      <c r="L85" s="471"/>
      <c r="M85" s="59" t="str">
        <f>IF('Kennzahlenbogen_(KB)'!S64=Berechnung1!$G$4,1,IF('Kennzahlenbogen_(KB)'!S64=Berechnung1!$F$4,1,IF('Kennzahlenbogen_(KB)'!S64=Berechnung1!$E$4,2,IF('Kennzahlenbogen_(KB)'!S64=Berechnung1!$D$4,3,IF('Kennzahlenbogen_(KB)'!S64=Berechnung1!$C$4,4,"")))))</f>
        <v/>
      </c>
      <c r="N85" s="223"/>
      <c r="O85" s="223"/>
    </row>
    <row r="86" spans="1:15" s="4" customFormat="1" ht="13.8" x14ac:dyDescent="0.25">
      <c r="A86" s="11"/>
      <c r="B86" s="8"/>
      <c r="C86" s="103"/>
      <c r="D86" s="104"/>
      <c r="E86" s="105"/>
      <c r="F86" s="105"/>
      <c r="G86" s="105"/>
      <c r="H86" s="105"/>
      <c r="I86" s="105"/>
      <c r="J86" s="105"/>
      <c r="K86" s="105"/>
      <c r="L86" s="471"/>
      <c r="M86" s="59" t="str">
        <f>IF('Kennzahlenbogen_(KB)'!S65=Berechnung1!$G$4,1,IF('Kennzahlenbogen_(KB)'!S65=Berechnung1!$F$4,1,IF('Kennzahlenbogen_(KB)'!S65=Berechnung1!$E$4,2,IF('Kennzahlenbogen_(KB)'!S65=Berechnung1!$D$4,3,IF('Kennzahlenbogen_(KB)'!S65=Berechnung1!$C$4,4,"")))))</f>
        <v/>
      </c>
      <c r="N86" s="223"/>
      <c r="O86" s="223"/>
    </row>
    <row r="87" spans="1:15" s="4" customFormat="1" ht="13.8" x14ac:dyDescent="0.25">
      <c r="A87" s="11"/>
      <c r="B87" s="8"/>
      <c r="C87" s="112">
        <v>17</v>
      </c>
      <c r="D87" s="115" t="s">
        <v>106</v>
      </c>
      <c r="E87" s="113">
        <v>0</v>
      </c>
      <c r="F87" s="113">
        <v>1</v>
      </c>
      <c r="G87" s="113">
        <v>-10000</v>
      </c>
      <c r="H87" s="113">
        <v>10000</v>
      </c>
      <c r="I87" s="113"/>
      <c r="J87" s="113">
        <v>0.3</v>
      </c>
      <c r="K87" s="113">
        <v>10000</v>
      </c>
      <c r="L87" s="470" t="str">
        <f>'Kennzahlenbogen_(KB)'!R68</f>
        <v>n.d.</v>
      </c>
      <c r="M87" s="115">
        <f>IF('Kennzahlenbogen_(KB)'!S66=Berechnung1!$G$4,1,IF('Kennzahlenbogen_(KB)'!S66=Berechnung1!$F$4,1,IF('Kennzahlenbogen_(KB)'!S66=Berechnung1!$E$4,2,IF('Kennzahlenbogen_(KB)'!S66=Berechnung1!$D$4,3,IF('Kennzahlenbogen_(KB)'!S66=Berechnung1!$C$4,4,"")))))</f>
        <v>1</v>
      </c>
      <c r="N87" s="115">
        <f>IF(M87&gt;1,M87+3,M87)</f>
        <v>1</v>
      </c>
      <c r="O87" s="115">
        <f>IF('Kennzahlenbogen_(KB)'!U66="",0,1)</f>
        <v>0</v>
      </c>
    </row>
    <row r="88" spans="1:15" s="4" customFormat="1" ht="13.8" x14ac:dyDescent="0.25">
      <c r="A88" s="11"/>
      <c r="B88" s="8"/>
      <c r="C88" s="103"/>
      <c r="D88" s="104"/>
      <c r="E88" s="105"/>
      <c r="F88" s="105"/>
      <c r="G88" s="105"/>
      <c r="H88" s="105"/>
      <c r="I88" s="105"/>
      <c r="J88" s="105"/>
      <c r="K88" s="105"/>
      <c r="L88" s="222"/>
      <c r="M88" s="223"/>
      <c r="N88" s="223"/>
      <c r="O88" s="223"/>
    </row>
    <row r="89" spans="1:15" s="4" customFormat="1" ht="13.8" x14ac:dyDescent="0.25">
      <c r="A89" s="11"/>
      <c r="B89" s="8"/>
      <c r="C89" s="103"/>
      <c r="D89" s="104"/>
      <c r="E89" s="105"/>
      <c r="F89" s="105"/>
      <c r="G89" s="105"/>
      <c r="H89" s="105"/>
      <c r="I89" s="105"/>
      <c r="J89" s="105"/>
      <c r="K89" s="105"/>
      <c r="L89" s="222"/>
      <c r="M89" s="223"/>
      <c r="N89" s="223"/>
      <c r="O89" s="223"/>
    </row>
    <row r="90" spans="1:15" s="4" customFormat="1" ht="13.8" x14ac:dyDescent="0.25">
      <c r="A90" s="11"/>
      <c r="B90" s="58" t="s">
        <v>836</v>
      </c>
      <c r="C90" s="611">
        <v>18</v>
      </c>
      <c r="D90" s="612" t="s">
        <v>106</v>
      </c>
      <c r="E90" s="613">
        <v>0</v>
      </c>
      <c r="F90" s="613">
        <v>1</v>
      </c>
      <c r="G90" s="613">
        <v>-10000</v>
      </c>
      <c r="H90" s="613">
        <v>10000</v>
      </c>
      <c r="I90" s="613"/>
      <c r="J90" s="613">
        <v>-10000</v>
      </c>
      <c r="K90" s="613">
        <v>10000</v>
      </c>
      <c r="L90" s="614" t="str">
        <f>'Kennzahlenbogen_(KB)'!R71</f>
        <v>n.d.</v>
      </c>
      <c r="M90" s="612">
        <f>IF('Kennzahlenbogen_(KB)'!S69=Berechnung1!$H$4,5,IF('Kennzahlenbogen_(KB)'!S69=Berechnung1!$G$4,1,IF('Kennzahlenbogen_(KB)'!S69=Berechnung1!$F$4,1,IF('Kennzahlenbogen_(KB)'!S69=Berechnung1!$E$4,2,IF('Kennzahlenbogen_(KB)'!S69=Berechnung1!$D$4,3,IF('Kennzahlenbogen_(KB)'!S69=Berechnung1!$C$4,4,""))))))</f>
        <v>1</v>
      </c>
      <c r="N90" s="612">
        <f>IF(M90&gt;1,M90+3,M90)</f>
        <v>1</v>
      </c>
      <c r="O90" s="612">
        <f>IF('Kennzahlenbogen_(KB)'!U69="",0,1)</f>
        <v>0</v>
      </c>
    </row>
    <row r="91" spans="1:15" s="4" customFormat="1" ht="13.8" x14ac:dyDescent="0.25">
      <c r="A91" s="11"/>
      <c r="B91" s="8"/>
      <c r="C91" s="103"/>
      <c r="D91" s="595"/>
      <c r="E91" s="105"/>
      <c r="F91" s="105"/>
      <c r="G91" s="105"/>
      <c r="H91" s="105"/>
      <c r="I91" s="105"/>
      <c r="J91" s="105"/>
      <c r="K91" s="105"/>
      <c r="L91" s="222"/>
      <c r="M91" s="223"/>
      <c r="N91" s="223"/>
      <c r="O91" s="223"/>
    </row>
    <row r="92" spans="1:15" s="4" customFormat="1" ht="13.8" x14ac:dyDescent="0.25">
      <c r="A92" s="11"/>
      <c r="B92" s="8"/>
      <c r="C92" s="103"/>
      <c r="D92" s="595"/>
      <c r="E92" s="105"/>
      <c r="F92" s="105"/>
      <c r="G92" s="105"/>
      <c r="H92" s="105"/>
      <c r="I92" s="105"/>
      <c r="J92" s="105"/>
      <c r="K92" s="105"/>
      <c r="L92" s="222"/>
      <c r="M92" s="223"/>
      <c r="N92" s="223"/>
      <c r="O92" s="223"/>
    </row>
    <row r="93" spans="1:15" x14ac:dyDescent="0.3">
      <c r="B93" s="58" t="s">
        <v>836</v>
      </c>
      <c r="C93" s="611">
        <v>19</v>
      </c>
      <c r="D93" s="612" t="s">
        <v>106</v>
      </c>
      <c r="E93" s="613">
        <v>0</v>
      </c>
      <c r="F93" s="613">
        <v>1</v>
      </c>
      <c r="G93" s="613">
        <v>-10000</v>
      </c>
      <c r="H93" s="613">
        <v>10000</v>
      </c>
      <c r="I93" s="613"/>
      <c r="J93" s="613">
        <v>-10000</v>
      </c>
      <c r="K93" s="613">
        <v>10000</v>
      </c>
      <c r="L93" s="614" t="str">
        <f>'Kennzahlenbogen_(KB)'!R74</f>
        <v>n.d.</v>
      </c>
      <c r="M93" s="612">
        <f>IF('Kennzahlenbogen_(KB)'!S72=Berechnung1!$H$4,5,IF('Kennzahlenbogen_(KB)'!S72=Berechnung1!$G$4,1,IF('Kennzahlenbogen_(KB)'!S72=Berechnung1!$F$4,1,IF('Kennzahlenbogen_(KB)'!S72=Berechnung1!$E$4,2,IF('Kennzahlenbogen_(KB)'!S72=Berechnung1!$D$4,3,IF('Kennzahlenbogen_(KB)'!S72=Berechnung1!$C$4,4,""))))))</f>
        <v>1</v>
      </c>
      <c r="N93" s="612">
        <f>IF(M93&gt;1,M93+3,M93)</f>
        <v>1</v>
      </c>
      <c r="O93" s="612">
        <f>IF('Kennzahlenbogen_(KB)'!U72="",0,1)</f>
        <v>0</v>
      </c>
    </row>
    <row r="94" spans="1:15" x14ac:dyDescent="0.3">
      <c r="C94" s="103"/>
      <c r="D94" s="595"/>
      <c r="E94" s="105"/>
      <c r="F94" s="105"/>
      <c r="G94" s="105"/>
      <c r="H94" s="105"/>
      <c r="I94" s="105"/>
      <c r="J94" s="105"/>
      <c r="K94" s="105"/>
      <c r="L94" s="222"/>
      <c r="M94" s="223"/>
      <c r="N94" s="223"/>
      <c r="O94" s="223"/>
    </row>
    <row r="95" spans="1:15" x14ac:dyDescent="0.3">
      <c r="C95" s="103"/>
      <c r="D95" s="595"/>
      <c r="E95" s="105"/>
      <c r="F95" s="105"/>
      <c r="G95" s="105"/>
      <c r="H95" s="105"/>
      <c r="I95" s="105"/>
      <c r="J95" s="105"/>
      <c r="K95" s="105"/>
      <c r="L95" s="222"/>
      <c r="M95" s="223"/>
      <c r="N95" s="223"/>
      <c r="O95" s="223"/>
    </row>
    <row r="119" spans="1:5" x14ac:dyDescent="0.3">
      <c r="A119" s="501"/>
      <c r="B119" s="501"/>
      <c r="C119" s="501"/>
      <c r="D119" s="501"/>
      <c r="E119" s="501"/>
    </row>
    <row r="120" spans="1:5" x14ac:dyDescent="0.3">
      <c r="A120" s="501"/>
      <c r="B120" s="501"/>
      <c r="C120" s="501"/>
      <c r="D120" s="501"/>
      <c r="E120" s="501"/>
    </row>
    <row r="121" spans="1:5" x14ac:dyDescent="0.3">
      <c r="A121" s="501"/>
      <c r="B121" s="501"/>
      <c r="C121" s="501"/>
      <c r="D121" s="501"/>
      <c r="E121" s="501"/>
    </row>
    <row r="122" spans="1:5" x14ac:dyDescent="0.3">
      <c r="A122" s="501"/>
      <c r="B122" s="501"/>
      <c r="C122" s="501"/>
      <c r="D122" s="501"/>
      <c r="E122" s="501"/>
    </row>
    <row r="123" spans="1:5" x14ac:dyDescent="0.3">
      <c r="A123" s="501"/>
      <c r="B123" s="501"/>
      <c r="C123" s="501"/>
      <c r="D123" s="501"/>
      <c r="E123" s="501"/>
    </row>
    <row r="124" spans="1:5" x14ac:dyDescent="0.3">
      <c r="A124" s="501"/>
      <c r="B124" s="501"/>
      <c r="C124" s="501"/>
      <c r="D124" s="501"/>
      <c r="E124" s="501"/>
    </row>
    <row r="125" spans="1:5" x14ac:dyDescent="0.3">
      <c r="A125" s="501"/>
      <c r="B125" s="501"/>
      <c r="C125" s="501"/>
      <c r="D125" s="501"/>
      <c r="E125" s="501"/>
    </row>
    <row r="126" spans="1:5" x14ac:dyDescent="0.3">
      <c r="A126" s="501"/>
      <c r="B126" s="501"/>
      <c r="C126" s="501"/>
      <c r="D126" s="501"/>
      <c r="E126" s="501"/>
    </row>
    <row r="127" spans="1:5" x14ac:dyDescent="0.3">
      <c r="A127" s="501"/>
      <c r="B127" s="501"/>
      <c r="C127" s="501"/>
      <c r="D127" s="501"/>
      <c r="E127" s="501"/>
    </row>
    <row r="128" spans="1:5" x14ac:dyDescent="0.3">
      <c r="A128" s="501"/>
      <c r="B128" s="501"/>
      <c r="C128" s="501"/>
      <c r="D128" s="501"/>
      <c r="E128" s="501"/>
    </row>
    <row r="129" spans="1:5" x14ac:dyDescent="0.3">
      <c r="A129" s="501"/>
      <c r="B129" s="501"/>
      <c r="C129" s="501"/>
      <c r="D129" s="501"/>
      <c r="E129" s="501"/>
    </row>
    <row r="130" spans="1:5" x14ac:dyDescent="0.3">
      <c r="A130" s="501"/>
      <c r="B130" s="501"/>
      <c r="C130" s="501"/>
      <c r="D130" s="501"/>
      <c r="E130" s="501"/>
    </row>
    <row r="131" spans="1:5" x14ac:dyDescent="0.3">
      <c r="A131" s="501"/>
      <c r="B131" s="501"/>
      <c r="C131" s="501"/>
      <c r="D131" s="501"/>
      <c r="E131" s="501"/>
    </row>
    <row r="132" spans="1:5" x14ac:dyDescent="0.3">
      <c r="A132" s="501"/>
      <c r="B132" s="501"/>
      <c r="C132" s="501"/>
      <c r="D132" s="501"/>
      <c r="E132" s="501"/>
    </row>
    <row r="133" spans="1:5" x14ac:dyDescent="0.3">
      <c r="A133" s="501"/>
      <c r="B133" s="501"/>
      <c r="C133" s="501"/>
      <c r="D133" s="501"/>
      <c r="E133" s="501"/>
    </row>
    <row r="134" spans="1:5" x14ac:dyDescent="0.3">
      <c r="A134" s="501"/>
      <c r="B134" s="501"/>
      <c r="C134" s="501"/>
      <c r="D134" s="501"/>
      <c r="E134" s="501"/>
    </row>
    <row r="135" spans="1:5" x14ac:dyDescent="0.3">
      <c r="A135" s="501"/>
      <c r="B135" s="501"/>
      <c r="C135" s="501"/>
      <c r="D135" s="501"/>
      <c r="E135" s="501"/>
    </row>
    <row r="136" spans="1:5" x14ac:dyDescent="0.3">
      <c r="A136" s="501"/>
      <c r="B136" s="501"/>
      <c r="C136" s="501"/>
      <c r="D136" s="501"/>
      <c r="E136" s="501"/>
    </row>
    <row r="137" spans="1:5" x14ac:dyDescent="0.3">
      <c r="A137" s="501"/>
      <c r="B137" s="501"/>
      <c r="C137" s="501"/>
      <c r="D137" s="501"/>
      <c r="E137" s="501"/>
    </row>
  </sheetData>
  <customSheetViews>
    <customSheetView guid="{DAA0C1F4-4D8F-4BD8-91F9-40281B589772}" scale="80" hiddenRows="1" state="hidden" topLeftCell="D51">
      <selection activeCell="G74" sqref="G74"/>
      <pageMargins left="0.7" right="0.7" top="0.78740157499999996" bottom="0.78740157499999996" header="0.3" footer="0.3"/>
      <pageSetup paperSize="9" orientation="portrait" horizontalDpi="0" verticalDpi="0" copies="0" r:id="rId1"/>
    </customSheetView>
    <customSheetView guid="{AD479C9E-06F7-4C03-8179-295428B49475}" scale="80">
      <selection activeCell="E38" sqref="E38"/>
      <pageMargins left="0.7" right="0.7" top="0.78740157499999996" bottom="0.78740157499999996" header="0.3" footer="0.3"/>
      <pageSetup paperSize="9" orientation="portrait" horizontalDpi="0" verticalDpi="0" copies="0" r:id="rId2"/>
    </customSheetView>
  </customSheetViews>
  <mergeCells count="1">
    <mergeCell ref="C25:I25"/>
  </mergeCells>
  <phoneticPr fontId="40" type="noConversion"/>
  <conditionalFormatting sqref="M31:O32 O33:O38">
    <cfRule type="cellIs" dxfId="292" priority="1995" operator="equal">
      <formula>$G$4</formula>
    </cfRule>
    <cfRule type="cellIs" dxfId="291" priority="1996" operator="equal">
      <formula>$F$4</formula>
    </cfRule>
    <cfRule type="cellIs" dxfId="290" priority="1997" operator="equal">
      <formula>$E$4</formula>
    </cfRule>
    <cfRule type="cellIs" dxfId="289" priority="1998" operator="equal">
      <formula>$D$4</formula>
    </cfRule>
  </conditionalFormatting>
  <dataValidations count="1">
    <dataValidation type="whole" operator="greaterThanOrEqual" allowBlank="1" showInputMessage="1" showErrorMessage="1" errorTitle="Error" error="Eingabe nur von Zahlen möglich. " sqref="J23:J25" xr:uid="{00000000-0002-0000-0600-000000000000}">
      <formula1>0</formula1>
    </dataValidation>
  </dataValidations>
  <pageMargins left="0.7" right="0.7" top="0.78740157499999996" bottom="0.78740157499999996" header="0.3" footer="0.3"/>
  <pageSetup paperSize="9" orientation="portrait" r:id="rId3"/>
  <legacyDrawing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4"/>
  <dimension ref="A1:Y22"/>
  <sheetViews>
    <sheetView topLeftCell="A15" workbookViewId="0">
      <selection activeCell="J23" sqref="J23"/>
    </sheetView>
  </sheetViews>
  <sheetFormatPr defaultColWidth="11.44140625" defaultRowHeight="10.199999999999999" x14ac:dyDescent="0.3"/>
  <cols>
    <col min="1" max="1" width="13.109375" style="435" customWidth="1"/>
    <col min="2" max="2" width="8" style="435" customWidth="1"/>
    <col min="3" max="3" width="4.88671875" style="437" customWidth="1"/>
    <col min="4" max="4" width="25.6640625" style="436" customWidth="1"/>
    <col min="5" max="5" width="9.33203125" style="437" customWidth="1"/>
    <col min="6" max="6" width="10.5546875" style="443" customWidth="1"/>
    <col min="7" max="7" width="8.5546875" style="437" customWidth="1"/>
    <col min="8" max="8" width="10" style="437" customWidth="1"/>
    <col min="9" max="9" width="8.5546875" style="437" customWidth="1"/>
    <col min="10" max="10" width="9.6640625" style="437" customWidth="1"/>
    <col min="11" max="11" width="9.109375" style="437" customWidth="1"/>
    <col min="12" max="13" width="32.88671875" style="438" customWidth="1"/>
    <col min="14" max="14" width="9.109375" style="435" customWidth="1"/>
    <col min="15" max="15" width="10.33203125" style="435" customWidth="1"/>
    <col min="16" max="16" width="28.88671875" style="435" customWidth="1"/>
    <col min="17" max="19" width="10.109375" style="435" customWidth="1"/>
    <col min="20" max="22" width="9.6640625" style="437" customWidth="1"/>
    <col min="23" max="23" width="9.109375" style="437" customWidth="1"/>
    <col min="24" max="25" width="28.44140625" style="435" customWidth="1"/>
    <col min="26" max="16384" width="11.44140625" style="435"/>
  </cols>
  <sheetData>
    <row r="1" spans="1:25" ht="20.399999999999999" x14ac:dyDescent="0.3">
      <c r="A1" s="430" t="s">
        <v>62</v>
      </c>
      <c r="C1" s="429" t="s">
        <v>0</v>
      </c>
      <c r="D1" s="429" t="s">
        <v>392</v>
      </c>
      <c r="E1" s="429" t="s">
        <v>413</v>
      </c>
      <c r="F1" s="432" t="s">
        <v>3</v>
      </c>
      <c r="G1" s="429" t="s">
        <v>413</v>
      </c>
      <c r="H1" s="429" t="s">
        <v>154</v>
      </c>
      <c r="I1" s="429" t="s">
        <v>4</v>
      </c>
      <c r="J1" s="429" t="s">
        <v>15</v>
      </c>
      <c r="K1" s="429" t="s">
        <v>62</v>
      </c>
      <c r="L1" s="434" t="s">
        <v>394</v>
      </c>
      <c r="M1" s="434" t="s">
        <v>395</v>
      </c>
      <c r="O1" s="431" t="s">
        <v>451</v>
      </c>
    </row>
    <row r="2" spans="1:25" ht="34.5" customHeight="1" x14ac:dyDescent="0.3">
      <c r="A2" s="442" t="str">
        <f>IF('Kennzahlenbogen_(KB)'!S12=0,"",'Kennzahlenbogen_(KB)'!S12)</f>
        <v>Unvollständig</v>
      </c>
      <c r="C2" s="439" t="str">
        <f>IF($A2="I.O.","",'Kennzahlenbogen_(KB)'!B12)</f>
        <v>1a</v>
      </c>
      <c r="D2" s="440" t="str">
        <f>IF($A2="I.O.","",'Kennzahlenbogen_(KB)'!E12)</f>
        <v>Primärfälle Zentrum</v>
      </c>
      <c r="E2" s="444" t="str">
        <f>IF(AND('Kennzahlenbogen_(KB)'!M12="",$A2&lt;&gt;"I.O."),"-----",IF($A2="I.O.","",'Kennzahlenbogen_(KB)'!M12))</f>
        <v>-----</v>
      </c>
      <c r="F2" s="445" t="str">
        <f>IF($A2="I.O.","",'Kennzahlenbogen_(KB)'!N12)</f>
        <v>≥  25</v>
      </c>
      <c r="G2" s="444" t="str">
        <f>IF(AND('Kennzahlenbogen_(KB)'!P12="",$A2&lt;&gt;"I.O."),"-----",IF($A2="I.O.","",'Kennzahlenbogen_(KB)'!P12))</f>
        <v>-----</v>
      </c>
      <c r="H2" s="439">
        <f>IF($A2="I.O.","",IF('Kennzahlenbogen_(KB)'!R12="","-----",'Kennzahlenbogen_(KB)'!R12))</f>
        <v>0</v>
      </c>
      <c r="I2" s="439" t="str">
        <f>IF($A2="I.O.","","-----")</f>
        <v>-----</v>
      </c>
      <c r="J2" s="439" t="str">
        <f>IF($A2="I.O.","","-----")</f>
        <v>-----</v>
      </c>
      <c r="K2" s="439" t="str">
        <f>IF($A2="I.O.","",'Kennzahlenbogen_(KB)'!S12)</f>
        <v>Unvollständig</v>
      </c>
      <c r="L2" s="441" t="str">
        <f>IF(AND('Kennzahlenbogen_(KB)'!T12="",$A2&lt;&gt;"I.O."),"-----",IF($A2="I.O.","",'Kennzahlenbogen_(KB)'!T12))</f>
        <v>-----</v>
      </c>
      <c r="M2" s="441" t="str">
        <f>IF(AND('Kennzahlenbogen_(KB)'!U12="",$A2&lt;&gt;"I.O."),"-----",IF($A2="I.O.","",'Kennzahlenbogen_(KB)'!U12))</f>
        <v>-----</v>
      </c>
      <c r="O2" s="439" t="str">
        <f t="array" aca="1" ref="O2" ca="1">IF(ROW()-ROW($D$2:$D$22)+1&gt;ROWS($C$2:$C$22)-COUNTBLANK($C$2:$C$22),"",INDIRECT(ADDRESS(SMALL((IF($C$2:$C$22&lt;&gt;"",ROW($C$2:$C$22),ROW()+ROWS($C$2:$C$22))),ROW()-ROW($D$2:$D$22)+1),COLUMN($C$2:$C$22),4)))</f>
        <v>1a</v>
      </c>
      <c r="P2" s="442" t="str">
        <f t="array" aca="1" ref="P2" ca="1">IF(ROW()-ROW($E$2:$E$22)+1&gt;ROWS($D$2:$D$22)-COUNTBLANK($D$2:$D$22),"",INDIRECT(ADDRESS(SMALL((IF($D$2:$D$22&gt;"",ROW($D$2:$D$22),ROW()+ROWS($D$2:$D$22))),ROW()-ROW($E$2:$E$22)+1),COLUMN($D$2:$D$22),4)))</f>
        <v>Primärfälle Zentrum</v>
      </c>
      <c r="Q2" s="445" t="str">
        <f t="array" aca="1" ref="Q2" ca="1">IF(ROW()-ROW($F$2:$F$22)+1&gt;ROWS($E$2:$E$22)-COUNTBLANK($E$2:$E$22),"",INDIRECT(ADDRESS(SMALL((IF($E$2:$E$22&gt;"",ROW($E$2:$E$22),ROW()+ROWS($E$2:$E$22))),ROW()-ROW($F$2:$F$22)+1),COLUMN($E$2:$E$22),4)))</f>
        <v>-----</v>
      </c>
      <c r="R2" s="445" t="str">
        <f t="array" aca="1" ref="R2" ca="1">IF(ROW()-ROW($G$2:$G$22)+1&gt;ROWS($F$2:$F$22)-COUNTBLANK($F$2:$F$22),"",INDIRECT(ADDRESS(SMALL((IF($F$2:$F$22&gt;"",ROW($F$2:$F$22),ROW()+ROWS($F$2:$F$22))),ROW()-ROW($G$2:$G$22)+1),COLUMN($F$2:$F$22),4)))</f>
        <v>≥  25</v>
      </c>
      <c r="S2" s="445" t="str">
        <f t="array" aca="1" ref="S2" ca="1">IF(ROW()-ROW($H$2:$H$22)+1&gt;ROWS($G$2:$G$22)-COUNTBLANK($G$2:$G$22),"",INDIRECT(ADDRESS(SMALL((IF($G$2:$G$22&lt;&gt;"",ROW($G$2:$G$22),ROW()+ROWS($G$2:$G$22))),ROW()-ROW($H$2:$H$22)+1),COLUMN($G$2:$G$22),4)))</f>
        <v>-----</v>
      </c>
      <c r="T2" s="439">
        <f t="array" aca="1" ref="T2" ca="1">IF(ROW()-ROW($I$2:$I$22)+1&gt;ROWS($H$2:$H$22)-COUNTBLANK($H$2:$H$22),"",INDIRECT(ADDRESS(SMALL((IF($H$2:$H$22&lt;&gt;"",ROW($H$2:$H$22),ROW()+ROWS($H$2:$H$22))),ROW()-ROW($I$2:$I$22)+1),COLUMN($H$2:$H$22),4)))</f>
        <v>0</v>
      </c>
      <c r="U2" s="439" t="str">
        <f t="array" aca="1" ref="U2" ca="1">IF(ROW()-ROW($J$2:$J$22)+1&gt;ROWS($I$2:$I$22)-COUNTBLANK($I$2:$I$22),"",INDIRECT(ADDRESS(SMALL((IF($I$2:$I$22&lt;&gt;"",ROW($I$2:$I$22),ROW()+ROWS($I$2:$I$22))),ROW()-ROW($J$2:$J$22)+1),COLUMN($I$2:$I$22),4)))</f>
        <v>-----</v>
      </c>
      <c r="V2" s="439" t="str">
        <f t="array" aca="1" ref="V2" ca="1">IF(ROW()-ROW($K$2:$K$22)+1&gt;ROWS($J$2:$J$22)-COUNTBLANK($J$2:$J$22),"",INDIRECT(ADDRESS(SMALL((IF($J$2:$J$22&lt;&gt;"",ROW($J$2:$J$22),ROW()+ROWS($J$2:$J$22))),ROW()-ROW($K$2:$K$22)+1),COLUMN($J$2:$J$22),4)))</f>
        <v>-----</v>
      </c>
      <c r="W2" s="439" t="str">
        <f t="array" aca="1" ref="W2" ca="1">IF(ROW()-ROW($L$2:$L$22)+1&gt;ROWS($K$2:$K$22)-COUNTBLANK($K$2:$K$22),"",INDIRECT(ADDRESS(SMALL((IF($K$2:$K$22&lt;&gt;"",ROW($K$2:$K$22),ROW()+ROWS($K$2:$K$22))),ROW()-ROW($L$2:$L$22)+1),COLUMN($K$2:$K$22),4)))</f>
        <v>Unvollständig</v>
      </c>
      <c r="X2" s="442" t="str">
        <f t="array" aca="1" ref="X2" ca="1">IF(ROW()-ROW($M$2:$M$22)+1&gt;ROWS($L$2:$L$22)-COUNTBLANK($L$2:$L$22),"",INDIRECT(ADDRESS(SMALL((IF($L$2:$L$22&lt;&gt;"",ROW($L$2:$L$22),ROW()+ROWS($L$2:$L$22))),ROW()-ROW($M$2:$M$22)+1),COLUMN($L$2:$L$22),4)))</f>
        <v>-----</v>
      </c>
      <c r="Y2" s="442" t="str">
        <f t="array" aca="1" ref="Y2" ca="1">IF(ROW()-ROW($N$2:$N$22)+1&gt;ROWS($M$2:$M$22)-COUNTBLANK($M$2:$M$22),"",INDIRECT(ADDRESS(SMALL((IF($M$2:$M$22&lt;&gt;"",ROW($M$2:$M$22),ROW()+ROWS($M$2:$M$22))),ROW()-ROW($N$2:$N$22)+1),COLUMN($M$2:$M$22),4)))</f>
        <v>-----</v>
      </c>
    </row>
    <row r="3" spans="1:25" ht="34.5" customHeight="1" x14ac:dyDescent="0.3">
      <c r="A3" s="442" t="str">
        <f>IF('Kennzahlenbogen_(KB)'!S15=0,"",'Kennzahlenbogen_(KB)'!S15)</f>
        <v>Unvollständig</v>
      </c>
      <c r="C3" s="439" t="str">
        <f>IF($A3="I.O.","",'Kennzahlenbogen_(KB)'!B15)</f>
        <v>1b</v>
      </c>
      <c r="D3" s="440" t="str">
        <f>IF($A3="I.O.","",'Kennzahlenbogen_(KB)'!E15)</f>
        <v>Pat. mit neuaufgetretenem Rezidiv und/oder Fernmetastasen</v>
      </c>
      <c r="E3" s="444" t="str">
        <f>IF(AND('Kennzahlenbogen_(KB)'!M15="",$A3&lt;&gt;"I.O."),"-----",IF($A3="I.O.","",'Kennzahlenbogen_(KB)'!M15))</f>
        <v>-----</v>
      </c>
      <c r="F3" s="445" t="str">
        <f>IF($A3="I.O.","",'Kennzahlenbogen_(KB)'!N15)</f>
        <v>Derzeit keine Vorgaben</v>
      </c>
      <c r="G3" s="444" t="str">
        <f>IF(AND('Kennzahlenbogen_(KB)'!P15="",$A3&lt;&gt;"I.O."),"-----",IF($A3="I.O.","",'Kennzahlenbogen_(KB)'!P15))</f>
        <v>-----</v>
      </c>
      <c r="H3" s="439" t="str">
        <f>IF($A3="I.O.","",IF('Kennzahlenbogen_(KB)'!R15="","-----",'Kennzahlenbogen_(KB)'!R15))</f>
        <v>-----</v>
      </c>
      <c r="I3" s="439" t="str">
        <f t="shared" ref="I3:J3" si="0">IF($A3="I.O.","","-----")</f>
        <v>-----</v>
      </c>
      <c r="J3" s="439" t="str">
        <f t="shared" si="0"/>
        <v>-----</v>
      </c>
      <c r="K3" s="439" t="str">
        <f>IF($A3="I.O.","",'Kennzahlenbogen_(KB)'!S15)</f>
        <v>Unvollständig</v>
      </c>
      <c r="L3" s="441" t="str">
        <f>IF(AND('Kennzahlenbogen_(KB)'!T15="",$A3&lt;&gt;"I.O."),"-----",IF($A3="I.O.","",'Kennzahlenbogen_(KB)'!T15))</f>
        <v>-----</v>
      </c>
      <c r="M3" s="441" t="str">
        <f>IF(AND('Kennzahlenbogen_(KB)'!U15="",$A3&lt;&gt;"I.O."),"-----",IF($A3="I.O.","",'Kennzahlenbogen_(KB)'!U15))</f>
        <v>-----</v>
      </c>
      <c r="O3" s="439" t="str">
        <f t="array" aca="1" ref="O3" ca="1">IF(ROW()-ROW($D$2:$D$22)+1&gt;ROWS($C$2:$C$22)-COUNTBLANK($C$2:$C$22),"",INDIRECT(ADDRESS(SMALL((IF($C$2:$C$22&lt;&gt;"",ROW($C$2:$C$22),ROW()+ROWS($C$2:$C$22))),ROW()-ROW($D$2:$D$22)+1),COLUMN($C$2:$C$22),4)))</f>
        <v>1b</v>
      </c>
      <c r="P3" s="442" t="str">
        <f t="array" aca="1" ref="P3" ca="1">IF(ROW()-ROW($E$2:$E$22)+1&gt;ROWS($D$2:$D$22)-COUNTBLANK($D$2:$D$22),"",INDIRECT(ADDRESS(SMALL((IF($D$2:$D$22&gt;"",ROW($D$2:$D$22),ROW()+ROWS($D$2:$D$22))),ROW()-ROW($E$2:$E$22)+1),COLUMN($D$2:$D$22),4)))</f>
        <v>Pat. mit neuaufgetretenem Rezidiv und/oder Fernmetastasen</v>
      </c>
      <c r="Q3" s="445" t="str">
        <f t="array" aca="1" ref="Q3" ca="1">IF(ROW()-ROW($F$2:$F$22)+1&gt;ROWS($E$2:$E$22)-COUNTBLANK($E$2:$E$22),"",INDIRECT(ADDRESS(SMALL((IF($E$2:$E$22&gt;"",ROW($E$2:$E$22),ROW()+ROWS($E$2:$E$22))),ROW()-ROW($F$2:$F$22)+1),COLUMN($E$2:$E$22),4)))</f>
        <v>-----</v>
      </c>
      <c r="R3" s="445" t="str">
        <f t="array" aca="1" ref="R3" ca="1">IF(ROW()-ROW($G$2:$G$22)+1&gt;ROWS($F$2:$F$22)-COUNTBLANK($F$2:$F$22),"",INDIRECT(ADDRESS(SMALL((IF($F$2:$F$22&gt;"",ROW($F$2:$F$22),ROW()+ROWS($F$2:$F$22))),ROW()-ROW($G$2:$G$22)+1),COLUMN($F$2:$F$22),4)))</f>
        <v>Derzeit keine Vorgaben</v>
      </c>
      <c r="S3" s="445" t="str">
        <f t="array" aca="1" ref="S3" ca="1">IF(ROW()-ROW($H$2:$H$22)+1&gt;ROWS($G$2:$G$22)-COUNTBLANK($G$2:$G$22),"",INDIRECT(ADDRESS(SMALL((IF($G$2:$G$22&lt;&gt;"",ROW($G$2:$G$22),ROW()+ROWS($G$2:$G$22))),ROW()-ROW($H$2:$H$22)+1),COLUMN($G$2:$G$22),4)))</f>
        <v>-----</v>
      </c>
      <c r="T3" s="439" t="str">
        <f t="array" aca="1" ref="T3" ca="1">IF(ROW()-ROW($I$2:$I$22)+1&gt;ROWS($H$2:$H$22)-COUNTBLANK($H$2:$H$22),"",INDIRECT(ADDRESS(SMALL((IF($H$2:$H$22&lt;&gt;"",ROW($H$2:$H$22),ROW()+ROWS($H$2:$H$22))),ROW()-ROW($I$2:$I$22)+1),COLUMN($H$2:$H$22),4)))</f>
        <v>-----</v>
      </c>
      <c r="U3" s="439" t="str">
        <f t="array" aca="1" ref="U3" ca="1">IF(ROW()-ROW($J$2:$J$22)+1&gt;ROWS($I$2:$I$22)-COUNTBLANK($I$2:$I$22),"",INDIRECT(ADDRESS(SMALL((IF($I$2:$I$22&lt;&gt;"",ROW($I$2:$I$22),ROW()+ROWS($I$2:$I$22))),ROW()-ROW($J$2:$J$22)+1),COLUMN($I$2:$I$22),4)))</f>
        <v>-----</v>
      </c>
      <c r="V3" s="439" t="str">
        <f t="array" aca="1" ref="V3" ca="1">IF(ROW()-ROW($K$2:$K$22)+1&gt;ROWS($J$2:$J$22)-COUNTBLANK($J$2:$J$22),"",INDIRECT(ADDRESS(SMALL((IF($J$2:$J$22&lt;&gt;"",ROW($J$2:$J$22),ROW()+ROWS($J$2:$J$22))),ROW()-ROW($K$2:$K$22)+1),COLUMN($J$2:$J$22),4)))</f>
        <v>-----</v>
      </c>
      <c r="W3" s="439" t="str">
        <f t="array" aca="1" ref="W3" ca="1">IF(ROW()-ROW($L$2:$L$22)+1&gt;ROWS($K$2:$K$22)-COUNTBLANK($K$2:$K$22),"",INDIRECT(ADDRESS(SMALL((IF($K$2:$K$22&lt;&gt;"",ROW($K$2:$K$22),ROW()+ROWS($K$2:$K$22))),ROW()-ROW($L$2:$L$22)+1),COLUMN($K$2:$K$22),4)))</f>
        <v>Unvollständig</v>
      </c>
      <c r="X3" s="442" t="str">
        <f t="array" aca="1" ref="X3" ca="1">IF(ROW()-ROW($M$2:$M$22)+1&gt;ROWS($L$2:$L$22)-COUNTBLANK($L$2:$L$22),"",INDIRECT(ADDRESS(SMALL((IF($L$2:$L$22&lt;&gt;"",ROW($L$2:$L$22),ROW()+ROWS($L$2:$L$22))),ROW()-ROW($M$2:$M$22)+1),COLUMN($L$2:$L$22),4)))</f>
        <v>-----</v>
      </c>
      <c r="Y3" s="442" t="str">
        <f t="array" aca="1" ref="Y3" ca="1">IF(ROW()-ROW($N$2:$N$22)+1&gt;ROWS($M$2:$M$22)-COUNTBLANK($M$2:$M$22),"",INDIRECT(ADDRESS(SMALL((IF($M$2:$M$22&lt;&gt;"",ROW($M$2:$M$22),ROW()+ROWS($M$2:$M$22))),ROW()-ROW($N$2:$N$22)+1),COLUMN($M$2:$M$22),4)))</f>
        <v>-----</v>
      </c>
    </row>
    <row r="4" spans="1:25" ht="34.5" customHeight="1" x14ac:dyDescent="0.3">
      <c r="A4" s="442" t="str">
        <f>IF('Kennzahlenbogen_(KB)'!S18=0,"",'Kennzahlenbogen_(KB)'!S18)</f>
        <v>Unvollständig</v>
      </c>
      <c r="C4" s="439" t="str">
        <f>IF($A4="I.O.","",'Kennzahlenbogen_(KB)'!B18)</f>
        <v>2</v>
      </c>
      <c r="D4" s="440" t="str">
        <f>IF($A4="I.O.","",'Kennzahlenbogen_(KB)'!E18)</f>
        <v>Prätherapeutische Fallvorstellung</v>
      </c>
      <c r="E4" s="444" t="str">
        <f>IF(AND('Kennzahlenbogen_(KB)'!M18="",$A4&lt;&gt;"I.O."),"-----",IF($A4="I.O.","",'Kennzahlenbogen_(KB)'!M18))</f>
        <v>-----</v>
      </c>
      <c r="F4" s="445" t="str">
        <f>IF($A4="I.O.","",'Kennzahlenbogen_(KB)'!N18)</f>
        <v>≥  95%</v>
      </c>
      <c r="G4" s="444" t="str">
        <f>IF(AND('Kennzahlenbogen_(KB)'!P18="",$A4&lt;&gt;"I.O."),"-----",IF($A4="I.O.","",'Kennzahlenbogen_(KB)'!P18))</f>
        <v>-----</v>
      </c>
      <c r="H4" s="439" t="str">
        <f>IF($A4="I.O.","",IF('Kennzahlenbogen_(KB)'!R18="","-----",'Kennzahlenbogen_(KB)'!R18))</f>
        <v>-----</v>
      </c>
      <c r="I4" s="439">
        <f>IF($A4="I.O.","",IF('Kennzahlenbogen_(KB)'!R19="","-----",'Kennzahlenbogen_(KB)'!R19))</f>
        <v>0</v>
      </c>
      <c r="J4" s="439" t="str">
        <f>IF($A4="I.O.","",IF('Kennzahlenbogen_(KB)'!R20="",0,'Kennzahlenbogen_(KB)'!R20))</f>
        <v>n.d.</v>
      </c>
      <c r="K4" s="439" t="str">
        <f>IF($A4="I.O.","",'Kennzahlenbogen_(KB)'!S18)</f>
        <v>Unvollständig</v>
      </c>
      <c r="L4" s="441" t="str">
        <f>IF(AND('Kennzahlenbogen_(KB)'!T18="",$A4&lt;&gt;"I.O."),"-----",IF($A4="I.O.","",'Kennzahlenbogen_(KB)'!T18))</f>
        <v>-----</v>
      </c>
      <c r="M4" s="441" t="str">
        <f>IF(AND('Kennzahlenbogen_(KB)'!U18="",$A4&lt;&gt;"I.O."),"-----",IF($A4="I.O.","",'Kennzahlenbogen_(KB)'!U18))</f>
        <v>-----</v>
      </c>
      <c r="O4" s="439" t="str">
        <f t="array" aca="1" ref="O4" ca="1">IF(ROW()-ROW($D$2:$D$22)+1&gt;ROWS($C$2:$C$22)-COUNTBLANK($C$2:$C$22),"",INDIRECT(ADDRESS(SMALL((IF($C$2:$C$22&lt;&gt;"",ROW($C$2:$C$22),ROW()+ROWS($C$2:$C$22))),ROW()-ROW($D$2:$D$22)+1),COLUMN($C$2:$C$22),4)))</f>
        <v>2</v>
      </c>
      <c r="P4" s="442" t="str">
        <f t="array" aca="1" ref="P4" ca="1">IF(ROW()-ROW($E$2:$E$22)+1&gt;ROWS($D$2:$D$22)-COUNTBLANK($D$2:$D$22),"",INDIRECT(ADDRESS(SMALL((IF($D$2:$D$22&gt;"",ROW($D$2:$D$22),ROW()+ROWS($D$2:$D$22))),ROW()-ROW($E$2:$E$22)+1),COLUMN($D$2:$D$22),4)))</f>
        <v>Prätherapeutische Fallvorstellung</v>
      </c>
      <c r="Q4" s="445" t="str">
        <f t="array" aca="1" ref="Q4" ca="1">IF(ROW()-ROW($F$2:$F$22)+1&gt;ROWS($E$2:$E$22)-COUNTBLANK($E$2:$E$22),"",INDIRECT(ADDRESS(SMALL((IF($E$2:$E$22&gt;"",ROW($E$2:$E$22),ROW()+ROWS($E$2:$E$22))),ROW()-ROW($F$2:$F$22)+1),COLUMN($E$2:$E$22),4)))</f>
        <v>-----</v>
      </c>
      <c r="R4" s="445" t="str">
        <f t="array" aca="1" ref="R4" ca="1">IF(ROW()-ROW($G$2:$G$22)+1&gt;ROWS($F$2:$F$22)-COUNTBLANK($F$2:$F$22),"",INDIRECT(ADDRESS(SMALL((IF($F$2:$F$22&gt;"",ROW($F$2:$F$22),ROW()+ROWS($F$2:$F$22))),ROW()-ROW($G$2:$G$22)+1),COLUMN($F$2:$F$22),4)))</f>
        <v>≥  95%</v>
      </c>
      <c r="S4" s="445" t="str">
        <f t="array" aca="1" ref="S4" ca="1">IF(ROW()-ROW($H$2:$H$22)+1&gt;ROWS($G$2:$G$22)-COUNTBLANK($G$2:$G$22),"",INDIRECT(ADDRESS(SMALL((IF($G$2:$G$22&lt;&gt;"",ROW($G$2:$G$22),ROW()+ROWS($G$2:$G$22))),ROW()-ROW($H$2:$H$22)+1),COLUMN($G$2:$G$22),4)))</f>
        <v>-----</v>
      </c>
      <c r="T4" s="439" t="str">
        <f t="array" aca="1" ref="T4" ca="1">IF(ROW()-ROW($I$2:$I$22)+1&gt;ROWS($H$2:$H$22)-COUNTBLANK($H$2:$H$22),"",INDIRECT(ADDRESS(SMALL((IF($H$2:$H$22&lt;&gt;"",ROW($H$2:$H$22),ROW()+ROWS($H$2:$H$22))),ROW()-ROW($I$2:$I$22)+1),COLUMN($H$2:$H$22),4)))</f>
        <v>-----</v>
      </c>
      <c r="U4" s="439">
        <f t="array" aca="1" ref="U4" ca="1">IF(ROW()-ROW($J$2:$J$22)+1&gt;ROWS($I$2:$I$22)-COUNTBLANK($I$2:$I$22),"",INDIRECT(ADDRESS(SMALL((IF($I$2:$I$22&lt;&gt;"",ROW($I$2:$I$22),ROW()+ROWS($I$2:$I$22))),ROW()-ROW($J$2:$J$22)+1),COLUMN($I$2:$I$22),4)))</f>
        <v>0</v>
      </c>
      <c r="V4" s="439" t="str">
        <f t="array" aca="1" ref="V4" ca="1">IF(ROW()-ROW($K$2:$K$22)+1&gt;ROWS($J$2:$J$22)-COUNTBLANK($J$2:$J$22),"",INDIRECT(ADDRESS(SMALL((IF($J$2:$J$22&lt;&gt;"",ROW($J$2:$J$22),ROW()+ROWS($J$2:$J$22))),ROW()-ROW($K$2:$K$22)+1),COLUMN($J$2:$J$22),4)))</f>
        <v>n.d.</v>
      </c>
      <c r="W4" s="439" t="str">
        <f t="array" aca="1" ref="W4" ca="1">IF(ROW()-ROW($L$2:$L$22)+1&gt;ROWS($K$2:$K$22)-COUNTBLANK($K$2:$K$22),"",INDIRECT(ADDRESS(SMALL((IF($K$2:$K$22&lt;&gt;"",ROW($K$2:$K$22),ROW()+ROWS($K$2:$K$22))),ROW()-ROW($L$2:$L$22)+1),COLUMN($K$2:$K$22),4)))</f>
        <v>Unvollständig</v>
      </c>
      <c r="X4" s="442" t="str">
        <f t="array" aca="1" ref="X4" ca="1">IF(ROW()-ROW($M$2:$M$22)+1&gt;ROWS($L$2:$L$22)-COUNTBLANK($L$2:$L$22),"",INDIRECT(ADDRESS(SMALL((IF($L$2:$L$22&lt;&gt;"",ROW($L$2:$L$22),ROW()+ROWS($L$2:$L$22))),ROW()-ROW($M$2:$M$22)+1),COLUMN($L$2:$L$22),4)))</f>
        <v>-----</v>
      </c>
      <c r="Y4" s="442" t="str">
        <f t="array" aca="1" ref="Y4" ca="1">IF(ROW()-ROW($N$2:$N$22)+1&gt;ROWS($M$2:$M$22)-COUNTBLANK($M$2:$M$22),"",INDIRECT(ADDRESS(SMALL((IF($M$2:$M$22&lt;&gt;"",ROW($M$2:$M$22),ROW()+ROWS($M$2:$M$22))),ROW()-ROW($N$2:$N$22)+1),COLUMN($M$2:$M$22),4)))</f>
        <v>-----</v>
      </c>
    </row>
    <row r="5" spans="1:25" ht="34.5" customHeight="1" x14ac:dyDescent="0.3">
      <c r="A5" s="442" t="str">
        <f>IF('Kennzahlenbogen_(KB)'!S21=0,"",'Kennzahlenbogen_(KB)'!S21)</f>
        <v>Unvollständig</v>
      </c>
      <c r="C5" s="439" t="str">
        <f>IF($A5="I.O.","",'Kennzahlenbogen_(KB)'!B21)</f>
        <v>3</v>
      </c>
      <c r="D5" s="440" t="str">
        <f>IF($A5="I.O.","",'Kennzahlenbogen_(KB)'!E21)</f>
        <v>Postoperative Fallvorstellung</v>
      </c>
      <c r="E5" s="444" t="str">
        <f>IF(AND('Kennzahlenbogen_(KB)'!M21="",$A5&lt;&gt;"I.O."),"-----",IF($A5="I.O.","",'Kennzahlenbogen_(KB)'!M21))</f>
        <v>-----</v>
      </c>
      <c r="F5" s="445" t="str">
        <f>IF($A5="I.O.","",'Kennzahlenbogen_(KB)'!N21)</f>
        <v>≥  95%</v>
      </c>
      <c r="G5" s="444" t="str">
        <f>IF(AND('Kennzahlenbogen_(KB)'!P21="",$A5&lt;&gt;"I.O."),"-----",IF($A5="I.O.","",'Kennzahlenbogen_(KB)'!P21))</f>
        <v>-----</v>
      </c>
      <c r="H5" s="439" t="str">
        <f>IF($A5="I.O.","",IF('Kennzahlenbogen_(KB)'!R21="","-----",'Kennzahlenbogen_(KB)'!R21))</f>
        <v>-----</v>
      </c>
      <c r="I5" s="439">
        <f>IF($A5="I.O.","",IF('Kennzahlenbogen_(KB)'!R22="","-----",'Kennzahlenbogen_(KB)'!R22))</f>
        <v>0</v>
      </c>
      <c r="J5" s="439" t="str">
        <f>IF($A5="I.O.","",IF('Kennzahlenbogen_(KB)'!R23="",0,'Kennzahlenbogen_(KB)'!R23))</f>
        <v>n.d.</v>
      </c>
      <c r="K5" s="439" t="str">
        <f>IF($A5="I.O.","",'Kennzahlenbogen_(KB)'!S21)</f>
        <v>Unvollständig</v>
      </c>
      <c r="L5" s="441" t="str">
        <f>IF(AND('Kennzahlenbogen_(KB)'!T21="",$A5&lt;&gt;"I.O."),"-----",IF($A5="I.O.","",'Kennzahlenbogen_(KB)'!T21))</f>
        <v>-----</v>
      </c>
      <c r="M5" s="441" t="str">
        <f>IF(AND('Kennzahlenbogen_(KB)'!U21="",$A5&lt;&gt;"I.O."),"-----",IF($A5="I.O.","",'Kennzahlenbogen_(KB)'!U21))</f>
        <v>-----</v>
      </c>
      <c r="O5" s="439" t="str">
        <f t="array" aca="1" ref="O5" ca="1">IF(ROW()-ROW($D$2:$D$22)+1&gt;ROWS($C$2:$C$22)-COUNTBLANK($C$2:$C$22),"",INDIRECT(ADDRESS(SMALL((IF($C$2:$C$22&lt;&gt;"",ROW($C$2:$C$22),ROW()+ROWS($C$2:$C$22))),ROW()-ROW($D$2:$D$22)+1),COLUMN($C$2:$C$22),4)))</f>
        <v>3</v>
      </c>
      <c r="P5" s="442" t="str">
        <f t="array" aca="1" ref="P5" ca="1">IF(ROW()-ROW($E$2:$E$22)+1&gt;ROWS($D$2:$D$22)-COUNTBLANK($D$2:$D$22),"",INDIRECT(ADDRESS(SMALL((IF($D$2:$D$22&gt;"",ROW($D$2:$D$22),ROW()+ROWS($D$2:$D$22))),ROW()-ROW($E$2:$E$22)+1),COLUMN($D$2:$D$22),4)))</f>
        <v>Postoperative Fallvorstellung</v>
      </c>
      <c r="Q5" s="445" t="str">
        <f t="array" aca="1" ref="Q5" ca="1">IF(ROW()-ROW($F$2:$F$22)+1&gt;ROWS($E$2:$E$22)-COUNTBLANK($E$2:$E$22),"",INDIRECT(ADDRESS(SMALL((IF($E$2:$E$22&gt;"",ROW($E$2:$E$22),ROW()+ROWS($E$2:$E$22))),ROW()-ROW($F$2:$F$22)+1),COLUMN($E$2:$E$22),4)))</f>
        <v>-----</v>
      </c>
      <c r="R5" s="445" t="str">
        <f t="array" aca="1" ref="R5" ca="1">IF(ROW()-ROW($G$2:$G$22)+1&gt;ROWS($F$2:$F$22)-COUNTBLANK($F$2:$F$22),"",INDIRECT(ADDRESS(SMALL((IF($F$2:$F$22&gt;"",ROW($F$2:$F$22),ROW()+ROWS($F$2:$F$22))),ROW()-ROW($G$2:$G$22)+1),COLUMN($F$2:$F$22),4)))</f>
        <v>≥  95%</v>
      </c>
      <c r="S5" s="445" t="str">
        <f t="array" aca="1" ref="S5" ca="1">IF(ROW()-ROW($H$2:$H$22)+1&gt;ROWS($G$2:$G$22)-COUNTBLANK($G$2:$G$22),"",INDIRECT(ADDRESS(SMALL((IF($G$2:$G$22&lt;&gt;"",ROW($G$2:$G$22),ROW()+ROWS($G$2:$G$22))),ROW()-ROW($H$2:$H$22)+1),COLUMN($G$2:$G$22),4)))</f>
        <v>-----</v>
      </c>
      <c r="T5" s="439" t="str">
        <f t="array" aca="1" ref="T5" ca="1">IF(ROW()-ROW($I$2:$I$22)+1&gt;ROWS($H$2:$H$22)-COUNTBLANK($H$2:$H$22),"",INDIRECT(ADDRESS(SMALL((IF($H$2:$H$22&lt;&gt;"",ROW($H$2:$H$22),ROW()+ROWS($H$2:$H$22))),ROW()-ROW($I$2:$I$22)+1),COLUMN($H$2:$H$22),4)))</f>
        <v>-----</v>
      </c>
      <c r="U5" s="439">
        <f t="array" aca="1" ref="U5" ca="1">IF(ROW()-ROW($J$2:$J$22)+1&gt;ROWS($I$2:$I$22)-COUNTBLANK($I$2:$I$22),"",INDIRECT(ADDRESS(SMALL((IF($I$2:$I$22&lt;&gt;"",ROW($I$2:$I$22),ROW()+ROWS($I$2:$I$22))),ROW()-ROW($J$2:$J$22)+1),COLUMN($I$2:$I$22),4)))</f>
        <v>0</v>
      </c>
      <c r="V5" s="439" t="str">
        <f t="array" aca="1" ref="V5" ca="1">IF(ROW()-ROW($K$2:$K$22)+1&gt;ROWS($J$2:$J$22)-COUNTBLANK($J$2:$J$22),"",INDIRECT(ADDRESS(SMALL((IF($J$2:$J$22&lt;&gt;"",ROW($J$2:$J$22),ROW()+ROWS($J$2:$J$22))),ROW()-ROW($K$2:$K$22)+1),COLUMN($J$2:$J$22),4)))</f>
        <v>n.d.</v>
      </c>
      <c r="W5" s="439" t="str">
        <f t="array" aca="1" ref="W5" ca="1">IF(ROW()-ROW($L$2:$L$22)+1&gt;ROWS($K$2:$K$22)-COUNTBLANK($K$2:$K$22),"",INDIRECT(ADDRESS(SMALL((IF($K$2:$K$22&lt;&gt;"",ROW($K$2:$K$22),ROW()+ROWS($K$2:$K$22))),ROW()-ROW($L$2:$L$22)+1),COLUMN($K$2:$K$22),4)))</f>
        <v>Unvollständig</v>
      </c>
      <c r="X5" s="442" t="str">
        <f t="array" aca="1" ref="X5" ca="1">IF(ROW()-ROW($M$2:$M$22)+1&gt;ROWS($L$2:$L$22)-COUNTBLANK($L$2:$L$22),"",INDIRECT(ADDRESS(SMALL((IF($L$2:$L$22&lt;&gt;"",ROW($L$2:$L$22),ROW()+ROWS($L$2:$L$22))),ROW()-ROW($M$2:$M$22)+1),COLUMN($L$2:$L$22),4)))</f>
        <v>-----</v>
      </c>
      <c r="Y5" s="442" t="str">
        <f t="array" aca="1" ref="Y5" ca="1">IF(ROW()-ROW($N$2:$N$22)+1&gt;ROWS($M$2:$M$22)-COUNTBLANK($M$2:$M$22),"",INDIRECT(ADDRESS(SMALL((IF($M$2:$M$22&lt;&gt;"",ROW($M$2:$M$22),ROW()+ROWS($M$2:$M$22))),ROW()-ROW($N$2:$N$22)+1),COLUMN($M$2:$M$22),4)))</f>
        <v>-----</v>
      </c>
    </row>
    <row r="6" spans="1:25" ht="34.5" customHeight="1" x14ac:dyDescent="0.3">
      <c r="A6" s="442" t="str">
        <f>IF('Kennzahlenbogen_(KB)'!S24=0,"",'Kennzahlenbogen_(KB)'!S24)</f>
        <v>Unvollständig</v>
      </c>
      <c r="C6" s="439" t="str">
        <f>IF($A6="I.O.","",'Kennzahlenbogen_(KB)'!B24)</f>
        <v>4</v>
      </c>
      <c r="D6" s="440" t="str">
        <f>IF($A6="I.O.","",'Kennzahlenbogen_(KB)'!E24)</f>
        <v>Psychoonkologische Betreuung</v>
      </c>
      <c r="E6" s="444" t="str">
        <f>IF(AND('Kennzahlenbogen_(KB)'!M24="",$A6&lt;&gt;"I.O."),"-----",IF($A6="I.O.","",'Kennzahlenbogen_(KB)'!M24))</f>
        <v>&lt; 30%</v>
      </c>
      <c r="F6" s="445" t="str">
        <f>IF($A6="I.O.","",'Kennzahlenbogen_(KB)'!N24)</f>
        <v>Derzeit keine Vorgaben</v>
      </c>
      <c r="G6" s="444" t="str">
        <f>IF(AND('Kennzahlenbogen_(KB)'!P24="",$A6&lt;&gt;"I.O."),"-----",IF($A6="I.O.","",'Kennzahlenbogen_(KB)'!P24))</f>
        <v>&gt; 95%</v>
      </c>
      <c r="H6" s="439" t="str">
        <f>IF($A6="I.O.","",IF('Kennzahlenbogen_(KB)'!R24="","-----",'Kennzahlenbogen_(KB)'!R24))</f>
        <v>-----</v>
      </c>
      <c r="I6" s="439">
        <f>IF($A6="I.O.","",IF('Kennzahlenbogen_(KB)'!R25="","-----",'Kennzahlenbogen_(KB)'!R25))</f>
        <v>0</v>
      </c>
      <c r="J6" s="439" t="str">
        <f>IF($A6="I.O.","",IF('Kennzahlenbogen_(KB)'!R26="",0,'Kennzahlenbogen_(KB)'!R26))</f>
        <v>n.d.</v>
      </c>
      <c r="K6" s="439" t="str">
        <f>IF($A6="I.O.","",'Kennzahlenbogen_(KB)'!S24)</f>
        <v>Unvollständig</v>
      </c>
      <c r="L6" s="441" t="str">
        <f>IF(AND('Kennzahlenbogen_(KB)'!T24="",$A6&lt;&gt;"I.O."),"-----",IF($A6="I.O.","",'Kennzahlenbogen_(KB)'!T24))</f>
        <v>-----</v>
      </c>
      <c r="M6" s="441" t="str">
        <f>IF(AND('Kennzahlenbogen_(KB)'!U24="",$A6&lt;&gt;"I.O."),"-----",IF($A6="I.O.","",'Kennzahlenbogen_(KB)'!U24))</f>
        <v>-----</v>
      </c>
      <c r="O6" s="439" t="str">
        <f t="array" aca="1" ref="O6" ca="1">IF(ROW()-ROW($D$2:$D$22)+1&gt;ROWS($C$2:$C$22)-COUNTBLANK($C$2:$C$22),"",INDIRECT(ADDRESS(SMALL((IF($C$2:$C$22&lt;&gt;"",ROW($C$2:$C$22),ROW()+ROWS($C$2:$C$22))),ROW()-ROW($D$2:$D$22)+1),COLUMN($C$2:$C$22),4)))</f>
        <v>4</v>
      </c>
      <c r="P6" s="442" t="str">
        <f t="array" aca="1" ref="P6" ca="1">IF(ROW()-ROW($E$2:$E$22)+1&gt;ROWS($D$2:$D$22)-COUNTBLANK($D$2:$D$22),"",INDIRECT(ADDRESS(SMALL((IF($D$2:$D$22&gt;"",ROW($D$2:$D$22),ROW()+ROWS($D$2:$D$22))),ROW()-ROW($E$2:$E$22)+1),COLUMN($D$2:$D$22),4)))</f>
        <v>Psychoonkologische Betreuung</v>
      </c>
      <c r="Q6" s="445" t="str">
        <f t="array" aca="1" ref="Q6" ca="1">IF(ROW()-ROW($F$2:$F$22)+1&gt;ROWS($E$2:$E$22)-COUNTBLANK($E$2:$E$22),"",INDIRECT(ADDRESS(SMALL((IF($E$2:$E$22&gt;"",ROW($E$2:$E$22),ROW()+ROWS($E$2:$E$22))),ROW()-ROW($F$2:$F$22)+1),COLUMN($E$2:$E$22),4)))</f>
        <v>&lt; 30%</v>
      </c>
      <c r="R6" s="445" t="str">
        <f t="array" aca="1" ref="R6" ca="1">IF(ROW()-ROW($G$2:$G$22)+1&gt;ROWS($F$2:$F$22)-COUNTBLANK($F$2:$F$22),"",INDIRECT(ADDRESS(SMALL((IF($F$2:$F$22&gt;"",ROW($F$2:$F$22),ROW()+ROWS($F$2:$F$22))),ROW()-ROW($G$2:$G$22)+1),COLUMN($F$2:$F$22),4)))</f>
        <v>Derzeit keine Vorgaben</v>
      </c>
      <c r="S6" s="445" t="str">
        <f t="array" aca="1" ref="S6" ca="1">IF(ROW()-ROW($H$2:$H$22)+1&gt;ROWS($G$2:$G$22)-COUNTBLANK($G$2:$G$22),"",INDIRECT(ADDRESS(SMALL((IF($G$2:$G$22&lt;&gt;"",ROW($G$2:$G$22),ROW()+ROWS($G$2:$G$22))),ROW()-ROW($H$2:$H$22)+1),COLUMN($G$2:$G$22),4)))</f>
        <v>&gt; 95%</v>
      </c>
      <c r="T6" s="439" t="str">
        <f t="array" aca="1" ref="T6" ca="1">IF(ROW()-ROW($I$2:$I$22)+1&gt;ROWS($H$2:$H$22)-COUNTBLANK($H$2:$H$22),"",INDIRECT(ADDRESS(SMALL((IF($H$2:$H$22&lt;&gt;"",ROW($H$2:$H$22),ROW()+ROWS($H$2:$H$22))),ROW()-ROW($I$2:$I$22)+1),COLUMN($H$2:$H$22),4)))</f>
        <v>-----</v>
      </c>
      <c r="U6" s="439">
        <f t="array" aca="1" ref="U6" ca="1">IF(ROW()-ROW($J$2:$J$22)+1&gt;ROWS($I$2:$I$22)-COUNTBLANK($I$2:$I$22),"",INDIRECT(ADDRESS(SMALL((IF($I$2:$I$22&lt;&gt;"",ROW($I$2:$I$22),ROW()+ROWS($I$2:$I$22))),ROW()-ROW($J$2:$J$22)+1),COLUMN($I$2:$I$22),4)))</f>
        <v>0</v>
      </c>
      <c r="V6" s="439" t="str">
        <f t="array" aca="1" ref="V6" ca="1">IF(ROW()-ROW($K$2:$K$22)+1&gt;ROWS($J$2:$J$22)-COUNTBLANK($J$2:$J$22),"",INDIRECT(ADDRESS(SMALL((IF($J$2:$J$22&lt;&gt;"",ROW($J$2:$J$22),ROW()+ROWS($J$2:$J$22))),ROW()-ROW($K$2:$K$22)+1),COLUMN($J$2:$J$22),4)))</f>
        <v>n.d.</v>
      </c>
      <c r="W6" s="439" t="str">
        <f t="array" aca="1" ref="W6" ca="1">IF(ROW()-ROW($L$2:$L$22)+1&gt;ROWS($K$2:$K$22)-COUNTBLANK($K$2:$K$22),"",INDIRECT(ADDRESS(SMALL((IF($K$2:$K$22&lt;&gt;"",ROW($K$2:$K$22),ROW()+ROWS($K$2:$K$22))),ROW()-ROW($L$2:$L$22)+1),COLUMN($K$2:$K$22),4)))</f>
        <v>Unvollständig</v>
      </c>
      <c r="X6" s="442" t="str">
        <f t="array" aca="1" ref="X6" ca="1">IF(ROW()-ROW($M$2:$M$22)+1&gt;ROWS($L$2:$L$22)-COUNTBLANK($L$2:$L$22),"",INDIRECT(ADDRESS(SMALL((IF($L$2:$L$22&lt;&gt;"",ROW($L$2:$L$22),ROW()+ROWS($L$2:$L$22))),ROW()-ROW($M$2:$M$22)+1),COLUMN($L$2:$L$22),4)))</f>
        <v>-----</v>
      </c>
      <c r="Y6" s="442" t="str">
        <f t="array" aca="1" ref="Y6" ca="1">IF(ROW()-ROW($N$2:$N$22)+1&gt;ROWS($M$2:$M$22)-COUNTBLANK($M$2:$M$22),"",INDIRECT(ADDRESS(SMALL((IF($M$2:$M$22&lt;&gt;"",ROW($M$2:$M$22),ROW()+ROWS($M$2:$M$22))),ROW()-ROW($N$2:$N$22)+1),COLUMN($M$2:$M$22),4)))</f>
        <v>-----</v>
      </c>
    </row>
    <row r="7" spans="1:25" ht="34.5" customHeight="1" x14ac:dyDescent="0.3">
      <c r="A7" s="442" t="str">
        <f>IF('Kennzahlenbogen_(KB)'!S27=0,"",'Kennzahlenbogen_(KB)'!S27)</f>
        <v>Unvollständig</v>
      </c>
      <c r="C7" s="439" t="str">
        <f>IF($A7="I.O.","",'Kennzahlenbogen_(KB)'!B27)</f>
        <v>5</v>
      </c>
      <c r="D7" s="440" t="str">
        <f>IF($A7="I.O.","",'Kennzahlenbogen_(KB)'!E27)</f>
        <v>Beratung Sozialdienst</v>
      </c>
      <c r="E7" s="444" t="str">
        <f>IF(AND('Kennzahlenbogen_(KB)'!M27="",$A7&lt;&gt;"I.O."),"-----",IF($A7="I.O.","",'Kennzahlenbogen_(KB)'!M27))</f>
        <v>&lt; 45%</v>
      </c>
      <c r="F7" s="445" t="str">
        <f>IF($A7="I.O.","",'Kennzahlenbogen_(KB)'!N27)</f>
        <v>Derzeit keine Vorgaben</v>
      </c>
      <c r="G7" s="444" t="str">
        <f>IF(AND('Kennzahlenbogen_(KB)'!P27="",$A7&lt;&gt;"I.O."),"-----",IF($A7="I.O.","",'Kennzahlenbogen_(KB)'!P27))</f>
        <v>-----</v>
      </c>
      <c r="H7" s="439" t="str">
        <f>IF($A7="I.O.","",IF('Kennzahlenbogen_(KB)'!R27="","-----",'Kennzahlenbogen_(KB)'!R27))</f>
        <v>-----</v>
      </c>
      <c r="I7" s="439">
        <f>IF($A7="I.O.","",IF('Kennzahlenbogen_(KB)'!R28="","-----",'Kennzahlenbogen_(KB)'!R28))</f>
        <v>0</v>
      </c>
      <c r="J7" s="439" t="str">
        <f>IF($A7="I.O.","",IF('Kennzahlenbogen_(KB)'!R29="",0,'Kennzahlenbogen_(KB)'!R29))</f>
        <v>n.d.</v>
      </c>
      <c r="K7" s="439" t="str">
        <f>IF($A7="I.O.","",'Kennzahlenbogen_(KB)'!S27)</f>
        <v>Unvollständig</v>
      </c>
      <c r="L7" s="441" t="str">
        <f>IF(AND('Kennzahlenbogen_(KB)'!T27="",$A7&lt;&gt;"I.O."),"-----",IF($A7="I.O.","",'Kennzahlenbogen_(KB)'!T27))</f>
        <v>-----</v>
      </c>
      <c r="M7" s="441" t="str">
        <f>IF(AND('Kennzahlenbogen_(KB)'!U27="",$A7&lt;&gt;"I.O."),"-----",IF($A7="I.O.","",'Kennzahlenbogen_(KB)'!U27))</f>
        <v>-----</v>
      </c>
      <c r="O7" s="439" t="str">
        <f t="array" aca="1" ref="O7" ca="1">IF(ROW()-ROW($D$2:$D$22)+1&gt;ROWS($C$2:$C$22)-COUNTBLANK($C$2:$C$22),"",INDIRECT(ADDRESS(SMALL((IF($C$2:$C$22&lt;&gt;"",ROW($C$2:$C$22),ROW()+ROWS($C$2:$C$22))),ROW()-ROW($D$2:$D$22)+1),COLUMN($C$2:$C$22),4)))</f>
        <v>5</v>
      </c>
      <c r="P7" s="442" t="str">
        <f t="array" aca="1" ref="P7" ca="1">IF(ROW()-ROW($E$2:$E$22)+1&gt;ROWS($D$2:$D$22)-COUNTBLANK($D$2:$D$22),"",INDIRECT(ADDRESS(SMALL((IF($D$2:$D$22&gt;"",ROW($D$2:$D$22),ROW()+ROWS($D$2:$D$22))),ROW()-ROW($E$2:$E$22)+1),COLUMN($D$2:$D$22),4)))</f>
        <v>Beratung Sozialdienst</v>
      </c>
      <c r="Q7" s="445" t="str">
        <f t="array" aca="1" ref="Q7" ca="1">IF(ROW()-ROW($F$2:$F$22)+1&gt;ROWS($E$2:$E$22)-COUNTBLANK($E$2:$E$22),"",INDIRECT(ADDRESS(SMALL((IF($E$2:$E$22&gt;"",ROW($E$2:$E$22),ROW()+ROWS($E$2:$E$22))),ROW()-ROW($F$2:$F$22)+1),COLUMN($E$2:$E$22),4)))</f>
        <v>&lt; 45%</v>
      </c>
      <c r="R7" s="445" t="str">
        <f t="array" aca="1" ref="R7" ca="1">IF(ROW()-ROW($G$2:$G$22)+1&gt;ROWS($F$2:$F$22)-COUNTBLANK($F$2:$F$22),"",INDIRECT(ADDRESS(SMALL((IF($F$2:$F$22&gt;"",ROW($F$2:$F$22),ROW()+ROWS($F$2:$F$22))),ROW()-ROW($G$2:$G$22)+1),COLUMN($F$2:$F$22),4)))</f>
        <v>Derzeit keine Vorgaben</v>
      </c>
      <c r="S7" s="445" t="str">
        <f t="array" aca="1" ref="S7" ca="1">IF(ROW()-ROW($H$2:$H$22)+1&gt;ROWS($G$2:$G$22)-COUNTBLANK($G$2:$G$22),"",INDIRECT(ADDRESS(SMALL((IF($G$2:$G$22&lt;&gt;"",ROW($G$2:$G$22),ROW()+ROWS($G$2:$G$22))),ROW()-ROW($H$2:$H$22)+1),COLUMN($G$2:$G$22),4)))</f>
        <v>-----</v>
      </c>
      <c r="T7" s="439" t="str">
        <f t="array" aca="1" ref="T7" ca="1">IF(ROW()-ROW($I$2:$I$22)+1&gt;ROWS($H$2:$H$22)-COUNTBLANK($H$2:$H$22),"",INDIRECT(ADDRESS(SMALL((IF($H$2:$H$22&lt;&gt;"",ROW($H$2:$H$22),ROW()+ROWS($H$2:$H$22))),ROW()-ROW($I$2:$I$22)+1),COLUMN($H$2:$H$22),4)))</f>
        <v>-----</v>
      </c>
      <c r="U7" s="439">
        <f t="array" aca="1" ref="U7" ca="1">IF(ROW()-ROW($J$2:$J$22)+1&gt;ROWS($I$2:$I$22)-COUNTBLANK($I$2:$I$22),"",INDIRECT(ADDRESS(SMALL((IF($I$2:$I$22&lt;&gt;"",ROW($I$2:$I$22),ROW()+ROWS($I$2:$I$22))),ROW()-ROW($J$2:$J$22)+1),COLUMN($I$2:$I$22),4)))</f>
        <v>0</v>
      </c>
      <c r="V7" s="439" t="str">
        <f t="array" aca="1" ref="V7" ca="1">IF(ROW()-ROW($K$2:$K$22)+1&gt;ROWS($J$2:$J$22)-COUNTBLANK($J$2:$J$22),"",INDIRECT(ADDRESS(SMALL((IF($J$2:$J$22&lt;&gt;"",ROW($J$2:$J$22),ROW()+ROWS($J$2:$J$22))),ROW()-ROW($K$2:$K$22)+1),COLUMN($J$2:$J$22),4)))</f>
        <v>n.d.</v>
      </c>
      <c r="W7" s="439" t="str">
        <f t="array" aca="1" ref="W7" ca="1">IF(ROW()-ROW($L$2:$L$22)+1&gt;ROWS($K$2:$K$22)-COUNTBLANK($K$2:$K$22),"",INDIRECT(ADDRESS(SMALL((IF($K$2:$K$22&lt;&gt;"",ROW($K$2:$K$22),ROW()+ROWS($K$2:$K$22))),ROW()-ROW($L$2:$L$22)+1),COLUMN($K$2:$K$22),4)))</f>
        <v>Unvollständig</v>
      </c>
      <c r="X7" s="442" t="str">
        <f t="array" aca="1" ref="X7" ca="1">IF(ROW()-ROW($M$2:$M$22)+1&gt;ROWS($L$2:$L$22)-COUNTBLANK($L$2:$L$22),"",INDIRECT(ADDRESS(SMALL((IF($L$2:$L$22&lt;&gt;"",ROW($L$2:$L$22),ROW()+ROWS($L$2:$L$22))),ROW()-ROW($M$2:$M$22)+1),COLUMN($L$2:$L$22),4)))</f>
        <v>-----</v>
      </c>
      <c r="Y7" s="442" t="str">
        <f t="array" aca="1" ref="Y7" ca="1">IF(ROW()-ROW($N$2:$N$22)+1&gt;ROWS($M$2:$M$22)-COUNTBLANK($M$2:$M$22),"",INDIRECT(ADDRESS(SMALL((IF($M$2:$M$22&lt;&gt;"",ROW($M$2:$M$22),ROW()+ROWS($M$2:$M$22))),ROW()-ROW($N$2:$N$22)+1),COLUMN($M$2:$M$22),4)))</f>
        <v>-----</v>
      </c>
    </row>
    <row r="8" spans="1:25" ht="34.5" customHeight="1" x14ac:dyDescent="0.3">
      <c r="A8" s="442" t="str">
        <f>IF('Kennzahlenbogen_(KB)'!S30=0,"",'Kennzahlenbogen_(KB)'!S30)</f>
        <v>Unvollständig</v>
      </c>
      <c r="C8" s="439" t="str">
        <f>IF($A8="I.O.","",'Kennzahlenbogen_(KB)'!B30)</f>
        <v>6</v>
      </c>
      <c r="D8" s="440" t="str">
        <f>IF($A8="I.O.","",'Kennzahlenbogen_(KB)'!E30)</f>
        <v>Anteil Studienpat.</v>
      </c>
      <c r="E8" s="444" t="str">
        <f>IF(AND('Kennzahlenbogen_(KB)'!M30="",$A8&lt;&gt;"I.O."),"-----",IF($A8="I.O.","",'Kennzahlenbogen_(KB)'!M30))</f>
        <v>-----</v>
      </c>
      <c r="F8" s="445" t="str">
        <f>IF($A8="I.O.","",'Kennzahlenbogen_(KB)'!N30)</f>
        <v>≥  5%</v>
      </c>
      <c r="G8" s="444" t="str">
        <f>IF(AND('Kennzahlenbogen_(KB)'!P30="",$A8&lt;&gt;"I.O."),"-----",IF($A8="I.O.","",'Kennzahlenbogen_(KB)'!P30))</f>
        <v>&gt; 50%</v>
      </c>
      <c r="H8" s="439" t="str">
        <f>IF($A8="I.O.","",IF('Kennzahlenbogen_(KB)'!R30="","-----",'Kennzahlenbogen_(KB)'!R30))</f>
        <v>-----</v>
      </c>
      <c r="I8" s="439">
        <f>IF($A8="I.O.","",IF('Kennzahlenbogen_(KB)'!R31="","-----",'Kennzahlenbogen_(KB)'!R31))</f>
        <v>0</v>
      </c>
      <c r="J8" s="439" t="str">
        <f>IF($A8="I.O.","",IF('Kennzahlenbogen_(KB)'!R32="",0,'Kennzahlenbogen_(KB)'!R32))</f>
        <v>n.d.</v>
      </c>
      <c r="K8" s="439" t="str">
        <f>IF($A8="I.O.","",'Kennzahlenbogen_(KB)'!S30)</f>
        <v>Unvollständig</v>
      </c>
      <c r="L8" s="441" t="str">
        <f>IF(AND('Kennzahlenbogen_(KB)'!T30="",$A8&lt;&gt;"I.O."),"-----",IF($A8="I.O.","",'Kennzahlenbogen_(KB)'!T30))</f>
        <v>-----</v>
      </c>
      <c r="M8" s="441" t="str">
        <f>IF(AND('Kennzahlenbogen_(KB)'!U30="",$A8&lt;&gt;"I.O."),"-----",IF($A8="I.O.","",'Kennzahlenbogen_(KB)'!U30))</f>
        <v>-----</v>
      </c>
      <c r="O8" s="439" t="str">
        <f t="array" aca="1" ref="O8" ca="1">IF(ROW()-ROW($D$2:$D$22)+1&gt;ROWS($C$2:$C$22)-COUNTBLANK($C$2:$C$22),"",INDIRECT(ADDRESS(SMALL((IF($C$2:$C$22&lt;&gt;"",ROW($C$2:$C$22),ROW()+ROWS($C$2:$C$22))),ROW()-ROW($D$2:$D$22)+1),COLUMN($C$2:$C$22),4)))</f>
        <v>6</v>
      </c>
      <c r="P8" s="442" t="str">
        <f t="array" aca="1" ref="P8" ca="1">IF(ROW()-ROW($E$2:$E$22)+1&gt;ROWS($D$2:$D$22)-COUNTBLANK($D$2:$D$22),"",INDIRECT(ADDRESS(SMALL((IF($D$2:$D$22&gt;"",ROW($D$2:$D$22),ROW()+ROWS($D$2:$D$22))),ROW()-ROW($E$2:$E$22)+1),COLUMN($D$2:$D$22),4)))</f>
        <v>Anteil Studienpat.</v>
      </c>
      <c r="Q8" s="445" t="str">
        <f t="array" aca="1" ref="Q8" ca="1">IF(ROW()-ROW($F$2:$F$22)+1&gt;ROWS($E$2:$E$22)-COUNTBLANK($E$2:$E$22),"",INDIRECT(ADDRESS(SMALL((IF($E$2:$E$22&gt;"",ROW($E$2:$E$22),ROW()+ROWS($E$2:$E$22))),ROW()-ROW($F$2:$F$22)+1),COLUMN($E$2:$E$22),4)))</f>
        <v>-----</v>
      </c>
      <c r="R8" s="445" t="str">
        <f t="array" aca="1" ref="R8" ca="1">IF(ROW()-ROW($G$2:$G$22)+1&gt;ROWS($F$2:$F$22)-COUNTBLANK($F$2:$F$22),"",INDIRECT(ADDRESS(SMALL((IF($F$2:$F$22&gt;"",ROW($F$2:$F$22),ROW()+ROWS($F$2:$F$22))),ROW()-ROW($G$2:$G$22)+1),COLUMN($F$2:$F$22),4)))</f>
        <v>≥  5%</v>
      </c>
      <c r="S8" s="445" t="str">
        <f t="array" aca="1" ref="S8" ca="1">IF(ROW()-ROW($H$2:$H$22)+1&gt;ROWS($G$2:$G$22)-COUNTBLANK($G$2:$G$22),"",INDIRECT(ADDRESS(SMALL((IF($G$2:$G$22&lt;&gt;"",ROW($G$2:$G$22),ROW()+ROWS($G$2:$G$22))),ROW()-ROW($H$2:$H$22)+1),COLUMN($G$2:$G$22),4)))</f>
        <v>&gt; 50%</v>
      </c>
      <c r="T8" s="439" t="str">
        <f t="array" aca="1" ref="T8" ca="1">IF(ROW()-ROW($I$2:$I$22)+1&gt;ROWS($H$2:$H$22)-COUNTBLANK($H$2:$H$22),"",INDIRECT(ADDRESS(SMALL((IF($H$2:$H$22&lt;&gt;"",ROW($H$2:$H$22),ROW()+ROWS($H$2:$H$22))),ROW()-ROW($I$2:$I$22)+1),COLUMN($H$2:$H$22),4)))</f>
        <v>-----</v>
      </c>
      <c r="U8" s="439">
        <f t="array" aca="1" ref="U8" ca="1">IF(ROW()-ROW($J$2:$J$22)+1&gt;ROWS($I$2:$I$22)-COUNTBLANK($I$2:$I$22),"",INDIRECT(ADDRESS(SMALL((IF($I$2:$I$22&lt;&gt;"",ROW($I$2:$I$22),ROW()+ROWS($I$2:$I$22))),ROW()-ROW($J$2:$J$22)+1),COLUMN($I$2:$I$22),4)))</f>
        <v>0</v>
      </c>
      <c r="V8" s="439" t="str">
        <f t="array" aca="1" ref="V8" ca="1">IF(ROW()-ROW($K$2:$K$22)+1&gt;ROWS($J$2:$J$22)-COUNTBLANK($J$2:$J$22),"",INDIRECT(ADDRESS(SMALL((IF($J$2:$J$22&lt;&gt;"",ROW($J$2:$J$22),ROW()+ROWS($J$2:$J$22))),ROW()-ROW($K$2:$K$22)+1),COLUMN($J$2:$J$22),4)))</f>
        <v>n.d.</v>
      </c>
      <c r="W8" s="439" t="str">
        <f t="array" aca="1" ref="W8" ca="1">IF(ROW()-ROW($L$2:$L$22)+1&gt;ROWS($K$2:$K$22)-COUNTBLANK($K$2:$K$22),"",INDIRECT(ADDRESS(SMALL((IF($K$2:$K$22&lt;&gt;"",ROW($K$2:$K$22),ROW()+ROWS($K$2:$K$22))),ROW()-ROW($L$2:$L$22)+1),COLUMN($K$2:$K$22),4)))</f>
        <v>Unvollständig</v>
      </c>
      <c r="X8" s="442" t="str">
        <f t="array" aca="1" ref="X8" ca="1">IF(ROW()-ROW($M$2:$M$22)+1&gt;ROWS($L$2:$L$22)-COUNTBLANK($L$2:$L$22),"",INDIRECT(ADDRESS(SMALL((IF($L$2:$L$22&lt;&gt;"",ROW($L$2:$L$22),ROW()+ROWS($L$2:$L$22))),ROW()-ROW($M$2:$M$22)+1),COLUMN($L$2:$L$22),4)))</f>
        <v>-----</v>
      </c>
      <c r="Y8" s="442" t="str">
        <f t="array" aca="1" ref="Y8" ca="1">IF(ROW()-ROW($N$2:$N$22)+1&gt;ROWS($M$2:$M$22)-COUNTBLANK($M$2:$M$22),"",INDIRECT(ADDRESS(SMALL((IF($M$2:$M$22&lt;&gt;"",ROW($M$2:$M$22),ROW()+ROWS($M$2:$M$22))),ROW()-ROW($N$2:$N$22)+1),COLUMN($M$2:$M$22),4)))</f>
        <v>-----</v>
      </c>
    </row>
    <row r="9" spans="1:25" ht="34.5" customHeight="1" x14ac:dyDescent="0.3">
      <c r="A9" s="442" t="str">
        <f>IF('Kennzahlenbogen_(KB)'!S33=0,"",'Kennzahlenbogen_(KB)'!S33)</f>
        <v>Unvollständig</v>
      </c>
      <c r="C9" s="439" t="str">
        <f>IF($A9="I.O.","",CONCATENATE('Kennzahlenbogen_(KB)'!B33,'Kennzahlenbogen_(KB)'!C33))</f>
        <v>7a</v>
      </c>
      <c r="D9" s="440" t="str">
        <f>IF($A9="I.O.","",CONCATENATE('Kennzahlenbogen_(KB)'!E33," - ",'Kennzahlenbogen_(KB)'!J33))</f>
        <v>Endoskopie Komplikationen - Pankreatitis nach ERCP
(EB 2.1)</v>
      </c>
      <c r="E9" s="444" t="str">
        <f>IF(AND('Kennzahlenbogen_(KB)'!M33="",$A9&lt;&gt;"I.O."),"-----",IF($A9="I.O.","",'Kennzahlenbogen_(KB)'!M33))</f>
        <v>&lt; 0,01%</v>
      </c>
      <c r="F9" s="445" t="str">
        <f>IF($A9="I.O.","",'Kennzahlenbogen_(KB)'!N33)</f>
        <v xml:space="preserve">≤ 10% </v>
      </c>
      <c r="G9" s="444" t="str">
        <f>IF(AND('Kennzahlenbogen_(KB)'!P33="",$A9&lt;&gt;"I.O."),"-----",IF($A9="I.O.","",'Kennzahlenbogen_(KB)'!P33))</f>
        <v>-----</v>
      </c>
      <c r="H9" s="439" t="str">
        <f>IF($A9="I.O.","",IF('Kennzahlenbogen_(KB)'!R33="","-----",'Kennzahlenbogen_(KB)'!R33))</f>
        <v>-----</v>
      </c>
      <c r="I9" s="439" t="str">
        <f>IF($A9="I.O.","",IF('Kennzahlenbogen_(KB)'!R34="","-----",'Kennzahlenbogen_(KB)'!R34))</f>
        <v>-----</v>
      </c>
      <c r="J9" s="439" t="str">
        <f>IF($A9="I.O.","",IF('Kennzahlenbogen_(KB)'!R35="",0,'Kennzahlenbogen_(KB)'!R35))</f>
        <v>n.d.</v>
      </c>
      <c r="K9" s="439" t="str">
        <f>IF($A9="I.O.","",'Kennzahlenbogen_(KB)'!S33)</f>
        <v>Unvollständig</v>
      </c>
      <c r="L9" s="441" t="str">
        <f>IF(AND('Kennzahlenbogen_(KB)'!T33="",$A9&lt;&gt;"I.O."),"-----",IF($A9="I.O.","",'Kennzahlenbogen_(KB)'!T33))</f>
        <v>-----</v>
      </c>
      <c r="M9" s="441" t="str">
        <f>IF(AND('Kennzahlenbogen_(KB)'!U33="",$A9&lt;&gt;"I.O."),"-----",IF($A9="I.O.","",'Kennzahlenbogen_(KB)'!U33))</f>
        <v>-----</v>
      </c>
      <c r="O9" s="439" t="str">
        <f t="array" aca="1" ref="O9" ca="1">IF(ROW()-ROW($D$2:$D$22)+1&gt;ROWS($C$2:$C$22)-COUNTBLANK($C$2:$C$22),"",INDIRECT(ADDRESS(SMALL((IF($C$2:$C$22&lt;&gt;"",ROW($C$2:$C$22),ROW()+ROWS($C$2:$C$22))),ROW()-ROW($D$2:$D$22)+1),COLUMN($C$2:$C$22),4)))</f>
        <v>7a</v>
      </c>
      <c r="P9" s="442" t="str">
        <f t="array" aca="1" ref="P9" ca="1">IF(ROW()-ROW($E$2:$E$22)+1&gt;ROWS($D$2:$D$22)-COUNTBLANK($D$2:$D$22),"",INDIRECT(ADDRESS(SMALL((IF($D$2:$D$22&gt;"",ROW($D$2:$D$22),ROW()+ROWS($D$2:$D$22))),ROW()-ROW($E$2:$E$22)+1),COLUMN($D$2:$D$22),4)))</f>
        <v>Endoskopie Komplikationen - Pankreatitis nach ERCP
(EB 2.1)</v>
      </c>
      <c r="Q9" s="445" t="str">
        <f t="array" aca="1" ref="Q9" ca="1">IF(ROW()-ROW($F$2:$F$22)+1&gt;ROWS($E$2:$E$22)-COUNTBLANK($E$2:$E$22),"",INDIRECT(ADDRESS(SMALL((IF($E$2:$E$22&gt;"",ROW($E$2:$E$22),ROW()+ROWS($E$2:$E$22))),ROW()-ROW($F$2:$F$22)+1),COLUMN($E$2:$E$22),4)))</f>
        <v>&lt; 0,01%</v>
      </c>
      <c r="R9" s="445" t="str">
        <f t="array" aca="1" ref="R9" ca="1">IF(ROW()-ROW($G$2:$G$22)+1&gt;ROWS($F$2:$F$22)-COUNTBLANK($F$2:$F$22),"",INDIRECT(ADDRESS(SMALL((IF($F$2:$F$22&gt;"",ROW($F$2:$F$22),ROW()+ROWS($F$2:$F$22))),ROW()-ROW($G$2:$G$22)+1),COLUMN($F$2:$F$22),4)))</f>
        <v xml:space="preserve">≤ 10% </v>
      </c>
      <c r="S9" s="445" t="str">
        <f t="array" aca="1" ref="S9" ca="1">IF(ROW()-ROW($H$2:$H$22)+1&gt;ROWS($G$2:$G$22)-COUNTBLANK($G$2:$G$22),"",INDIRECT(ADDRESS(SMALL((IF($G$2:$G$22&lt;&gt;"",ROW($G$2:$G$22),ROW()+ROWS($G$2:$G$22))),ROW()-ROW($H$2:$H$22)+1),COLUMN($G$2:$G$22),4)))</f>
        <v>-----</v>
      </c>
      <c r="T9" s="439" t="str">
        <f t="array" aca="1" ref="T9" ca="1">IF(ROW()-ROW($I$2:$I$22)+1&gt;ROWS($H$2:$H$22)-COUNTBLANK($H$2:$H$22),"",INDIRECT(ADDRESS(SMALL((IF($H$2:$H$22&lt;&gt;"",ROW($H$2:$H$22),ROW()+ROWS($H$2:$H$22))),ROW()-ROW($I$2:$I$22)+1),COLUMN($H$2:$H$22),4)))</f>
        <v>-----</v>
      </c>
      <c r="U9" s="439" t="str">
        <f t="array" aca="1" ref="U9" ca="1">IF(ROW()-ROW($J$2:$J$22)+1&gt;ROWS($I$2:$I$22)-COUNTBLANK($I$2:$I$22),"",INDIRECT(ADDRESS(SMALL((IF($I$2:$I$22&lt;&gt;"",ROW($I$2:$I$22),ROW()+ROWS($I$2:$I$22))),ROW()-ROW($J$2:$J$22)+1),COLUMN($I$2:$I$22),4)))</f>
        <v>-----</v>
      </c>
      <c r="V9" s="439" t="str">
        <f t="array" aca="1" ref="V9" ca="1">IF(ROW()-ROW($K$2:$K$22)+1&gt;ROWS($J$2:$J$22)-COUNTBLANK($J$2:$J$22),"",INDIRECT(ADDRESS(SMALL((IF($J$2:$J$22&lt;&gt;"",ROW($J$2:$J$22),ROW()+ROWS($J$2:$J$22))),ROW()-ROW($K$2:$K$22)+1),COLUMN($J$2:$J$22),4)))</f>
        <v>n.d.</v>
      </c>
      <c r="W9" s="439" t="str">
        <f t="array" aca="1" ref="W9" ca="1">IF(ROW()-ROW($L$2:$L$22)+1&gt;ROWS($K$2:$K$22)-COUNTBLANK($K$2:$K$22),"",INDIRECT(ADDRESS(SMALL((IF($K$2:$K$22&lt;&gt;"",ROW($K$2:$K$22),ROW()+ROWS($K$2:$K$22))),ROW()-ROW($L$2:$L$22)+1),COLUMN($K$2:$K$22),4)))</f>
        <v>Unvollständig</v>
      </c>
      <c r="X9" s="442" t="str">
        <f t="array" aca="1" ref="X9" ca="1">IF(ROW()-ROW($M$2:$M$22)+1&gt;ROWS($L$2:$L$22)-COUNTBLANK($L$2:$L$22),"",INDIRECT(ADDRESS(SMALL((IF($L$2:$L$22&lt;&gt;"",ROW($L$2:$L$22),ROW()+ROWS($L$2:$L$22))),ROW()-ROW($M$2:$M$22)+1),COLUMN($L$2:$L$22),4)))</f>
        <v>-----</v>
      </c>
      <c r="Y9" s="442" t="str">
        <f t="array" aca="1" ref="Y9" ca="1">IF(ROW()-ROW($N$2:$N$22)+1&gt;ROWS($M$2:$M$22)-COUNTBLANK($M$2:$M$22),"",INDIRECT(ADDRESS(SMALL((IF($M$2:$M$22&lt;&gt;"",ROW($M$2:$M$22),ROW()+ROWS($M$2:$M$22))),ROW()-ROW($N$2:$N$22)+1),COLUMN($M$2:$M$22),4)))</f>
        <v>-----</v>
      </c>
    </row>
    <row r="10" spans="1:25" ht="34.5" customHeight="1" x14ac:dyDescent="0.3">
      <c r="A10" s="442" t="str">
        <f>IF('Kennzahlenbogen_(KB)'!S36=0,"",'Kennzahlenbogen_(KB)'!S36)</f>
        <v>Unvollständig</v>
      </c>
      <c r="C10" s="439" t="str">
        <f>IF($A10="I.O.","",CONCATENATE('Kennzahlenbogen_(KB)'!B33,'Kennzahlenbogen_(KB)'!C36))</f>
        <v>7b</v>
      </c>
      <c r="D10" s="440" t="str">
        <f>IF($A10="I.O.","",CONCATENATE('Kennzahlenbogen_(KB)'!E33," - ",'Kennzahlenbogen_(KB)'!J36))</f>
        <v>Endoskopie Komplikationen - Blutung u. Perforation nach ERCP 
(EB 2.1)</v>
      </c>
      <c r="E10" s="444" t="str">
        <f>IF(AND('Kennzahlenbogen_(KB)'!M36="",$A10&lt;&gt;"I.O."),"-----",IF($A10="I.O.","",'Kennzahlenbogen_(KB)'!M36))</f>
        <v>&lt; 0,01%</v>
      </c>
      <c r="F10" s="445" t="str">
        <f>IF($A10="I.O.","",'Kennzahlenbogen_(KB)'!N36)</f>
        <v xml:space="preserve">≤ 5% </v>
      </c>
      <c r="G10" s="444" t="str">
        <f>IF(AND('Kennzahlenbogen_(KB)'!P36="",$A10&lt;&gt;"I.O."),"-----",IF($A10="I.O.","",'Kennzahlenbogen_(KB)'!P36))</f>
        <v>-----</v>
      </c>
      <c r="H10" s="439" t="str">
        <f>IF($A10="I.O.","",IF('Kennzahlenbogen_(KB)'!R36="","-----",'Kennzahlenbogen_(KB)'!R36))</f>
        <v>-----</v>
      </c>
      <c r="I10" s="439">
        <f>IF($A10="I.O.","",IF('Kennzahlenbogen_(KB)'!R37="","-----",'Kennzahlenbogen_(KB)'!R37))</f>
        <v>0</v>
      </c>
      <c r="J10" s="439" t="str">
        <f>IF($A10="I.O.","",IF('Kennzahlenbogen_(KB)'!R38="",0,'Kennzahlenbogen_(KB)'!R38))</f>
        <v>n.d.</v>
      </c>
      <c r="K10" s="439" t="str">
        <f>IF($A10="I.O.","",'Kennzahlenbogen_(KB)'!S36)</f>
        <v>Unvollständig</v>
      </c>
      <c r="L10" s="441" t="str">
        <f>IF(AND('Kennzahlenbogen_(KB)'!T36="",$A10&lt;&gt;"I.O."),"-----",IF($A10="I.O.","",'Kennzahlenbogen_(KB)'!T36))</f>
        <v>-----</v>
      </c>
      <c r="M10" s="441" t="str">
        <f>IF(AND('Kennzahlenbogen_(KB)'!U36="",$A10&lt;&gt;"I.O."),"-----",IF($A10="I.O.","",'Kennzahlenbogen_(KB)'!U36))</f>
        <v>-----</v>
      </c>
      <c r="O10" s="439" t="str">
        <f t="array" aca="1" ref="O10" ca="1">IF(ROW()-ROW($D$2:$D$22)+1&gt;ROWS($C$2:$C$22)-COUNTBLANK($C$2:$C$22),"",INDIRECT(ADDRESS(SMALL((IF($C$2:$C$22&lt;&gt;"",ROW($C$2:$C$22),ROW()+ROWS($C$2:$C$22))),ROW()-ROW($D$2:$D$22)+1),COLUMN($C$2:$C$22),4)))</f>
        <v>7b</v>
      </c>
      <c r="P10" s="442" t="str">
        <f t="array" aca="1" ref="P10" ca="1">IF(ROW()-ROW($E$2:$E$22)+1&gt;ROWS($D$2:$D$22)-COUNTBLANK($D$2:$D$22),"",INDIRECT(ADDRESS(SMALL((IF($D$2:$D$22&gt;"",ROW($D$2:$D$22),ROW()+ROWS($D$2:$D$22))),ROW()-ROW($E$2:$E$22)+1),COLUMN($D$2:$D$22),4)))</f>
        <v>Endoskopie Komplikationen - Blutung u. Perforation nach ERCP 
(EB 2.1)</v>
      </c>
      <c r="Q10" s="445" t="str">
        <f t="array" aca="1" ref="Q10" ca="1">IF(ROW()-ROW($F$2:$F$22)+1&gt;ROWS($E$2:$E$22)-COUNTBLANK($E$2:$E$22),"",INDIRECT(ADDRESS(SMALL((IF($E$2:$E$22&gt;"",ROW($E$2:$E$22),ROW()+ROWS($E$2:$E$22))),ROW()-ROW($F$2:$F$22)+1),COLUMN($E$2:$E$22),4)))</f>
        <v>&lt; 0,01%</v>
      </c>
      <c r="R10" s="445" t="str">
        <f t="array" aca="1" ref="R10" ca="1">IF(ROW()-ROW($G$2:$G$22)+1&gt;ROWS($F$2:$F$22)-COUNTBLANK($F$2:$F$22),"",INDIRECT(ADDRESS(SMALL((IF($F$2:$F$22&gt;"",ROW($F$2:$F$22),ROW()+ROWS($F$2:$F$22))),ROW()-ROW($G$2:$G$22)+1),COLUMN($F$2:$F$22),4)))</f>
        <v xml:space="preserve">≤ 5% </v>
      </c>
      <c r="S10" s="445" t="str">
        <f t="array" aca="1" ref="S10" ca="1">IF(ROW()-ROW($H$2:$H$22)+1&gt;ROWS($G$2:$G$22)-COUNTBLANK($G$2:$G$22),"",INDIRECT(ADDRESS(SMALL((IF($G$2:$G$22&lt;&gt;"",ROW($G$2:$G$22),ROW()+ROWS($G$2:$G$22))),ROW()-ROW($H$2:$H$22)+1),COLUMN($G$2:$G$22),4)))</f>
        <v>-----</v>
      </c>
      <c r="T10" s="439" t="str">
        <f t="array" aca="1" ref="T10" ca="1">IF(ROW()-ROW($I$2:$I$22)+1&gt;ROWS($H$2:$H$22)-COUNTBLANK($H$2:$H$22),"",INDIRECT(ADDRESS(SMALL((IF($H$2:$H$22&lt;&gt;"",ROW($H$2:$H$22),ROW()+ROWS($H$2:$H$22))),ROW()-ROW($I$2:$I$22)+1),COLUMN($H$2:$H$22),4)))</f>
        <v>-----</v>
      </c>
      <c r="U10" s="439">
        <f t="array" aca="1" ref="U10" ca="1">IF(ROW()-ROW($J$2:$J$22)+1&gt;ROWS($I$2:$I$22)-COUNTBLANK($I$2:$I$22),"",INDIRECT(ADDRESS(SMALL((IF($I$2:$I$22&lt;&gt;"",ROW($I$2:$I$22),ROW()+ROWS($I$2:$I$22))),ROW()-ROW($J$2:$J$22)+1),COLUMN($I$2:$I$22),4)))</f>
        <v>0</v>
      </c>
      <c r="V10" s="439" t="str">
        <f t="array" aca="1" ref="V10" ca="1">IF(ROW()-ROW($K$2:$K$22)+1&gt;ROWS($J$2:$J$22)-COUNTBLANK($J$2:$J$22),"",INDIRECT(ADDRESS(SMALL((IF($J$2:$J$22&lt;&gt;"",ROW($J$2:$J$22),ROW()+ROWS($J$2:$J$22))),ROW()-ROW($K$2:$K$22)+1),COLUMN($J$2:$J$22),4)))</f>
        <v>n.d.</v>
      </c>
      <c r="W10" s="439" t="str">
        <f t="array" aca="1" ref="W10" ca="1">IF(ROW()-ROW($L$2:$L$22)+1&gt;ROWS($K$2:$K$22)-COUNTBLANK($K$2:$K$22),"",INDIRECT(ADDRESS(SMALL((IF($K$2:$K$22&lt;&gt;"",ROW($K$2:$K$22),ROW()+ROWS($K$2:$K$22))),ROW()-ROW($L$2:$L$22)+1),COLUMN($K$2:$K$22),4)))</f>
        <v>Unvollständig</v>
      </c>
      <c r="X10" s="442" t="str">
        <f t="array" aca="1" ref="X10" ca="1">IF(ROW()-ROW($M$2:$M$22)+1&gt;ROWS($L$2:$L$22)-COUNTBLANK($L$2:$L$22),"",INDIRECT(ADDRESS(SMALL((IF($L$2:$L$22&lt;&gt;"",ROW($L$2:$L$22),ROW()+ROWS($L$2:$L$22))),ROW()-ROW($M$2:$M$22)+1),COLUMN($L$2:$L$22),4)))</f>
        <v>-----</v>
      </c>
      <c r="Y10" s="442" t="str">
        <f t="array" aca="1" ref="Y10" ca="1">IF(ROW()-ROW($N$2:$N$22)+1&gt;ROWS($M$2:$M$22)-COUNTBLANK($M$2:$M$22),"",INDIRECT(ADDRESS(SMALL((IF($M$2:$M$22&lt;&gt;"",ROW($M$2:$M$22),ROW()+ROWS($M$2:$M$22))),ROW()-ROW($N$2:$N$22)+1),COLUMN($M$2:$M$22),4)))</f>
        <v>-----</v>
      </c>
    </row>
    <row r="11" spans="1:25" ht="51" customHeight="1" x14ac:dyDescent="0.3">
      <c r="A11" s="442" t="str">
        <f>IF('Kennzahlenbogen_(KB)'!S39=0,"",'Kennzahlenbogen_(KB)'!S39)</f>
        <v>Unvollständig</v>
      </c>
      <c r="C11" s="439" t="str">
        <f>IF($A11="I.O.","",'Kennzahlenbogen_(KB)'!B39)</f>
        <v>8</v>
      </c>
      <c r="D11" s="440" t="str">
        <f>IF($A11="I.O.","",'Kennzahlenbogen_(KB)'!E39)</f>
        <v>Operative Primärfälle Pankreas (ausschließlich ICD-10 C25 in Verbindung mit OPS: 5-524* und 
5-525*)</v>
      </c>
      <c r="E11" s="444" t="str">
        <f>IF(AND('Kennzahlenbogen_(KB)'!M39="",$A11&lt;&gt;"I.O."),"-----",IF($A11="I.O.","",'Kennzahlenbogen_(KB)'!M39))</f>
        <v>-----</v>
      </c>
      <c r="F11" s="445" t="str">
        <f>IF($A11="I.O.","",'Kennzahlenbogen_(KB)'!N39)</f>
        <v>≥  12</v>
      </c>
      <c r="G11" s="444" t="str">
        <f>IF(AND('Kennzahlenbogen_(KB)'!P39="",$A11&lt;&gt;"I.O."),"-----",IF($A11="I.O.","",'Kennzahlenbogen_(KB)'!P39))</f>
        <v>-----</v>
      </c>
      <c r="H11" s="439">
        <f>IF($A11="I.O.","",IF('Kennzahlenbogen_(KB)'!R39="","-----",'Kennzahlenbogen_(KB)'!R39))</f>
        <v>0</v>
      </c>
      <c r="I11" s="439" t="str">
        <f>IF($A11="I.O.","","-----")</f>
        <v>-----</v>
      </c>
      <c r="J11" s="439" t="str">
        <f>IF($A11="I.O.","","-----")</f>
        <v>-----</v>
      </c>
      <c r="K11" s="439" t="str">
        <f>IF($A11="I.O.","",'Kennzahlenbogen_(KB)'!S39)</f>
        <v>Unvollständig</v>
      </c>
      <c r="L11" s="441" t="str">
        <f>IF(AND('Kennzahlenbogen_(KB)'!T39="",$A11&lt;&gt;"I.O."),"-----",IF($A11="I.O.","",'Kennzahlenbogen_(KB)'!T39))</f>
        <v>-----</v>
      </c>
      <c r="M11" s="441" t="str">
        <f>IF(AND('Kennzahlenbogen_(KB)'!U39="",$A11&lt;&gt;"I.O."),"-----",IF($A11="I.O.","",'Kennzahlenbogen_(KB)'!U39))</f>
        <v>-----</v>
      </c>
      <c r="O11" s="439" t="str">
        <f t="array" aca="1" ref="O11" ca="1">IF(ROW()-ROW($D$2:$D$22)+1&gt;ROWS($C$2:$C$22)-COUNTBLANK($C$2:$C$22),"",INDIRECT(ADDRESS(SMALL((IF($C$2:$C$22&lt;&gt;"",ROW($C$2:$C$22),ROW()+ROWS($C$2:$C$22))),ROW()-ROW($D$2:$D$22)+1),COLUMN($C$2:$C$22),4)))</f>
        <v>8</v>
      </c>
      <c r="P11" s="442" t="str">
        <f t="array" aca="1" ref="P11" ca="1">IF(ROW()-ROW($E$2:$E$22)+1&gt;ROWS($D$2:$D$22)-COUNTBLANK($D$2:$D$22),"",INDIRECT(ADDRESS(SMALL((IF($D$2:$D$22&gt;"",ROW($D$2:$D$22),ROW()+ROWS($D$2:$D$22))),ROW()-ROW($E$2:$E$22)+1),COLUMN($D$2:$D$22),4)))</f>
        <v>Operative Primärfälle Pankreas (ausschließlich ICD-10 C25 in Verbindung mit OPS: 5-524* und 
5-525*)</v>
      </c>
      <c r="Q11" s="445" t="str">
        <f t="array" aca="1" ref="Q11" ca="1">IF(ROW()-ROW($F$2:$F$22)+1&gt;ROWS($E$2:$E$22)-COUNTBLANK($E$2:$E$22),"",INDIRECT(ADDRESS(SMALL((IF($E$2:$E$22&gt;"",ROW($E$2:$E$22),ROW()+ROWS($E$2:$E$22))),ROW()-ROW($F$2:$F$22)+1),COLUMN($E$2:$E$22),4)))</f>
        <v>-----</v>
      </c>
      <c r="R11" s="445" t="str">
        <f t="array" aca="1" ref="R11" ca="1">IF(ROW()-ROW($G$2:$G$22)+1&gt;ROWS($F$2:$F$22)-COUNTBLANK($F$2:$F$22),"",INDIRECT(ADDRESS(SMALL((IF($F$2:$F$22&gt;"",ROW($F$2:$F$22),ROW()+ROWS($F$2:$F$22))),ROW()-ROW($G$2:$G$22)+1),COLUMN($F$2:$F$22),4)))</f>
        <v>≥  12</v>
      </c>
      <c r="S11" s="445" t="str">
        <f t="array" aca="1" ref="S11" ca="1">IF(ROW()-ROW($H$2:$H$22)+1&gt;ROWS($G$2:$G$22)-COUNTBLANK($G$2:$G$22),"",INDIRECT(ADDRESS(SMALL((IF($G$2:$G$22&lt;&gt;"",ROW($G$2:$G$22),ROW()+ROWS($G$2:$G$22))),ROW()-ROW($H$2:$H$22)+1),COLUMN($G$2:$G$22),4)))</f>
        <v>-----</v>
      </c>
      <c r="T11" s="439">
        <f t="array" aca="1" ref="T11" ca="1">IF(ROW()-ROW($I$2:$I$22)+1&gt;ROWS($H$2:$H$22)-COUNTBLANK($H$2:$H$22),"",INDIRECT(ADDRESS(SMALL((IF($H$2:$H$22&lt;&gt;"",ROW($H$2:$H$22),ROW()+ROWS($H$2:$H$22))),ROW()-ROW($I$2:$I$22)+1),COLUMN($H$2:$H$22),4)))</f>
        <v>0</v>
      </c>
      <c r="U11" s="439" t="str">
        <f t="array" aca="1" ref="U11" ca="1">IF(ROW()-ROW($J$2:$J$22)+1&gt;ROWS($I$2:$I$22)-COUNTBLANK($I$2:$I$22),"",INDIRECT(ADDRESS(SMALL((IF($I$2:$I$22&lt;&gt;"",ROW($I$2:$I$22),ROW()+ROWS($I$2:$I$22))),ROW()-ROW($J$2:$J$22)+1),COLUMN($I$2:$I$22),4)))</f>
        <v>-----</v>
      </c>
      <c r="V11" s="439" t="str">
        <f t="array" aca="1" ref="V11" ca="1">IF(ROW()-ROW($K$2:$K$22)+1&gt;ROWS($J$2:$J$22)-COUNTBLANK($J$2:$J$22),"",INDIRECT(ADDRESS(SMALL((IF($J$2:$J$22&lt;&gt;"",ROW($J$2:$J$22),ROW()+ROWS($J$2:$J$22))),ROW()-ROW($K$2:$K$22)+1),COLUMN($J$2:$J$22),4)))</f>
        <v>-----</v>
      </c>
      <c r="W11" s="439" t="str">
        <f t="array" aca="1" ref="W11" ca="1">IF(ROW()-ROW($L$2:$L$22)+1&gt;ROWS($K$2:$K$22)-COUNTBLANK($K$2:$K$22),"",INDIRECT(ADDRESS(SMALL((IF($K$2:$K$22&lt;&gt;"",ROW($K$2:$K$22),ROW()+ROWS($K$2:$K$22))),ROW()-ROW($L$2:$L$22)+1),COLUMN($K$2:$K$22),4)))</f>
        <v>Unvollständig</v>
      </c>
      <c r="X11" s="442" t="str">
        <f t="array" aca="1" ref="X11" ca="1">IF(ROW()-ROW($M$2:$M$22)+1&gt;ROWS($L$2:$L$22)-COUNTBLANK($L$2:$L$22),"",INDIRECT(ADDRESS(SMALL((IF($L$2:$L$22&lt;&gt;"",ROW($L$2:$L$22),ROW()+ROWS($L$2:$L$22))),ROW()-ROW($M$2:$M$22)+1),COLUMN($L$2:$L$22),4)))</f>
        <v>-----</v>
      </c>
      <c r="Y11" s="442" t="str">
        <f t="array" aca="1" ref="Y11" ca="1">IF(ROW()-ROW($N$2:$N$22)+1&gt;ROWS($M$2:$M$22)-COUNTBLANK($M$2:$M$22),"",INDIRECT(ADDRESS(SMALL((IF($M$2:$M$22&lt;&gt;"",ROW($M$2:$M$22),ROW()+ROWS($M$2:$M$22))),ROW()-ROW($N$2:$N$22)+1),COLUMN($M$2:$M$22),4)))</f>
        <v>-----</v>
      </c>
    </row>
    <row r="12" spans="1:25" ht="34.5" customHeight="1" x14ac:dyDescent="0.3">
      <c r="A12" s="442" t="str">
        <f>IF('Kennzahlenbogen_(KB)'!S42=0,"",'Kennzahlenbogen_(KB)'!S42)</f>
        <v>Unvollständig</v>
      </c>
      <c r="C12" s="439" t="str">
        <f>IF($A12="I.O.","",'Kennzahlenbogen_(KB)'!B42)</f>
        <v>9</v>
      </c>
      <c r="D12" s="440" t="str">
        <f>IF($A12="I.O.","",'Kennzahlenbogen_(KB)'!E42)</f>
        <v xml:space="preserve">Operative Expertise Pankreas gesamt </v>
      </c>
      <c r="E12" s="444" t="str">
        <f>IF(AND('Kennzahlenbogen_(KB)'!M42="",$A12&lt;&gt;"I.O."),"-----",IF($A12="I.O.","",'Kennzahlenbogen_(KB)'!M42))</f>
        <v>-----</v>
      </c>
      <c r="F12" s="445" t="str">
        <f>IF($A12="I.O.","",'Kennzahlenbogen_(KB)'!N42)</f>
        <v>≥  20</v>
      </c>
      <c r="G12" s="444" t="str">
        <f>IF(AND('Kennzahlenbogen_(KB)'!P42="",$A12&lt;&gt;"I.O."),"-----",IF($A12="I.O.","",'Kennzahlenbogen_(KB)'!P42))</f>
        <v>-----</v>
      </c>
      <c r="H12" s="439">
        <f>IF($A12="I.O.","",IF('Kennzahlenbogen_(KB)'!R42="","-----",'Kennzahlenbogen_(KB)'!R42))</f>
        <v>0</v>
      </c>
      <c r="I12" s="439" t="str">
        <f>IF($A12="I.O.","","-----")</f>
        <v>-----</v>
      </c>
      <c r="J12" s="439" t="str">
        <f>IF($A12="I.O.","","-----")</f>
        <v>-----</v>
      </c>
      <c r="K12" s="439" t="str">
        <f>IF($A12="I.O.","",'Kennzahlenbogen_(KB)'!S42)</f>
        <v>Unvollständig</v>
      </c>
      <c r="L12" s="441" t="str">
        <f>IF(AND('Kennzahlenbogen_(KB)'!T42="",$A12&lt;&gt;"I.O."),"-----",IF($A12="I.O.","",'Kennzahlenbogen_(KB)'!T42))</f>
        <v>-----</v>
      </c>
      <c r="M12" s="441" t="str">
        <f>IF(AND('Kennzahlenbogen_(KB)'!U42="",$A12&lt;&gt;"I.O."),"-----",IF($A12="I.O.","",'Kennzahlenbogen_(KB)'!U42))</f>
        <v>-----</v>
      </c>
      <c r="O12" s="439" t="str">
        <f t="array" aca="1" ref="O12" ca="1">IF(ROW()-ROW($D$2:$D$22)+1&gt;ROWS($C$2:$C$22)-COUNTBLANK($C$2:$C$22),"",INDIRECT(ADDRESS(SMALL((IF($C$2:$C$22&lt;&gt;"",ROW($C$2:$C$22),ROW()+ROWS($C$2:$C$22))),ROW()-ROW($D$2:$D$22)+1),COLUMN($C$2:$C$22),4)))</f>
        <v>9</v>
      </c>
      <c r="P12" s="442" t="str">
        <f t="array" aca="1" ref="P12" ca="1">IF(ROW()-ROW($E$2:$E$22)+1&gt;ROWS($D$2:$D$22)-COUNTBLANK($D$2:$D$22),"",INDIRECT(ADDRESS(SMALL((IF($D$2:$D$22&gt;"",ROW($D$2:$D$22),ROW()+ROWS($D$2:$D$22))),ROW()-ROW($E$2:$E$22)+1),COLUMN($D$2:$D$22),4)))</f>
        <v xml:space="preserve">Operative Expertise Pankreas gesamt </v>
      </c>
      <c r="Q12" s="445" t="str">
        <f t="array" aca="1" ref="Q12" ca="1">IF(ROW()-ROW($F$2:$F$22)+1&gt;ROWS($E$2:$E$22)-COUNTBLANK($E$2:$E$22),"",INDIRECT(ADDRESS(SMALL((IF($E$2:$E$22&gt;"",ROW($E$2:$E$22),ROW()+ROWS($E$2:$E$22))),ROW()-ROW($F$2:$F$22)+1),COLUMN($E$2:$E$22),4)))</f>
        <v>-----</v>
      </c>
      <c r="R12" s="445" t="str">
        <f t="array" aca="1" ref="R12" ca="1">IF(ROW()-ROW($G$2:$G$22)+1&gt;ROWS($F$2:$F$22)-COUNTBLANK($F$2:$F$22),"",INDIRECT(ADDRESS(SMALL((IF($F$2:$F$22&gt;"",ROW($F$2:$F$22),ROW()+ROWS($F$2:$F$22))),ROW()-ROW($G$2:$G$22)+1),COLUMN($F$2:$F$22),4)))</f>
        <v>≥  20</v>
      </c>
      <c r="S12" s="445" t="str">
        <f t="array" aca="1" ref="S12" ca="1">IF(ROW()-ROW($H$2:$H$22)+1&gt;ROWS($G$2:$G$22)-COUNTBLANK($G$2:$G$22),"",INDIRECT(ADDRESS(SMALL((IF($G$2:$G$22&lt;&gt;"",ROW($G$2:$G$22),ROW()+ROWS($G$2:$G$22))),ROW()-ROW($H$2:$H$22)+1),COLUMN($G$2:$G$22),4)))</f>
        <v>-----</v>
      </c>
      <c r="T12" s="439">
        <f t="array" aca="1" ref="T12" ca="1">IF(ROW()-ROW($I$2:$I$22)+1&gt;ROWS($H$2:$H$22)-COUNTBLANK($H$2:$H$22),"",INDIRECT(ADDRESS(SMALL((IF($H$2:$H$22&lt;&gt;"",ROW($H$2:$H$22),ROW()+ROWS($H$2:$H$22))),ROW()-ROW($I$2:$I$22)+1),COLUMN($H$2:$H$22),4)))</f>
        <v>0</v>
      </c>
      <c r="U12" s="439" t="str">
        <f t="array" aca="1" ref="U12" ca="1">IF(ROW()-ROW($J$2:$J$22)+1&gt;ROWS($I$2:$I$22)-COUNTBLANK($I$2:$I$22),"",INDIRECT(ADDRESS(SMALL((IF($I$2:$I$22&lt;&gt;"",ROW($I$2:$I$22),ROW()+ROWS($I$2:$I$22))),ROW()-ROW($J$2:$J$22)+1),COLUMN($I$2:$I$22),4)))</f>
        <v>-----</v>
      </c>
      <c r="V12" s="439" t="str">
        <f t="array" aca="1" ref="V12" ca="1">IF(ROW()-ROW($K$2:$K$22)+1&gt;ROWS($J$2:$J$22)-COUNTBLANK($J$2:$J$22),"",INDIRECT(ADDRESS(SMALL((IF($J$2:$J$22&lt;&gt;"",ROW($J$2:$J$22),ROW()+ROWS($J$2:$J$22))),ROW()-ROW($K$2:$K$22)+1),COLUMN($J$2:$J$22),4)))</f>
        <v>-----</v>
      </c>
      <c r="W12" s="439" t="str">
        <f t="array" aca="1" ref="W12" ca="1">IF(ROW()-ROW($L$2:$L$22)+1&gt;ROWS($K$2:$K$22)-COUNTBLANK($K$2:$K$22),"",INDIRECT(ADDRESS(SMALL((IF($K$2:$K$22&lt;&gt;"",ROW($K$2:$K$22),ROW()+ROWS($K$2:$K$22))),ROW()-ROW($L$2:$L$22)+1),COLUMN($K$2:$K$22),4)))</f>
        <v>Unvollständig</v>
      </c>
      <c r="X12" s="442" t="str">
        <f t="array" aca="1" ref="X12" ca="1">IF(ROW()-ROW($M$2:$M$22)+1&gt;ROWS($L$2:$L$22)-COUNTBLANK($L$2:$L$22),"",INDIRECT(ADDRESS(SMALL((IF($L$2:$L$22&lt;&gt;"",ROW($L$2:$L$22),ROW()+ROWS($L$2:$L$22))),ROW()-ROW($M$2:$M$22)+1),COLUMN($L$2:$L$22),4)))</f>
        <v>-----</v>
      </c>
      <c r="Y12" s="442" t="str">
        <f t="array" aca="1" ref="Y12" ca="1">IF(ROW()-ROW($N$2:$N$22)+1&gt;ROWS($M$2:$M$22)-COUNTBLANK($M$2:$M$22),"",INDIRECT(ADDRESS(SMALL((IF($M$2:$M$22&lt;&gt;"",ROW($M$2:$M$22),ROW()+ROWS($M$2:$M$22))),ROW()-ROW($N$2:$N$22)+1),COLUMN($M$2:$M$22),4)))</f>
        <v>-----</v>
      </c>
    </row>
    <row r="13" spans="1:25" ht="34.5" customHeight="1" x14ac:dyDescent="0.3">
      <c r="A13" s="442" t="str">
        <f>IF('Kennzahlenbogen_(KB)'!S45=0,"",'Kennzahlenbogen_(KB)'!S45)</f>
        <v>Unvollständig</v>
      </c>
      <c r="C13" s="439" t="str">
        <f>IF($A13="I.O.","",'Kennzahlenbogen_(KB)'!B45)</f>
        <v>10</v>
      </c>
      <c r="D13" s="440" t="str">
        <f>IF($A13="I.O.","",'Kennzahlenbogen_(KB)'!E45)</f>
        <v xml:space="preserve">Revisions-OP‘s Pankreas </v>
      </c>
      <c r="E13" s="444" t="str">
        <f>IF(AND('Kennzahlenbogen_(KB)'!M45="",$A13&lt;&gt;"I.O."),"-----",IF($A13="I.O.","",'Kennzahlenbogen_(KB)'!M45))</f>
        <v>&lt; 0,01%</v>
      </c>
      <c r="F13" s="445" t="str">
        <f>IF($A13="I.O.","",'Kennzahlenbogen_(KB)'!N45)</f>
        <v xml:space="preserve">≤  10% </v>
      </c>
      <c r="G13" s="444" t="str">
        <f>IF(AND('Kennzahlenbogen_(KB)'!P45="",$A13&lt;&gt;"I.O."),"-----",IF($A13="I.O.","",'Kennzahlenbogen_(KB)'!P45))</f>
        <v>-----</v>
      </c>
      <c r="H13" s="439" t="str">
        <f>IF($A13="I.O.","",IF('Kennzahlenbogen_(KB)'!R45="","-----",'Kennzahlenbogen_(KB)'!R45))</f>
        <v>-----</v>
      </c>
      <c r="I13" s="439">
        <f>IF($A13="I.O.","",IF('Kennzahlenbogen_(KB)'!R46="","-----",'Kennzahlenbogen_(KB)'!R46))</f>
        <v>0</v>
      </c>
      <c r="J13" s="439" t="str">
        <f>IF($A13="I.O.","",IF('Kennzahlenbogen_(KB)'!R47="",0,'Kennzahlenbogen_(KB)'!R47))</f>
        <v>n.d.</v>
      </c>
      <c r="K13" s="439" t="str">
        <f>IF($A13="I.O.","",'Kennzahlenbogen_(KB)'!S45)</f>
        <v>Unvollständig</v>
      </c>
      <c r="L13" s="441" t="str">
        <f>IF(AND('Kennzahlenbogen_(KB)'!T45="",$A13&lt;&gt;"I.O."),"-----",IF($A13="I.O.","",'Kennzahlenbogen_(KB)'!T45))</f>
        <v>-----</v>
      </c>
      <c r="M13" s="441" t="str">
        <f>IF(AND('Kennzahlenbogen_(KB)'!U45="",$A13&lt;&gt;"I.O."),"-----",IF($A13="I.O.","",'Kennzahlenbogen_(KB)'!U45))</f>
        <v>-----</v>
      </c>
      <c r="O13" s="439" t="str">
        <f t="array" aca="1" ref="O13" ca="1">IF(ROW()-ROW($D$2:$D$22)+1&gt;ROWS($C$2:$C$22)-COUNTBLANK($C$2:$C$22),"",INDIRECT(ADDRESS(SMALL((IF($C$2:$C$22&lt;&gt;"",ROW($C$2:$C$22),ROW()+ROWS($C$2:$C$22))),ROW()-ROW($D$2:$D$22)+1),COLUMN($C$2:$C$22),4)))</f>
        <v>10</v>
      </c>
      <c r="P13" s="442" t="str">
        <f t="array" aca="1" ref="P13" ca="1">IF(ROW()-ROW($E$2:$E$22)+1&gt;ROWS($D$2:$D$22)-COUNTBLANK($D$2:$D$22),"",INDIRECT(ADDRESS(SMALL((IF($D$2:$D$22&gt;"",ROW($D$2:$D$22),ROW()+ROWS($D$2:$D$22))),ROW()-ROW($E$2:$E$22)+1),COLUMN($D$2:$D$22),4)))</f>
        <v xml:space="preserve">Revisions-OP‘s Pankreas </v>
      </c>
      <c r="Q13" s="445" t="str">
        <f t="array" aca="1" ref="Q13" ca="1">IF(ROW()-ROW($F$2:$F$22)+1&gt;ROWS($E$2:$E$22)-COUNTBLANK($E$2:$E$22),"",INDIRECT(ADDRESS(SMALL((IF($E$2:$E$22&gt;"",ROW($E$2:$E$22),ROW()+ROWS($E$2:$E$22))),ROW()-ROW($F$2:$F$22)+1),COLUMN($E$2:$E$22),4)))</f>
        <v>&lt; 0,01%</v>
      </c>
      <c r="R13" s="445" t="str">
        <f t="array" aca="1" ref="R13" ca="1">IF(ROW()-ROW($G$2:$G$22)+1&gt;ROWS($F$2:$F$22)-COUNTBLANK($F$2:$F$22),"",INDIRECT(ADDRESS(SMALL((IF($F$2:$F$22&gt;"",ROW($F$2:$F$22),ROW()+ROWS($F$2:$F$22))),ROW()-ROW($G$2:$G$22)+1),COLUMN($F$2:$F$22),4)))</f>
        <v xml:space="preserve">≤  10% </v>
      </c>
      <c r="S13" s="445" t="str">
        <f t="array" aca="1" ref="S13" ca="1">IF(ROW()-ROW($H$2:$H$22)+1&gt;ROWS($G$2:$G$22)-COUNTBLANK($G$2:$G$22),"",INDIRECT(ADDRESS(SMALL((IF($G$2:$G$22&lt;&gt;"",ROW($G$2:$G$22),ROW()+ROWS($G$2:$G$22))),ROW()-ROW($H$2:$H$22)+1),COLUMN($G$2:$G$22),4)))</f>
        <v>-----</v>
      </c>
      <c r="T13" s="439" t="str">
        <f t="array" aca="1" ref="T13" ca="1">IF(ROW()-ROW($I$2:$I$22)+1&gt;ROWS($H$2:$H$22)-COUNTBLANK($H$2:$H$22),"",INDIRECT(ADDRESS(SMALL((IF($H$2:$H$22&lt;&gt;"",ROW($H$2:$H$22),ROW()+ROWS($H$2:$H$22))),ROW()-ROW($I$2:$I$22)+1),COLUMN($H$2:$H$22),4)))</f>
        <v>-----</v>
      </c>
      <c r="U13" s="439">
        <f t="array" aca="1" ref="U13" ca="1">IF(ROW()-ROW($J$2:$J$22)+1&gt;ROWS($I$2:$I$22)-COUNTBLANK($I$2:$I$22),"",INDIRECT(ADDRESS(SMALL((IF($I$2:$I$22&lt;&gt;"",ROW($I$2:$I$22),ROW()+ROWS($I$2:$I$22))),ROW()-ROW($J$2:$J$22)+1),COLUMN($I$2:$I$22),4)))</f>
        <v>0</v>
      </c>
      <c r="V13" s="439" t="str">
        <f t="array" aca="1" ref="V13" ca="1">IF(ROW()-ROW($K$2:$K$22)+1&gt;ROWS($J$2:$J$22)-COUNTBLANK($J$2:$J$22),"",INDIRECT(ADDRESS(SMALL((IF($J$2:$J$22&lt;&gt;"",ROW($J$2:$J$22),ROW()+ROWS($J$2:$J$22))),ROW()-ROW($K$2:$K$22)+1),COLUMN($J$2:$J$22),4)))</f>
        <v>n.d.</v>
      </c>
      <c r="W13" s="439" t="str">
        <f t="array" aca="1" ref="W13" ca="1">IF(ROW()-ROW($L$2:$L$22)+1&gt;ROWS($K$2:$K$22)-COUNTBLANK($K$2:$K$22),"",INDIRECT(ADDRESS(SMALL((IF($K$2:$K$22&lt;&gt;"",ROW($K$2:$K$22),ROW()+ROWS($K$2:$K$22))),ROW()-ROW($L$2:$L$22)+1),COLUMN($K$2:$K$22),4)))</f>
        <v>Unvollständig</v>
      </c>
      <c r="X13" s="442" t="str">
        <f t="array" aca="1" ref="X13" ca="1">IF(ROW()-ROW($M$2:$M$22)+1&gt;ROWS($L$2:$L$22)-COUNTBLANK($L$2:$L$22),"",INDIRECT(ADDRESS(SMALL((IF($L$2:$L$22&lt;&gt;"",ROW($L$2:$L$22),ROW()+ROWS($L$2:$L$22))),ROW()-ROW($M$2:$M$22)+1),COLUMN($L$2:$L$22),4)))</f>
        <v>-----</v>
      </c>
      <c r="Y13" s="442" t="str">
        <f t="array" aca="1" ref="Y13" ca="1">IF(ROW()-ROW($N$2:$N$22)+1&gt;ROWS($M$2:$M$22)-COUNTBLANK($M$2:$M$22),"",INDIRECT(ADDRESS(SMALL((IF($M$2:$M$22&lt;&gt;"",ROW($M$2:$M$22),ROW()+ROWS($M$2:$M$22))),ROW()-ROW($N$2:$N$22)+1),COLUMN($M$2:$M$22),4)))</f>
        <v>-----</v>
      </c>
    </row>
    <row r="14" spans="1:25" ht="34.5" customHeight="1" x14ac:dyDescent="0.3">
      <c r="A14" s="442" t="str">
        <f>IF('Kennzahlenbogen_(KB)'!S48=0,"",'Kennzahlenbogen_(KB)'!S48)</f>
        <v>Unvollständig</v>
      </c>
      <c r="C14" s="439" t="str">
        <f>IF($A14="I.O.","",'Kennzahlenbogen_(KB)'!B48)</f>
        <v>11</v>
      </c>
      <c r="D14" s="440" t="str">
        <f>IF($A14="I.O.","",'Kennzahlenbogen_(KB)'!E48)</f>
        <v>Postoperative Wundinfektion</v>
      </c>
      <c r="E14" s="444" t="str">
        <f>IF(AND('Kennzahlenbogen_(KB)'!M48="",$A14&lt;&gt;"I.O."),"-----",IF($A14="I.O.","",'Kennzahlenbogen_(KB)'!M48))</f>
        <v>&lt; 0,01%</v>
      </c>
      <c r="F14" s="445" t="str">
        <f>IF($A14="I.O.","",'Kennzahlenbogen_(KB)'!N48)</f>
        <v>Derzeit keine Vorgaben</v>
      </c>
      <c r="G14" s="444" t="str">
        <f>IF(AND('Kennzahlenbogen_(KB)'!P48="",$A14&lt;&gt;"I.O."),"-----",IF($A14="I.O.","",'Kennzahlenbogen_(KB)'!P48))</f>
        <v>&gt; 10%</v>
      </c>
      <c r="H14" s="439" t="str">
        <f>IF($A14="I.O.","",IF('Kennzahlenbogen_(KB)'!R48="","-----",'Kennzahlenbogen_(KB)'!R48))</f>
        <v>-----</v>
      </c>
      <c r="I14" s="439">
        <f>IF($A14="I.O.","",IF('Kennzahlenbogen_(KB)'!R49="","-----",'Kennzahlenbogen_(KB)'!R49))</f>
        <v>0</v>
      </c>
      <c r="J14" s="439" t="str">
        <f>IF($A14="I.O.","",IF('Kennzahlenbogen_(KB)'!R50="",0,'Kennzahlenbogen_(KB)'!R50))</f>
        <v>n.d.</v>
      </c>
      <c r="K14" s="439" t="str">
        <f>IF($A14="I.O.","",'Kennzahlenbogen_(KB)'!S48)</f>
        <v>Unvollständig</v>
      </c>
      <c r="L14" s="441" t="str">
        <f>IF(AND('Kennzahlenbogen_(KB)'!T48="",$A14&lt;&gt;"I.O."),"-----",IF($A14="I.O.","",'Kennzahlenbogen_(KB)'!T48))</f>
        <v>-----</v>
      </c>
      <c r="M14" s="441" t="str">
        <f>IF(AND('Kennzahlenbogen_(KB)'!U48="",$A14&lt;&gt;"I.O."),"-----",IF($A14="I.O.","",'Kennzahlenbogen_(KB)'!U48))</f>
        <v>-----</v>
      </c>
      <c r="O14" s="439" t="str">
        <f t="array" aca="1" ref="O14" ca="1">IF(ROW()-ROW($D$2:$D$22)+1&gt;ROWS($C$2:$C$22)-COUNTBLANK($C$2:$C$22),"",INDIRECT(ADDRESS(SMALL((IF($C$2:$C$22&lt;&gt;"",ROW($C$2:$C$22),ROW()+ROWS($C$2:$C$22))),ROW()-ROW($D$2:$D$22)+1),COLUMN($C$2:$C$22),4)))</f>
        <v>11</v>
      </c>
      <c r="P14" s="442" t="str">
        <f t="array" aca="1" ref="P14" ca="1">IF(ROW()-ROW($E$2:$E$22)+1&gt;ROWS($D$2:$D$22)-COUNTBLANK($D$2:$D$22),"",INDIRECT(ADDRESS(SMALL((IF($D$2:$D$22&gt;"",ROW($D$2:$D$22),ROW()+ROWS($D$2:$D$22))),ROW()-ROW($E$2:$E$22)+1),COLUMN($D$2:$D$22),4)))</f>
        <v>Postoperative Wundinfektion</v>
      </c>
      <c r="Q14" s="445" t="str">
        <f t="array" aca="1" ref="Q14" ca="1">IF(ROW()-ROW($F$2:$F$22)+1&gt;ROWS($E$2:$E$22)-COUNTBLANK($E$2:$E$22),"",INDIRECT(ADDRESS(SMALL((IF($E$2:$E$22&gt;"",ROW($E$2:$E$22),ROW()+ROWS($E$2:$E$22))),ROW()-ROW($F$2:$F$22)+1),COLUMN($E$2:$E$22),4)))</f>
        <v>&lt; 0,01%</v>
      </c>
      <c r="R14" s="445" t="str">
        <f t="array" aca="1" ref="R14" ca="1">IF(ROW()-ROW($G$2:$G$22)+1&gt;ROWS($F$2:$F$22)-COUNTBLANK($F$2:$F$22),"",INDIRECT(ADDRESS(SMALL((IF($F$2:$F$22&gt;"",ROW($F$2:$F$22),ROW()+ROWS($F$2:$F$22))),ROW()-ROW($G$2:$G$22)+1),COLUMN($F$2:$F$22),4)))</f>
        <v>Derzeit keine Vorgaben</v>
      </c>
      <c r="S14" s="445" t="str">
        <f t="array" aca="1" ref="S14" ca="1">IF(ROW()-ROW($H$2:$H$22)+1&gt;ROWS($G$2:$G$22)-COUNTBLANK($G$2:$G$22),"",INDIRECT(ADDRESS(SMALL((IF($G$2:$G$22&lt;&gt;"",ROW($G$2:$G$22),ROW()+ROWS($G$2:$G$22))),ROW()-ROW($H$2:$H$22)+1),COLUMN($G$2:$G$22),4)))</f>
        <v>&gt; 10%</v>
      </c>
      <c r="T14" s="439" t="str">
        <f t="array" aca="1" ref="T14" ca="1">IF(ROW()-ROW($I$2:$I$22)+1&gt;ROWS($H$2:$H$22)-COUNTBLANK($H$2:$H$22),"",INDIRECT(ADDRESS(SMALL((IF($H$2:$H$22&lt;&gt;"",ROW($H$2:$H$22),ROW()+ROWS($H$2:$H$22))),ROW()-ROW($I$2:$I$22)+1),COLUMN($H$2:$H$22),4)))</f>
        <v>-----</v>
      </c>
      <c r="U14" s="439">
        <f t="array" aca="1" ref="U14" ca="1">IF(ROW()-ROW($J$2:$J$22)+1&gt;ROWS($I$2:$I$22)-COUNTBLANK($I$2:$I$22),"",INDIRECT(ADDRESS(SMALL((IF($I$2:$I$22&lt;&gt;"",ROW($I$2:$I$22),ROW()+ROWS($I$2:$I$22))),ROW()-ROW($J$2:$J$22)+1),COLUMN($I$2:$I$22),4)))</f>
        <v>0</v>
      </c>
      <c r="V14" s="439" t="str">
        <f t="array" aca="1" ref="V14" ca="1">IF(ROW()-ROW($K$2:$K$22)+1&gt;ROWS($J$2:$J$22)-COUNTBLANK($J$2:$J$22),"",INDIRECT(ADDRESS(SMALL((IF($J$2:$J$22&lt;&gt;"",ROW($J$2:$J$22),ROW()+ROWS($J$2:$J$22))),ROW()-ROW($K$2:$K$22)+1),COLUMN($J$2:$J$22),4)))</f>
        <v>n.d.</v>
      </c>
      <c r="W14" s="439" t="str">
        <f t="array" aca="1" ref="W14" ca="1">IF(ROW()-ROW($L$2:$L$22)+1&gt;ROWS($K$2:$K$22)-COUNTBLANK($K$2:$K$22),"",INDIRECT(ADDRESS(SMALL((IF($K$2:$K$22&lt;&gt;"",ROW($K$2:$K$22),ROW()+ROWS($K$2:$K$22))),ROW()-ROW($L$2:$L$22)+1),COLUMN($K$2:$K$22),4)))</f>
        <v>Unvollständig</v>
      </c>
      <c r="X14" s="442" t="str">
        <f t="array" aca="1" ref="X14" ca="1">IF(ROW()-ROW($M$2:$M$22)+1&gt;ROWS($L$2:$L$22)-COUNTBLANK($L$2:$L$22),"",INDIRECT(ADDRESS(SMALL((IF($L$2:$L$22&lt;&gt;"",ROW($L$2:$L$22),ROW()+ROWS($L$2:$L$22))),ROW()-ROW($M$2:$M$22)+1),COLUMN($L$2:$L$22),4)))</f>
        <v>-----</v>
      </c>
      <c r="Y14" s="442" t="str">
        <f t="array" aca="1" ref="Y14" ca="1">IF(ROW()-ROW($N$2:$N$22)+1&gt;ROWS($M$2:$M$22)-COUNTBLANK($M$2:$M$22),"",INDIRECT(ADDRESS(SMALL((IF($M$2:$M$22&lt;&gt;"",ROW($M$2:$M$22),ROW()+ROWS($M$2:$M$22))),ROW()-ROW($N$2:$N$22)+1),COLUMN($M$2:$M$22),4)))</f>
        <v>-----</v>
      </c>
    </row>
    <row r="15" spans="1:25" ht="34.5" customHeight="1" x14ac:dyDescent="0.3">
      <c r="A15" s="442" t="str">
        <f>IF('Kennzahlenbogen_(KB)'!S51=0,"",'Kennzahlenbogen_(KB)'!S51)</f>
        <v>Unvollständig</v>
      </c>
      <c r="C15" s="439" t="str">
        <f>IF($A15="I.O.","",'Kennzahlenbogen_(KB)'!B51)</f>
        <v>12</v>
      </c>
      <c r="D15" s="440" t="str">
        <f>IF($A15="I.O.","",'Kennzahlenbogen_(KB)'!E51)</f>
        <v>Mortalität postoperativ</v>
      </c>
      <c r="E15" s="444" t="str">
        <f>IF(AND('Kennzahlenbogen_(KB)'!M51="",$A15&lt;&gt;"I.O."),"-----",IF($A15="I.O.","",'Kennzahlenbogen_(KB)'!M51))</f>
        <v>&lt; 0,01%</v>
      </c>
      <c r="F15" s="445" t="str">
        <f>IF($A15="I.O.","",'Kennzahlenbogen_(KB)'!N51)</f>
        <v xml:space="preserve">≤ 5% </v>
      </c>
      <c r="G15" s="444" t="str">
        <f>IF(AND('Kennzahlenbogen_(KB)'!P51="",$A15&lt;&gt;"I.O."),"-----",IF($A15="I.O.","",'Kennzahlenbogen_(KB)'!P51))</f>
        <v>-----</v>
      </c>
      <c r="H15" s="439" t="str">
        <f>IF($A15="I.O.","",IF('Kennzahlenbogen_(KB)'!R51="","-----",'Kennzahlenbogen_(KB)'!R51))</f>
        <v>-----</v>
      </c>
      <c r="I15" s="439">
        <f>IF($A15="I.O.","",IF('Kennzahlenbogen_(KB)'!R52="","-----",'Kennzahlenbogen_(KB)'!R52))</f>
        <v>0</v>
      </c>
      <c r="J15" s="439" t="str">
        <f>IF($A15="I.O.","",IF('Kennzahlenbogen_(KB)'!R53="",0,'Kennzahlenbogen_(KB)'!R53))</f>
        <v>n.d.</v>
      </c>
      <c r="K15" s="439" t="str">
        <f>IF($A15="I.O.","",'Kennzahlenbogen_(KB)'!S51)</f>
        <v>Unvollständig</v>
      </c>
      <c r="L15" s="441" t="str">
        <f>IF(AND('Kennzahlenbogen_(KB)'!T51="",$A15&lt;&gt;"I.O."),"-----",IF($A15="I.O.","",'Kennzahlenbogen_(KB)'!T51))</f>
        <v>-----</v>
      </c>
      <c r="M15" s="441" t="str">
        <f>IF(AND('Kennzahlenbogen_(KB)'!U51="",$A15&lt;&gt;"I.O."),"-----",IF($A15="I.O.","",'Kennzahlenbogen_(KB)'!U51))</f>
        <v>-----</v>
      </c>
      <c r="O15" s="439" t="str">
        <f t="array" aca="1" ref="O15" ca="1">IF(ROW()-ROW($D$2:$D$22)+1&gt;ROWS($C$2:$C$22)-COUNTBLANK($C$2:$C$22),"",INDIRECT(ADDRESS(SMALL((IF($C$2:$C$22&lt;&gt;"",ROW($C$2:$C$22),ROW()+ROWS($C$2:$C$22))),ROW()-ROW($D$2:$D$22)+1),COLUMN($C$2:$C$22),4)))</f>
        <v>12</v>
      </c>
      <c r="P15" s="442" t="str">
        <f t="array" aca="1" ref="P15" ca="1">IF(ROW()-ROW($E$2:$E$22)+1&gt;ROWS($D$2:$D$22)-COUNTBLANK($D$2:$D$22),"",INDIRECT(ADDRESS(SMALL((IF($D$2:$D$22&gt;"",ROW($D$2:$D$22),ROW()+ROWS($D$2:$D$22))),ROW()-ROW($E$2:$E$22)+1),COLUMN($D$2:$D$22),4)))</f>
        <v>Mortalität postoperativ</v>
      </c>
      <c r="Q15" s="445" t="str">
        <f t="array" aca="1" ref="Q15" ca="1">IF(ROW()-ROW($F$2:$F$22)+1&gt;ROWS($E$2:$E$22)-COUNTBLANK($E$2:$E$22),"",INDIRECT(ADDRESS(SMALL((IF($E$2:$E$22&gt;"",ROW($E$2:$E$22),ROW()+ROWS($E$2:$E$22))),ROW()-ROW($F$2:$F$22)+1),COLUMN($E$2:$E$22),4)))</f>
        <v>&lt; 0,01%</v>
      </c>
      <c r="R15" s="445" t="str">
        <f t="array" aca="1" ref="R15" ca="1">IF(ROW()-ROW($G$2:$G$22)+1&gt;ROWS($F$2:$F$22)-COUNTBLANK($F$2:$F$22),"",INDIRECT(ADDRESS(SMALL((IF($F$2:$F$22&gt;"",ROW($F$2:$F$22),ROW()+ROWS($F$2:$F$22))),ROW()-ROW($G$2:$G$22)+1),COLUMN($F$2:$F$22),4)))</f>
        <v xml:space="preserve">≤ 5% </v>
      </c>
      <c r="S15" s="445" t="str">
        <f t="array" aca="1" ref="S15" ca="1">IF(ROW()-ROW($H$2:$H$22)+1&gt;ROWS($G$2:$G$22)-COUNTBLANK($G$2:$G$22),"",INDIRECT(ADDRESS(SMALL((IF($G$2:$G$22&lt;&gt;"",ROW($G$2:$G$22),ROW()+ROWS($G$2:$G$22))),ROW()-ROW($H$2:$H$22)+1),COLUMN($G$2:$G$22),4)))</f>
        <v>-----</v>
      </c>
      <c r="T15" s="439" t="str">
        <f t="array" aca="1" ref="T15" ca="1">IF(ROW()-ROW($I$2:$I$22)+1&gt;ROWS($H$2:$H$22)-COUNTBLANK($H$2:$H$22),"",INDIRECT(ADDRESS(SMALL((IF($H$2:$H$22&lt;&gt;"",ROW($H$2:$H$22),ROW()+ROWS($H$2:$H$22))),ROW()-ROW($I$2:$I$22)+1),COLUMN($H$2:$H$22),4)))</f>
        <v>-----</v>
      </c>
      <c r="U15" s="439">
        <f t="array" aca="1" ref="U15" ca="1">IF(ROW()-ROW($J$2:$J$22)+1&gt;ROWS($I$2:$I$22)-COUNTBLANK($I$2:$I$22),"",INDIRECT(ADDRESS(SMALL((IF($I$2:$I$22&lt;&gt;"",ROW($I$2:$I$22),ROW()+ROWS($I$2:$I$22))),ROW()-ROW($J$2:$J$22)+1),COLUMN($I$2:$I$22),4)))</f>
        <v>0</v>
      </c>
      <c r="V15" s="439" t="str">
        <f t="array" aca="1" ref="V15" ca="1">IF(ROW()-ROW($K$2:$K$22)+1&gt;ROWS($J$2:$J$22)-COUNTBLANK($J$2:$J$22),"",INDIRECT(ADDRESS(SMALL((IF($J$2:$J$22&lt;&gt;"",ROW($J$2:$J$22),ROW()+ROWS($J$2:$J$22))),ROW()-ROW($K$2:$K$22)+1),COLUMN($J$2:$J$22),4)))</f>
        <v>n.d.</v>
      </c>
      <c r="W15" s="439" t="str">
        <f t="array" aca="1" ref="W15" ca="1">IF(ROW()-ROW($L$2:$L$22)+1&gt;ROWS($K$2:$K$22)-COUNTBLANK($K$2:$K$22),"",INDIRECT(ADDRESS(SMALL((IF($K$2:$K$22&lt;&gt;"",ROW($K$2:$K$22),ROW()+ROWS($K$2:$K$22))),ROW()-ROW($L$2:$L$22)+1),COLUMN($K$2:$K$22),4)))</f>
        <v>Unvollständig</v>
      </c>
      <c r="X15" s="442" t="str">
        <f t="array" aca="1" ref="X15" ca="1">IF(ROW()-ROW($M$2:$M$22)+1&gt;ROWS($L$2:$L$22)-COUNTBLANK($L$2:$L$22),"",INDIRECT(ADDRESS(SMALL((IF($L$2:$L$22&lt;&gt;"",ROW($L$2:$L$22),ROW()+ROWS($L$2:$L$22))),ROW()-ROW($M$2:$M$22)+1),COLUMN($L$2:$L$22),4)))</f>
        <v>-----</v>
      </c>
      <c r="Y15" s="442" t="str">
        <f t="array" aca="1" ref="Y15" ca="1">IF(ROW()-ROW($N$2:$N$22)+1&gt;ROWS($M$2:$M$22)-COUNTBLANK($M$2:$M$22),"",INDIRECT(ADDRESS(SMALL((IF($M$2:$M$22&lt;&gt;"",ROW($M$2:$M$22),ROW()+ROWS($M$2:$M$22))),ROW()-ROW($N$2:$N$22)+1),COLUMN($M$2:$M$22),4)))</f>
        <v>-----</v>
      </c>
    </row>
    <row r="16" spans="1:25" ht="34.5" customHeight="1" x14ac:dyDescent="0.3">
      <c r="A16" s="442" t="str">
        <f>IF('Kennzahlenbogen_(KB)'!S54=0,"",'Kennzahlenbogen_(KB)'!S54)</f>
        <v>Unvollständig</v>
      </c>
      <c r="C16" s="439" t="str">
        <f>IF($A16="I.O.","",'Kennzahlenbogen_(KB)'!B54)</f>
        <v>13</v>
      </c>
      <c r="D16" s="440" t="str">
        <f>IF($A16="I.O.","",'Kennzahlenbogen_(KB)'!E54)</f>
        <v>Lokale R0-Resektionen Pankreas</v>
      </c>
      <c r="E16" s="444" t="str">
        <f>IF(AND('Kennzahlenbogen_(KB)'!M54="",$A16&lt;&gt;"I.O."),"-----",IF($A16="I.O.","",'Kennzahlenbogen_(KB)'!M54))</f>
        <v>&lt; 40%</v>
      </c>
      <c r="F16" s="445" t="str">
        <f>IF($A16="I.O.","",'Kennzahlenbogen_(KB)'!N54)</f>
        <v>Derzeit keine Vorgaben</v>
      </c>
      <c r="G16" s="444" t="str">
        <f>IF(AND('Kennzahlenbogen_(KB)'!P54="",$A16&lt;&gt;"I.O."),"-----",IF($A16="I.O.","",'Kennzahlenbogen_(KB)'!P54))</f>
        <v>-----</v>
      </c>
      <c r="H16" s="439" t="str">
        <f>IF($A16="I.O.","",IF('Kennzahlenbogen_(KB)'!R54="","-----",'Kennzahlenbogen_(KB)'!R54))</f>
        <v>-----</v>
      </c>
      <c r="I16" s="439">
        <f>IF($A16="I.O.","",IF('Kennzahlenbogen_(KB)'!R55="","-----",'Kennzahlenbogen_(KB)'!R55))</f>
        <v>0</v>
      </c>
      <c r="J16" s="439" t="str">
        <f>IF($A16="I.O.","",IF('Kennzahlenbogen_(KB)'!R56="",0,'Kennzahlenbogen_(KB)'!R56))</f>
        <v>n.d.</v>
      </c>
      <c r="K16" s="439" t="str">
        <f>IF($A16="I.O.","",'Kennzahlenbogen_(KB)'!S54)</f>
        <v>Unvollständig</v>
      </c>
      <c r="L16" s="441" t="str">
        <f>IF(AND('Kennzahlenbogen_(KB)'!T54="",$A16&lt;&gt;"I.O."),"-----",IF($A16="I.O.","",'Kennzahlenbogen_(KB)'!T54))</f>
        <v>-----</v>
      </c>
      <c r="M16" s="441" t="str">
        <f>IF(AND('Kennzahlenbogen_(KB)'!U54="",$A16&lt;&gt;"I.O."),"-----",IF($A16="I.O.","",'Kennzahlenbogen_(KB)'!U54))</f>
        <v>-----</v>
      </c>
      <c r="O16" s="439" t="str">
        <f t="array" aca="1" ref="O16" ca="1">IF(ROW()-ROW($D$2:$D$22)+1&gt;ROWS($C$2:$C$22)-COUNTBLANK($C$2:$C$22),"",INDIRECT(ADDRESS(SMALL((IF($C$2:$C$22&lt;&gt;"",ROW($C$2:$C$22),ROW()+ROWS($C$2:$C$22))),ROW()-ROW($D$2:$D$22)+1),COLUMN($C$2:$C$22),4)))</f>
        <v>13</v>
      </c>
      <c r="P16" s="442" t="str">
        <f t="array" aca="1" ref="P16" ca="1">IF(ROW()-ROW($E$2:$E$22)+1&gt;ROWS($D$2:$D$22)-COUNTBLANK($D$2:$D$22),"",INDIRECT(ADDRESS(SMALL((IF($D$2:$D$22&gt;"",ROW($D$2:$D$22),ROW()+ROWS($D$2:$D$22))),ROW()-ROW($E$2:$E$22)+1),COLUMN($D$2:$D$22),4)))</f>
        <v>Lokale R0-Resektionen Pankreas</v>
      </c>
      <c r="Q16" s="445" t="str">
        <f t="array" aca="1" ref="Q16" ca="1">IF(ROW()-ROW($F$2:$F$22)+1&gt;ROWS($E$2:$E$22)-COUNTBLANK($E$2:$E$22),"",INDIRECT(ADDRESS(SMALL((IF($E$2:$E$22&gt;"",ROW($E$2:$E$22),ROW()+ROWS($E$2:$E$22))),ROW()-ROW($F$2:$F$22)+1),COLUMN($E$2:$E$22),4)))</f>
        <v>&lt; 40%</v>
      </c>
      <c r="R16" s="445" t="str">
        <f t="array" aca="1" ref="R16" ca="1">IF(ROW()-ROW($G$2:$G$22)+1&gt;ROWS($F$2:$F$22)-COUNTBLANK($F$2:$F$22),"",INDIRECT(ADDRESS(SMALL((IF($F$2:$F$22&gt;"",ROW($F$2:$F$22),ROW()+ROWS($F$2:$F$22))),ROW()-ROW($G$2:$G$22)+1),COLUMN($F$2:$F$22),4)))</f>
        <v>Derzeit keine Vorgaben</v>
      </c>
      <c r="S16" s="445" t="str">
        <f t="array" aca="1" ref="S16" ca="1">IF(ROW()-ROW($H$2:$H$22)+1&gt;ROWS($G$2:$G$22)-COUNTBLANK($G$2:$G$22),"",INDIRECT(ADDRESS(SMALL((IF($G$2:$G$22&lt;&gt;"",ROW($G$2:$G$22),ROW()+ROWS($G$2:$G$22))),ROW()-ROW($H$2:$H$22)+1),COLUMN($G$2:$G$22),4)))</f>
        <v>-----</v>
      </c>
      <c r="T16" s="439" t="str">
        <f t="array" aca="1" ref="T16" ca="1">IF(ROW()-ROW($I$2:$I$22)+1&gt;ROWS($H$2:$H$22)-COUNTBLANK($H$2:$H$22),"",INDIRECT(ADDRESS(SMALL((IF($H$2:$H$22&lt;&gt;"",ROW($H$2:$H$22),ROW()+ROWS($H$2:$H$22))),ROW()-ROW($I$2:$I$22)+1),COLUMN($H$2:$H$22),4)))</f>
        <v>-----</v>
      </c>
      <c r="U16" s="439">
        <f t="array" aca="1" ref="U16" ca="1">IF(ROW()-ROW($J$2:$J$22)+1&gt;ROWS($I$2:$I$22)-COUNTBLANK($I$2:$I$22),"",INDIRECT(ADDRESS(SMALL((IF($I$2:$I$22&lt;&gt;"",ROW($I$2:$I$22),ROW()+ROWS($I$2:$I$22))),ROW()-ROW($J$2:$J$22)+1),COLUMN($I$2:$I$22),4)))</f>
        <v>0</v>
      </c>
      <c r="V16" s="439" t="str">
        <f t="array" aca="1" ref="V16" ca="1">IF(ROW()-ROW($K$2:$K$22)+1&gt;ROWS($J$2:$J$22)-COUNTBLANK($J$2:$J$22),"",INDIRECT(ADDRESS(SMALL((IF($J$2:$J$22&lt;&gt;"",ROW($J$2:$J$22),ROW()+ROWS($J$2:$J$22))),ROW()-ROW($K$2:$K$22)+1),COLUMN($J$2:$J$22),4)))</f>
        <v>n.d.</v>
      </c>
      <c r="W16" s="439" t="str">
        <f t="array" aca="1" ref="W16" ca="1">IF(ROW()-ROW($L$2:$L$22)+1&gt;ROWS($K$2:$K$22)-COUNTBLANK($K$2:$K$22),"",INDIRECT(ADDRESS(SMALL((IF($K$2:$K$22&lt;&gt;"",ROW($K$2:$K$22),ROW()+ROWS($K$2:$K$22))),ROW()-ROW($L$2:$L$22)+1),COLUMN($K$2:$K$22),4)))</f>
        <v>Unvollständig</v>
      </c>
      <c r="X16" s="442" t="str">
        <f t="array" aca="1" ref="X16" ca="1">IF(ROW()-ROW($M$2:$M$22)+1&gt;ROWS($L$2:$L$22)-COUNTBLANK($L$2:$L$22),"",INDIRECT(ADDRESS(SMALL((IF($L$2:$L$22&lt;&gt;"",ROW($L$2:$L$22),ROW()+ROWS($L$2:$L$22))),ROW()-ROW($M$2:$M$22)+1),COLUMN($L$2:$L$22),4)))</f>
        <v>-----</v>
      </c>
      <c r="Y16" s="442" t="str">
        <f t="array" aca="1" ref="Y16" ca="1">IF(ROW()-ROW($N$2:$N$22)+1&gt;ROWS($M$2:$M$22)-COUNTBLANK($M$2:$M$22),"",INDIRECT(ADDRESS(SMALL((IF($M$2:$M$22&lt;&gt;"",ROW($M$2:$M$22),ROW()+ROWS($M$2:$M$22))),ROW()-ROW($N$2:$N$22)+1),COLUMN($M$2:$M$22),4)))</f>
        <v>-----</v>
      </c>
    </row>
    <row r="17" spans="1:25" ht="34.5" customHeight="1" x14ac:dyDescent="0.3">
      <c r="A17" s="442" t="str">
        <f>IF('Kennzahlenbogen_(KB)'!S57=0,"",'Kennzahlenbogen_(KB)'!S57)</f>
        <v>Unvollständig</v>
      </c>
      <c r="C17" s="439">
        <f>IF($A17="I.O.","",'Kennzahlenbogen_(KB)'!B57)</f>
        <v>14</v>
      </c>
      <c r="D17" s="440" t="str">
        <f>IF($A17="I.O.","",'Kennzahlenbogen_(KB)'!E57)</f>
        <v>Lymphknoten-entfernung</v>
      </c>
      <c r="E17" s="444" t="str">
        <f>IF(AND('Kennzahlenbogen_(KB)'!M57="",$A17&lt;&gt;"I.O."),"-----",IF($A17="I.O.","",'Kennzahlenbogen_(KB)'!M57))</f>
        <v>&lt; 65%</v>
      </c>
      <c r="F17" s="445" t="str">
        <f>IF($A17="I.O.","",'Kennzahlenbogen_(KB)'!N57)</f>
        <v>Derzeit keine Vorgaben</v>
      </c>
      <c r="G17" s="444" t="str">
        <f>IF(AND('Kennzahlenbogen_(KB)'!P57="",$A17&lt;&gt;"I.O."),"-----",IF($A17="I.O.","",'Kennzahlenbogen_(KB)'!P57))</f>
        <v>-----</v>
      </c>
      <c r="H17" s="439" t="str">
        <f>IF($A17="I.O.","",IF('Kennzahlenbogen_(KB)'!R57="","-----",'Kennzahlenbogen_(KB)'!R57))</f>
        <v>-----</v>
      </c>
      <c r="I17" s="439" t="str">
        <f>IF($A17="I.O.","",IF('Kennzahlenbogen_(KB)'!R58="","-----",'Kennzahlenbogen_(KB)'!R58))</f>
        <v>-----</v>
      </c>
      <c r="J17" s="439" t="str">
        <f>IF($A17="I.O.","",IF('Kennzahlenbogen_(KB)'!R59="",0,'Kennzahlenbogen_(KB)'!R59))</f>
        <v>n.d.</v>
      </c>
      <c r="K17" s="439" t="str">
        <f>IF($A17="I.O.","",'Kennzahlenbogen_(KB)'!S57)</f>
        <v>Unvollständig</v>
      </c>
      <c r="L17" s="441" t="str">
        <f>IF(AND('Kennzahlenbogen_(KB)'!T57="",$A17&lt;&gt;"I.O."),"-----",IF($A17="I.O.","",'Kennzahlenbogen_(KB)'!T57))</f>
        <v>-----</v>
      </c>
      <c r="M17" s="441" t="str">
        <f>IF(AND('Kennzahlenbogen_(KB)'!U57="",$A17&lt;&gt;"I.O."),"-----",IF($A17="I.O.","",'Kennzahlenbogen_(KB)'!U57))</f>
        <v>-----</v>
      </c>
      <c r="O17" s="439">
        <f t="array" aca="1" ref="O17" ca="1">IF(ROW()-ROW($D$2:$D$22)+1&gt;ROWS($C$2:$C$22)-COUNTBLANK($C$2:$C$22),"",INDIRECT(ADDRESS(SMALL((IF($C$2:$C$22&lt;&gt;"",ROW($C$2:$C$22),ROW()+ROWS($C$2:$C$22))),ROW()-ROW($D$2:$D$22)+1),COLUMN($C$2:$C$22),4)))</f>
        <v>14</v>
      </c>
      <c r="P17" s="442" t="str">
        <f t="array" aca="1" ref="P17" ca="1">IF(ROW()-ROW($E$2:$E$22)+1&gt;ROWS($D$2:$D$22)-COUNTBLANK($D$2:$D$22),"",INDIRECT(ADDRESS(SMALL((IF($D$2:$D$22&gt;"",ROW($D$2:$D$22),ROW()+ROWS($D$2:$D$22))),ROW()-ROW($E$2:$E$22)+1),COLUMN($D$2:$D$22),4)))</f>
        <v>Lymphknoten-entfernung</v>
      </c>
      <c r="Q17" s="445" t="str">
        <f t="array" aca="1" ref="Q17" ca="1">IF(ROW()-ROW($F$2:$F$22)+1&gt;ROWS($E$2:$E$22)-COUNTBLANK($E$2:$E$22),"",INDIRECT(ADDRESS(SMALL((IF($E$2:$E$22&gt;"",ROW($E$2:$E$22),ROW()+ROWS($E$2:$E$22))),ROW()-ROW($F$2:$F$22)+1),COLUMN($E$2:$E$22),4)))</f>
        <v>&lt; 65%</v>
      </c>
      <c r="R17" s="445" t="str">
        <f t="array" aca="1" ref="R17" ca="1">IF(ROW()-ROW($G$2:$G$22)+1&gt;ROWS($F$2:$F$22)-COUNTBLANK($F$2:$F$22),"",INDIRECT(ADDRESS(SMALL((IF($F$2:$F$22&gt;"",ROW($F$2:$F$22),ROW()+ROWS($F$2:$F$22))),ROW()-ROW($G$2:$G$22)+1),COLUMN($F$2:$F$22),4)))</f>
        <v>Derzeit keine Vorgaben</v>
      </c>
      <c r="S17" s="445" t="str">
        <f t="array" aca="1" ref="S17" ca="1">IF(ROW()-ROW($H$2:$H$22)+1&gt;ROWS($G$2:$G$22)-COUNTBLANK($G$2:$G$22),"",INDIRECT(ADDRESS(SMALL((IF($G$2:$G$22&lt;&gt;"",ROW($G$2:$G$22),ROW()+ROWS($G$2:$G$22))),ROW()-ROW($H$2:$H$22)+1),COLUMN($G$2:$G$22),4)))</f>
        <v>-----</v>
      </c>
      <c r="T17" s="439" t="str">
        <f t="array" aca="1" ref="T17" ca="1">IF(ROW()-ROW($I$2:$I$22)+1&gt;ROWS($H$2:$H$22)-COUNTBLANK($H$2:$H$22),"",INDIRECT(ADDRESS(SMALL((IF($H$2:$H$22&lt;&gt;"",ROW($H$2:$H$22),ROW()+ROWS($H$2:$H$22))),ROW()-ROW($I$2:$I$22)+1),COLUMN($H$2:$H$22),4)))</f>
        <v>-----</v>
      </c>
      <c r="U17" s="439" t="str">
        <f t="array" aca="1" ref="U17" ca="1">IF(ROW()-ROW($J$2:$J$22)+1&gt;ROWS($I$2:$I$22)-COUNTBLANK($I$2:$I$22),"",INDIRECT(ADDRESS(SMALL((IF($I$2:$I$22&lt;&gt;"",ROW($I$2:$I$22),ROW()+ROWS($I$2:$I$22))),ROW()-ROW($J$2:$J$22)+1),COLUMN($I$2:$I$22),4)))</f>
        <v>-----</v>
      </c>
      <c r="V17" s="439" t="str">
        <f t="array" aca="1" ref="V17" ca="1">IF(ROW()-ROW($K$2:$K$22)+1&gt;ROWS($J$2:$J$22)-COUNTBLANK($J$2:$J$22),"",INDIRECT(ADDRESS(SMALL((IF($J$2:$J$22&lt;&gt;"",ROW($J$2:$J$22),ROW()+ROWS($J$2:$J$22))),ROW()-ROW($K$2:$K$22)+1),COLUMN($J$2:$J$22),4)))</f>
        <v>n.d.</v>
      </c>
      <c r="W17" s="439" t="str">
        <f t="array" aca="1" ref="W17" ca="1">IF(ROW()-ROW($L$2:$L$22)+1&gt;ROWS($K$2:$K$22)-COUNTBLANK($K$2:$K$22),"",INDIRECT(ADDRESS(SMALL((IF($K$2:$K$22&lt;&gt;"",ROW($K$2:$K$22),ROW()+ROWS($K$2:$K$22))),ROW()-ROW($L$2:$L$22)+1),COLUMN($K$2:$K$22),4)))</f>
        <v>Unvollständig</v>
      </c>
      <c r="X17" s="442" t="str">
        <f t="array" aca="1" ref="X17" ca="1">IF(ROW()-ROW($M$2:$M$22)+1&gt;ROWS($L$2:$L$22)-COUNTBLANK($L$2:$L$22),"",INDIRECT(ADDRESS(SMALL((IF($L$2:$L$22&lt;&gt;"",ROW($L$2:$L$22),ROW()+ROWS($L$2:$L$22))),ROW()-ROW($M$2:$M$22)+1),COLUMN($L$2:$L$22),4)))</f>
        <v>-----</v>
      </c>
      <c r="Y17" s="442" t="str">
        <f t="array" aca="1" ref="Y17" ca="1">IF(ROW()-ROW($N$2:$N$22)+1&gt;ROWS($M$2:$M$22)-COUNTBLANK($M$2:$M$22),"",INDIRECT(ADDRESS(SMALL((IF($M$2:$M$22&lt;&gt;"",ROW($M$2:$M$22),ROW()+ROWS($M$2:$M$22))),ROW()-ROW($N$2:$N$22)+1),COLUMN($M$2:$M$22),4)))</f>
        <v>-----</v>
      </c>
    </row>
    <row r="18" spans="1:25" ht="34.5" customHeight="1" x14ac:dyDescent="0.3">
      <c r="A18" s="442" t="str">
        <f>IF('Kennzahlenbogen_(KB)'!S60=0,"",'Kennzahlenbogen_(KB)'!S60)</f>
        <v>Unvollständig</v>
      </c>
      <c r="B18" s="491"/>
      <c r="C18" s="439">
        <f>IF($A18="I.O.","",'Kennzahlenbogen_(KB)'!B60)</f>
        <v>15</v>
      </c>
      <c r="D18" s="440" t="str">
        <f>IF($A18="I.O.","",'Kennzahlenbogen_(KB)'!E60)</f>
        <v>Inhalt
Pathologieberichte</v>
      </c>
      <c r="E18" s="444" t="str">
        <f>IF(AND('Kennzahlenbogen_(KB)'!M60="",$A18&lt;&gt;"I.O."),"-----",IF($A18="I.O.","",'Kennzahlenbogen_(KB)'!M60))</f>
        <v>&lt; 80%</v>
      </c>
      <c r="F18" s="445" t="str">
        <f>IF($A18="I.O.","",'Kennzahlenbogen_(KB)'!N60)</f>
        <v>Derzeit keine Vorgaben</v>
      </c>
      <c r="G18" s="444" t="str">
        <f>IF(AND('Kennzahlenbogen_(KB)'!P60="",$A18&lt;&gt;"I.O."),"-----",IF($A18="I.O.","",'Kennzahlenbogen_(KB)'!P60))</f>
        <v>-----</v>
      </c>
      <c r="H18" s="439" t="str">
        <f>IF($A18="I.O.","",IF('Kennzahlenbogen_(KB)'!R60="","-----",'Kennzahlenbogen_(KB)'!R60))</f>
        <v>-----</v>
      </c>
      <c r="I18" s="439">
        <f>IF($A18="I.O.","",IF('Kennzahlenbogen_(KB)'!R61="","-----",'Kennzahlenbogen_(KB)'!R61))</f>
        <v>0</v>
      </c>
      <c r="J18" s="439" t="str">
        <f>IF($A18="I.O.","",IF('Kennzahlenbogen_(KB)'!R62="",0,'Kennzahlenbogen_(KB)'!R62))</f>
        <v>n.d.</v>
      </c>
      <c r="K18" s="439" t="str">
        <f>IF($A18="I.O.","",'Kennzahlenbogen_(KB)'!S60)</f>
        <v>Unvollständig</v>
      </c>
      <c r="L18" s="441" t="str">
        <f>IF(AND('Kennzahlenbogen_(KB)'!T60="",$A18&lt;&gt;"I.O."),"-----",IF($A18="I.O.","",'Kennzahlenbogen_(KB)'!T60))</f>
        <v>-----</v>
      </c>
      <c r="M18" s="441" t="str">
        <f>IF(AND('Kennzahlenbogen_(KB)'!U60="",$A18&lt;&gt;"I.O."),"-----",IF($A18="I.O.","",'Kennzahlenbogen_(KB)'!U60))</f>
        <v>-----</v>
      </c>
      <c r="O18" s="439">
        <f t="array" aca="1" ref="O18" ca="1">IF(ROW()-ROW($D$2:$D$22)+1&gt;ROWS($C$2:$C$22)-COUNTBLANK($C$2:$C$22),"",INDIRECT(ADDRESS(SMALL((IF($C$2:$C$22&lt;&gt;"",ROW($C$2:$C$22),ROW()+ROWS($C$2:$C$22))),ROW()-ROW($D$2:$D$22)+1),COLUMN($C$2:$C$22),4)))</f>
        <v>15</v>
      </c>
      <c r="P18" s="442" t="str">
        <f t="array" aca="1" ref="P18" ca="1">IF(ROW()-ROW($E$2:$E$22)+1&gt;ROWS($D$2:$D$22)-COUNTBLANK($D$2:$D$22),"",INDIRECT(ADDRESS(SMALL((IF($D$2:$D$22&gt;"",ROW($D$2:$D$22),ROW()+ROWS($D$2:$D$22))),ROW()-ROW($E$2:$E$22)+1),COLUMN($D$2:$D$22),4)))</f>
        <v>Inhalt
Pathologieberichte</v>
      </c>
      <c r="Q18" s="445" t="str">
        <f t="array" aca="1" ref="Q18" ca="1">IF(ROW()-ROW($F$2:$F$22)+1&gt;ROWS($E$2:$E$22)-COUNTBLANK($E$2:$E$22),"",INDIRECT(ADDRESS(SMALL((IF($E$2:$E$22&gt;"",ROW($E$2:$E$22),ROW()+ROWS($E$2:$E$22))),ROW()-ROW($F$2:$F$22)+1),COLUMN($E$2:$E$22),4)))</f>
        <v>&lt; 80%</v>
      </c>
      <c r="R18" s="445" t="str">
        <f t="array" aca="1" ref="R18" ca="1">IF(ROW()-ROW($G$2:$G$22)+1&gt;ROWS($F$2:$F$22)-COUNTBLANK($F$2:$F$22),"",INDIRECT(ADDRESS(SMALL((IF($F$2:$F$22&gt;"",ROW($F$2:$F$22),ROW()+ROWS($F$2:$F$22))),ROW()-ROW($G$2:$G$22)+1),COLUMN($F$2:$F$22),4)))</f>
        <v>Derzeit keine Vorgaben</v>
      </c>
      <c r="S18" s="445" t="str">
        <f t="array" aca="1" ref="S18" ca="1">IF(ROW()-ROW($H$2:$H$22)+1&gt;ROWS($G$2:$G$22)-COUNTBLANK($G$2:$G$22),"",INDIRECT(ADDRESS(SMALL((IF($G$2:$G$22&lt;&gt;"",ROW($G$2:$G$22),ROW()+ROWS($G$2:$G$22))),ROW()-ROW($H$2:$H$22)+1),COLUMN($G$2:$G$22),4)))</f>
        <v>-----</v>
      </c>
      <c r="T18" s="439" t="str">
        <f t="array" aca="1" ref="T18" ca="1">IF(ROW()-ROW($I$2:$I$22)+1&gt;ROWS($H$2:$H$22)-COUNTBLANK($H$2:$H$22),"",INDIRECT(ADDRESS(SMALL((IF($H$2:$H$22&lt;&gt;"",ROW($H$2:$H$22),ROW()+ROWS($H$2:$H$22))),ROW()-ROW($I$2:$I$22)+1),COLUMN($H$2:$H$22),4)))</f>
        <v>-----</v>
      </c>
      <c r="U18" s="439">
        <f t="array" aca="1" ref="U18" ca="1">IF(ROW()-ROW($J$2:$J$22)+1&gt;ROWS($I$2:$I$22)-COUNTBLANK($I$2:$I$22),"",INDIRECT(ADDRESS(SMALL((IF($I$2:$I$22&lt;&gt;"",ROW($I$2:$I$22),ROW()+ROWS($I$2:$I$22))),ROW()-ROW($J$2:$J$22)+1),COLUMN($I$2:$I$22),4)))</f>
        <v>0</v>
      </c>
      <c r="V18" s="439" t="str">
        <f t="array" aca="1" ref="V18" ca="1">IF(ROW()-ROW($K$2:$K$22)+1&gt;ROWS($J$2:$J$22)-COUNTBLANK($J$2:$J$22),"",INDIRECT(ADDRESS(SMALL((IF($J$2:$J$22&lt;&gt;"",ROW($J$2:$J$22),ROW()+ROWS($J$2:$J$22))),ROW()-ROW($K$2:$K$22)+1),COLUMN($J$2:$J$22),4)))</f>
        <v>n.d.</v>
      </c>
      <c r="W18" s="439" t="str">
        <f t="array" aca="1" ref="W18" ca="1">IF(ROW()-ROW($L$2:$L$22)+1&gt;ROWS($K$2:$K$22)-COUNTBLANK($K$2:$K$22),"",INDIRECT(ADDRESS(SMALL((IF($K$2:$K$22&lt;&gt;"",ROW($K$2:$K$22),ROW()+ROWS($K$2:$K$22))),ROW()-ROW($L$2:$L$22)+1),COLUMN($K$2:$K$22),4)))</f>
        <v>Unvollständig</v>
      </c>
      <c r="X18" s="442" t="str">
        <f t="array" aca="1" ref="X18" ca="1">IF(ROW()-ROW($M$2:$M$22)+1&gt;ROWS($L$2:$L$22)-COUNTBLANK($L$2:$L$22),"",INDIRECT(ADDRESS(SMALL((IF($L$2:$L$22&lt;&gt;"",ROW($L$2:$L$22),ROW()+ROWS($L$2:$L$22))),ROW()-ROW($M$2:$M$22)+1),COLUMN($L$2:$L$22),4)))</f>
        <v>-----</v>
      </c>
      <c r="Y18" s="442" t="str">
        <f t="array" aca="1" ref="Y18" ca="1">IF(ROW()-ROW($N$2:$N$22)+1&gt;ROWS($M$2:$M$22)-COUNTBLANK($M$2:$M$22),"",INDIRECT(ADDRESS(SMALL((IF($M$2:$M$22&lt;&gt;"",ROW($M$2:$M$22),ROW()+ROWS($M$2:$M$22))),ROW()-ROW($N$2:$N$22)+1),COLUMN($M$2:$M$22),4)))</f>
        <v>-----</v>
      </c>
    </row>
    <row r="19" spans="1:25" ht="30" customHeight="1" x14ac:dyDescent="0.3">
      <c r="A19" s="442" t="str">
        <f>IF('Kennzahlenbogen_(KB)'!S63=0,"",'Kennzahlenbogen_(KB)'!S63)</f>
        <v>Unvollständig</v>
      </c>
      <c r="C19" s="439">
        <f>IF($A19="I.O.","",'Kennzahlenbogen_(KB)'!B63)</f>
        <v>16</v>
      </c>
      <c r="D19" s="440" t="str">
        <f>IF($A19="I.O.","",'Kennzahlenbogen_(KB)'!E63)</f>
        <v>Adjuvante Chemotherapie</v>
      </c>
      <c r="E19" s="444" t="str">
        <f>IF(AND('Kennzahlenbogen_(KB)'!M63="",$A19&lt;&gt;"I.O."),"-----",IF($A19="I.O.","",'Kennzahlenbogen_(KB)'!M63))</f>
        <v>-----</v>
      </c>
      <c r="F19" s="445" t="str">
        <f>IF($A19="I.O.","",'Kennzahlenbogen_(KB)'!N63)</f>
        <v>≥ 50%</v>
      </c>
      <c r="G19" s="444" t="str">
        <f>IF(AND('Kennzahlenbogen_(KB)'!P63="",$A19&lt;&gt;"I.O."),"-----",IF($A19="I.O.","",'Kennzahlenbogen_(KB)'!P63))</f>
        <v>-----</v>
      </c>
      <c r="H19" s="439" t="str">
        <f>IF($A19="I.O.","",IF('Kennzahlenbogen_(KB)'!R63="","-----",'Kennzahlenbogen_(KB)'!R63))</f>
        <v>-----</v>
      </c>
      <c r="I19" s="439" t="str">
        <f>IF($A19="I.O.","",IF('Kennzahlenbogen_(KB)'!R64="","-----",'Kennzahlenbogen_(KB)'!R64))</f>
        <v>-----</v>
      </c>
      <c r="J19" s="439" t="str">
        <f>IF($A19="I.O.","",IF('Kennzahlenbogen_(KB)'!R65="",0,'Kennzahlenbogen_(KB)'!R65))</f>
        <v>n.d.</v>
      </c>
      <c r="K19" s="439" t="str">
        <f>IF($A19="I.O.","",'Kennzahlenbogen_(KB)'!S63)</f>
        <v>Unvollständig</v>
      </c>
      <c r="L19" s="441" t="str">
        <f>IF(AND('Kennzahlenbogen_(KB)'!T63="",$A19&lt;&gt;"I.O."),"-----",IF($A19="I.O.","",'Kennzahlenbogen_(KB)'!T63))</f>
        <v>-----</v>
      </c>
      <c r="M19" s="441" t="str">
        <f>IF(AND('Kennzahlenbogen_(KB)'!U63="",$A19&lt;&gt;"I.O."),"-----",IF($A19="I.O.","",'Kennzahlenbogen_(KB)'!U63))</f>
        <v>-----</v>
      </c>
      <c r="O19" s="439">
        <f t="array" aca="1" ref="O19" ca="1">IF(ROW()-ROW($D$2:$D$22)+1&gt;ROWS($C$2:$C$22)-COUNTBLANK($C$2:$C$22),"",INDIRECT(ADDRESS(SMALL((IF($C$2:$C$22&lt;&gt;"",ROW($C$2:$C$22),ROW()+ROWS($C$2:$C$22))),ROW()-ROW($D$2:$D$22)+1),COLUMN($C$2:$C$22),4)))</f>
        <v>16</v>
      </c>
      <c r="P19" s="442" t="str">
        <f t="array" aca="1" ref="P19" ca="1">IF(ROW()-ROW($E$2:$E$22)+1&gt;ROWS($D$2:$D$22)-COUNTBLANK($D$2:$D$22),"",INDIRECT(ADDRESS(SMALL((IF($D$2:$D$22&gt;"",ROW($D$2:$D$22),ROW()+ROWS($D$2:$D$22))),ROW()-ROW($E$2:$E$22)+1),COLUMN($D$2:$D$22),4)))</f>
        <v>Adjuvante Chemotherapie</v>
      </c>
      <c r="Q19" s="445" t="str">
        <f t="array" aca="1" ref="Q19" ca="1">IF(ROW()-ROW($F$2:$F$22)+1&gt;ROWS($E$2:$E$22)-COUNTBLANK($E$2:$E$22),"",INDIRECT(ADDRESS(SMALL((IF($E$2:$E$22&gt;"",ROW($E$2:$E$22),ROW()+ROWS($E$2:$E$22))),ROW()-ROW($F$2:$F$22)+1),COLUMN($E$2:$E$22),4)))</f>
        <v>-----</v>
      </c>
      <c r="R19" s="445" t="str">
        <f t="array" aca="1" ref="R19" ca="1">IF(ROW()-ROW($G$2:$G$22)+1&gt;ROWS($F$2:$F$22)-COUNTBLANK($F$2:$F$22),"",INDIRECT(ADDRESS(SMALL((IF($F$2:$F$22&gt;"",ROW($F$2:$F$22),ROW()+ROWS($F$2:$F$22))),ROW()-ROW($G$2:$G$22)+1),COLUMN($F$2:$F$22),4)))</f>
        <v>≥ 50%</v>
      </c>
      <c r="S19" s="445" t="str">
        <f t="array" aca="1" ref="S19" ca="1">IF(ROW()-ROW($H$2:$H$22)+1&gt;ROWS($G$2:$G$22)-COUNTBLANK($G$2:$G$22),"",INDIRECT(ADDRESS(SMALL((IF($G$2:$G$22&lt;&gt;"",ROW($G$2:$G$22),ROW()+ROWS($G$2:$G$22))),ROW()-ROW($H$2:$H$22)+1),COLUMN($G$2:$G$22),4)))</f>
        <v>-----</v>
      </c>
      <c r="T19" s="439" t="str">
        <f t="array" aca="1" ref="T19" ca="1">IF(ROW()-ROW($I$2:$I$22)+1&gt;ROWS($H$2:$H$22)-COUNTBLANK($H$2:$H$22),"",INDIRECT(ADDRESS(SMALL((IF($H$2:$H$22&lt;&gt;"",ROW($H$2:$H$22),ROW()+ROWS($H$2:$H$22))),ROW()-ROW($I$2:$I$22)+1),COLUMN($H$2:$H$22),4)))</f>
        <v>-----</v>
      </c>
      <c r="U19" s="439" t="str">
        <f t="array" aca="1" ref="U19" ca="1">IF(ROW()-ROW($J$2:$J$22)+1&gt;ROWS($I$2:$I$22)-COUNTBLANK($I$2:$I$22),"",INDIRECT(ADDRESS(SMALL((IF($I$2:$I$22&lt;&gt;"",ROW($I$2:$I$22),ROW()+ROWS($I$2:$I$22))),ROW()-ROW($J$2:$J$22)+1),COLUMN($I$2:$I$22),4)))</f>
        <v>-----</v>
      </c>
      <c r="V19" s="439" t="str">
        <f t="array" aca="1" ref="V19" ca="1">IF(ROW()-ROW($K$2:$K$22)+1&gt;ROWS($J$2:$J$22)-COUNTBLANK($J$2:$J$22),"",INDIRECT(ADDRESS(SMALL((IF($J$2:$J$22&lt;&gt;"",ROW($J$2:$J$22),ROW()+ROWS($J$2:$J$22))),ROW()-ROW($K$2:$K$22)+1),COLUMN($J$2:$J$22),4)))</f>
        <v>n.d.</v>
      </c>
      <c r="W19" s="439" t="str">
        <f t="array" aca="1" ref="W19" ca="1">IF(ROW()-ROW($L$2:$L$22)+1&gt;ROWS($K$2:$K$22)-COUNTBLANK($K$2:$K$22),"",INDIRECT(ADDRESS(SMALL((IF($K$2:$K$22&lt;&gt;"",ROW($K$2:$K$22),ROW()+ROWS($K$2:$K$22))),ROW()-ROW($L$2:$L$22)+1),COLUMN($K$2:$K$22),4)))</f>
        <v>Unvollständig</v>
      </c>
      <c r="X19" s="442" t="str">
        <f t="array" aca="1" ref="X19" ca="1">IF(ROW()-ROW($M$2:$M$22)+1&gt;ROWS($L$2:$L$22)-COUNTBLANK($L$2:$L$22),"",INDIRECT(ADDRESS(SMALL((IF($L$2:$L$22&lt;&gt;"",ROW($L$2:$L$22),ROW()+ROWS($L$2:$L$22))),ROW()-ROW($M$2:$M$22)+1),COLUMN($L$2:$L$22),4)))</f>
        <v>-----</v>
      </c>
      <c r="Y19" s="442" t="str">
        <f t="array" aca="1" ref="Y19" ca="1">IF(ROW()-ROW($N$2:$N$22)+1&gt;ROWS($M$2:$M$22)-COUNTBLANK($M$2:$M$22),"",INDIRECT(ADDRESS(SMALL((IF($M$2:$M$22&lt;&gt;"",ROW($M$2:$M$22),ROW()+ROWS($M$2:$M$22))),ROW()-ROW($N$2:$N$22)+1),COLUMN($M$2:$M$22),4)))</f>
        <v>-----</v>
      </c>
    </row>
    <row r="20" spans="1:25" ht="24.75" customHeight="1" x14ac:dyDescent="0.3">
      <c r="A20" s="442" t="str">
        <f>IF('Kennzahlenbogen_(KB)'!S66=0,"",'Kennzahlenbogen_(KB)'!S66)</f>
        <v>Unvollständig</v>
      </c>
      <c r="C20" s="439">
        <f>IF($A20="I.O.","",'Kennzahlenbogen_(KB)'!B66)</f>
        <v>17</v>
      </c>
      <c r="D20" s="440" t="str">
        <f>IF($A20="I.O.","",'Kennzahlenbogen_(KB)'!E66)</f>
        <v>Palliative Chemotherapie</v>
      </c>
      <c r="E20" s="444" t="str">
        <f>IF(AND('Kennzahlenbogen_(KB)'!M66="",$A20&lt;&gt;"I.O."),"-----",IF($A20="I.O.","",'Kennzahlenbogen_(KB)'!M66))</f>
        <v>&lt; 30%</v>
      </c>
      <c r="F20" s="445" t="str">
        <f>IF($A20="I.O.","",'Kennzahlenbogen_(KB)'!N66)</f>
        <v>Derzeit keine Vorgaben</v>
      </c>
      <c r="G20" s="444" t="str">
        <f>IF(AND('Kennzahlenbogen_(KB)'!P66="",$A20&lt;&gt;"I.O."),"-----",IF($A20="I.O.","",'Kennzahlenbogen_(KB)'!P66))</f>
        <v>-----</v>
      </c>
      <c r="H20" s="439" t="str">
        <f>IF($A20="I.O.","",IF('Kennzahlenbogen_(KB)'!R66="","-----",'Kennzahlenbogen_(KB)'!R66))</f>
        <v>-----</v>
      </c>
      <c r="I20" s="439" t="str">
        <f>IF($A20="I.O.","",IF('Kennzahlenbogen_(KB)'!R67="","-----",'Kennzahlenbogen_(KB)'!R67))</f>
        <v>-----</v>
      </c>
      <c r="J20" s="439" t="str">
        <f>IF($A20="I.O.","",IF('Kennzahlenbogen_(KB)'!R68="",0,'Kennzahlenbogen_(KB)'!R68))</f>
        <v>n.d.</v>
      </c>
      <c r="K20" s="439" t="str">
        <f>IF($A20="I.O.","",'Kennzahlenbogen_(KB)'!S66)</f>
        <v>Unvollständig</v>
      </c>
      <c r="L20" s="441" t="str">
        <f>IF(AND('Kennzahlenbogen_(KB)'!T66="",$A20&lt;&gt;"I.O."),"-----",IF($A20="I.O.","",'Kennzahlenbogen_(KB)'!T66))</f>
        <v>-----</v>
      </c>
      <c r="M20" s="441" t="str">
        <f>IF(AND('Kennzahlenbogen_(KB)'!U66="",$A20&lt;&gt;"I.O."),"-----",IF($A20="I.O.","",'Kennzahlenbogen_(KB)'!U66))</f>
        <v>-----</v>
      </c>
      <c r="O20" s="439">
        <f t="array" aca="1" ref="O20" ca="1">IF(ROW()-ROW($D$2:$D$22)+1&gt;ROWS($C$2:$C$22)-COUNTBLANK($C$2:$C$22),"",INDIRECT(ADDRESS(SMALL((IF($C$2:$C$22&lt;&gt;"",ROW($C$2:$C$22),ROW()+ROWS($C$2:$C$22))),ROW()-ROW($D$2:$D$22)+1),COLUMN($C$2:$C$22),4)))</f>
        <v>17</v>
      </c>
      <c r="P20" s="442" t="str">
        <f t="array" aca="1" ref="P20" ca="1">IF(ROW()-ROW($E$2:$E$22)+1&gt;ROWS($D$2:$D$22)-COUNTBLANK($D$2:$D$22),"",INDIRECT(ADDRESS(SMALL((IF($D$2:$D$22&gt;"",ROW($D$2:$D$22),ROW()+ROWS($D$2:$D$22))),ROW()-ROW($E$2:$E$22)+1),COLUMN($D$2:$D$22),4)))</f>
        <v>Palliative Chemotherapie</v>
      </c>
      <c r="Q20" s="445" t="str">
        <f t="array" aca="1" ref="Q20" ca="1">IF(ROW()-ROW($F$2:$F$22)+1&gt;ROWS($E$2:$E$22)-COUNTBLANK($E$2:$E$22),"",INDIRECT(ADDRESS(SMALL((IF($E$2:$E$22&gt;"",ROW($E$2:$E$22),ROW()+ROWS($E$2:$E$22))),ROW()-ROW($F$2:$F$22)+1),COLUMN($E$2:$E$22),4)))</f>
        <v>&lt; 30%</v>
      </c>
      <c r="R20" s="445" t="str">
        <f t="array" aca="1" ref="R20" ca="1">IF(ROW()-ROW($G$2:$G$22)+1&gt;ROWS($F$2:$F$22)-COUNTBLANK($F$2:$F$22),"",INDIRECT(ADDRESS(SMALL((IF($F$2:$F$22&gt;"",ROW($F$2:$F$22),ROW()+ROWS($F$2:$F$22))),ROW()-ROW($G$2:$G$22)+1),COLUMN($F$2:$F$22),4)))</f>
        <v>Derzeit keine Vorgaben</v>
      </c>
      <c r="S20" s="445" t="str">
        <f t="array" aca="1" ref="S20" ca="1">IF(ROW()-ROW($H$2:$H$22)+1&gt;ROWS($G$2:$G$22)-COUNTBLANK($G$2:$G$22),"",INDIRECT(ADDRESS(SMALL((IF($G$2:$G$22&lt;&gt;"",ROW($G$2:$G$22),ROW()+ROWS($G$2:$G$22))),ROW()-ROW($H$2:$H$22)+1),COLUMN($G$2:$G$22),4)))</f>
        <v>-----</v>
      </c>
      <c r="T20" s="439" t="str">
        <f t="array" aca="1" ref="T20" ca="1">IF(ROW()-ROW($I$2:$I$22)+1&gt;ROWS($H$2:$H$22)-COUNTBLANK($H$2:$H$22),"",INDIRECT(ADDRESS(SMALL((IF($H$2:$H$22&lt;&gt;"",ROW($H$2:$H$22),ROW()+ROWS($H$2:$H$22))),ROW()-ROW($I$2:$I$22)+1),COLUMN($H$2:$H$22),4)))</f>
        <v>-----</v>
      </c>
      <c r="U20" s="439" t="str">
        <f t="array" aca="1" ref="U20" ca="1">IF(ROW()-ROW($J$2:$J$22)+1&gt;ROWS($I$2:$I$22)-COUNTBLANK($I$2:$I$22),"",INDIRECT(ADDRESS(SMALL((IF($I$2:$I$22&lt;&gt;"",ROW($I$2:$I$22),ROW()+ROWS($I$2:$I$22))),ROW()-ROW($J$2:$J$22)+1),COLUMN($I$2:$I$22),4)))</f>
        <v>-----</v>
      </c>
      <c r="V20" s="439" t="str">
        <f t="array" aca="1" ref="V20" ca="1">IF(ROW()-ROW($K$2:$K$22)+1&gt;ROWS($J$2:$J$22)-COUNTBLANK($J$2:$J$22),"",INDIRECT(ADDRESS(SMALL((IF($J$2:$J$22&lt;&gt;"",ROW($J$2:$J$22),ROW()+ROWS($J$2:$J$22))),ROW()-ROW($K$2:$K$22)+1),COLUMN($J$2:$J$22),4)))</f>
        <v>n.d.</v>
      </c>
      <c r="W20" s="439" t="str">
        <f t="array" aca="1" ref="W20" ca="1">IF(ROW()-ROW($L$2:$L$22)+1&gt;ROWS($K$2:$K$22)-COUNTBLANK($K$2:$K$22),"",INDIRECT(ADDRESS(SMALL((IF($K$2:$K$22&lt;&gt;"",ROW($K$2:$K$22),ROW()+ROWS($K$2:$K$22))),ROW()-ROW($L$2:$L$22)+1),COLUMN($K$2:$K$22),4)))</f>
        <v>Unvollständig</v>
      </c>
      <c r="X20" s="442" t="str">
        <f t="array" aca="1" ref="X20" ca="1">IF(ROW()-ROW($M$2:$M$22)+1&gt;ROWS($L$2:$L$22)-COUNTBLANK($L$2:$L$22),"",INDIRECT(ADDRESS(SMALL((IF($L$2:$L$22&lt;&gt;"",ROW($L$2:$L$22),ROW()+ROWS($L$2:$L$22))),ROW()-ROW($M$2:$M$22)+1),COLUMN($L$2:$L$22),4)))</f>
        <v>-----</v>
      </c>
      <c r="Y20" s="442" t="str">
        <f t="array" aca="1" ref="Y20" ca="1">IF(ROW()-ROW($N$2:$N$22)+1&gt;ROWS($M$2:$M$22)-COUNTBLANK($M$2:$M$22),"",INDIRECT(ADDRESS(SMALL((IF($M$2:$M$22&lt;&gt;"",ROW($M$2:$M$22),ROW()+ROWS($M$2:$M$22))),ROW()-ROW($N$2:$N$22)+1),COLUMN($M$2:$M$22),4)))</f>
        <v>-----</v>
      </c>
    </row>
    <row r="21" spans="1:25" ht="20.399999999999999" x14ac:dyDescent="0.3">
      <c r="A21" s="442" t="str">
        <f>IF('Kennzahlenbogen_(KB)'!S69=0,"",'Kennzahlenbogen_(KB)'!S69)</f>
        <v>Unvollständig</v>
      </c>
      <c r="C21" s="439">
        <f>IF($A21="I.O.","",'Kennzahlenbogen_(KB)'!B69)</f>
        <v>18</v>
      </c>
      <c r="D21" s="440" t="str">
        <f>IF($A21="I.O.","",'Kennzahlenbogen_(KB)'!E69)</f>
        <v>Primäre Resektion bei metastasiertem Pankreaskarzinom</v>
      </c>
      <c r="E21" s="444" t="str">
        <f>IF(AND('Kennzahlenbogen_(KB)'!M69="",$A21&lt;&gt;"I.O."),"-----",IF($A21="I.O.","",'Kennzahlenbogen_(KB)'!M69))</f>
        <v>-----</v>
      </c>
      <c r="F21" s="445" t="str">
        <f>IF($A21="I.O.","",'Kennzahlenbogen_(KB)'!N69)</f>
        <v>Derzeit keine Vorgaben</v>
      </c>
      <c r="G21" s="444" t="str">
        <f>IF(AND('Kennzahlenbogen_(KB)'!P69="",$A21&lt;&gt;"I.O."),"-----",IF($A21="I.O.","",'Kennzahlenbogen_(KB)'!P69))</f>
        <v>-----</v>
      </c>
      <c r="H21" s="439" t="str">
        <f>IF($A21="I.O.","",IF('Kennzahlenbogen_(KB)'!R69="","-----",'Kennzahlenbogen_(KB)'!R69))</f>
        <v>-----</v>
      </c>
      <c r="I21" s="439">
        <f>IF($A21="I.O.","",IF('Kennzahlenbogen_(KB)'!R70="","-----",'Kennzahlenbogen_(KB)'!R70))</f>
        <v>0</v>
      </c>
      <c r="J21" s="439" t="str">
        <f>IF($A21="I.O.","",IF('Kennzahlenbogen_(KB)'!R71="","-----",'Kennzahlenbogen_(KB)'!R71))</f>
        <v>n.d.</v>
      </c>
      <c r="K21" s="439" t="str">
        <f>IF($A21="I.O.","",'Kennzahlenbogen_(KB)'!S69)</f>
        <v>Unvollständig</v>
      </c>
      <c r="L21" s="441" t="str">
        <f>IF(AND('Kennzahlenbogen_(KB)'!T69="",$A21&lt;&gt;"I.O."),"-----",IF($A21="I.O.","",'Kennzahlenbogen_(KB)'!T69))</f>
        <v>-----</v>
      </c>
      <c r="M21" s="441" t="str">
        <f>IF(AND('Kennzahlenbogen_(KB)'!U69="",$A21&lt;&gt;"I.O."),"-----",IF($A21="I.O.","",'Kennzahlenbogen_(KB)'!U69))</f>
        <v>-----</v>
      </c>
      <c r="O21" s="439">
        <f t="array" aca="1" ref="O21" ca="1">IF(ROW()-ROW($D$2:$D$22)+1&gt;ROWS($C$2:$C$22)-COUNTBLANK($C$2:$C$22),"",INDIRECT(ADDRESS(SMALL((IF($C$2:$C$22&lt;&gt;"",ROW($C$2:$C$22),ROW()+ROWS($C$2:$C$22))),ROW()-ROW($D$2:$D$22)+1),COLUMN($C$2:$C$22),4)))</f>
        <v>18</v>
      </c>
      <c r="P21" s="442" t="str">
        <f t="array" aca="1" ref="P21" ca="1">IF(ROW()-ROW($E$2:$E$22)+1&gt;ROWS($D$2:$D$22)-COUNTBLANK($D$2:$D$22),"",INDIRECT(ADDRESS(SMALL((IF($D$2:$D$22&gt;"",ROW($D$2:$D$22),ROW()+ROWS($D$2:$D$22))),ROW()-ROW($E$2:$E$22)+1),COLUMN($D$2:$D$22),4)))</f>
        <v>Primäre Resektion bei metastasiertem Pankreaskarzinom</v>
      </c>
      <c r="Q21" s="445" t="str">
        <f t="array" aca="1" ref="Q21" ca="1">IF(ROW()-ROW($F$2:$F$22)+1&gt;ROWS($E$2:$E$22)-COUNTBLANK($E$2:$E$22),"",INDIRECT(ADDRESS(SMALL((IF($E$2:$E$22&gt;"",ROW($E$2:$E$22),ROW()+ROWS($E$2:$E$22))),ROW()-ROW($F$2:$F$22)+1),COLUMN($E$2:$E$22),4)))</f>
        <v>-----</v>
      </c>
      <c r="R21" s="445" t="str">
        <f t="array" aca="1" ref="R21" ca="1">IF(ROW()-ROW($G$2:$G$22)+1&gt;ROWS($F$2:$F$22)-COUNTBLANK($F$2:$F$22),"",INDIRECT(ADDRESS(SMALL((IF($F$2:$F$22&gt;"",ROW($F$2:$F$22),ROW()+ROWS($F$2:$F$22))),ROW()-ROW($G$2:$G$22)+1),COLUMN($F$2:$F$22),4)))</f>
        <v>Derzeit keine Vorgaben</v>
      </c>
      <c r="S21" s="445" t="str">
        <f t="array" aca="1" ref="S21" ca="1">IF(ROW()-ROW($H$2:$H$22)+1&gt;ROWS($G$2:$G$22)-COUNTBLANK($G$2:$G$22),"",INDIRECT(ADDRESS(SMALL((IF($G$2:$G$22&lt;&gt;"",ROW($G$2:$G$22),ROW()+ROWS($G$2:$G$22))),ROW()-ROW($H$2:$H$22)+1),COLUMN($G$2:$G$22),4)))</f>
        <v>-----</v>
      </c>
      <c r="T21" s="439" t="str">
        <f t="array" aca="1" ref="T21" ca="1">IF(ROW()-ROW($I$2:$I$22)+1&gt;ROWS($H$2:$H$22)-COUNTBLANK($H$2:$H$22),"",INDIRECT(ADDRESS(SMALL((IF($H$2:$H$22&lt;&gt;"",ROW($H$2:$H$22),ROW()+ROWS($H$2:$H$22))),ROW()-ROW($I$2:$I$22)+1),COLUMN($H$2:$H$22),4)))</f>
        <v>-----</v>
      </c>
      <c r="U21" s="439">
        <f t="array" aca="1" ref="U21" ca="1">IF(ROW()-ROW($J$2:$J$22)+1&gt;ROWS($I$2:$I$22)-COUNTBLANK($I$2:$I$22),"",INDIRECT(ADDRESS(SMALL((IF($I$2:$I$22&lt;&gt;"",ROW($I$2:$I$22),ROW()+ROWS($I$2:$I$22))),ROW()-ROW($J$2:$J$22)+1),COLUMN($I$2:$I$22),4)))</f>
        <v>0</v>
      </c>
      <c r="V21" s="439" t="str">
        <f t="array" aca="1" ref="V21" ca="1">IF(ROW()-ROW($K$2:$K$22)+1&gt;ROWS($J$2:$J$22)-COUNTBLANK($J$2:$J$22),"",INDIRECT(ADDRESS(SMALL((IF($J$2:$J$22&lt;&gt;"",ROW($J$2:$J$22),ROW()+ROWS($J$2:$J$22))),ROW()-ROW($K$2:$K$22)+1),COLUMN($J$2:$J$22),4)))</f>
        <v>n.d.</v>
      </c>
      <c r="W21" s="439" t="str">
        <f t="array" aca="1" ref="W21" ca="1">IF(ROW()-ROW($L$2:$L$22)+1&gt;ROWS($K$2:$K$22)-COUNTBLANK($K$2:$K$22),"",INDIRECT(ADDRESS(SMALL((IF($K$2:$K$22&lt;&gt;"",ROW($K$2:$K$22),ROW()+ROWS($K$2:$K$22))),ROW()-ROW($L$2:$L$22)+1),COLUMN($K$2:$K$22),4)))</f>
        <v>Unvollständig</v>
      </c>
      <c r="X21" s="442" t="str">
        <f t="array" aca="1" ref="X21" ca="1">IF(ROW()-ROW($M$2:$M$22)+1&gt;ROWS($L$2:$L$22)-COUNTBLANK($L$2:$L$22),"",INDIRECT(ADDRESS(SMALL((IF($L$2:$L$22&lt;&gt;"",ROW($L$2:$L$22),ROW()+ROWS($L$2:$L$22))),ROW()-ROW($M$2:$M$22)+1),COLUMN($L$2:$L$22),4)))</f>
        <v>-----</v>
      </c>
      <c r="Y21" s="442" t="str">
        <f t="array" aca="1" ref="Y21" ca="1">IF(ROW()-ROW($N$2:$N$22)+1&gt;ROWS($M$2:$M$22)-COUNTBLANK($M$2:$M$22),"",INDIRECT(ADDRESS(SMALL((IF($M$2:$M$22&lt;&gt;"",ROW($M$2:$M$22),ROW()+ROWS($M$2:$M$22))),ROW()-ROW($N$2:$N$22)+1),COLUMN($M$2:$M$22),4)))</f>
        <v>-----</v>
      </c>
    </row>
    <row r="22" spans="1:25" ht="20.399999999999999" x14ac:dyDescent="0.3">
      <c r="A22" s="442" t="str">
        <f>IF('Kennzahlenbogen_(KB)'!S72=0,"",'Kennzahlenbogen_(KB)'!S72)</f>
        <v>Unvollständig</v>
      </c>
      <c r="C22" s="439">
        <f>IF($A22="I.O.","",'Kennzahlenbogen_(KB)'!B72)</f>
        <v>19</v>
      </c>
      <c r="D22" s="440" t="str">
        <f>IF($A22="I.O.","",'Kennzahlenbogen_(KB)'!E72)</f>
        <v>Zweitlinientherapie</v>
      </c>
      <c r="E22" s="444" t="str">
        <f>IF(AND('Kennzahlenbogen_(KB)'!M72="",$A22&lt;&gt;"I.O."),"-----",IF($A22="I.O.","",'Kennzahlenbogen_(KB)'!M72))</f>
        <v>-----</v>
      </c>
      <c r="F22" s="445" t="str">
        <f>IF($A22="I.O.","",'Kennzahlenbogen_(KB)'!N72)</f>
        <v>Derzeit keine Vorgaben</v>
      </c>
      <c r="G22" s="444" t="str">
        <f>IF(AND('Kennzahlenbogen_(KB)'!P72="",$A22&lt;&gt;"I.O."),"-----",IF($A22="I.O.","",'Kennzahlenbogen_(KB)'!P72))</f>
        <v>-----</v>
      </c>
      <c r="H22" s="439" t="str">
        <f>IF($A22="I.O.","",IF('Kennzahlenbogen_(KB)'!R72="","-----",'Kennzahlenbogen_(KB)'!R72))</f>
        <v>-----</v>
      </c>
      <c r="I22" s="439" t="str">
        <f>IF($A22="I.O.","",IF('Kennzahlenbogen_(KB)'!R73="","-----",'Kennzahlenbogen_(KB)'!R73))</f>
        <v>-----</v>
      </c>
      <c r="J22" s="439" t="str">
        <f>IF($A22="I.O.","",IF('Kennzahlenbogen_(KB)'!R74="","-----",'Kennzahlenbogen_(KB)'!R74))</f>
        <v>n.d.</v>
      </c>
      <c r="K22" s="439" t="str">
        <f>IF($A22="I.O.","",'Kennzahlenbogen_(KB)'!S72)</f>
        <v>Unvollständig</v>
      </c>
      <c r="L22" s="441" t="str">
        <f>IF(AND('Kennzahlenbogen_(KB)'!T72="",$A22&lt;&gt;"I.O."),"-----",IF($A22="I.O.","",'Kennzahlenbogen_(KB)'!T72))</f>
        <v>-----</v>
      </c>
      <c r="M22" s="441" t="str">
        <f>IF(AND('Kennzahlenbogen_(KB)'!U72="",$A22&lt;&gt;"I.O."),"-----",IF($A22="I.O.","",'Kennzahlenbogen_(KB)'!U72))</f>
        <v>-----</v>
      </c>
      <c r="O22" s="439">
        <f t="array" aca="1" ref="O22" ca="1">IF(ROW()-ROW($D$2:$D$22)+1&gt;ROWS($C$2:$C$22)-COUNTBLANK($C$2:$C$22),"",INDIRECT(ADDRESS(SMALL((IF($C$2:$C$22&lt;&gt;"",ROW($C$2:$C$22),ROW()+ROWS($C$2:$C$22))),ROW()-ROW($D$2:$D$22)+1),COLUMN($C$2:$C$22),4)))</f>
        <v>19</v>
      </c>
      <c r="P22" s="442" t="str">
        <f t="array" aca="1" ref="P22" ca="1">IF(ROW()-ROW($E$2:$E$22)+1&gt;ROWS($D$2:$D$22)-COUNTBLANK($D$2:$D$22),"",INDIRECT(ADDRESS(SMALL((IF($D$2:$D$22&gt;"",ROW($D$2:$D$22),ROW()+ROWS($D$2:$D$22))),ROW()-ROW($E$2:$E$22)+1),COLUMN($D$2:$D$22),4)))</f>
        <v>Zweitlinientherapie</v>
      </c>
      <c r="Q22" s="445" t="str">
        <f t="array" aca="1" ref="Q22" ca="1">IF(ROW()-ROW($F$2:$F$22)+1&gt;ROWS($E$2:$E$22)-COUNTBLANK($E$2:$E$22),"",INDIRECT(ADDRESS(SMALL((IF($E$2:$E$22&gt;"",ROW($E$2:$E$22),ROW()+ROWS($E$2:$E$22))),ROW()-ROW($F$2:$F$22)+1),COLUMN($E$2:$E$22),4)))</f>
        <v>-----</v>
      </c>
      <c r="R22" s="445" t="str">
        <f t="array" aca="1" ref="R22" ca="1">IF(ROW()-ROW($G$2:$G$22)+1&gt;ROWS($F$2:$F$22)-COUNTBLANK($F$2:$F$22),"",INDIRECT(ADDRESS(SMALL((IF($F$2:$F$22&gt;"",ROW($F$2:$F$22),ROW()+ROWS($F$2:$F$22))),ROW()-ROW($G$2:$G$22)+1),COLUMN($F$2:$F$22),4)))</f>
        <v>Derzeit keine Vorgaben</v>
      </c>
      <c r="S22" s="445" t="str">
        <f t="array" aca="1" ref="S22" ca="1">IF(ROW()-ROW($H$2:$H$22)+1&gt;ROWS($G$2:$G$22)-COUNTBLANK($G$2:$G$22),"",INDIRECT(ADDRESS(SMALL((IF($G$2:$G$22&lt;&gt;"",ROW($G$2:$G$22),ROW()+ROWS($G$2:$G$22))),ROW()-ROW($H$2:$H$22)+1),COLUMN($G$2:$G$22),4)))</f>
        <v>-----</v>
      </c>
      <c r="T22" s="439" t="str">
        <f t="array" aca="1" ref="T22" ca="1">IF(ROW()-ROW($I$2:$I$22)+1&gt;ROWS($H$2:$H$22)-COUNTBLANK($H$2:$H$22),"",INDIRECT(ADDRESS(SMALL((IF($H$2:$H$22&lt;&gt;"",ROW($H$2:$H$22),ROW()+ROWS($H$2:$H$22))),ROW()-ROW($I$2:$I$22)+1),COLUMN($H$2:$H$22),4)))</f>
        <v>-----</v>
      </c>
      <c r="U22" s="439" t="str">
        <f t="array" aca="1" ref="U22" ca="1">IF(ROW()-ROW($J$2:$J$22)+1&gt;ROWS($I$2:$I$22)-COUNTBLANK($I$2:$I$22),"",INDIRECT(ADDRESS(SMALL((IF($I$2:$I$22&lt;&gt;"",ROW($I$2:$I$22),ROW()+ROWS($I$2:$I$22))),ROW()-ROW($J$2:$J$22)+1),COLUMN($I$2:$I$22),4)))</f>
        <v>-----</v>
      </c>
      <c r="V22" s="439" t="str">
        <f t="array" aca="1" ref="V22" ca="1">IF(ROW()-ROW($K$2:$K$22)+1&gt;ROWS($J$2:$J$22)-COUNTBLANK($J$2:$J$22),"",INDIRECT(ADDRESS(SMALL((IF($J$2:$J$22&lt;&gt;"",ROW($J$2:$J$22),ROW()+ROWS($J$2:$J$22))),ROW()-ROW($K$2:$K$22)+1),COLUMN($J$2:$J$22),4)))</f>
        <v>n.d.</v>
      </c>
      <c r="W22" s="439" t="str">
        <f t="array" aca="1" ref="W22" ca="1">IF(ROW()-ROW($L$2:$L$22)+1&gt;ROWS($K$2:$K$22)-COUNTBLANK($K$2:$K$22),"",INDIRECT(ADDRESS(SMALL((IF($K$2:$K$22&lt;&gt;"",ROW($K$2:$K$22),ROW()+ROWS($K$2:$K$22))),ROW()-ROW($L$2:$L$22)+1),COLUMN($K$2:$K$22),4)))</f>
        <v>Unvollständig</v>
      </c>
      <c r="X22" s="442" t="str">
        <f t="array" aca="1" ref="X22" ca="1">IF(ROW()-ROW($M$2:$M$22)+1&gt;ROWS($L$2:$L$22)-COUNTBLANK($L$2:$L$22),"",INDIRECT(ADDRESS(SMALL((IF($L$2:$L$22&lt;&gt;"",ROW($L$2:$L$22),ROW()+ROWS($L$2:$L$22))),ROW()-ROW($M$2:$M$22)+1),COLUMN($L$2:$L$22),4)))</f>
        <v>-----</v>
      </c>
      <c r="Y22" s="442" t="str">
        <f t="array" aca="1" ref="Y22" ca="1">IF(ROW()-ROW($N$2:$N$22)+1&gt;ROWS($M$2:$M$22)-COUNTBLANK($M$2:$M$22),"",INDIRECT(ADDRESS(SMALL((IF($M$2:$M$22&lt;&gt;"",ROW($M$2:$M$22),ROW()+ROWS($M$2:$M$22))),ROW()-ROW($N$2:$N$22)+1),COLUMN($M$2:$M$22),4)))</f>
        <v>-----</v>
      </c>
    </row>
  </sheetData>
  <pageMargins left="0.7" right="0.7" top="0.78740157499999996" bottom="0.78740157499999996" header="0.3" footer="0.3"/>
  <pageSetup orientation="portrait" horizontalDpi="0" verticalDpi="0"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3"/>
  <dimension ref="A1:M36"/>
  <sheetViews>
    <sheetView showGridLines="0" showWhiteSpace="0" topLeftCell="A2" zoomScaleNormal="100" workbookViewId="0">
      <selection activeCell="B44" sqref="B44"/>
    </sheetView>
  </sheetViews>
  <sheetFormatPr defaultColWidth="11.44140625" defaultRowHeight="14.4" x14ac:dyDescent="0.3"/>
  <cols>
    <col min="1" max="1" width="2.88671875" style="458" customWidth="1"/>
    <col min="2" max="2" width="17.6640625" style="243" customWidth="1"/>
    <col min="3" max="3" width="6.6640625" style="460" customWidth="1"/>
    <col min="4" max="4" width="8.88671875" style="460" customWidth="1"/>
    <col min="5" max="5" width="6.33203125" style="460" customWidth="1"/>
    <col min="6" max="6" width="7.109375" style="460" customWidth="1"/>
    <col min="7" max="7" width="6.44140625" style="460" customWidth="1"/>
    <col min="8" max="8" width="6.88671875" style="460" customWidth="1"/>
    <col min="9" max="9" width="9.88671875" style="458" customWidth="1"/>
    <col min="10" max="11" width="34" style="460" customWidth="1"/>
    <col min="12" max="12" width="0.6640625" style="460" customWidth="1"/>
    <col min="13" max="13" width="13.88671875" style="460" hidden="1" customWidth="1"/>
    <col min="14" max="16384" width="11.44140625" style="460"/>
  </cols>
  <sheetData>
    <row r="1" spans="1:13" s="459" customFormat="1" ht="18" hidden="1" customHeight="1" x14ac:dyDescent="0.3">
      <c r="A1" s="15"/>
      <c r="B1" s="454" t="str">
        <f ca="1">IF(M11=TRUE,"A1:K15",CONCATENATE("A1:K",(MATCH("",A:A,-1)-1)))</f>
        <v>A1:K27</v>
      </c>
      <c r="I1" s="15"/>
    </row>
    <row r="2" spans="1:13" s="56" customFormat="1" ht="18.75" customHeight="1" x14ac:dyDescent="0.25">
      <c r="A2" s="187" t="s">
        <v>963</v>
      </c>
      <c r="B2" s="453"/>
      <c r="I2" s="68"/>
      <c r="K2" s="459"/>
    </row>
    <row r="3" spans="1:13" s="459" customFormat="1" ht="16.8" x14ac:dyDescent="0.3">
      <c r="A3" s="455" t="s">
        <v>349</v>
      </c>
      <c r="B3" s="452"/>
      <c r="I3" s="15"/>
      <c r="K3" s="451"/>
    </row>
    <row r="4" spans="1:13" s="459" customFormat="1" ht="13.8" x14ac:dyDescent="0.3">
      <c r="A4" s="15"/>
      <c r="B4" s="452"/>
      <c r="I4" s="15"/>
      <c r="K4" s="451"/>
    </row>
    <row r="5" spans="1:13" s="459" customFormat="1" ht="15" customHeight="1" x14ac:dyDescent="0.3">
      <c r="A5" s="15"/>
      <c r="B5" s="452"/>
      <c r="C5" s="68"/>
      <c r="D5" s="68"/>
      <c r="E5" s="68"/>
      <c r="F5" s="68"/>
      <c r="G5" s="68"/>
      <c r="H5" s="68"/>
      <c r="I5" s="68"/>
      <c r="J5" s="68"/>
      <c r="K5" s="451"/>
    </row>
    <row r="6" spans="1:13" s="461" customFormat="1" ht="15" customHeight="1" x14ac:dyDescent="0.3">
      <c r="A6" s="457"/>
      <c r="B6" s="433" t="s">
        <v>135</v>
      </c>
      <c r="C6" s="942" t="str">
        <f>IF(Basisdaten!C8=0,"",Basisdaten!C8)</f>
        <v/>
      </c>
      <c r="D6" s="943"/>
      <c r="E6" s="943"/>
      <c r="F6" s="943"/>
      <c r="G6" s="943"/>
      <c r="H6" s="943"/>
      <c r="I6" s="943"/>
      <c r="J6" s="944"/>
      <c r="K6" s="451"/>
    </row>
    <row r="7" spans="1:13" s="461" customFormat="1" ht="6.9" customHeight="1" x14ac:dyDescent="0.3">
      <c r="A7" s="457"/>
      <c r="B7" s="449"/>
      <c r="C7" s="68"/>
      <c r="D7" s="68"/>
      <c r="E7" s="68"/>
      <c r="F7" s="68"/>
      <c r="G7" s="68"/>
      <c r="H7" s="68"/>
      <c r="I7" s="68"/>
      <c r="J7" s="68"/>
      <c r="K7" s="451"/>
    </row>
    <row r="8" spans="1:13" s="461" customFormat="1" ht="15" customHeight="1" x14ac:dyDescent="0.3">
      <c r="A8" s="457"/>
      <c r="B8" s="433" t="s">
        <v>81</v>
      </c>
      <c r="C8" s="942" t="str">
        <f>IF(Basisdaten!C6=0,"",Basisdaten!C6)</f>
        <v/>
      </c>
      <c r="D8" s="943"/>
      <c r="E8" s="944"/>
      <c r="F8" s="451"/>
      <c r="H8" s="484" t="s">
        <v>78</v>
      </c>
      <c r="J8" s="456" t="str">
        <f>IF(Basisdaten!I12=0,"",Basisdaten!I12)</f>
        <v/>
      </c>
      <c r="K8" s="451"/>
    </row>
    <row r="9" spans="1:13" s="459" customFormat="1" ht="13.5" customHeight="1" x14ac:dyDescent="0.3">
      <c r="A9" s="15"/>
      <c r="B9" s="452"/>
      <c r="I9" s="15"/>
      <c r="K9" s="451"/>
    </row>
    <row r="10" spans="1:13" s="459" customFormat="1" ht="13.5" customHeight="1" x14ac:dyDescent="0.3">
      <c r="A10" s="15"/>
      <c r="B10" s="485" t="str">
        <f ca="1">IF($M$11=TRUE,"Kein Datendefizit vorhanden","")</f>
        <v/>
      </c>
      <c r="I10" s="15"/>
      <c r="K10" s="451"/>
      <c r="M10" s="447" t="s">
        <v>452</v>
      </c>
    </row>
    <row r="11" spans="1:13" s="459" customFormat="1" ht="16.5" customHeight="1" x14ac:dyDescent="0.3">
      <c r="A11" s="15"/>
      <c r="B11" s="448" t="str">
        <f ca="1">IF($M$11=TRUE,"","Übertragung erfolgt automatisch aus Kennzahlenbogen (Ist-Werte, Begründungen und Aktionen)")</f>
        <v>Übertragung erfolgt automatisch aus Kennzahlenbogen (Ist-Werte, Begründungen und Aktionen)</v>
      </c>
      <c r="I11" s="15"/>
      <c r="K11" s="533"/>
      <c r="M11" s="490" t="b">
        <f t="array" aca="1" ref="M11" ca="1">$A$14:$K$34=""</f>
        <v>0</v>
      </c>
    </row>
    <row r="12" spans="1:13" ht="18.75" customHeight="1" x14ac:dyDescent="0.3">
      <c r="A12" s="947" t="str">
        <f ca="1">IF($M$11=TRUE,"","KN")</f>
        <v>KN</v>
      </c>
      <c r="B12" s="945" t="str">
        <f ca="1">IF($M$11=TRUE,"","Kennzahlendefinition")</f>
        <v>Kennzahlendefinition</v>
      </c>
      <c r="C12" s="947" t="str">
        <f ca="1">IF($M$11=TRUE,"","Vorgaben Datenqualität")</f>
        <v>Vorgaben Datenqualität</v>
      </c>
      <c r="D12" s="947"/>
      <c r="E12" s="947"/>
      <c r="F12" s="947" t="str">
        <f ca="1">IF($M$11=TRUE,"","Ist-Werte")</f>
        <v>Ist-Werte</v>
      </c>
      <c r="G12" s="947"/>
      <c r="H12" s="947"/>
      <c r="I12" s="948" t="str">
        <f ca="1">IF($M$11=TRUE,"","Daten-qualität")</f>
        <v>Daten-qualität</v>
      </c>
      <c r="J12" s="949" t="str">
        <f ca="1">IF($M$11=TRUE,"","Verifizierung Zentrum")</f>
        <v>Verifizierung Zentrum</v>
      </c>
      <c r="K12" s="949"/>
      <c r="L12" s="534"/>
      <c r="M12" s="466"/>
    </row>
    <row r="13" spans="1:13" ht="22.5" customHeight="1" x14ac:dyDescent="0.3">
      <c r="A13" s="945"/>
      <c r="B13" s="946"/>
      <c r="C13" s="462" t="str">
        <f ca="1">IF($M$11=TRUE,"","Plausi unklar")</f>
        <v>Plausi unklar</v>
      </c>
      <c r="D13" s="462" t="str">
        <f ca="1">IF($M$11=TRUE,"","Sollvorgabe")</f>
        <v>Sollvorgabe</v>
      </c>
      <c r="E13" s="462" t="str">
        <f ca="1">IF($M$11=TRUE,"","Plausi unklar")</f>
        <v>Plausi unklar</v>
      </c>
      <c r="F13" s="462" t="str">
        <f ca="1">IF($M$11=TRUE,"","Zähler / Anzahl")</f>
        <v>Zähler / Anzahl</v>
      </c>
      <c r="G13" s="462" t="str">
        <f ca="1">IF($M$11=TRUE,"","Nenner")</f>
        <v>Nenner</v>
      </c>
      <c r="H13" s="462" t="str">
        <f ca="1">IF($M$11=TRUE,"","Quote")</f>
        <v>Quote</v>
      </c>
      <c r="I13" s="945"/>
      <c r="J13" s="535" t="str">
        <f ca="1">IF($M$11=TRUE,"","Begründung / Ursache")</f>
        <v>Begründung / Ursache</v>
      </c>
      <c r="K13" s="532" t="str">
        <f ca="1">IF($M$11=TRUE,"","Eingeleitete / geplante Aktionen")</f>
        <v>Eingeleitete / geplante Aktionen</v>
      </c>
    </row>
    <row r="14" spans="1:13" ht="156" customHeight="1" x14ac:dyDescent="0.3">
      <c r="A14" s="463" t="str">
        <f ca="1">'Hilfstabelle Datendef KB'!O2</f>
        <v>1a</v>
      </c>
      <c r="B14" s="446" t="str">
        <f ca="1">'Hilfstabelle Datendef KB'!P2</f>
        <v>Primärfälle Zentrum</v>
      </c>
      <c r="C14" s="465" t="str">
        <f ca="1">'Hilfstabelle Datendef KB'!Q2</f>
        <v>-----</v>
      </c>
      <c r="D14" s="465" t="str">
        <f ca="1">'Hilfstabelle Datendef KB'!R2</f>
        <v>≥  25</v>
      </c>
      <c r="E14" s="465" t="str">
        <f ca="1">'Hilfstabelle Datendef KB'!S2</f>
        <v>-----</v>
      </c>
      <c r="F14" s="463">
        <f ca="1">'Hilfstabelle Datendef KB'!T2</f>
        <v>0</v>
      </c>
      <c r="G14" s="463" t="str">
        <f ca="1">'Hilfstabelle Datendef KB'!U2</f>
        <v>-----</v>
      </c>
      <c r="H14" s="464" t="str">
        <f ca="1">'Hilfstabelle Datendef KB'!V2</f>
        <v>-----</v>
      </c>
      <c r="I14" s="463" t="str">
        <f ca="1">'Hilfstabelle Datendef KB'!W2</f>
        <v>Unvollständig</v>
      </c>
      <c r="J14" s="483" t="str">
        <f ca="1">'Hilfstabelle Datendef KB'!X2</f>
        <v>-----</v>
      </c>
      <c r="K14" s="641" t="str">
        <f ca="1">'Hilfstabelle Datendef KB'!Y2</f>
        <v>-----</v>
      </c>
    </row>
    <row r="15" spans="1:13" ht="156" customHeight="1" x14ac:dyDescent="0.3">
      <c r="A15" s="463" t="str">
        <f ca="1">'Hilfstabelle Datendef KB'!O3</f>
        <v>1b</v>
      </c>
      <c r="B15" s="446" t="str">
        <f ca="1">'Hilfstabelle Datendef KB'!P3</f>
        <v>Pat. mit neuaufgetretenem Rezidiv und/oder Fernmetastasen</v>
      </c>
      <c r="C15" s="465" t="str">
        <f ca="1">'Hilfstabelle Datendef KB'!Q3</f>
        <v>-----</v>
      </c>
      <c r="D15" s="465" t="str">
        <f ca="1">'Hilfstabelle Datendef KB'!R3</f>
        <v>Derzeit keine Vorgaben</v>
      </c>
      <c r="E15" s="465" t="str">
        <f ca="1">'Hilfstabelle Datendef KB'!S3</f>
        <v>-----</v>
      </c>
      <c r="F15" s="463" t="str">
        <f ca="1">'Hilfstabelle Datendef KB'!T3</f>
        <v>-----</v>
      </c>
      <c r="G15" s="463" t="str">
        <f ca="1">'Hilfstabelle Datendef KB'!U3</f>
        <v>-----</v>
      </c>
      <c r="H15" s="464" t="str">
        <f ca="1">'Hilfstabelle Datendef KB'!V3</f>
        <v>-----</v>
      </c>
      <c r="I15" s="463" t="str">
        <f ca="1">'Hilfstabelle Datendef KB'!W3</f>
        <v>Unvollständig</v>
      </c>
      <c r="J15" s="483" t="str">
        <f ca="1">'Hilfstabelle Datendef KB'!X3</f>
        <v>-----</v>
      </c>
      <c r="K15" s="446" t="str">
        <f ca="1">'Hilfstabelle Datendef KB'!Y3</f>
        <v>-----</v>
      </c>
    </row>
    <row r="16" spans="1:13" ht="169.5" customHeight="1" x14ac:dyDescent="0.3">
      <c r="A16" s="463" t="str">
        <f ca="1">'Hilfstabelle Datendef KB'!O4</f>
        <v>2</v>
      </c>
      <c r="B16" s="446" t="str">
        <f ca="1">'Hilfstabelle Datendef KB'!P4</f>
        <v>Prätherapeutische Fallvorstellung</v>
      </c>
      <c r="C16" s="465" t="str">
        <f ca="1">'Hilfstabelle Datendef KB'!Q4</f>
        <v>-----</v>
      </c>
      <c r="D16" s="465" t="str">
        <f ca="1">'Hilfstabelle Datendef KB'!R4</f>
        <v>≥  95%</v>
      </c>
      <c r="E16" s="465" t="str">
        <f ca="1">'Hilfstabelle Datendef KB'!S4</f>
        <v>-----</v>
      </c>
      <c r="F16" s="463" t="str">
        <f ca="1">'Hilfstabelle Datendef KB'!T4</f>
        <v>-----</v>
      </c>
      <c r="G16" s="463">
        <f ca="1">'Hilfstabelle Datendef KB'!U4</f>
        <v>0</v>
      </c>
      <c r="H16" s="464" t="str">
        <f ca="1">'Hilfstabelle Datendef KB'!V4</f>
        <v>n.d.</v>
      </c>
      <c r="I16" s="463" t="str">
        <f ca="1">'Hilfstabelle Datendef KB'!W4</f>
        <v>Unvollständig</v>
      </c>
      <c r="J16" s="483" t="str">
        <f ca="1">'Hilfstabelle Datendef KB'!X4</f>
        <v>-----</v>
      </c>
      <c r="K16" s="446" t="str">
        <f ca="1">'Hilfstabelle Datendef KB'!Y4</f>
        <v>-----</v>
      </c>
    </row>
    <row r="17" spans="1:11" ht="169.5" customHeight="1" x14ac:dyDescent="0.3">
      <c r="A17" s="463" t="str">
        <f ca="1">'Hilfstabelle Datendef KB'!O5</f>
        <v>3</v>
      </c>
      <c r="B17" s="446" t="str">
        <f ca="1">'Hilfstabelle Datendef KB'!P5</f>
        <v>Postoperative Fallvorstellung</v>
      </c>
      <c r="C17" s="465" t="str">
        <f ca="1">'Hilfstabelle Datendef KB'!Q5</f>
        <v>-----</v>
      </c>
      <c r="D17" s="465" t="str">
        <f ca="1">'Hilfstabelle Datendef KB'!R5</f>
        <v>≥  95%</v>
      </c>
      <c r="E17" s="465" t="str">
        <f ca="1">'Hilfstabelle Datendef KB'!S5</f>
        <v>-----</v>
      </c>
      <c r="F17" s="463" t="str">
        <f ca="1">'Hilfstabelle Datendef KB'!T5</f>
        <v>-----</v>
      </c>
      <c r="G17" s="463">
        <f ca="1">'Hilfstabelle Datendef KB'!U5</f>
        <v>0</v>
      </c>
      <c r="H17" s="464" t="str">
        <f ca="1">'Hilfstabelle Datendef KB'!V5</f>
        <v>n.d.</v>
      </c>
      <c r="I17" s="463" t="str">
        <f ca="1">'Hilfstabelle Datendef KB'!W5</f>
        <v>Unvollständig</v>
      </c>
      <c r="J17" s="483" t="str">
        <f ca="1">'Hilfstabelle Datendef KB'!X5</f>
        <v>-----</v>
      </c>
      <c r="K17" s="446" t="str">
        <f ca="1">'Hilfstabelle Datendef KB'!Y5</f>
        <v>-----</v>
      </c>
    </row>
    <row r="18" spans="1:11" ht="169.5" customHeight="1" x14ac:dyDescent="0.3">
      <c r="A18" s="463" t="str">
        <f ca="1">'Hilfstabelle Datendef KB'!O6</f>
        <v>4</v>
      </c>
      <c r="B18" s="446" t="str">
        <f ca="1">'Hilfstabelle Datendef KB'!P6</f>
        <v>Psychoonkologische Betreuung</v>
      </c>
      <c r="C18" s="465" t="str">
        <f ca="1">'Hilfstabelle Datendef KB'!Q6</f>
        <v>&lt; 30%</v>
      </c>
      <c r="D18" s="465" t="str">
        <f ca="1">'Hilfstabelle Datendef KB'!R6</f>
        <v>Derzeit keine Vorgaben</v>
      </c>
      <c r="E18" s="465" t="str">
        <f ca="1">'Hilfstabelle Datendef KB'!S6</f>
        <v>&gt; 95%</v>
      </c>
      <c r="F18" s="463" t="str">
        <f ca="1">'Hilfstabelle Datendef KB'!T6</f>
        <v>-----</v>
      </c>
      <c r="G18" s="463">
        <f ca="1">'Hilfstabelle Datendef KB'!U6</f>
        <v>0</v>
      </c>
      <c r="H18" s="464" t="str">
        <f ca="1">'Hilfstabelle Datendef KB'!V6</f>
        <v>n.d.</v>
      </c>
      <c r="I18" s="463" t="str">
        <f ca="1">'Hilfstabelle Datendef KB'!W6</f>
        <v>Unvollständig</v>
      </c>
      <c r="J18" s="483" t="str">
        <f ca="1">'Hilfstabelle Datendef KB'!X6</f>
        <v>-----</v>
      </c>
      <c r="K18" s="446" t="str">
        <f ca="1">'Hilfstabelle Datendef KB'!Y6</f>
        <v>-----</v>
      </c>
    </row>
    <row r="19" spans="1:11" ht="169.5" customHeight="1" x14ac:dyDescent="0.3">
      <c r="A19" s="463" t="str">
        <f ca="1">'Hilfstabelle Datendef KB'!O7</f>
        <v>5</v>
      </c>
      <c r="B19" s="446" t="str">
        <f ca="1">'Hilfstabelle Datendef KB'!P7</f>
        <v>Beratung Sozialdienst</v>
      </c>
      <c r="C19" s="465" t="str">
        <f ca="1">'Hilfstabelle Datendef KB'!Q7</f>
        <v>&lt; 45%</v>
      </c>
      <c r="D19" s="465" t="str">
        <f ca="1">'Hilfstabelle Datendef KB'!R7</f>
        <v>Derzeit keine Vorgaben</v>
      </c>
      <c r="E19" s="465" t="str">
        <f ca="1">'Hilfstabelle Datendef KB'!S7</f>
        <v>-----</v>
      </c>
      <c r="F19" s="463" t="str">
        <f ca="1">'Hilfstabelle Datendef KB'!T7</f>
        <v>-----</v>
      </c>
      <c r="G19" s="463">
        <f ca="1">'Hilfstabelle Datendef KB'!U7</f>
        <v>0</v>
      </c>
      <c r="H19" s="464" t="str">
        <f ca="1">'Hilfstabelle Datendef KB'!V7</f>
        <v>n.d.</v>
      </c>
      <c r="I19" s="463" t="str">
        <f ca="1">'Hilfstabelle Datendef KB'!W7</f>
        <v>Unvollständig</v>
      </c>
      <c r="J19" s="483" t="str">
        <f ca="1">'Hilfstabelle Datendef KB'!X7</f>
        <v>-----</v>
      </c>
      <c r="K19" s="446" t="str">
        <f ca="1">'Hilfstabelle Datendef KB'!Y7</f>
        <v>-----</v>
      </c>
    </row>
    <row r="20" spans="1:11" ht="169.5" customHeight="1" x14ac:dyDescent="0.3">
      <c r="A20" s="463" t="str">
        <f ca="1">'Hilfstabelle Datendef KB'!O8</f>
        <v>6</v>
      </c>
      <c r="B20" s="446" t="str">
        <f ca="1">'Hilfstabelle Datendef KB'!P8</f>
        <v>Anteil Studienpat.</v>
      </c>
      <c r="C20" s="465" t="str">
        <f ca="1">'Hilfstabelle Datendef KB'!Q8</f>
        <v>-----</v>
      </c>
      <c r="D20" s="465" t="str">
        <f ca="1">'Hilfstabelle Datendef KB'!R8</f>
        <v>≥  5%</v>
      </c>
      <c r="E20" s="465" t="str">
        <f ca="1">'Hilfstabelle Datendef KB'!S8</f>
        <v>&gt; 50%</v>
      </c>
      <c r="F20" s="463" t="str">
        <f ca="1">'Hilfstabelle Datendef KB'!T8</f>
        <v>-----</v>
      </c>
      <c r="G20" s="463">
        <f ca="1">'Hilfstabelle Datendef KB'!U8</f>
        <v>0</v>
      </c>
      <c r="H20" s="464" t="str">
        <f ca="1">'Hilfstabelle Datendef KB'!V8</f>
        <v>n.d.</v>
      </c>
      <c r="I20" s="463" t="str">
        <f ca="1">'Hilfstabelle Datendef KB'!W8</f>
        <v>Unvollständig</v>
      </c>
      <c r="J20" s="483" t="str">
        <f ca="1">'Hilfstabelle Datendef KB'!X8</f>
        <v>-----</v>
      </c>
      <c r="K20" s="446" t="str">
        <f ca="1">'Hilfstabelle Datendef KB'!Y8</f>
        <v>-----</v>
      </c>
    </row>
    <row r="21" spans="1:11" ht="169.5" customHeight="1" x14ac:dyDescent="0.3">
      <c r="A21" s="463" t="str">
        <f ca="1">'Hilfstabelle Datendef KB'!O9</f>
        <v>7a</v>
      </c>
      <c r="B21" s="446" t="str">
        <f ca="1">'Hilfstabelle Datendef KB'!P9</f>
        <v>Endoskopie Komplikationen - Pankreatitis nach ERCP
(EB 2.1)</v>
      </c>
      <c r="C21" s="465" t="str">
        <f ca="1">'Hilfstabelle Datendef KB'!Q9</f>
        <v>&lt; 0,01%</v>
      </c>
      <c r="D21" s="465" t="str">
        <f ca="1">'Hilfstabelle Datendef KB'!R9</f>
        <v xml:space="preserve">≤ 10% </v>
      </c>
      <c r="E21" s="465" t="str">
        <f ca="1">'Hilfstabelle Datendef KB'!S9</f>
        <v>-----</v>
      </c>
      <c r="F21" s="463" t="str">
        <f ca="1">'Hilfstabelle Datendef KB'!T9</f>
        <v>-----</v>
      </c>
      <c r="G21" s="463" t="str">
        <f ca="1">'Hilfstabelle Datendef KB'!U9</f>
        <v>-----</v>
      </c>
      <c r="H21" s="464" t="str">
        <f ca="1">'Hilfstabelle Datendef KB'!V9</f>
        <v>n.d.</v>
      </c>
      <c r="I21" s="463" t="str">
        <f ca="1">'Hilfstabelle Datendef KB'!W9</f>
        <v>Unvollständig</v>
      </c>
      <c r="J21" s="483" t="str">
        <f ca="1">'Hilfstabelle Datendef KB'!X9</f>
        <v>-----</v>
      </c>
      <c r="K21" s="446" t="str">
        <f ca="1">'Hilfstabelle Datendef KB'!Y9</f>
        <v>-----</v>
      </c>
    </row>
    <row r="22" spans="1:11" ht="169.5" customHeight="1" x14ac:dyDescent="0.3">
      <c r="A22" s="463" t="str">
        <f ca="1">'Hilfstabelle Datendef KB'!O10</f>
        <v>7b</v>
      </c>
      <c r="B22" s="446" t="str">
        <f ca="1">'Hilfstabelle Datendef KB'!P10</f>
        <v>Endoskopie Komplikationen - Blutung u. Perforation nach ERCP 
(EB 2.1)</v>
      </c>
      <c r="C22" s="465" t="str">
        <f ca="1">'Hilfstabelle Datendef KB'!Q10</f>
        <v>&lt; 0,01%</v>
      </c>
      <c r="D22" s="465" t="str">
        <f ca="1">'Hilfstabelle Datendef KB'!R10</f>
        <v xml:space="preserve">≤ 5% </v>
      </c>
      <c r="E22" s="465" t="str">
        <f ca="1">'Hilfstabelle Datendef KB'!S10</f>
        <v>-----</v>
      </c>
      <c r="F22" s="463" t="str">
        <f ca="1">'Hilfstabelle Datendef KB'!T10</f>
        <v>-----</v>
      </c>
      <c r="G22" s="463">
        <f ca="1">'Hilfstabelle Datendef KB'!U10</f>
        <v>0</v>
      </c>
      <c r="H22" s="464" t="str">
        <f ca="1">'Hilfstabelle Datendef KB'!V10</f>
        <v>n.d.</v>
      </c>
      <c r="I22" s="463" t="str">
        <f ca="1">'Hilfstabelle Datendef KB'!W10</f>
        <v>Unvollständig</v>
      </c>
      <c r="J22" s="483" t="str">
        <f ca="1">'Hilfstabelle Datendef KB'!X10</f>
        <v>-----</v>
      </c>
      <c r="K22" s="446" t="str">
        <f ca="1">'Hilfstabelle Datendef KB'!Y10</f>
        <v>-----</v>
      </c>
    </row>
    <row r="23" spans="1:11" ht="169.5" customHeight="1" x14ac:dyDescent="0.3">
      <c r="A23" s="463" t="str">
        <f ca="1">'Hilfstabelle Datendef KB'!O11</f>
        <v>8</v>
      </c>
      <c r="B23" s="446" t="str">
        <f ca="1">'Hilfstabelle Datendef KB'!P11</f>
        <v>Operative Primärfälle Pankreas (ausschließlich ICD-10 C25 in Verbindung mit OPS: 5-524* und 
5-525*)</v>
      </c>
      <c r="C23" s="465" t="str">
        <f ca="1">'Hilfstabelle Datendef KB'!Q11</f>
        <v>-----</v>
      </c>
      <c r="D23" s="465" t="str">
        <f ca="1">'Hilfstabelle Datendef KB'!R11</f>
        <v>≥  12</v>
      </c>
      <c r="E23" s="465" t="str">
        <f ca="1">'Hilfstabelle Datendef KB'!S11</f>
        <v>-----</v>
      </c>
      <c r="F23" s="463">
        <f ca="1">'Hilfstabelle Datendef KB'!T11</f>
        <v>0</v>
      </c>
      <c r="G23" s="463" t="str">
        <f ca="1">'Hilfstabelle Datendef KB'!U11</f>
        <v>-----</v>
      </c>
      <c r="H23" s="464" t="str">
        <f ca="1">'Hilfstabelle Datendef KB'!V11</f>
        <v>-----</v>
      </c>
      <c r="I23" s="463" t="str">
        <f ca="1">'Hilfstabelle Datendef KB'!W11</f>
        <v>Unvollständig</v>
      </c>
      <c r="J23" s="483" t="str">
        <f ca="1">'Hilfstabelle Datendef KB'!X11</f>
        <v>-----</v>
      </c>
      <c r="K23" s="446" t="str">
        <f ca="1">'Hilfstabelle Datendef KB'!Y11</f>
        <v>-----</v>
      </c>
    </row>
    <row r="24" spans="1:11" ht="169.5" customHeight="1" x14ac:dyDescent="0.3">
      <c r="A24" s="463" t="str">
        <f ca="1">'Hilfstabelle Datendef KB'!O12</f>
        <v>9</v>
      </c>
      <c r="B24" s="446" t="str">
        <f ca="1">'Hilfstabelle Datendef KB'!P12</f>
        <v xml:space="preserve">Operative Expertise Pankreas gesamt </v>
      </c>
      <c r="C24" s="465" t="str">
        <f ca="1">'Hilfstabelle Datendef KB'!Q12</f>
        <v>-----</v>
      </c>
      <c r="D24" s="465" t="str">
        <f ca="1">'Hilfstabelle Datendef KB'!R12</f>
        <v>≥  20</v>
      </c>
      <c r="E24" s="465" t="str">
        <f ca="1">'Hilfstabelle Datendef KB'!S12</f>
        <v>-----</v>
      </c>
      <c r="F24" s="463">
        <f ca="1">'Hilfstabelle Datendef KB'!T12</f>
        <v>0</v>
      </c>
      <c r="G24" s="463" t="str">
        <f ca="1">'Hilfstabelle Datendef KB'!U12</f>
        <v>-----</v>
      </c>
      <c r="H24" s="464" t="str">
        <f ca="1">'Hilfstabelle Datendef KB'!V12</f>
        <v>-----</v>
      </c>
      <c r="I24" s="463" t="str">
        <f ca="1">'Hilfstabelle Datendef KB'!W12</f>
        <v>Unvollständig</v>
      </c>
      <c r="J24" s="483" t="str">
        <f ca="1">'Hilfstabelle Datendef KB'!X12</f>
        <v>-----</v>
      </c>
      <c r="K24" s="446" t="str">
        <f ca="1">'Hilfstabelle Datendef KB'!Y12</f>
        <v>-----</v>
      </c>
    </row>
    <row r="25" spans="1:11" ht="169.5" customHeight="1" x14ac:dyDescent="0.3">
      <c r="A25" s="463" t="str">
        <f ca="1">'Hilfstabelle Datendef KB'!O13</f>
        <v>10</v>
      </c>
      <c r="B25" s="446" t="str">
        <f ca="1">'Hilfstabelle Datendef KB'!P13</f>
        <v xml:space="preserve">Revisions-OP‘s Pankreas </v>
      </c>
      <c r="C25" s="465" t="str">
        <f ca="1">'Hilfstabelle Datendef KB'!Q13</f>
        <v>&lt; 0,01%</v>
      </c>
      <c r="D25" s="465" t="str">
        <f ca="1">'Hilfstabelle Datendef KB'!R13</f>
        <v xml:space="preserve">≤  10% </v>
      </c>
      <c r="E25" s="465" t="str">
        <f ca="1">'Hilfstabelle Datendef KB'!S13</f>
        <v>-----</v>
      </c>
      <c r="F25" s="463" t="str">
        <f ca="1">'Hilfstabelle Datendef KB'!T13</f>
        <v>-----</v>
      </c>
      <c r="G25" s="463">
        <f ca="1">'Hilfstabelle Datendef KB'!U13</f>
        <v>0</v>
      </c>
      <c r="H25" s="464" t="str">
        <f ca="1">'Hilfstabelle Datendef KB'!V13</f>
        <v>n.d.</v>
      </c>
      <c r="I25" s="463" t="str">
        <f ca="1">'Hilfstabelle Datendef KB'!W13</f>
        <v>Unvollständig</v>
      </c>
      <c r="J25" s="483" t="str">
        <f ca="1">'Hilfstabelle Datendef KB'!X13</f>
        <v>-----</v>
      </c>
      <c r="K25" s="446" t="str">
        <f ca="1">'Hilfstabelle Datendef KB'!Y13</f>
        <v>-----</v>
      </c>
    </row>
    <row r="26" spans="1:11" ht="169.5" customHeight="1" x14ac:dyDescent="0.3">
      <c r="A26" s="463" t="str">
        <f ca="1">'Hilfstabelle Datendef KB'!O14</f>
        <v>11</v>
      </c>
      <c r="B26" s="446" t="str">
        <f ca="1">'Hilfstabelle Datendef KB'!P14</f>
        <v>Postoperative Wundinfektion</v>
      </c>
      <c r="C26" s="465" t="str">
        <f ca="1">'Hilfstabelle Datendef KB'!Q14</f>
        <v>&lt; 0,01%</v>
      </c>
      <c r="D26" s="465" t="str">
        <f ca="1">'Hilfstabelle Datendef KB'!R14</f>
        <v>Derzeit keine Vorgaben</v>
      </c>
      <c r="E26" s="465" t="str">
        <f ca="1">'Hilfstabelle Datendef KB'!S14</f>
        <v>&gt; 10%</v>
      </c>
      <c r="F26" s="463" t="str">
        <f ca="1">'Hilfstabelle Datendef KB'!T14</f>
        <v>-----</v>
      </c>
      <c r="G26" s="463">
        <f ca="1">'Hilfstabelle Datendef KB'!U14</f>
        <v>0</v>
      </c>
      <c r="H26" s="464" t="str">
        <f ca="1">'Hilfstabelle Datendef KB'!V14</f>
        <v>n.d.</v>
      </c>
      <c r="I26" s="463" t="str">
        <f ca="1">'Hilfstabelle Datendef KB'!W14</f>
        <v>Unvollständig</v>
      </c>
      <c r="J26" s="483" t="str">
        <f ca="1">'Hilfstabelle Datendef KB'!X14</f>
        <v>-----</v>
      </c>
      <c r="K26" s="446" t="str">
        <f ca="1">'Hilfstabelle Datendef KB'!Y14</f>
        <v>-----</v>
      </c>
    </row>
    <row r="27" spans="1:11" ht="169.5" customHeight="1" x14ac:dyDescent="0.3">
      <c r="A27" s="463" t="str">
        <f ca="1">'Hilfstabelle Datendef KB'!O15</f>
        <v>12</v>
      </c>
      <c r="B27" s="446" t="str">
        <f ca="1">'Hilfstabelle Datendef KB'!P15</f>
        <v>Mortalität postoperativ</v>
      </c>
      <c r="C27" s="465" t="str">
        <f ca="1">'Hilfstabelle Datendef KB'!Q15</f>
        <v>&lt; 0,01%</v>
      </c>
      <c r="D27" s="465" t="str">
        <f ca="1">'Hilfstabelle Datendef KB'!R15</f>
        <v xml:space="preserve">≤ 5% </v>
      </c>
      <c r="E27" s="465" t="str">
        <f ca="1">'Hilfstabelle Datendef KB'!S15</f>
        <v>-----</v>
      </c>
      <c r="F27" s="463" t="str">
        <f ca="1">'Hilfstabelle Datendef KB'!T15</f>
        <v>-----</v>
      </c>
      <c r="G27" s="463">
        <f ca="1">'Hilfstabelle Datendef KB'!U15</f>
        <v>0</v>
      </c>
      <c r="H27" s="464" t="str">
        <f ca="1">'Hilfstabelle Datendef KB'!V15</f>
        <v>n.d.</v>
      </c>
      <c r="I27" s="463" t="str">
        <f ca="1">'Hilfstabelle Datendef KB'!W15</f>
        <v>Unvollständig</v>
      </c>
      <c r="J27" s="483" t="str">
        <f ca="1">'Hilfstabelle Datendef KB'!X15</f>
        <v>-----</v>
      </c>
      <c r="K27" s="446" t="str">
        <f ca="1">'Hilfstabelle Datendef KB'!Y15</f>
        <v>-----</v>
      </c>
    </row>
    <row r="28" spans="1:11" ht="169.5" customHeight="1" x14ac:dyDescent="0.3">
      <c r="A28" s="463" t="str">
        <f ca="1">'Hilfstabelle Datendef KB'!O16</f>
        <v>13</v>
      </c>
      <c r="B28" s="446" t="str">
        <f ca="1">'Hilfstabelle Datendef KB'!P16</f>
        <v>Lokale R0-Resektionen Pankreas</v>
      </c>
      <c r="C28" s="465" t="str">
        <f ca="1">'Hilfstabelle Datendef KB'!Q16</f>
        <v>&lt; 40%</v>
      </c>
      <c r="D28" s="465" t="str">
        <f ca="1">'Hilfstabelle Datendef KB'!R16</f>
        <v>Derzeit keine Vorgaben</v>
      </c>
      <c r="E28" s="465" t="str">
        <f ca="1">'Hilfstabelle Datendef KB'!S16</f>
        <v>-----</v>
      </c>
      <c r="F28" s="463" t="str">
        <f ca="1">'Hilfstabelle Datendef KB'!T16</f>
        <v>-----</v>
      </c>
      <c r="G28" s="463">
        <f ca="1">'Hilfstabelle Datendef KB'!U16</f>
        <v>0</v>
      </c>
      <c r="H28" s="464" t="str">
        <f ca="1">'Hilfstabelle Datendef KB'!V16</f>
        <v>n.d.</v>
      </c>
      <c r="I28" s="463" t="str">
        <f ca="1">'Hilfstabelle Datendef KB'!W16</f>
        <v>Unvollständig</v>
      </c>
      <c r="J28" s="483" t="str">
        <f ca="1">'Hilfstabelle Datendef KB'!X16</f>
        <v>-----</v>
      </c>
      <c r="K28" s="446" t="str">
        <f ca="1">'Hilfstabelle Datendef KB'!Y16</f>
        <v>-----</v>
      </c>
    </row>
    <row r="29" spans="1:11" ht="169.5" customHeight="1" x14ac:dyDescent="0.3">
      <c r="A29" s="463">
        <f ca="1">'Hilfstabelle Datendef KB'!O17</f>
        <v>14</v>
      </c>
      <c r="B29" s="446" t="str">
        <f ca="1">'Hilfstabelle Datendef KB'!P17</f>
        <v>Lymphknoten-entfernung</v>
      </c>
      <c r="C29" s="465" t="str">
        <f ca="1">'Hilfstabelle Datendef KB'!Q17</f>
        <v>&lt; 65%</v>
      </c>
      <c r="D29" s="465" t="str">
        <f ca="1">'Hilfstabelle Datendef KB'!R17</f>
        <v>Derzeit keine Vorgaben</v>
      </c>
      <c r="E29" s="465" t="str">
        <f ca="1">'Hilfstabelle Datendef KB'!S17</f>
        <v>-----</v>
      </c>
      <c r="F29" s="463" t="str">
        <f ca="1">'Hilfstabelle Datendef KB'!T17</f>
        <v>-----</v>
      </c>
      <c r="G29" s="463" t="str">
        <f ca="1">'Hilfstabelle Datendef KB'!U17</f>
        <v>-----</v>
      </c>
      <c r="H29" s="464" t="str">
        <f ca="1">'Hilfstabelle Datendef KB'!V17</f>
        <v>n.d.</v>
      </c>
      <c r="I29" s="463" t="str">
        <f ca="1">'Hilfstabelle Datendef KB'!W17</f>
        <v>Unvollständig</v>
      </c>
      <c r="J29" s="483" t="str">
        <f ca="1">'Hilfstabelle Datendef KB'!X17</f>
        <v>-----</v>
      </c>
      <c r="K29" s="446" t="str">
        <f ca="1">'Hilfstabelle Datendef KB'!Y17</f>
        <v>-----</v>
      </c>
    </row>
    <row r="30" spans="1:11" ht="169.5" customHeight="1" x14ac:dyDescent="0.3">
      <c r="A30" s="463">
        <f ca="1">'Hilfstabelle Datendef KB'!O18</f>
        <v>15</v>
      </c>
      <c r="B30" s="446" t="str">
        <f ca="1">'Hilfstabelle Datendef KB'!P18</f>
        <v>Inhalt
Pathologieberichte</v>
      </c>
      <c r="C30" s="465" t="str">
        <f ca="1">'Hilfstabelle Datendef KB'!Q18</f>
        <v>&lt; 80%</v>
      </c>
      <c r="D30" s="465" t="str">
        <f ca="1">'Hilfstabelle Datendef KB'!R18</f>
        <v>Derzeit keine Vorgaben</v>
      </c>
      <c r="E30" s="465" t="str">
        <f ca="1">'Hilfstabelle Datendef KB'!S18</f>
        <v>-----</v>
      </c>
      <c r="F30" s="463" t="str">
        <f ca="1">'Hilfstabelle Datendef KB'!T18</f>
        <v>-----</v>
      </c>
      <c r="G30" s="463">
        <f ca="1">'Hilfstabelle Datendef KB'!U18</f>
        <v>0</v>
      </c>
      <c r="H30" s="464" t="str">
        <f ca="1">'Hilfstabelle Datendef KB'!V18</f>
        <v>n.d.</v>
      </c>
      <c r="I30" s="463" t="str">
        <f ca="1">'Hilfstabelle Datendef KB'!W18</f>
        <v>Unvollständig</v>
      </c>
      <c r="J30" s="483" t="str">
        <f ca="1">'Hilfstabelle Datendef KB'!X18</f>
        <v>-----</v>
      </c>
      <c r="K30" s="446" t="str">
        <f ca="1">'Hilfstabelle Datendef KB'!Y18</f>
        <v>-----</v>
      </c>
    </row>
    <row r="31" spans="1:11" ht="169.5" customHeight="1" x14ac:dyDescent="0.3">
      <c r="A31" s="463">
        <f ca="1">'Hilfstabelle Datendef KB'!O19</f>
        <v>16</v>
      </c>
      <c r="B31" s="446" t="str">
        <f ca="1">'Hilfstabelle Datendef KB'!P19</f>
        <v>Adjuvante Chemotherapie</v>
      </c>
      <c r="C31" s="465" t="str">
        <f ca="1">'Hilfstabelle Datendef KB'!Q19</f>
        <v>-----</v>
      </c>
      <c r="D31" s="465" t="str">
        <f ca="1">'Hilfstabelle Datendef KB'!R19</f>
        <v>≥ 50%</v>
      </c>
      <c r="E31" s="465" t="str">
        <f ca="1">'Hilfstabelle Datendef KB'!S19</f>
        <v>-----</v>
      </c>
      <c r="F31" s="463" t="str">
        <f ca="1">'Hilfstabelle Datendef KB'!T19</f>
        <v>-----</v>
      </c>
      <c r="G31" s="463" t="str">
        <f ca="1">'Hilfstabelle Datendef KB'!U19</f>
        <v>-----</v>
      </c>
      <c r="H31" s="464" t="str">
        <f ca="1">'Hilfstabelle Datendef KB'!V19</f>
        <v>n.d.</v>
      </c>
      <c r="I31" s="463" t="str">
        <f ca="1">'Hilfstabelle Datendef KB'!W19</f>
        <v>Unvollständig</v>
      </c>
      <c r="J31" s="483" t="str">
        <f ca="1">'Hilfstabelle Datendef KB'!X19</f>
        <v>-----</v>
      </c>
      <c r="K31" s="446" t="str">
        <f ca="1">'Hilfstabelle Datendef KB'!Y19</f>
        <v>-----</v>
      </c>
    </row>
    <row r="32" spans="1:11" ht="169.5" customHeight="1" x14ac:dyDescent="0.3">
      <c r="A32" s="463">
        <f ca="1">'Hilfstabelle Datendef KB'!O20</f>
        <v>17</v>
      </c>
      <c r="B32" s="446" t="str">
        <f ca="1">'Hilfstabelle Datendef KB'!P20</f>
        <v>Palliative Chemotherapie</v>
      </c>
      <c r="C32" s="465" t="str">
        <f ca="1">'Hilfstabelle Datendef KB'!Q20</f>
        <v>&lt; 30%</v>
      </c>
      <c r="D32" s="465" t="str">
        <f ca="1">'Hilfstabelle Datendef KB'!R20</f>
        <v>Derzeit keine Vorgaben</v>
      </c>
      <c r="E32" s="465" t="str">
        <f ca="1">'Hilfstabelle Datendef KB'!S20</f>
        <v>-----</v>
      </c>
      <c r="F32" s="463" t="str">
        <f ca="1">'Hilfstabelle Datendef KB'!T20</f>
        <v>-----</v>
      </c>
      <c r="G32" s="463" t="str">
        <f ca="1">'Hilfstabelle Datendef KB'!U20</f>
        <v>-----</v>
      </c>
      <c r="H32" s="464" t="str">
        <f ca="1">'Hilfstabelle Datendef KB'!V20</f>
        <v>n.d.</v>
      </c>
      <c r="I32" s="463" t="str">
        <f ca="1">'Hilfstabelle Datendef KB'!W20</f>
        <v>Unvollständig</v>
      </c>
      <c r="J32" s="483" t="str">
        <f ca="1">'Hilfstabelle Datendef KB'!X20</f>
        <v>-----</v>
      </c>
      <c r="K32" s="446" t="str">
        <f ca="1">'Hilfstabelle Datendef KB'!Y20</f>
        <v>-----</v>
      </c>
    </row>
    <row r="33" spans="1:11" ht="169.5" customHeight="1" x14ac:dyDescent="0.3">
      <c r="A33" s="463">
        <f ca="1">'Hilfstabelle Datendef KB'!O21</f>
        <v>18</v>
      </c>
      <c r="B33" s="446" t="str">
        <f ca="1">'Hilfstabelle Datendef KB'!P21</f>
        <v>Primäre Resektion bei metastasiertem Pankreaskarzinom</v>
      </c>
      <c r="C33" s="465" t="str">
        <f ca="1">'Hilfstabelle Datendef KB'!Q21</f>
        <v>-----</v>
      </c>
      <c r="D33" s="465" t="str">
        <f ca="1">'Hilfstabelle Datendef KB'!R21</f>
        <v>Derzeit keine Vorgaben</v>
      </c>
      <c r="E33" s="465" t="str">
        <f ca="1">'Hilfstabelle Datendef KB'!S21</f>
        <v>-----</v>
      </c>
      <c r="F33" s="463" t="str">
        <f ca="1">'Hilfstabelle Datendef KB'!T21</f>
        <v>-----</v>
      </c>
      <c r="G33" s="463">
        <f ca="1">'Hilfstabelle Datendef KB'!U21</f>
        <v>0</v>
      </c>
      <c r="H33" s="464" t="str">
        <f ca="1">'Hilfstabelle Datendef KB'!V21</f>
        <v>n.d.</v>
      </c>
      <c r="I33" s="463" t="str">
        <f ca="1">'Hilfstabelle Datendef KB'!W21</f>
        <v>Unvollständig</v>
      </c>
      <c r="J33" s="483" t="str">
        <f ca="1">'Hilfstabelle Datendef KB'!X21</f>
        <v>-----</v>
      </c>
      <c r="K33" s="446" t="str">
        <f ca="1">'Hilfstabelle Datendef KB'!Y21</f>
        <v>-----</v>
      </c>
    </row>
    <row r="34" spans="1:11" ht="169.5" customHeight="1" x14ac:dyDescent="0.3">
      <c r="A34" s="463">
        <f ca="1">'Hilfstabelle Datendef KB'!O22</f>
        <v>19</v>
      </c>
      <c r="B34" s="446" t="str">
        <f ca="1">'Hilfstabelle Datendef KB'!P22</f>
        <v>Zweitlinientherapie</v>
      </c>
      <c r="C34" s="465" t="str">
        <f ca="1">'Hilfstabelle Datendef KB'!Q22</f>
        <v>-----</v>
      </c>
      <c r="D34" s="465" t="str">
        <f ca="1">'Hilfstabelle Datendef KB'!R22</f>
        <v>Derzeit keine Vorgaben</v>
      </c>
      <c r="E34" s="465" t="str">
        <f ca="1">'Hilfstabelle Datendef KB'!S22</f>
        <v>-----</v>
      </c>
      <c r="F34" s="463" t="str">
        <f ca="1">'Hilfstabelle Datendef KB'!T22</f>
        <v>-----</v>
      </c>
      <c r="G34" s="463" t="str">
        <f ca="1">'Hilfstabelle Datendef KB'!U22</f>
        <v>-----</v>
      </c>
      <c r="H34" s="464" t="str">
        <f ca="1">'Hilfstabelle Datendef KB'!V22</f>
        <v>n.d.</v>
      </c>
      <c r="I34" s="463" t="str">
        <f ca="1">'Hilfstabelle Datendef KB'!W22</f>
        <v>Unvollständig</v>
      </c>
      <c r="J34" s="483" t="str">
        <f ca="1">'Hilfstabelle Datendef KB'!X22</f>
        <v>-----</v>
      </c>
      <c r="K34" s="446" t="str">
        <f ca="1">'Hilfstabelle Datendef KB'!Y22</f>
        <v>-----</v>
      </c>
    </row>
    <row r="36" spans="1:11" x14ac:dyDescent="0.3">
      <c r="H36" s="450"/>
    </row>
  </sheetData>
  <sheetProtection algorithmName="SHA-512" hashValue="RZBbZHDSI74jdTZFC/my/YueXvHHACW5Y/Jq1D/XvoeaJprWpPtozfWHxPdV7Ijq1+/YlW96fuuZSU5D0FaUCQ==" saltValue="bHFL8/8fS1iEgAhkv4UeWw==" spinCount="100000" sheet="1" objects="1" scenarios="1" selectLockedCells="1"/>
  <customSheetViews>
    <customSheetView guid="{DAA0C1F4-4D8F-4BD8-91F9-40281B589772}" showGridLines="0" topLeftCell="A23">
      <selection activeCell="K19" sqref="K19"/>
      <pageMargins left="7.874015748031496E-2" right="7.874015748031496E-2" top="0.19685039370078741" bottom="0.27559055118110237" header="0.11811023622047245" footer="0.11811023622047245"/>
      <pageSetup paperSize="9" orientation="landscape" horizontalDpi="0" verticalDpi="0" r:id="rId1"/>
      <headerFooter>
        <oddFooter>&amp;L&amp;"Arial,Standard"&amp;7&amp;F&amp;C&amp;"Arial,Standard"&amp;7 © DKG  Alle Rechte vorbehalten&amp;R&amp;"Arial,Standard"&amp;7&amp;P</oddFooter>
      </headerFooter>
    </customSheetView>
    <customSheetView guid="{AD479C9E-06F7-4C03-8179-295428B49475}" showGridLines="0">
      <selection activeCell="G20" sqref="G20"/>
      <pageMargins left="7.874015748031496E-2" right="7.874015748031496E-2" top="0.19685039370078741" bottom="0.27559055118110237" header="0.11811023622047245" footer="0.11811023622047245"/>
      <pageSetup paperSize="9" orientation="landscape" horizontalDpi="0" verticalDpi="0" r:id="rId2"/>
      <headerFooter>
        <oddFooter>&amp;L&amp;"Arial,Standard"&amp;7&amp;F&amp;C&amp;"Arial,Standard"&amp;7 © DKG  Alle Rechte vorbehalten&amp;R&amp;"Arial,Standard"&amp;7&amp;P</oddFooter>
      </headerFooter>
    </customSheetView>
  </customSheetViews>
  <mergeCells count="8">
    <mergeCell ref="C6:J6"/>
    <mergeCell ref="B12:B13"/>
    <mergeCell ref="A12:A13"/>
    <mergeCell ref="C8:E8"/>
    <mergeCell ref="I12:I13"/>
    <mergeCell ref="F12:H12"/>
    <mergeCell ref="C12:E12"/>
    <mergeCell ref="J12:K12"/>
  </mergeCells>
  <phoneticPr fontId="40" type="noConversion"/>
  <conditionalFormatting sqref="A14:H29 J14:K29">
    <cfRule type="notContainsBlanks" dxfId="288" priority="41" stopIfTrue="1">
      <formula>LEN(TRIM(A14))&gt;0</formula>
    </cfRule>
  </conditionalFormatting>
  <conditionalFormatting sqref="J12">
    <cfRule type="expression" dxfId="287" priority="39" stopIfTrue="1">
      <formula>$B$10="Kein Datendefizit vorhanden"</formula>
    </cfRule>
  </conditionalFormatting>
  <conditionalFormatting sqref="B12:B13">
    <cfRule type="expression" dxfId="286" priority="38" stopIfTrue="1">
      <formula>$B$10="Kein Datendefizit vorhanden"</formula>
    </cfRule>
  </conditionalFormatting>
  <conditionalFormatting sqref="C12:E12">
    <cfRule type="expression" dxfId="285" priority="37" stopIfTrue="1">
      <formula>$B$10="Kein Datendefizit vorhanden"</formula>
    </cfRule>
  </conditionalFormatting>
  <conditionalFormatting sqref="C13">
    <cfRule type="expression" dxfId="284" priority="36" stopIfTrue="1">
      <formula>$B$10="Kein Datendefizit vorhanden"</formula>
    </cfRule>
  </conditionalFormatting>
  <conditionalFormatting sqref="D13">
    <cfRule type="expression" dxfId="283" priority="35" stopIfTrue="1">
      <formula>$B$10="Kein Datendefizit vorhanden"</formula>
    </cfRule>
  </conditionalFormatting>
  <conditionalFormatting sqref="E13">
    <cfRule type="expression" dxfId="282" priority="34" stopIfTrue="1">
      <formula>$B$10="Kein Datendefizit vorhanden"</formula>
    </cfRule>
  </conditionalFormatting>
  <conditionalFormatting sqref="F13">
    <cfRule type="expression" dxfId="281" priority="33" stopIfTrue="1">
      <formula>$B$10="Kein Datendefizit vorhanden"</formula>
    </cfRule>
  </conditionalFormatting>
  <conditionalFormatting sqref="G13">
    <cfRule type="expression" dxfId="280" priority="32" stopIfTrue="1">
      <formula>$B$10="Kein Datendefizit vorhanden"</formula>
    </cfRule>
  </conditionalFormatting>
  <conditionalFormatting sqref="H13">
    <cfRule type="expression" dxfId="279" priority="31" stopIfTrue="1">
      <formula>$B$10="Kein Datendefizit vorhanden"</formula>
    </cfRule>
  </conditionalFormatting>
  <conditionalFormatting sqref="F12:H12">
    <cfRule type="expression" dxfId="278" priority="30" stopIfTrue="1">
      <formula>$B$10="Kein Datendefizit vorhanden"</formula>
    </cfRule>
  </conditionalFormatting>
  <conditionalFormatting sqref="I12:I13">
    <cfRule type="expression" dxfId="277" priority="29" stopIfTrue="1">
      <formula>$B$10="Kein Datendefizit vorhanden"</formula>
    </cfRule>
  </conditionalFormatting>
  <conditionalFormatting sqref="J13">
    <cfRule type="expression" dxfId="276" priority="27" stopIfTrue="1">
      <formula>$B$10="Kein Datendefizit vorhanden"</formula>
    </cfRule>
  </conditionalFormatting>
  <conditionalFormatting sqref="K13">
    <cfRule type="expression" dxfId="275" priority="26" stopIfTrue="1">
      <formula>$B$10="Kein Datendefizit vorhanden"</formula>
    </cfRule>
  </conditionalFormatting>
  <conditionalFormatting sqref="A12:A13">
    <cfRule type="expression" dxfId="274" priority="25" stopIfTrue="1">
      <formula>$B$10="Kein Datendefizit vorhanden"</formula>
    </cfRule>
  </conditionalFormatting>
  <conditionalFormatting sqref="I30">
    <cfRule type="expression" dxfId="273" priority="21" stopIfTrue="1">
      <formula>AND($I30&lt;&gt;"",$I30="Sollvorgabe nicht erfüllt")</formula>
    </cfRule>
    <cfRule type="expression" dxfId="272" priority="22" stopIfTrue="1">
      <formula>AND($I30&lt;&gt;"",$I30="I.O. (Plausibilität unklar)")</formula>
    </cfRule>
    <cfRule type="expression" dxfId="271" priority="23" stopIfTrue="1">
      <formula>OR(AND($I30&lt;&gt;"",$I30="Unvollständig"),AND($I30&lt;&gt;"",$I30="Inkorrekt"))</formula>
    </cfRule>
  </conditionalFormatting>
  <conditionalFormatting sqref="A30:H30 J30:K30">
    <cfRule type="notContainsBlanks" dxfId="270" priority="20" stopIfTrue="1">
      <formula>LEN(TRIM(A30))&gt;0</formula>
    </cfRule>
  </conditionalFormatting>
  <conditionalFormatting sqref="I31">
    <cfRule type="expression" dxfId="269" priority="17" stopIfTrue="1">
      <formula>AND($I31&lt;&gt;"",$I31="Sollvorgabe nicht erfüllt")</formula>
    </cfRule>
    <cfRule type="expression" dxfId="268" priority="18" stopIfTrue="1">
      <formula>AND($I31&lt;&gt;"",$I31="I.O. (Plausibilität unklar)")</formula>
    </cfRule>
    <cfRule type="expression" dxfId="267" priority="19" stopIfTrue="1">
      <formula>OR(AND($I31&lt;&gt;"",$I31="Unvollständig"),AND($I31&lt;&gt;"",$I31="Inkorrekt"))</formula>
    </cfRule>
  </conditionalFormatting>
  <conditionalFormatting sqref="A31:H31 J31:K31">
    <cfRule type="notContainsBlanks" dxfId="266" priority="16" stopIfTrue="1">
      <formula>LEN(TRIM(A31))&gt;0</formula>
    </cfRule>
  </conditionalFormatting>
  <conditionalFormatting sqref="A32:H34 J32:K34">
    <cfRule type="notContainsBlanks" dxfId="265" priority="12" stopIfTrue="1">
      <formula>LEN(TRIM(A32))&gt;0</formula>
    </cfRule>
  </conditionalFormatting>
  <conditionalFormatting sqref="J12:K12">
    <cfRule type="expression" dxfId="264" priority="11">
      <formula>$J$12="Verifizierung Zentrum"</formula>
    </cfRule>
  </conditionalFormatting>
  <conditionalFormatting sqref="I14">
    <cfRule type="expression" dxfId="263" priority="10">
      <formula>AND($I14&lt;&gt;"",$I14="Ausnahme (Plausibilität unklar)")</formula>
    </cfRule>
  </conditionalFormatting>
  <conditionalFormatting sqref="I15">
    <cfRule type="expression" dxfId="262" priority="9">
      <formula>AND($I15&lt;&gt;"",$I15="Ausnahme (Plausibilität unklar)")</formula>
    </cfRule>
  </conditionalFormatting>
  <conditionalFormatting sqref="I32">
    <cfRule type="expression" dxfId="261" priority="8" stopIfTrue="1">
      <formula>AND($I32&lt;&gt;"",$I32="Sollvorgabe nicht erfüllt")</formula>
    </cfRule>
    <cfRule type="expression" dxfId="260" priority="13" stopIfTrue="1">
      <formula>AND($I32&lt;&gt;"",$I32="I.O. (Plausibilität unklar)")</formula>
    </cfRule>
    <cfRule type="expression" dxfId="259" priority="14" stopIfTrue="1">
      <formula>AND($I32&lt;&gt;"",$I32="Ausnahme (Plausibilität unklar)")</formula>
    </cfRule>
    <cfRule type="expression" dxfId="258" priority="15" stopIfTrue="1">
      <formula>OR(AND($I32&lt;&gt;"",$I32="Unvollständig"),AND($I32&lt;&gt;"",$I32="Inkorrekt"))</formula>
    </cfRule>
  </conditionalFormatting>
  <conditionalFormatting sqref="I33">
    <cfRule type="expression" dxfId="257" priority="1" stopIfTrue="1">
      <formula>AND($I33&lt;&gt;"",$I33="Sollvorgabe nicht erfüllt")</formula>
    </cfRule>
    <cfRule type="expression" dxfId="256" priority="5" stopIfTrue="1">
      <formula>AND($I33&lt;&gt;"",$I33="I.O. (Plausibilität unklar)")</formula>
    </cfRule>
    <cfRule type="expression" dxfId="255" priority="6" stopIfTrue="1">
      <formula>OR(AND($I33&lt;&gt;"",$I33="Unvollständig"),AND($I33&lt;&gt;"",$I33="Inkorrekt"))</formula>
    </cfRule>
  </conditionalFormatting>
  <conditionalFormatting sqref="I34">
    <cfRule type="expression" dxfId="254" priority="2" stopIfTrue="1">
      <formula>AND($I34&lt;&gt;"",$I34="Sollvorgabe nicht erfüllt")</formula>
    </cfRule>
    <cfRule type="expression" dxfId="253" priority="3" stopIfTrue="1">
      <formula>AND($I34&lt;&gt;"",$I34="Ausnahme (Plausibilität unklar)")</formula>
    </cfRule>
    <cfRule type="expression" dxfId="252" priority="4" stopIfTrue="1">
      <formula>OR(AND($I34&lt;&gt;"",$I34="Unvollständig"),AND($I34&lt;&gt;"",$I34="Inkorrekt"))</formula>
    </cfRule>
  </conditionalFormatting>
  <conditionalFormatting sqref="I14:I34">
    <cfRule type="expression" dxfId="251" priority="7" stopIfTrue="1">
      <formula>AND($I14&lt;&gt;"",$I14="Ausnahme (Plausibilität unklar)")</formula>
    </cfRule>
    <cfRule type="expression" dxfId="250" priority="42" stopIfTrue="1">
      <formula>AND($I14&lt;&gt;"",$I14="Sollvorgabe nicht erfüllt")</formula>
    </cfRule>
    <cfRule type="expression" dxfId="249" priority="43" stopIfTrue="1">
      <formula>AND($I14&lt;&gt;"",$I14="I.O. (Plausibilität unklar)")</formula>
    </cfRule>
    <cfRule type="expression" dxfId="248" priority="44" stopIfTrue="1">
      <formula>OR(AND($I14&lt;&gt;"",$I14="Unvollständig"),AND($I14&lt;&gt;"",$I14="Inkorrekt"))</formula>
    </cfRule>
  </conditionalFormatting>
  <pageMargins left="0.39370078740157483" right="3.937007874015748E-2" top="0.59055118110236227" bottom="0.39370078740157483" header="0.11811023622047245" footer="0.11811023622047245"/>
  <pageSetup paperSize="9" orientation="landscape" r:id="rId3"/>
  <headerFooter>
    <oddFooter>&amp;L&amp;"Arial,Standard"&amp;7&amp;F&amp;C&amp;"Arial,Standard"&amp;7 © DKG  Alle Rechte vorbehalten&amp;R&amp;"Arial,Standard"&amp;7&amp;P</oddFooter>
    <firstHeader>&amp;C&amp;F&amp;RUnabhängiges Zertifizierungsinstitut
der Deutschen Krebsgesellschaft
Gartenstraße 24, D-89231 Neu-Ulm
Tel. +49  (0)7 31 / 70 51 16 - 0
Fax  +49  (0)7 31 / 70 51 16 - 16
www.onkozert.de, info@onkozert.d</firstHeader>
  </headerFooter>
  <rowBreaks count="6" manualBreakCount="6">
    <brk id="15" max="10" man="1"/>
    <brk id="23" max="10" man="1"/>
    <brk id="25" max="10" man="1"/>
    <brk id="27" max="10" man="1"/>
    <brk id="29" max="10" man="1"/>
    <brk id="31" max="10" man="1"/>
  </rowBreaks>
  <colBreaks count="1" manualBreakCount="1">
    <brk id="15" max="1048575" man="1"/>
  </colBreaks>
  <ignoredErrors>
    <ignoredError sqref="D13" formula="1"/>
  </ignoredErrors>
  <drawing r:id="rId4"/>
  <legacyDrawing r:id="rId5"/>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14"/>
  <dimension ref="A1:AN79"/>
  <sheetViews>
    <sheetView showGridLines="0" showRuler="0" zoomScaleNormal="100" workbookViewId="0">
      <selection activeCell="D19" sqref="D19"/>
    </sheetView>
  </sheetViews>
  <sheetFormatPr defaultColWidth="5.33203125" defaultRowHeight="13.8" x14ac:dyDescent="0.25"/>
  <cols>
    <col min="1" max="1" width="10.109375" style="4" customWidth="1"/>
    <col min="2" max="3" width="4.6640625" style="4" customWidth="1"/>
    <col min="4" max="9" width="5.33203125" style="4" customWidth="1"/>
    <col min="10" max="10" width="0.5546875" style="4" customWidth="1"/>
    <col min="11" max="14" width="4.6640625" style="4" customWidth="1"/>
    <col min="15" max="15" width="8.5546875" style="4" customWidth="1"/>
    <col min="16" max="16" width="0.5546875" style="4" customWidth="1"/>
    <col min="17" max="17" width="5.6640625" style="4" customWidth="1"/>
    <col min="18" max="18" width="5.33203125" style="4" customWidth="1"/>
    <col min="19" max="21" width="4.6640625" style="4" customWidth="1"/>
    <col min="22" max="23" width="4.88671875" style="4" customWidth="1"/>
    <col min="24" max="24" width="0.5546875" style="4" customWidth="1"/>
    <col min="25" max="25" width="7" style="4" customWidth="1"/>
    <col min="26" max="26" width="7" style="40" customWidth="1"/>
    <col min="27" max="27" width="8" style="4" customWidth="1"/>
    <col min="28" max="211" width="11.44140625" style="4" customWidth="1"/>
    <col min="212" max="250" width="9" style="4" customWidth="1"/>
    <col min="251" max="251" width="10.109375" style="4" customWidth="1"/>
    <col min="252" max="253" width="4.6640625" style="4" customWidth="1"/>
    <col min="254" max="16384" width="5.33203125" style="4"/>
  </cols>
  <sheetData>
    <row r="1" spans="1:40" ht="9.9" customHeight="1" x14ac:dyDescent="0.25">
      <c r="C1" s="33"/>
      <c r="L1" s="22"/>
      <c r="M1" s="22"/>
      <c r="N1" s="22"/>
      <c r="O1" s="22"/>
      <c r="P1" s="22"/>
      <c r="Q1" s="22"/>
      <c r="R1" s="22"/>
      <c r="S1" s="22"/>
      <c r="T1" s="22"/>
    </row>
    <row r="2" spans="1:40" ht="12.9" customHeight="1" x14ac:dyDescent="0.25">
      <c r="A2" s="548" t="s">
        <v>962</v>
      </c>
      <c r="B2" s="8"/>
      <c r="C2" s="475"/>
      <c r="D2" s="547"/>
      <c r="E2" s="8"/>
      <c r="F2" s="8"/>
      <c r="G2" s="8"/>
      <c r="H2" s="8"/>
      <c r="I2" s="197"/>
      <c r="J2" s="8"/>
      <c r="K2" s="8"/>
      <c r="L2" s="193"/>
      <c r="M2" s="193"/>
      <c r="N2" s="193"/>
      <c r="O2" s="193"/>
      <c r="P2" s="193"/>
      <c r="Q2" s="193"/>
      <c r="R2" s="193"/>
      <c r="S2" s="193"/>
      <c r="T2" s="22"/>
    </row>
    <row r="3" spans="1:40" ht="15.6" x14ac:dyDescent="0.3">
      <c r="A3" s="146" t="s">
        <v>946</v>
      </c>
      <c r="B3" s="8"/>
      <c r="C3" s="8"/>
      <c r="D3" s="8"/>
      <c r="E3" s="8"/>
      <c r="F3" s="8"/>
      <c r="G3" s="8"/>
      <c r="H3" s="8"/>
      <c r="I3" s="8"/>
      <c r="J3" s="8"/>
      <c r="K3" s="8"/>
      <c r="L3" s="193"/>
      <c r="M3" s="193"/>
      <c r="N3" s="193"/>
      <c r="O3" s="193"/>
      <c r="P3" s="193"/>
      <c r="Q3" s="193"/>
      <c r="R3" s="193"/>
      <c r="S3" s="194"/>
      <c r="T3" s="23"/>
      <c r="U3" s="23"/>
    </row>
    <row r="4" spans="1:40" x14ac:dyDescent="0.25">
      <c r="A4" s="198"/>
      <c r="B4" s="8"/>
      <c r="C4" s="8"/>
      <c r="D4" s="8"/>
      <c r="E4" s="8"/>
      <c r="F4" s="8"/>
      <c r="G4" s="8"/>
      <c r="H4" s="8"/>
      <c r="I4" s="8"/>
      <c r="J4" s="8"/>
      <c r="K4" s="8"/>
      <c r="L4" s="193"/>
      <c r="M4" s="193"/>
      <c r="N4" s="193"/>
      <c r="O4" s="193"/>
      <c r="P4" s="193"/>
      <c r="Q4" s="193"/>
      <c r="R4" s="193"/>
      <c r="S4" s="194"/>
      <c r="T4" s="23"/>
      <c r="U4" s="23"/>
      <c r="AK4" s="73"/>
      <c r="AL4" s="73"/>
      <c r="AM4" s="73"/>
      <c r="AN4" s="73"/>
    </row>
    <row r="5" spans="1:40" ht="6" customHeight="1" x14ac:dyDescent="0.25">
      <c r="Q5" s="22"/>
      <c r="R5" s="22"/>
      <c r="S5" s="34"/>
      <c r="T5" s="34"/>
      <c r="U5" s="34"/>
      <c r="AK5" s="73"/>
      <c r="AL5" s="73"/>
      <c r="AM5" s="73"/>
      <c r="AN5" s="73"/>
    </row>
    <row r="6" spans="1:40" s="29" customFormat="1" ht="15" customHeight="1" x14ac:dyDescent="0.25">
      <c r="A6" s="1016" t="s">
        <v>135</v>
      </c>
      <c r="B6" s="1016"/>
      <c r="C6" s="942" t="str">
        <f>IF(Basisdaten!C8=0,"",Basisdaten!C8)</f>
        <v/>
      </c>
      <c r="D6" s="943"/>
      <c r="E6" s="943"/>
      <c r="F6" s="943"/>
      <c r="G6" s="943"/>
      <c r="H6" s="943"/>
      <c r="I6" s="943"/>
      <c r="J6" s="943"/>
      <c r="K6" s="943"/>
      <c r="L6" s="943"/>
      <c r="M6" s="943"/>
      <c r="N6" s="943"/>
      <c r="O6" s="943"/>
      <c r="P6" s="943"/>
      <c r="Q6" s="943"/>
      <c r="R6" s="943"/>
      <c r="S6" s="943"/>
      <c r="T6" s="943"/>
      <c r="U6" s="943"/>
      <c r="V6" s="943"/>
      <c r="W6" s="944"/>
      <c r="Z6" s="16"/>
      <c r="AK6" s="73"/>
      <c r="AL6" s="73"/>
      <c r="AM6" s="73"/>
      <c r="AN6" s="73"/>
    </row>
    <row r="7" spans="1:40" s="29" customFormat="1" ht="6.9" customHeight="1" x14ac:dyDescent="0.25">
      <c r="B7" s="6"/>
      <c r="C7" s="28"/>
      <c r="D7" s="4"/>
      <c r="E7" s="4"/>
      <c r="F7" s="4"/>
      <c r="G7" s="4"/>
      <c r="H7" s="4"/>
      <c r="I7" s="4"/>
      <c r="J7" s="27"/>
      <c r="K7" s="199"/>
      <c r="L7" s="199"/>
      <c r="M7" s="38"/>
      <c r="AK7" s="73"/>
      <c r="AL7" s="73"/>
      <c r="AM7" s="73"/>
      <c r="AN7" s="73"/>
    </row>
    <row r="8" spans="1:40" s="29" customFormat="1" ht="15" customHeight="1" x14ac:dyDescent="0.25">
      <c r="A8" s="1017" t="s">
        <v>81</v>
      </c>
      <c r="B8" s="1017"/>
      <c r="C8" s="986" t="str">
        <f>IF(Basisdaten!C6=0,"",Basisdaten!C6)</f>
        <v/>
      </c>
      <c r="D8" s="987"/>
      <c r="E8" s="987"/>
      <c r="F8" s="987"/>
      <c r="G8" s="988"/>
      <c r="H8" s="280"/>
      <c r="I8" s="280"/>
      <c r="J8" s="280"/>
      <c r="K8" s="280"/>
      <c r="L8" s="280"/>
      <c r="P8" s="5" t="s">
        <v>376</v>
      </c>
      <c r="S8" s="983" t="str">
        <f>IF(Basisdaten!I12=0,"",Basisdaten!I12)</f>
        <v/>
      </c>
      <c r="T8" s="984"/>
      <c r="U8" s="984"/>
      <c r="V8" s="984"/>
      <c r="W8" s="985"/>
      <c r="AK8" s="73"/>
      <c r="AL8" s="73"/>
      <c r="AM8" s="73"/>
      <c r="AN8" s="73"/>
    </row>
    <row r="9" spans="1:40" s="29" customFormat="1" ht="6" customHeight="1" x14ac:dyDescent="0.25">
      <c r="B9" s="30"/>
      <c r="C9" s="31"/>
      <c r="D9" s="4"/>
      <c r="F9" s="34"/>
      <c r="G9" s="34"/>
      <c r="H9" s="34"/>
      <c r="I9" s="34"/>
      <c r="J9" s="200"/>
      <c r="L9" s="199"/>
      <c r="M9" s="201"/>
      <c r="N9" s="34"/>
      <c r="O9" s="34"/>
      <c r="Z9" s="16"/>
      <c r="AK9" s="73"/>
      <c r="AL9" s="73"/>
      <c r="AM9" s="73"/>
      <c r="AN9" s="73"/>
    </row>
    <row r="10" spans="1:40" ht="5.25" customHeight="1" x14ac:dyDescent="0.25">
      <c r="K10" s="29"/>
      <c r="AK10" s="73"/>
      <c r="AL10" s="73"/>
      <c r="AM10" s="73"/>
      <c r="AN10" s="73"/>
    </row>
    <row r="11" spans="1:40" s="8" customFormat="1" x14ac:dyDescent="0.25">
      <c r="A11" s="35" t="s">
        <v>109</v>
      </c>
      <c r="Z11" s="17"/>
      <c r="AK11" s="73"/>
      <c r="AL11" s="73"/>
      <c r="AM11" s="73"/>
      <c r="AN11" s="73"/>
    </row>
    <row r="12" spans="1:40" s="8" customFormat="1" ht="11.25" customHeight="1" x14ac:dyDescent="0.25">
      <c r="A12" s="1063" t="str">
        <f>IF(OR(A13="",A13="Matrix kann eingereicht werden"),"In Ordnung",IF(A13="die inkorrekten und unvollständigen Einträge beheben","Nicht in Ordnung"))</f>
        <v>In Ordnung</v>
      </c>
      <c r="B12" s="1064"/>
      <c r="C12" s="1064"/>
      <c r="D12" s="1065"/>
      <c r="E12" s="1069" t="s">
        <v>79</v>
      </c>
      <c r="F12" s="1070"/>
      <c r="G12" s="1070"/>
      <c r="H12" s="1070"/>
      <c r="I12" s="1070"/>
      <c r="J12" s="1071"/>
      <c r="K12" s="995" t="s">
        <v>10</v>
      </c>
      <c r="L12" s="996"/>
      <c r="M12" s="996"/>
      <c r="N12" s="996"/>
      <c r="O12" s="997"/>
      <c r="P12" s="998" t="s">
        <v>99</v>
      </c>
      <c r="Q12" s="999"/>
      <c r="R12" s="999"/>
      <c r="S12" s="999"/>
      <c r="T12" s="999"/>
      <c r="U12" s="1000"/>
      <c r="V12" s="999" t="s">
        <v>460</v>
      </c>
      <c r="W12" s="999"/>
      <c r="X12" s="999"/>
      <c r="Y12" s="999"/>
      <c r="Z12" s="1000"/>
      <c r="AK12" s="73"/>
      <c r="AL12" s="73"/>
      <c r="AM12" s="73"/>
      <c r="AN12" s="73"/>
    </row>
    <row r="13" spans="1:40" s="8" customFormat="1" ht="17.25" customHeight="1" x14ac:dyDescent="0.3">
      <c r="A13" s="1066" t="str">
        <f>Berechnung2!B6</f>
        <v/>
      </c>
      <c r="B13" s="1067"/>
      <c r="C13" s="1067"/>
      <c r="D13" s="1068"/>
      <c r="E13" s="1072">
        <f>Berechnung2!C6</f>
        <v>0</v>
      </c>
      <c r="F13" s="1073"/>
      <c r="G13" s="1073"/>
      <c r="H13" s="1073"/>
      <c r="I13" s="1073"/>
      <c r="J13" s="210"/>
      <c r="K13" s="1003">
        <f>Berechnung2!D6</f>
        <v>0</v>
      </c>
      <c r="L13" s="1004"/>
      <c r="M13" s="1004"/>
      <c r="N13" s="1004"/>
      <c r="O13" s="1005"/>
      <c r="P13" s="989">
        <f>Berechnung2!E6</f>
        <v>0</v>
      </c>
      <c r="Q13" s="990"/>
      <c r="R13" s="990"/>
      <c r="S13" s="990"/>
      <c r="T13" s="990"/>
      <c r="U13" s="991"/>
      <c r="V13" s="990">
        <f>Berechnung2!F6</f>
        <v>0</v>
      </c>
      <c r="W13" s="990"/>
      <c r="X13" s="990"/>
      <c r="Y13" s="990"/>
      <c r="Z13" s="991"/>
      <c r="AK13" s="73"/>
      <c r="AL13" s="73"/>
      <c r="AM13" s="73"/>
      <c r="AN13" s="73"/>
    </row>
    <row r="14" spans="1:40" s="29" customFormat="1" ht="14.25" customHeight="1" thickBot="1" x14ac:dyDescent="0.3">
      <c r="B14" s="6"/>
      <c r="C14" s="14"/>
      <c r="D14" s="14"/>
      <c r="E14" s="14"/>
      <c r="F14" s="14"/>
      <c r="G14" s="14"/>
      <c r="H14" s="14"/>
      <c r="I14" s="14"/>
      <c r="Z14" s="16"/>
      <c r="AK14" s="73"/>
      <c r="AL14" s="73"/>
      <c r="AM14" s="73"/>
      <c r="AN14" s="73"/>
    </row>
    <row r="15" spans="1:40" ht="24" customHeight="1" thickTop="1" thickBot="1" x14ac:dyDescent="0.35">
      <c r="A15" s="299"/>
      <c r="B15" s="300"/>
      <c r="C15" s="1078" t="s">
        <v>212</v>
      </c>
      <c r="D15" s="1079"/>
      <c r="E15" s="1079"/>
      <c r="F15" s="1079"/>
      <c r="G15" s="1079"/>
      <c r="H15" s="1079"/>
      <c r="I15" s="1079"/>
      <c r="J15" s="974"/>
      <c r="K15" s="1006" t="s">
        <v>87</v>
      </c>
      <c r="L15" s="1007"/>
      <c r="M15" s="1007"/>
      <c r="N15" s="1007"/>
      <c r="O15" s="1007"/>
      <c r="P15" s="1007"/>
      <c r="Q15" s="1007"/>
      <c r="R15" s="1007"/>
      <c r="S15" s="1007"/>
      <c r="T15" s="1007"/>
      <c r="U15" s="1007"/>
      <c r="V15" s="1007"/>
      <c r="W15" s="1008"/>
      <c r="X15" s="974"/>
      <c r="Y15" s="1009" t="s">
        <v>716</v>
      </c>
      <c r="Z15" s="1010"/>
      <c r="AK15" s="73"/>
      <c r="AL15" s="73"/>
      <c r="AM15" s="73"/>
      <c r="AN15" s="73"/>
    </row>
    <row r="16" spans="1:40" ht="15.75" customHeight="1" thickBot="1" x14ac:dyDescent="0.3">
      <c r="A16" s="202" t="s">
        <v>213</v>
      </c>
      <c r="B16" s="202" t="s">
        <v>167</v>
      </c>
      <c r="C16" s="203" t="s">
        <v>170</v>
      </c>
      <c r="D16" s="204" t="s">
        <v>164</v>
      </c>
      <c r="E16" s="204" t="s">
        <v>214</v>
      </c>
      <c r="F16" s="204" t="s">
        <v>11</v>
      </c>
      <c r="G16" s="204" t="s">
        <v>165</v>
      </c>
      <c r="H16" s="204" t="s">
        <v>231</v>
      </c>
      <c r="I16" s="204" t="s">
        <v>356</v>
      </c>
      <c r="J16" s="975"/>
      <c r="K16" s="205" t="s">
        <v>215</v>
      </c>
      <c r="L16" s="205" t="s">
        <v>86</v>
      </c>
      <c r="M16" s="205" t="s">
        <v>166</v>
      </c>
      <c r="N16" s="213" t="s">
        <v>232</v>
      </c>
      <c r="O16" s="203" t="s">
        <v>357</v>
      </c>
      <c r="P16" s="980"/>
      <c r="Q16" s="205" t="s">
        <v>216</v>
      </c>
      <c r="R16" s="205" t="s">
        <v>217</v>
      </c>
      <c r="S16" s="205" t="s">
        <v>218</v>
      </c>
      <c r="T16" s="205" t="s">
        <v>219</v>
      </c>
      <c r="U16" s="205" t="s">
        <v>220</v>
      </c>
      <c r="V16" s="203" t="s">
        <v>221</v>
      </c>
      <c r="W16" s="213" t="s">
        <v>358</v>
      </c>
      <c r="X16" s="975"/>
      <c r="Y16" s="204" t="s">
        <v>222</v>
      </c>
      <c r="Z16" s="301" t="s">
        <v>359</v>
      </c>
      <c r="AK16" s="73"/>
      <c r="AL16" s="73"/>
      <c r="AM16" s="73"/>
      <c r="AN16" s="73"/>
    </row>
    <row r="17" spans="1:40" ht="35.1" customHeight="1" x14ac:dyDescent="0.25">
      <c r="A17" s="1074" t="s">
        <v>59</v>
      </c>
      <c r="B17" s="1074" t="s">
        <v>12</v>
      </c>
      <c r="C17" s="1076" t="s">
        <v>938</v>
      </c>
      <c r="D17" s="1026" t="s">
        <v>708</v>
      </c>
      <c r="E17" s="1026" t="s">
        <v>709</v>
      </c>
      <c r="F17" s="1026" t="s">
        <v>710</v>
      </c>
      <c r="G17" s="1026" t="s">
        <v>711</v>
      </c>
      <c r="H17" s="1026" t="s">
        <v>712</v>
      </c>
      <c r="I17" s="1026" t="s">
        <v>713</v>
      </c>
      <c r="J17" s="975"/>
      <c r="K17" s="1041" t="s">
        <v>939</v>
      </c>
      <c r="L17" s="1001" t="s">
        <v>714</v>
      </c>
      <c r="M17" s="1001" t="s">
        <v>715</v>
      </c>
      <c r="N17" s="1001" t="s">
        <v>717</v>
      </c>
      <c r="O17" s="976" t="s">
        <v>513</v>
      </c>
      <c r="P17" s="975"/>
      <c r="Q17" s="978" t="s">
        <v>1017</v>
      </c>
      <c r="R17" s="1014" t="s">
        <v>940</v>
      </c>
      <c r="S17" s="1013" t="s">
        <v>941</v>
      </c>
      <c r="T17" s="962" t="s">
        <v>942</v>
      </c>
      <c r="U17" s="959" t="s">
        <v>877</v>
      </c>
      <c r="V17" s="1035" t="s">
        <v>233</v>
      </c>
      <c r="W17" s="1037" t="s">
        <v>234</v>
      </c>
      <c r="X17" s="975"/>
      <c r="Y17" s="1039" t="s">
        <v>224</v>
      </c>
      <c r="Z17" s="972" t="s">
        <v>225</v>
      </c>
      <c r="AK17" s="73"/>
      <c r="AL17" s="73"/>
      <c r="AM17" s="73"/>
      <c r="AN17" s="73"/>
    </row>
    <row r="18" spans="1:40" ht="135" customHeight="1" thickBot="1" x14ac:dyDescent="0.3">
      <c r="A18" s="1075"/>
      <c r="B18" s="1075"/>
      <c r="C18" s="1077"/>
      <c r="D18" s="1027"/>
      <c r="E18" s="1027"/>
      <c r="F18" s="1027"/>
      <c r="G18" s="1027"/>
      <c r="H18" s="1027"/>
      <c r="I18" s="1027"/>
      <c r="J18" s="975"/>
      <c r="K18" s="1042"/>
      <c r="L18" s="1002"/>
      <c r="M18" s="1002"/>
      <c r="N18" s="1002"/>
      <c r="O18" s="977"/>
      <c r="P18" s="975"/>
      <c r="Q18" s="979"/>
      <c r="R18" s="1015"/>
      <c r="S18" s="963"/>
      <c r="T18" s="963"/>
      <c r="U18" s="960"/>
      <c r="V18" s="1036"/>
      <c r="W18" s="1038"/>
      <c r="X18" s="975"/>
      <c r="Y18" s="1040"/>
      <c r="Z18" s="973"/>
      <c r="AK18" s="73"/>
      <c r="AL18" s="73"/>
      <c r="AM18" s="73"/>
      <c r="AN18" s="73"/>
    </row>
    <row r="19" spans="1:40" ht="20.100000000000001" customHeight="1" thickBot="1" x14ac:dyDescent="0.3">
      <c r="A19" s="302" t="str">
        <f>IF(Berechnung2!$B$27&gt;6,IF(Berechnung2!$B$27=7,"EZ",IF(Berechnung2!$B$27&gt;7,"relevant","?")),"nicht relevant")</f>
        <v>nicht relevant</v>
      </c>
      <c r="B19" s="207">
        <v>2016</v>
      </c>
      <c r="C19" s="244">
        <f t="shared" ref="C19:C24" si="0">SUM(D19:I19)</f>
        <v>0</v>
      </c>
      <c r="D19" s="528"/>
      <c r="E19" s="528"/>
      <c r="F19" s="528"/>
      <c r="G19" s="528"/>
      <c r="H19" s="528"/>
      <c r="I19" s="528"/>
      <c r="J19" s="975"/>
      <c r="K19" s="527" t="str">
        <f>IF(SUM(L19:N19)=0,"",SUM(L19:N19))</f>
        <v/>
      </c>
      <c r="L19" s="528"/>
      <c r="M19" s="528"/>
      <c r="N19" s="528"/>
      <c r="O19" s="476" t="str">
        <f>IF(K19="","",IF(K19&gt;0,SUM(L19:M19)/K19,0))</f>
        <v/>
      </c>
      <c r="P19" s="975"/>
      <c r="Q19" s="527" t="str">
        <f>IF(COUNTA(R19:W19)&lt;6,"",SUM(L19+M19-R19-S19-T19-U19-V19-W19))</f>
        <v/>
      </c>
      <c r="R19" s="528"/>
      <c r="S19" s="528"/>
      <c r="T19" s="528"/>
      <c r="U19" s="528"/>
      <c r="V19" s="528"/>
      <c r="W19" s="528"/>
      <c r="X19" s="975"/>
      <c r="Y19" s="529"/>
      <c r="Z19" s="530"/>
      <c r="AK19" s="73"/>
      <c r="AL19" s="73"/>
      <c r="AM19" s="73"/>
      <c r="AN19" s="73"/>
    </row>
    <row r="20" spans="1:40" s="15" customFormat="1" ht="20.100000000000001" customHeight="1" thickBot="1" x14ac:dyDescent="0.2">
      <c r="A20" s="302" t="str">
        <f>IF(Berechnung2!$B$27&gt;5,IF(Berechnung2!$B$27=6,"EZ",IF(Berechnung2!$B$27&gt;6,"relevant","?")),"nicht relevant")</f>
        <v>nicht relevant</v>
      </c>
      <c r="B20" s="207">
        <v>2017</v>
      </c>
      <c r="C20" s="244">
        <f t="shared" si="0"/>
        <v>0</v>
      </c>
      <c r="D20" s="528"/>
      <c r="E20" s="528"/>
      <c r="F20" s="528"/>
      <c r="G20" s="528"/>
      <c r="H20" s="528"/>
      <c r="I20" s="528"/>
      <c r="J20" s="975"/>
      <c r="K20" s="527" t="str">
        <f>IF(SUM(L20:N20)=0,"",SUM(L20:N20))</f>
        <v/>
      </c>
      <c r="L20" s="528"/>
      <c r="M20" s="528"/>
      <c r="N20" s="528"/>
      <c r="O20" s="476" t="str">
        <f>IF(K20="","",IF(K20&gt;0,SUM(L20:M20)/K20,0))</f>
        <v/>
      </c>
      <c r="P20" s="975"/>
      <c r="Q20" s="527" t="str">
        <f>IF(COUNTA(R20:W20)&lt;6,"",SUM(L20+M20-R20-S20-T20-U20-V20-W20))</f>
        <v/>
      </c>
      <c r="R20" s="528"/>
      <c r="S20" s="528"/>
      <c r="T20" s="528"/>
      <c r="U20" s="528"/>
      <c r="V20" s="528"/>
      <c r="W20" s="528"/>
      <c r="X20" s="975"/>
      <c r="Y20" s="529"/>
      <c r="Z20" s="530"/>
      <c r="AK20" s="73"/>
      <c r="AL20" s="73"/>
      <c r="AM20" s="73"/>
      <c r="AN20" s="73"/>
    </row>
    <row r="21" spans="1:40" s="15" customFormat="1" ht="20.100000000000001" customHeight="1" thickBot="1" x14ac:dyDescent="0.2">
      <c r="A21" s="302" t="str">
        <f>IF(Berechnung2!$B$27&gt;4,IF(Berechnung2!$B$27=5,"EZ",IF(Berechnung2!$B$27&gt;5,"relevant","?")),"nicht relevant")</f>
        <v>nicht relevant</v>
      </c>
      <c r="B21" s="207">
        <v>2018</v>
      </c>
      <c r="C21" s="244">
        <f t="shared" si="0"/>
        <v>0</v>
      </c>
      <c r="D21" s="528"/>
      <c r="E21" s="528"/>
      <c r="F21" s="528"/>
      <c r="G21" s="528"/>
      <c r="H21" s="528"/>
      <c r="I21" s="528"/>
      <c r="J21" s="975"/>
      <c r="K21" s="206" t="str">
        <f>IF(SUM(L21:N21)=0,"",SUM(L21:N21))</f>
        <v/>
      </c>
      <c r="L21" s="528"/>
      <c r="M21" s="528"/>
      <c r="N21" s="528"/>
      <c r="O21" s="476" t="str">
        <f>IF(K21="","",IF(K21&gt;0,SUM(L21:M21)/K21,0))</f>
        <v/>
      </c>
      <c r="P21" s="975"/>
      <c r="Q21" s="527" t="str">
        <f>IF(COUNTA(R21:W21)&lt;6,"",SUM(L21+M21-R21-S21-T21-U21-V21-W21))</f>
        <v/>
      </c>
      <c r="R21" s="528"/>
      <c r="S21" s="528"/>
      <c r="T21" s="528"/>
      <c r="U21" s="528"/>
      <c r="V21" s="528"/>
      <c r="W21" s="528"/>
      <c r="X21" s="975"/>
      <c r="Y21" s="529"/>
      <c r="Z21" s="530"/>
      <c r="AK21" s="73"/>
      <c r="AL21" s="73"/>
      <c r="AM21" s="73"/>
      <c r="AN21" s="73"/>
    </row>
    <row r="22" spans="1:40" s="15" customFormat="1" ht="20.100000000000001" customHeight="1" thickBot="1" x14ac:dyDescent="0.2">
      <c r="A22" s="302" t="str">
        <f>IF(Berechnung2!$B$27&gt;3,IF(Berechnung2!$B$27=4,"EZ",IF(Berechnung2!$B$27&gt;4,"relevant","?")),"nicht relevant")</f>
        <v>nicht relevant</v>
      </c>
      <c r="B22" s="207">
        <v>2019</v>
      </c>
      <c r="C22" s="244">
        <f t="shared" si="0"/>
        <v>0</v>
      </c>
      <c r="D22" s="528"/>
      <c r="E22" s="528"/>
      <c r="F22" s="528"/>
      <c r="G22" s="528"/>
      <c r="H22" s="528"/>
      <c r="I22" s="528"/>
      <c r="J22" s="975"/>
      <c r="K22" s="527" t="str">
        <f>IF(SUM(L22:N22)=0,"",SUM(L22:N22))</f>
        <v/>
      </c>
      <c r="L22" s="528"/>
      <c r="M22" s="528"/>
      <c r="N22" s="528"/>
      <c r="O22" s="476" t="str">
        <f>IF(K22="","",IF(K22&gt;0,SUM(L22:M22)/K22,0))</f>
        <v/>
      </c>
      <c r="P22" s="975"/>
      <c r="Q22" s="527" t="str">
        <f>IF(COUNTA(R22:W22)&lt;6,"",SUM(L22+M22-R22-S22-T22-U22-V22-W22))</f>
        <v/>
      </c>
      <c r="R22" s="528"/>
      <c r="S22" s="528"/>
      <c r="T22" s="528"/>
      <c r="U22" s="528"/>
      <c r="V22" s="528"/>
      <c r="W22" s="528"/>
      <c r="X22" s="975"/>
      <c r="Y22" s="310"/>
      <c r="Z22" s="311"/>
      <c r="AK22" s="73"/>
      <c r="AL22" s="73"/>
      <c r="AM22" s="73"/>
      <c r="AN22" s="73"/>
    </row>
    <row r="23" spans="1:40" s="15" customFormat="1" ht="20.100000000000001" customHeight="1" thickBot="1" x14ac:dyDescent="0.2">
      <c r="A23" s="303" t="str">
        <f>IF(Berechnung2!$B$27&gt;2,IF(Berechnung2!$B$27=3,"EZ",IF(Berechnung2!$B$27&gt;3,"relevant","?")),"nicht relevant")</f>
        <v>nicht relevant</v>
      </c>
      <c r="B23" s="207">
        <v>2020</v>
      </c>
      <c r="C23" s="244">
        <f>SUM(D23:I23)</f>
        <v>0</v>
      </c>
      <c r="D23" s="528"/>
      <c r="E23" s="528"/>
      <c r="F23" s="528"/>
      <c r="G23" s="528"/>
      <c r="H23" s="528"/>
      <c r="I23" s="528"/>
      <c r="J23" s="975"/>
      <c r="K23" s="593" t="str">
        <f>IF(SUM(L23:N23)=0,"",SUM(L23:N23))</f>
        <v/>
      </c>
      <c r="L23" s="528"/>
      <c r="M23" s="528"/>
      <c r="N23" s="528"/>
      <c r="O23" s="476" t="str">
        <f>IF(K23="","",IF(K23&gt;0,SUM(L23:M23)/K23,0))</f>
        <v/>
      </c>
      <c r="P23" s="975"/>
      <c r="Q23" s="593" t="str">
        <f>IF(COUNTA(R23:W23)&lt;6,"",SUM(L23+M23-R23-S23-T23-U23-V23-W23))</f>
        <v/>
      </c>
      <c r="R23" s="528"/>
      <c r="S23" s="528"/>
      <c r="T23" s="528"/>
      <c r="U23" s="528"/>
      <c r="V23" s="528"/>
      <c r="W23" s="528"/>
      <c r="X23" s="975"/>
      <c r="Y23" s="310"/>
      <c r="Z23" s="311"/>
      <c r="AK23" s="73"/>
      <c r="AL23" s="73"/>
      <c r="AM23" s="73"/>
      <c r="AN23" s="73"/>
    </row>
    <row r="24" spans="1:40" s="15" customFormat="1" ht="20.100000000000001" customHeight="1" thickBot="1" x14ac:dyDescent="0.2">
      <c r="A24" s="579" t="str">
        <f>IF(Berechnung2!$B$27&gt;1,IF(Berechnung2!$B$27=2,"EZ",IF(Berechnung2!$B$27&gt;2,"relevant","?")),"nicht relevant")</f>
        <v>nicht relevant</v>
      </c>
      <c r="B24" s="578" t="s">
        <v>876</v>
      </c>
      <c r="C24" s="577">
        <f t="shared" si="0"/>
        <v>0</v>
      </c>
      <c r="D24" s="528"/>
      <c r="E24" s="528"/>
      <c r="F24" s="528"/>
      <c r="G24" s="528"/>
      <c r="H24" s="528"/>
      <c r="I24" s="528"/>
      <c r="J24" s="975"/>
      <c r="K24" s="992"/>
      <c r="L24" s="993"/>
      <c r="M24" s="993"/>
      <c r="N24" s="993"/>
      <c r="O24" s="994"/>
      <c r="P24" s="975"/>
      <c r="Q24" s="576"/>
      <c r="R24" s="576"/>
      <c r="S24" s="576"/>
      <c r="T24" s="576"/>
      <c r="U24" s="576"/>
      <c r="V24" s="576"/>
      <c r="W24" s="576"/>
      <c r="X24" s="975"/>
      <c r="Y24" s="1011"/>
      <c r="Z24" s="1012"/>
      <c r="AK24" s="73"/>
      <c r="AL24" s="73"/>
      <c r="AM24" s="73"/>
      <c r="AN24" s="73"/>
    </row>
    <row r="25" spans="1:40" s="588" customFormat="1" ht="20.100000000000001" customHeight="1" thickBot="1" x14ac:dyDescent="0.25">
      <c r="A25" s="304" t="str">
        <f>IF(Berechnung2!$B$27&gt;0,IF(Berechnung2!$B$27=1,"EZ",IF(Berechnung2!$B$27&gt;1,"relevant","?")),"nicht relevant")</f>
        <v>nicht relevant</v>
      </c>
      <c r="B25" s="305" t="s">
        <v>970</v>
      </c>
      <c r="C25" s="306">
        <f t="shared" ref="C25" si="1">SUM(D25:I25)</f>
        <v>0</v>
      </c>
      <c r="D25" s="486" t="str">
        <f>IF(Basisdaten!D31="","",Basisdaten!D31)</f>
        <v/>
      </c>
      <c r="E25" s="486" t="str">
        <f>IF(Basisdaten!E31="","",Basisdaten!E31)</f>
        <v/>
      </c>
      <c r="F25" s="486" t="str">
        <f>IF(Basisdaten!F31="","",Basisdaten!F31)</f>
        <v/>
      </c>
      <c r="G25" s="486" t="str">
        <f>IF(Basisdaten!G31="","",Basisdaten!G31)</f>
        <v/>
      </c>
      <c r="H25" s="486" t="str">
        <f>IF(Basisdaten!H31="","",Basisdaten!H31)</f>
        <v/>
      </c>
      <c r="I25" s="486" t="str">
        <f>IF(Basisdaten!I31="","",Basisdaten!I31)</f>
        <v/>
      </c>
      <c r="J25" s="564"/>
      <c r="K25" s="981"/>
      <c r="L25" s="982"/>
      <c r="M25" s="982"/>
      <c r="N25" s="982"/>
      <c r="O25" s="982"/>
      <c r="P25" s="564"/>
      <c r="Q25" s="565"/>
      <c r="R25" s="307"/>
      <c r="S25" s="307"/>
      <c r="T25" s="307"/>
      <c r="U25" s="307"/>
      <c r="V25" s="307"/>
      <c r="W25" s="575"/>
      <c r="X25" s="564"/>
      <c r="Y25" s="950"/>
      <c r="Z25" s="951"/>
      <c r="AK25" s="590"/>
      <c r="AL25" s="590"/>
      <c r="AM25" s="590"/>
      <c r="AN25" s="590"/>
    </row>
    <row r="26" spans="1:40" s="8" customFormat="1" ht="3.75" customHeight="1" thickTop="1" x14ac:dyDescent="0.3">
      <c r="A26" s="194"/>
      <c r="B26" s="958"/>
      <c r="C26" s="958"/>
      <c r="D26" s="958"/>
      <c r="E26" s="958"/>
      <c r="F26" s="958"/>
      <c r="G26" s="958"/>
      <c r="H26" s="958"/>
      <c r="I26" s="958"/>
      <c r="J26" s="61"/>
      <c r="K26" s="957"/>
      <c r="L26" s="957"/>
      <c r="M26" s="957"/>
      <c r="N26" s="957"/>
      <c r="O26" s="957"/>
      <c r="P26" s="61"/>
      <c r="Q26" s="957"/>
      <c r="R26" s="957"/>
      <c r="S26" s="957"/>
      <c r="T26" s="957"/>
      <c r="U26" s="957"/>
      <c r="V26" s="957"/>
      <c r="W26" s="957"/>
      <c r="X26" s="61"/>
      <c r="Y26" s="285"/>
      <c r="Z26" s="285"/>
      <c r="AI26" s="73"/>
      <c r="AJ26" s="73"/>
      <c r="AK26" s="73"/>
      <c r="AL26" s="73"/>
    </row>
    <row r="27" spans="1:40" s="8" customFormat="1" ht="5.25" customHeight="1" thickBot="1" x14ac:dyDescent="0.35">
      <c r="A27" s="194"/>
      <c r="B27" s="286"/>
      <c r="C27" s="286"/>
      <c r="D27" s="286"/>
      <c r="E27" s="286"/>
      <c r="F27" s="286"/>
      <c r="G27" s="286"/>
      <c r="H27" s="286"/>
      <c r="I27" s="286"/>
      <c r="J27" s="61"/>
      <c r="K27" s="94"/>
      <c r="L27" s="94"/>
      <c r="M27" s="94"/>
      <c r="N27" s="94"/>
      <c r="O27" s="94"/>
      <c r="P27" s="61"/>
      <c r="Q27" s="94"/>
      <c r="R27" s="94"/>
      <c r="S27" s="94"/>
      <c r="T27" s="94"/>
      <c r="U27" s="94"/>
      <c r="V27" s="94"/>
      <c r="W27" s="94"/>
      <c r="X27" s="61"/>
      <c r="Y27" s="285"/>
      <c r="Z27" s="285"/>
      <c r="AI27" s="287"/>
      <c r="AJ27" s="287"/>
      <c r="AK27" s="287"/>
      <c r="AL27" s="287"/>
    </row>
    <row r="28" spans="1:40" s="8" customFormat="1" ht="21.75" customHeight="1" thickBot="1" x14ac:dyDescent="0.35">
      <c r="A28" s="1028"/>
      <c r="B28" s="1029"/>
      <c r="C28" s="282"/>
      <c r="D28" s="282"/>
      <c r="G28" s="282"/>
      <c r="H28" s="282"/>
      <c r="I28" s="531" t="s">
        <v>971</v>
      </c>
      <c r="J28" s="53"/>
      <c r="K28" s="53"/>
      <c r="L28" s="53"/>
      <c r="M28" s="53"/>
      <c r="O28" s="477" t="str">
        <f>IF(A23="EZ","-----",IF(A23= "Nicht relevant","-----",IF(COUNTBLANK(O21:O23)=3,"",SUMIF(A21:A23,"relevant",O21:O23) /COUNTIF(A21:A23,"relevant"))))</f>
        <v>-----</v>
      </c>
      <c r="P28" s="61"/>
      <c r="Q28" s="283"/>
      <c r="R28" s="284"/>
      <c r="S28" s="282"/>
      <c r="T28" s="282"/>
      <c r="U28" s="282"/>
      <c r="V28" s="282"/>
      <c r="W28" s="282"/>
      <c r="X28" s="61"/>
      <c r="Y28" s="285"/>
      <c r="AI28" s="73"/>
      <c r="AJ28" s="73"/>
      <c r="AK28" s="73"/>
      <c r="AL28" s="73"/>
    </row>
    <row r="29" spans="1:40" s="8" customFormat="1" ht="7.5" customHeight="1" x14ac:dyDescent="0.3">
      <c r="A29" s="250"/>
      <c r="B29" s="251"/>
      <c r="C29" s="252"/>
      <c r="D29" s="252"/>
      <c r="E29" s="252"/>
      <c r="F29" s="252"/>
      <c r="G29" s="252"/>
      <c r="H29" s="252"/>
      <c r="I29" s="252"/>
      <c r="J29" s="253"/>
      <c r="K29" s="250"/>
      <c r="L29" s="252"/>
      <c r="M29" s="252"/>
      <c r="N29" s="252"/>
      <c r="O29" s="254"/>
      <c r="P29" s="253"/>
      <c r="Q29" s="250"/>
      <c r="R29" s="255"/>
      <c r="S29" s="252"/>
      <c r="T29" s="252"/>
      <c r="U29" s="252"/>
      <c r="V29" s="252"/>
      <c r="W29" s="252"/>
      <c r="X29" s="253"/>
      <c r="Y29" s="256"/>
      <c r="Z29" s="256"/>
      <c r="AA29" s="256"/>
      <c r="AI29" s="73"/>
      <c r="AJ29" s="73"/>
      <c r="AK29" s="73"/>
      <c r="AL29" s="73"/>
    </row>
    <row r="30" spans="1:40" s="50" customFormat="1" ht="237" customHeight="1" x14ac:dyDescent="0.2">
      <c r="A30" s="961" t="s">
        <v>1018</v>
      </c>
      <c r="B30" s="961"/>
      <c r="C30" s="961"/>
      <c r="D30" s="961"/>
      <c r="E30" s="961"/>
      <c r="F30" s="961"/>
      <c r="G30" s="961"/>
      <c r="H30" s="961"/>
      <c r="I30" s="961"/>
      <c r="J30" s="961"/>
      <c r="K30" s="961"/>
      <c r="L30" s="961"/>
      <c r="M30" s="961"/>
      <c r="N30" s="961"/>
      <c r="O30" s="961"/>
      <c r="P30" s="961"/>
      <c r="Q30" s="961"/>
      <c r="R30" s="961"/>
      <c r="S30" s="961"/>
      <c r="T30" s="961"/>
      <c r="U30" s="961"/>
      <c r="V30" s="961"/>
      <c r="W30" s="961"/>
      <c r="X30" s="961"/>
      <c r="Y30" s="961"/>
      <c r="Z30" s="961"/>
      <c r="AA30" s="961"/>
      <c r="AK30" s="9"/>
      <c r="AL30" s="9"/>
      <c r="AM30" s="9"/>
      <c r="AN30" s="9"/>
    </row>
    <row r="31" spans="1:40" s="50" customFormat="1" ht="87.75" customHeight="1" x14ac:dyDescent="0.2">
      <c r="A31" s="952" t="s">
        <v>949</v>
      </c>
      <c r="B31" s="953"/>
      <c r="C31" s="953"/>
      <c r="D31" s="953"/>
      <c r="E31" s="953"/>
      <c r="F31" s="953"/>
      <c r="G31" s="953"/>
      <c r="H31" s="953"/>
      <c r="I31" s="953"/>
      <c r="J31" s="953"/>
      <c r="K31" s="953"/>
      <c r="L31" s="953"/>
      <c r="M31" s="953"/>
      <c r="N31" s="953"/>
      <c r="O31" s="953"/>
      <c r="P31" s="953"/>
      <c r="Q31" s="953"/>
      <c r="R31" s="953"/>
      <c r="S31" s="953"/>
      <c r="T31" s="953"/>
      <c r="U31" s="953"/>
      <c r="V31" s="953"/>
      <c r="W31" s="953"/>
      <c r="X31" s="953"/>
      <c r="Y31" s="953"/>
      <c r="Z31" s="953"/>
      <c r="AA31" s="953"/>
    </row>
    <row r="32" spans="1:40" s="50" customFormat="1" ht="55.5" customHeight="1" x14ac:dyDescent="0.2">
      <c r="A32" s="953" t="s">
        <v>950</v>
      </c>
      <c r="B32" s="953"/>
      <c r="C32" s="953"/>
      <c r="D32" s="953"/>
      <c r="E32" s="953"/>
      <c r="F32" s="953"/>
      <c r="G32" s="953"/>
      <c r="H32" s="953"/>
      <c r="I32" s="953"/>
      <c r="J32" s="953"/>
      <c r="K32" s="953"/>
      <c r="L32" s="953"/>
      <c r="M32" s="953"/>
      <c r="N32" s="953"/>
      <c r="O32" s="953"/>
      <c r="P32" s="953"/>
      <c r="Q32" s="953"/>
      <c r="R32" s="953"/>
      <c r="S32" s="953"/>
      <c r="T32" s="953"/>
      <c r="U32" s="953"/>
      <c r="V32" s="953"/>
      <c r="W32" s="953"/>
      <c r="X32" s="953"/>
      <c r="Y32" s="953"/>
      <c r="Z32" s="953"/>
      <c r="AA32" s="953"/>
    </row>
    <row r="33" spans="1:27" s="5" customFormat="1" ht="9" customHeight="1" x14ac:dyDescent="0.2">
      <c r="A33" s="212"/>
      <c r="B33" s="211"/>
      <c r="C33" s="211"/>
      <c r="D33" s="211"/>
      <c r="E33" s="211"/>
      <c r="F33" s="211"/>
      <c r="G33" s="211"/>
      <c r="H33" s="211"/>
      <c r="I33" s="211"/>
      <c r="J33" s="211"/>
      <c r="K33" s="211"/>
      <c r="L33" s="211"/>
      <c r="M33" s="211"/>
      <c r="N33" s="211"/>
      <c r="O33" s="211"/>
      <c r="P33" s="211"/>
      <c r="Q33" s="211"/>
      <c r="R33" s="211"/>
      <c r="S33" s="211"/>
      <c r="T33" s="211"/>
      <c r="U33" s="211"/>
      <c r="V33" s="211"/>
      <c r="W33" s="211"/>
      <c r="X33" s="211"/>
      <c r="Y33" s="211"/>
      <c r="Z33" s="211"/>
      <c r="AA33" s="211"/>
    </row>
    <row r="34" spans="1:27" s="5" customFormat="1" ht="11.4" x14ac:dyDescent="0.2">
      <c r="A34" s="249" t="s">
        <v>168</v>
      </c>
      <c r="B34" s="211"/>
      <c r="C34" s="211"/>
      <c r="D34" s="211"/>
      <c r="E34" s="211"/>
      <c r="F34" s="211"/>
      <c r="G34" s="211"/>
      <c r="H34" s="211"/>
      <c r="I34" s="211"/>
      <c r="J34" s="211"/>
      <c r="K34" s="211"/>
      <c r="L34" s="211"/>
      <c r="M34" s="211"/>
      <c r="N34" s="211"/>
      <c r="O34" s="211"/>
      <c r="P34" s="211"/>
      <c r="Q34" s="211"/>
      <c r="R34" s="211"/>
      <c r="S34" s="211"/>
      <c r="T34" s="211"/>
      <c r="U34" s="211"/>
      <c r="V34" s="211"/>
      <c r="W34" s="211"/>
      <c r="X34" s="211"/>
      <c r="Y34" s="211"/>
      <c r="Z34" s="211"/>
      <c r="AA34" s="211"/>
    </row>
    <row r="35" spans="1:27" ht="23.25" customHeight="1" x14ac:dyDescent="0.25">
      <c r="A35" s="636" t="s">
        <v>226</v>
      </c>
      <c r="B35" s="1030" t="s">
        <v>227</v>
      </c>
      <c r="C35" s="1031"/>
      <c r="D35" s="1031"/>
      <c r="E35" s="1032" t="s">
        <v>62</v>
      </c>
      <c r="F35" s="1033"/>
      <c r="G35" s="1033"/>
      <c r="H35" s="1033"/>
      <c r="I35" s="1034"/>
      <c r="J35" s="1023" t="s">
        <v>133</v>
      </c>
      <c r="K35" s="1024"/>
      <c r="L35" s="1024"/>
      <c r="M35" s="1024"/>
      <c r="N35" s="1024"/>
      <c r="O35" s="1024"/>
      <c r="P35" s="1024"/>
      <c r="Q35" s="1024"/>
      <c r="R35" s="1024"/>
      <c r="S35" s="1024"/>
      <c r="T35" s="1024"/>
      <c r="U35" s="1024"/>
      <c r="V35" s="1024"/>
      <c r="W35" s="1024"/>
      <c r="X35" s="1024"/>
      <c r="Y35" s="1024"/>
      <c r="Z35" s="1024"/>
      <c r="AA35" s="1025"/>
    </row>
    <row r="36" spans="1:27" ht="12.9" customHeight="1" x14ac:dyDescent="0.25">
      <c r="A36" s="637" t="s">
        <v>117</v>
      </c>
      <c r="B36" s="964" t="s">
        <v>228</v>
      </c>
      <c r="C36" s="965"/>
      <c r="D36" s="965"/>
      <c r="E36" s="969"/>
      <c r="F36" s="970"/>
      <c r="G36" s="970"/>
      <c r="H36" s="970"/>
      <c r="I36" s="971"/>
      <c r="J36" s="954" t="s">
        <v>141</v>
      </c>
      <c r="K36" s="955"/>
      <c r="L36" s="955"/>
      <c r="M36" s="955"/>
      <c r="N36" s="955"/>
      <c r="O36" s="955"/>
      <c r="P36" s="955"/>
      <c r="Q36" s="955"/>
      <c r="R36" s="955"/>
      <c r="S36" s="955"/>
      <c r="T36" s="955"/>
      <c r="U36" s="955"/>
      <c r="V36" s="955"/>
      <c r="W36" s="955"/>
      <c r="X36" s="955"/>
      <c r="Y36" s="955"/>
      <c r="Z36" s="955"/>
      <c r="AA36" s="956"/>
    </row>
    <row r="37" spans="1:27" ht="12.9" customHeight="1" x14ac:dyDescent="0.25">
      <c r="A37" s="637" t="s">
        <v>117</v>
      </c>
      <c r="B37" s="964" t="s">
        <v>134</v>
      </c>
      <c r="C37" s="965"/>
      <c r="D37" s="966"/>
      <c r="E37" s="1018"/>
      <c r="F37" s="1019"/>
      <c r="G37" s="1019"/>
      <c r="H37" s="1019"/>
      <c r="I37" s="1020"/>
      <c r="J37" s="954" t="s">
        <v>381</v>
      </c>
      <c r="K37" s="955"/>
      <c r="L37" s="955"/>
      <c r="M37" s="955"/>
      <c r="N37" s="955"/>
      <c r="O37" s="955"/>
      <c r="P37" s="955"/>
      <c r="Q37" s="955"/>
      <c r="R37" s="955"/>
      <c r="S37" s="955"/>
      <c r="T37" s="955"/>
      <c r="U37" s="955"/>
      <c r="V37" s="955"/>
      <c r="W37" s="955"/>
      <c r="X37" s="955"/>
      <c r="Y37" s="955"/>
      <c r="Z37" s="955"/>
      <c r="AA37" s="956"/>
    </row>
    <row r="38" spans="1:27" ht="12.9" customHeight="1" x14ac:dyDescent="0.25">
      <c r="A38" s="637" t="s">
        <v>213</v>
      </c>
      <c r="B38" s="964" t="s">
        <v>229</v>
      </c>
      <c r="C38" s="965"/>
      <c r="D38" s="965"/>
      <c r="E38" s="1021" t="s">
        <v>460</v>
      </c>
      <c r="F38" s="1022"/>
      <c r="G38" s="1022"/>
      <c r="H38" s="1022"/>
      <c r="I38" s="1022"/>
      <c r="J38" s="954" t="s">
        <v>382</v>
      </c>
      <c r="K38" s="955"/>
      <c r="L38" s="955"/>
      <c r="M38" s="955"/>
      <c r="N38" s="955"/>
      <c r="O38" s="955"/>
      <c r="P38" s="955"/>
      <c r="Q38" s="955"/>
      <c r="R38" s="955"/>
      <c r="S38" s="955"/>
      <c r="T38" s="955"/>
      <c r="U38" s="955"/>
      <c r="V38" s="955"/>
      <c r="W38" s="955"/>
      <c r="X38" s="955"/>
      <c r="Y38" s="955"/>
      <c r="Z38" s="955"/>
      <c r="AA38" s="956"/>
    </row>
    <row r="39" spans="1:27" ht="12.9" customHeight="1" x14ac:dyDescent="0.25">
      <c r="A39" s="637" t="s">
        <v>215</v>
      </c>
      <c r="B39" s="964" t="s">
        <v>362</v>
      </c>
      <c r="C39" s="965"/>
      <c r="D39" s="965"/>
      <c r="E39" s="967" t="s">
        <v>99</v>
      </c>
      <c r="F39" s="968"/>
      <c r="G39" s="968"/>
      <c r="H39" s="968"/>
      <c r="I39" s="968"/>
      <c r="J39" s="954" t="s">
        <v>943</v>
      </c>
      <c r="K39" s="955"/>
      <c r="L39" s="955"/>
      <c r="M39" s="955"/>
      <c r="N39" s="955"/>
      <c r="O39" s="955"/>
      <c r="P39" s="955"/>
      <c r="Q39" s="955"/>
      <c r="R39" s="955"/>
      <c r="S39" s="955"/>
      <c r="T39" s="955"/>
      <c r="U39" s="955"/>
      <c r="V39" s="955"/>
      <c r="W39" s="955"/>
      <c r="X39" s="955"/>
      <c r="Y39" s="955"/>
      <c r="Z39" s="955"/>
      <c r="AA39" s="956"/>
    </row>
    <row r="40" spans="1:27" ht="12.9" customHeight="1" x14ac:dyDescent="0.25">
      <c r="A40" s="638" t="s">
        <v>216</v>
      </c>
      <c r="B40" s="1057" t="s">
        <v>363</v>
      </c>
      <c r="C40" s="1058"/>
      <c r="D40" s="1058"/>
      <c r="E40" s="1059" t="s">
        <v>99</v>
      </c>
      <c r="F40" s="1060"/>
      <c r="G40" s="1060"/>
      <c r="H40" s="1060"/>
      <c r="I40" s="1060"/>
      <c r="J40" s="954" t="s">
        <v>944</v>
      </c>
      <c r="K40" s="955"/>
      <c r="L40" s="955"/>
      <c r="M40" s="955"/>
      <c r="N40" s="955"/>
      <c r="O40" s="955"/>
      <c r="P40" s="955"/>
      <c r="Q40" s="955"/>
      <c r="R40" s="955"/>
      <c r="S40" s="955"/>
      <c r="T40" s="955"/>
      <c r="U40" s="955"/>
      <c r="V40" s="955"/>
      <c r="W40" s="955"/>
      <c r="X40" s="955"/>
      <c r="Y40" s="955"/>
      <c r="Z40" s="955"/>
      <c r="AA40" s="956"/>
    </row>
    <row r="41" spans="1:27" ht="12.9" customHeight="1" x14ac:dyDescent="0.25">
      <c r="A41" s="637" t="s">
        <v>780</v>
      </c>
      <c r="B41" s="964" t="s">
        <v>782</v>
      </c>
      <c r="C41" s="965"/>
      <c r="D41" s="965"/>
      <c r="E41" s="1061" t="s">
        <v>10</v>
      </c>
      <c r="F41" s="1062"/>
      <c r="G41" s="1062"/>
      <c r="H41" s="1062"/>
      <c r="I41" s="1062"/>
      <c r="J41" s="954" t="s">
        <v>972</v>
      </c>
      <c r="K41" s="955"/>
      <c r="L41" s="955"/>
      <c r="M41" s="955"/>
      <c r="N41" s="955"/>
      <c r="O41" s="955"/>
      <c r="P41" s="955"/>
      <c r="Q41" s="955"/>
      <c r="R41" s="955"/>
      <c r="S41" s="955"/>
      <c r="T41" s="955"/>
      <c r="U41" s="955"/>
      <c r="V41" s="955"/>
      <c r="W41" s="955"/>
      <c r="X41" s="955"/>
      <c r="Y41" s="955"/>
      <c r="Z41" s="955"/>
      <c r="AA41" s="956"/>
    </row>
    <row r="42" spans="1:27" ht="12.9" customHeight="1" x14ac:dyDescent="0.25">
      <c r="A42" s="639" t="s">
        <v>170</v>
      </c>
      <c r="B42" s="964" t="s">
        <v>230</v>
      </c>
      <c r="C42" s="965"/>
      <c r="D42" s="965"/>
      <c r="E42" s="1050" t="s">
        <v>79</v>
      </c>
      <c r="F42" s="1051"/>
      <c r="G42" s="1051"/>
      <c r="H42" s="1051"/>
      <c r="I42" s="1051"/>
      <c r="J42" s="1054" t="s">
        <v>945</v>
      </c>
      <c r="K42" s="1055"/>
      <c r="L42" s="1055"/>
      <c r="M42" s="1055"/>
      <c r="N42" s="1055"/>
      <c r="O42" s="1055"/>
      <c r="P42" s="1055"/>
      <c r="Q42" s="1055"/>
      <c r="R42" s="1055"/>
      <c r="S42" s="1055"/>
      <c r="T42" s="1055"/>
      <c r="U42" s="1055"/>
      <c r="V42" s="1055"/>
      <c r="W42" s="1055"/>
      <c r="X42" s="1055"/>
      <c r="Y42" s="1055"/>
      <c r="Z42" s="1055"/>
      <c r="AA42" s="1056"/>
    </row>
    <row r="43" spans="1:27" ht="12.9" customHeight="1" x14ac:dyDescent="0.25">
      <c r="A43" s="639" t="s">
        <v>781</v>
      </c>
      <c r="B43" s="964" t="s">
        <v>514</v>
      </c>
      <c r="C43" s="965"/>
      <c r="D43" s="965"/>
      <c r="E43" s="1050" t="s">
        <v>79</v>
      </c>
      <c r="F43" s="1051"/>
      <c r="G43" s="1051"/>
      <c r="H43" s="1051"/>
      <c r="I43" s="1051"/>
      <c r="J43" s="954" t="s">
        <v>360</v>
      </c>
      <c r="K43" s="955"/>
      <c r="L43" s="955"/>
      <c r="M43" s="955"/>
      <c r="N43" s="955"/>
      <c r="O43" s="955"/>
      <c r="P43" s="955"/>
      <c r="Q43" s="955"/>
      <c r="R43" s="955"/>
      <c r="S43" s="955"/>
      <c r="T43" s="955"/>
      <c r="U43" s="955"/>
      <c r="V43" s="955"/>
      <c r="W43" s="955"/>
      <c r="X43" s="955"/>
      <c r="Y43" s="955"/>
      <c r="Z43" s="955"/>
      <c r="AA43" s="956"/>
    </row>
    <row r="44" spans="1:27" ht="12.9" customHeight="1" x14ac:dyDescent="0.25">
      <c r="A44" s="640" t="s">
        <v>780</v>
      </c>
      <c r="B44" s="964" t="s">
        <v>783</v>
      </c>
      <c r="C44" s="965"/>
      <c r="D44" s="965"/>
      <c r="E44" s="1050" t="s">
        <v>79</v>
      </c>
      <c r="F44" s="1051"/>
      <c r="G44" s="1051"/>
      <c r="H44" s="1051"/>
      <c r="I44" s="1051"/>
      <c r="J44" s="954" t="s">
        <v>973</v>
      </c>
      <c r="K44" s="955"/>
      <c r="L44" s="955"/>
      <c r="M44" s="955"/>
      <c r="N44" s="955"/>
      <c r="O44" s="955"/>
      <c r="P44" s="955"/>
      <c r="Q44" s="955"/>
      <c r="R44" s="955"/>
      <c r="S44" s="955"/>
      <c r="T44" s="955"/>
      <c r="U44" s="955"/>
      <c r="V44" s="955"/>
      <c r="W44" s="955"/>
      <c r="X44" s="955"/>
      <c r="Y44" s="955"/>
      <c r="Z44" s="955"/>
      <c r="AA44" s="956"/>
    </row>
    <row r="45" spans="1:27" ht="12.9" customHeight="1" x14ac:dyDescent="0.25">
      <c r="A45" s="639" t="s">
        <v>222</v>
      </c>
      <c r="B45" s="1043" t="s">
        <v>339</v>
      </c>
      <c r="C45" s="965"/>
      <c r="D45" s="965"/>
      <c r="E45" s="1052"/>
      <c r="F45" s="1053"/>
      <c r="G45" s="1053"/>
      <c r="H45" s="1053"/>
      <c r="I45" s="1053"/>
      <c r="J45" s="1044" t="s">
        <v>947</v>
      </c>
      <c r="K45" s="1045"/>
      <c r="L45" s="1045"/>
      <c r="M45" s="1045"/>
      <c r="N45" s="1045"/>
      <c r="O45" s="1045"/>
      <c r="P45" s="1045"/>
      <c r="Q45" s="1045"/>
      <c r="R45" s="1045"/>
      <c r="S45" s="1045"/>
      <c r="T45" s="1045"/>
      <c r="U45" s="1045"/>
      <c r="V45" s="1045"/>
      <c r="W45" s="1045"/>
      <c r="X45" s="1045"/>
      <c r="Y45" s="1045"/>
      <c r="Z45" s="1045"/>
      <c r="AA45" s="1046"/>
    </row>
    <row r="46" spans="1:27" ht="12.9" customHeight="1" x14ac:dyDescent="0.25">
      <c r="A46" s="639" t="s">
        <v>359</v>
      </c>
      <c r="B46" s="1043" t="s">
        <v>339</v>
      </c>
      <c r="C46" s="965"/>
      <c r="D46" s="965"/>
      <c r="E46" s="1052"/>
      <c r="F46" s="1053"/>
      <c r="G46" s="1053"/>
      <c r="H46" s="1053"/>
      <c r="I46" s="1053"/>
      <c r="J46" s="1047"/>
      <c r="K46" s="1048"/>
      <c r="L46" s="1048"/>
      <c r="M46" s="1048"/>
      <c r="N46" s="1048"/>
      <c r="O46" s="1048"/>
      <c r="P46" s="1048"/>
      <c r="Q46" s="1048"/>
      <c r="R46" s="1048"/>
      <c r="S46" s="1048"/>
      <c r="T46" s="1048"/>
      <c r="U46" s="1048"/>
      <c r="V46" s="1048"/>
      <c r="W46" s="1048"/>
      <c r="X46" s="1048"/>
      <c r="Y46" s="1048"/>
      <c r="Z46" s="1048"/>
      <c r="AA46" s="1049"/>
    </row>
    <row r="48" spans="1:27" ht="14.25" customHeight="1" x14ac:dyDescent="0.25">
      <c r="K48" s="248"/>
      <c r="Z48" s="4"/>
    </row>
    <row r="49" spans="1:26" ht="14.25" customHeight="1" x14ac:dyDescent="0.25">
      <c r="Z49" s="4"/>
    </row>
    <row r="50" spans="1:26" ht="14.25" customHeight="1" x14ac:dyDescent="0.25">
      <c r="Z50" s="4"/>
    </row>
    <row r="51" spans="1:26" s="9" customFormat="1" ht="10.199999999999999" hidden="1" x14ac:dyDescent="0.2">
      <c r="A51" s="211" t="str">
        <f>Berechnung2!B33</f>
        <v>Anzahl Primärpatienten größer als im Basisdaten</v>
      </c>
      <c r="B51" s="211">
        <f>Berechnung2!C33</f>
        <v>0</v>
      </c>
      <c r="C51" s="211" t="str">
        <f>Berechnung2!D33</f>
        <v>plausi</v>
      </c>
      <c r="D51" s="211">
        <f>Berechnung2!E33</f>
        <v>0</v>
      </c>
      <c r="E51" s="211">
        <f>Berechnung2!F33</f>
        <v>0</v>
      </c>
      <c r="F51" s="211" t="str">
        <f>Berechnung2!G33</f>
        <v/>
      </c>
      <c r="G51" s="211">
        <f>Berechnung2!H33</f>
        <v>0</v>
      </c>
      <c r="H51" s="211">
        <f>Berechnung2!I33</f>
        <v>0</v>
      </c>
      <c r="I51" s="211">
        <f>Berechnung2!J33</f>
        <v>0</v>
      </c>
      <c r="J51" s="211">
        <f>Berechnung2!K33</f>
        <v>0</v>
      </c>
      <c r="K51" s="211" t="str">
        <f>Berechnung2!L33</f>
        <v>Anzahl Primärpatienten in der Matrix größer als Primärfälle Basisdaten</v>
      </c>
      <c r="P51" s="9">
        <f>Berechnung2!Q33</f>
        <v>0</v>
      </c>
      <c r="R51" s="211">
        <f>Berechnung2!M33</f>
        <v>0</v>
      </c>
      <c r="S51" s="211">
        <f>Berechnung2!N33</f>
        <v>0</v>
      </c>
      <c r="Y51" s="211">
        <f>Berechnung2!O33</f>
        <v>0</v>
      </c>
      <c r="Z51" s="211" t="str">
        <f>Berechnung2!P33</f>
        <v>Ganze Zahl zwischen 0 und 5000 eingeben.</v>
      </c>
    </row>
    <row r="52" spans="1:26" s="9" customFormat="1" ht="10.199999999999999" hidden="1" x14ac:dyDescent="0.2">
      <c r="A52" s="211">
        <f>Berechnung2!B34</f>
        <v>0</v>
      </c>
      <c r="B52" s="211">
        <f>Berechnung2!C34</f>
        <v>0</v>
      </c>
      <c r="C52" s="211" t="str">
        <f>Berechnung2!D34</f>
        <v>unvollständig</v>
      </c>
      <c r="D52" s="211">
        <f>Berechnung2!E34</f>
        <v>0</v>
      </c>
      <c r="E52" s="211">
        <f>Berechnung2!F34</f>
        <v>0</v>
      </c>
      <c r="F52" s="211">
        <f>Berechnung2!G34</f>
        <v>0</v>
      </c>
      <c r="G52" s="211">
        <f>Berechnung2!H34</f>
        <v>0</v>
      </c>
      <c r="H52" s="211">
        <f>Berechnung2!I34</f>
        <v>0</v>
      </c>
      <c r="I52" s="211">
        <f>Berechnung2!J34</f>
        <v>0</v>
      </c>
      <c r="J52" s="211">
        <f>Berechnung2!K34</f>
        <v>0</v>
      </c>
      <c r="K52" s="211" t="str">
        <f>Berechnung2!L34</f>
        <v>relevante Nachsorgejahre 
nicht / unvollständig bearbeitet</v>
      </c>
      <c r="P52" s="9">
        <f>Berechnung2!Q34</f>
        <v>0</v>
      </c>
      <c r="R52" s="211">
        <f>Berechnung2!M34</f>
        <v>0</v>
      </c>
      <c r="S52" s="211">
        <f>Berechnung2!N34</f>
        <v>0</v>
      </c>
      <c r="Y52" s="211">
        <f>Berechnung2!O34</f>
        <v>0</v>
      </c>
      <c r="Z52" s="211">
        <f>Berechnung2!P34</f>
        <v>0</v>
      </c>
    </row>
    <row r="53" spans="1:26" s="9" customFormat="1" ht="10.199999999999999" hidden="1" x14ac:dyDescent="0.2">
      <c r="A53" s="211" t="str">
        <f>Berechnung2!B35</f>
        <v>zu geringe Anzahl der Primärfälle</v>
      </c>
      <c r="B53" s="211">
        <f>Berechnung2!C35</f>
        <v>0</v>
      </c>
      <c r="C53" s="211" t="str">
        <f>Berechnung2!D35</f>
        <v>plausi</v>
      </c>
      <c r="D53" s="211" t="str">
        <f>Berechnung2!E35</f>
        <v>&lt;</v>
      </c>
      <c r="E53" s="211">
        <f>Berechnung2!F35</f>
        <v>0</v>
      </c>
      <c r="F53" s="211">
        <f>Berechnung2!G35</f>
        <v>25</v>
      </c>
      <c r="G53" s="211">
        <f>Berechnung2!H35</f>
        <v>0</v>
      </c>
      <c r="H53" s="211">
        <f>Berechnung2!I35</f>
        <v>0</v>
      </c>
      <c r="I53" s="211">
        <f>Berechnung2!J35</f>
        <v>0</v>
      </c>
      <c r="J53" s="211">
        <f>Berechnung2!K35</f>
        <v>0</v>
      </c>
      <c r="K53" s="211" t="str">
        <f>Berechnung2!L35</f>
        <v>zu wenig Primärfälle angegeben</v>
      </c>
      <c r="P53" s="9">
        <f>Berechnung2!Q35</f>
        <v>0</v>
      </c>
      <c r="R53" s="211">
        <f>Berechnung2!M35</f>
        <v>0</v>
      </c>
      <c r="S53" s="211">
        <f>Berechnung2!N35</f>
        <v>0</v>
      </c>
      <c r="Y53" s="211">
        <f>Berechnung2!O35</f>
        <v>0</v>
      </c>
      <c r="Z53" s="211">
        <f>Berechnung2!P35</f>
        <v>0</v>
      </c>
    </row>
    <row r="54" spans="1:26" s="9" customFormat="1" ht="10.199999999999999" hidden="1" x14ac:dyDescent="0.2">
      <c r="A54" s="211" t="str">
        <f>Berechnung2!B36</f>
        <v>geringe Follow-Up Quote</v>
      </c>
      <c r="B54" s="211">
        <f>Berechnung2!C36</f>
        <v>0</v>
      </c>
      <c r="C54" s="211" t="str">
        <f>Berechnung2!D36</f>
        <v>plausi</v>
      </c>
      <c r="D54" s="211" t="str">
        <f>Berechnung2!E36</f>
        <v>&lt;</v>
      </c>
      <c r="E54" s="211">
        <f>Berechnung2!F36</f>
        <v>0</v>
      </c>
      <c r="F54" s="211">
        <f>Berechnung2!G36</f>
        <v>0</v>
      </c>
      <c r="G54" s="211">
        <f>Berechnung2!H36</f>
        <v>0</v>
      </c>
      <c r="H54" s="211">
        <f>Berechnung2!I36</f>
        <v>0.69999</v>
      </c>
      <c r="I54" s="211">
        <f>Berechnung2!J36</f>
        <v>0.69999</v>
      </c>
      <c r="J54" s="211">
        <f>Berechnung2!K36</f>
        <v>0</v>
      </c>
      <c r="K54" s="211" t="str">
        <f>Berechnung2!L36</f>
        <v>geringe Follow-Up Quote der Nachsorgejahre</v>
      </c>
      <c r="P54" s="9">
        <f>Berechnung2!Q36</f>
        <v>0</v>
      </c>
      <c r="R54" s="211">
        <f>Berechnung2!M36</f>
        <v>0</v>
      </c>
      <c r="S54" s="211">
        <f>Berechnung2!N36</f>
        <v>0</v>
      </c>
      <c r="Y54" s="211">
        <f>Berechnung2!O36</f>
        <v>0</v>
      </c>
      <c r="Z54" s="211">
        <f>Berechnung2!P36</f>
        <v>0</v>
      </c>
    </row>
    <row r="55" spans="1:26" s="9" customFormat="1" ht="10.199999999999999" hidden="1" x14ac:dyDescent="0.2">
      <c r="A55" s="211" t="str">
        <f>Berechnung2!B37</f>
        <v>geringe Follow-Up Quote der Jahre 2018-2020</v>
      </c>
      <c r="B55" s="211">
        <f>Berechnung2!C37</f>
        <v>0</v>
      </c>
      <c r="C55" s="211" t="str">
        <f>Berechnung2!D37</f>
        <v>sollvorgabe</v>
      </c>
      <c r="D55" s="211" t="str">
        <f>Berechnung2!E37</f>
        <v>&lt;</v>
      </c>
      <c r="E55" s="211">
        <f>Berechnung2!F37</f>
        <v>0</v>
      </c>
      <c r="F55" s="211">
        <f>Berechnung2!G37</f>
        <v>0</v>
      </c>
      <c r="G55" s="211">
        <f>Berechnung2!H37</f>
        <v>0</v>
      </c>
      <c r="H55" s="526">
        <f>Berechnung2!I37</f>
        <v>0.79998999999999998</v>
      </c>
      <c r="I55" s="211">
        <f>Berechnung2!J37</f>
        <v>0.79998999999999998</v>
      </c>
      <c r="J55" s="211">
        <f>Berechnung2!K37</f>
        <v>0</v>
      </c>
      <c r="K55" s="211" t="str">
        <f>Berechnung2!L37</f>
        <v>durchschnittliche Follow-Up Quote &lt; 80%</v>
      </c>
      <c r="P55" s="9">
        <f>Berechnung2!Q37</f>
        <v>0</v>
      </c>
      <c r="R55" s="211">
        <f>Berechnung2!M37</f>
        <v>0</v>
      </c>
      <c r="S55" s="211">
        <f>Berechnung2!N37</f>
        <v>0</v>
      </c>
      <c r="Y55" s="211">
        <f>Berechnung2!O37</f>
        <v>0</v>
      </c>
      <c r="Z55" s="211">
        <f>Berechnung2!P37</f>
        <v>0</v>
      </c>
    </row>
    <row r="56" spans="1:26" s="9" customFormat="1" ht="10.199999999999999" hidden="1" x14ac:dyDescent="0.2">
      <c r="A56" s="211" t="str">
        <f>Berechnung2!B38</f>
        <v>zu hohe Follow-Up Quote der Jahre 2018-2020</v>
      </c>
      <c r="B56" s="211">
        <f>Berechnung2!C38</f>
        <v>0</v>
      </c>
      <c r="C56" s="211" t="str">
        <f>Berechnung2!D38</f>
        <v>plausi</v>
      </c>
      <c r="D56" s="211" t="str">
        <f>Berechnung2!E38</f>
        <v>&gt;</v>
      </c>
      <c r="E56" s="211">
        <f>Berechnung2!F38</f>
        <v>0</v>
      </c>
      <c r="F56" s="211">
        <f>Berechnung2!G38</f>
        <v>0</v>
      </c>
      <c r="G56" s="211">
        <f>Berechnung2!H38</f>
        <v>0.95001000000000002</v>
      </c>
      <c r="H56" s="211">
        <f>Berechnung2!I38</f>
        <v>1</v>
      </c>
      <c r="I56" s="211">
        <f>Berechnung2!J38</f>
        <v>0.95001000000000002</v>
      </c>
      <c r="J56" s="211">
        <f>Berechnung2!K38</f>
        <v>0</v>
      </c>
      <c r="K56" s="211" t="str">
        <f>Berechnung2!L38</f>
        <v>durchschnittliche Follow-Up Quote &gt; 95%</v>
      </c>
      <c r="P56" s="9">
        <f>Berechnung2!Q38</f>
        <v>0</v>
      </c>
      <c r="R56" s="211">
        <f>Berechnung2!M38</f>
        <v>0</v>
      </c>
      <c r="S56" s="211">
        <f>Berechnung2!N38</f>
        <v>0</v>
      </c>
      <c r="Y56" s="211">
        <f>Berechnung2!O38</f>
        <v>0</v>
      </c>
      <c r="Z56" s="211">
        <f>Berechnung2!P38</f>
        <v>0</v>
      </c>
    </row>
    <row r="57" spans="1:26" s="9" customFormat="1" ht="10.199999999999999" hidden="1" x14ac:dyDescent="0.2">
      <c r="A57" s="211" t="str">
        <f>Berechnung2!B39</f>
        <v>zu viele Patienten im Follow-Up</v>
      </c>
      <c r="B57" s="211">
        <f>Berechnung2!C39</f>
        <v>0</v>
      </c>
      <c r="C57" s="211" t="str">
        <f>Berechnung2!D39</f>
        <v>inkorrekt</v>
      </c>
      <c r="D57" s="211">
        <f>Berechnung2!E39</f>
        <v>0</v>
      </c>
      <c r="E57" s="211">
        <f>Berechnung2!F39</f>
        <v>0</v>
      </c>
      <c r="F57" s="211">
        <f>Berechnung2!G39</f>
        <v>0</v>
      </c>
      <c r="G57" s="211">
        <f>Berechnung2!H39</f>
        <v>0</v>
      </c>
      <c r="H57" s="211">
        <f>Berechnung2!I39</f>
        <v>0</v>
      </c>
      <c r="I57" s="211">
        <f>Berechnung2!J39</f>
        <v>0</v>
      </c>
      <c r="J57" s="211">
        <f>Berechnung2!K39</f>
        <v>0</v>
      </c>
      <c r="K57" s="211" t="str">
        <f>Berechnung2!L39</f>
        <v>Werte Spalte K "Patienten im Follow-Up" müssen kleiner gleich sein als Spalte I subtrahiert von Spalte C</v>
      </c>
      <c r="P57" s="9">
        <f>Berechnung2!Q39</f>
        <v>0</v>
      </c>
      <c r="R57" s="211">
        <f>Berechnung2!M39</f>
        <v>0</v>
      </c>
      <c r="S57" s="211">
        <f>Berechnung2!N39</f>
        <v>0</v>
      </c>
      <c r="Y57" s="211">
        <f>Berechnung2!O39</f>
        <v>0</v>
      </c>
      <c r="Z57" s="211">
        <f>Berechnung2!P39</f>
        <v>0</v>
      </c>
    </row>
    <row r="58" spans="1:26" s="9" customFormat="1" ht="10.199999999999999" hidden="1" x14ac:dyDescent="0.2">
      <c r="A58" s="211" t="str">
        <f>Berechnung2!B40</f>
        <v>negative Werte tumorfrei</v>
      </c>
      <c r="B58" s="211">
        <f>Berechnung2!C40</f>
        <v>0</v>
      </c>
      <c r="C58" s="211" t="str">
        <f>Berechnung2!D40</f>
        <v>inkorrekt</v>
      </c>
      <c r="D58" s="211" t="str">
        <f>Berechnung2!E40</f>
        <v>&lt;</v>
      </c>
      <c r="E58" s="211">
        <f>Berechnung2!F40</f>
        <v>0</v>
      </c>
      <c r="F58" s="211">
        <f>Berechnung2!G40</f>
        <v>0</v>
      </c>
      <c r="G58" s="211">
        <f>Berechnung2!H40</f>
        <v>0</v>
      </c>
      <c r="H58" s="211">
        <f>Berechnung2!I40</f>
        <v>0</v>
      </c>
      <c r="I58" s="211">
        <f>Berechnung2!J40</f>
        <v>0</v>
      </c>
      <c r="J58" s="211">
        <f>Berechnung2!K40</f>
        <v>0</v>
      </c>
      <c r="K58" s="211" t="str">
        <f>Berechnung2!L40</f>
        <v>Werte Spalte Q "Patienten tumorfrei" dürfen keine negativen Werte annehmen</v>
      </c>
      <c r="P58" s="9">
        <f>Berechnung2!Q40</f>
        <v>0</v>
      </c>
      <c r="R58" s="211">
        <f>Berechnung2!M40</f>
        <v>0</v>
      </c>
      <c r="S58" s="211">
        <f>Berechnung2!N40</f>
        <v>0</v>
      </c>
      <c r="Y58" s="211">
        <f>Berechnung2!O40</f>
        <v>0</v>
      </c>
      <c r="Z58" s="211">
        <f>Berechnung2!P40</f>
        <v>0</v>
      </c>
    </row>
    <row r="59" spans="1:26" s="9" customFormat="1" ht="10.199999999999999" hidden="1" x14ac:dyDescent="0.2">
      <c r="A59" s="211">
        <f>Berechnung2!B41</f>
        <v>0</v>
      </c>
      <c r="B59" s="211">
        <f>Berechnung2!C41</f>
        <v>0</v>
      </c>
      <c r="C59" s="211">
        <f>Berechnung2!D41</f>
        <v>0</v>
      </c>
      <c r="D59" s="211">
        <f>Berechnung2!E41</f>
        <v>0</v>
      </c>
      <c r="E59" s="211">
        <f>Berechnung2!F41</f>
        <v>0</v>
      </c>
      <c r="F59" s="211">
        <f>Berechnung2!G41</f>
        <v>0</v>
      </c>
      <c r="G59" s="211">
        <f>Berechnung2!H41</f>
        <v>0</v>
      </c>
      <c r="H59" s="211">
        <f>Berechnung2!I41</f>
        <v>0</v>
      </c>
      <c r="I59" s="211">
        <f>Berechnung2!J41</f>
        <v>0</v>
      </c>
      <c r="J59" s="211">
        <f>Berechnung2!K41</f>
        <v>0</v>
      </c>
      <c r="K59" s="211">
        <f>Berechnung2!L41</f>
        <v>0</v>
      </c>
      <c r="P59" s="9">
        <f>Berechnung2!Q41</f>
        <v>0</v>
      </c>
      <c r="R59" s="211">
        <f>Berechnung2!M41</f>
        <v>0</v>
      </c>
      <c r="S59" s="211">
        <f>Berechnung2!N41</f>
        <v>0</v>
      </c>
      <c r="Y59" s="211">
        <f>Berechnung2!O41</f>
        <v>0</v>
      </c>
      <c r="Z59" s="211">
        <f>Berechnung2!P41</f>
        <v>0</v>
      </c>
    </row>
    <row r="60" spans="1:26" s="9" customFormat="1" ht="10.199999999999999" hidden="1" x14ac:dyDescent="0.2">
      <c r="A60" s="211">
        <f>Berechnung2!B42</f>
        <v>0</v>
      </c>
      <c r="B60" s="211">
        <f>Berechnung2!C42</f>
        <v>0</v>
      </c>
      <c r="C60" s="211">
        <f>Berechnung2!D42</f>
        <v>0</v>
      </c>
      <c r="D60" s="211">
        <f>Berechnung2!E42</f>
        <v>0</v>
      </c>
      <c r="E60" s="211">
        <f>Berechnung2!F42</f>
        <v>0</v>
      </c>
      <c r="F60" s="211">
        <f>Berechnung2!G42</f>
        <v>0</v>
      </c>
      <c r="G60" s="211">
        <f>Berechnung2!H42</f>
        <v>0</v>
      </c>
      <c r="H60" s="211">
        <f>Berechnung2!I42</f>
        <v>0</v>
      </c>
      <c r="I60" s="211">
        <f>Berechnung2!J42</f>
        <v>0</v>
      </c>
      <c r="J60" s="211">
        <f>Berechnung2!K42</f>
        <v>0</v>
      </c>
      <c r="K60" s="211">
        <f>Berechnung2!L42</f>
        <v>0</v>
      </c>
      <c r="P60" s="9">
        <f>Berechnung2!Q42</f>
        <v>0</v>
      </c>
      <c r="R60" s="211">
        <f>Berechnung2!M42</f>
        <v>0</v>
      </c>
      <c r="S60" s="211">
        <f>Berechnung2!N42</f>
        <v>0</v>
      </c>
      <c r="Y60" s="211">
        <f>Berechnung2!O42</f>
        <v>0</v>
      </c>
      <c r="Z60" s="211">
        <f>Berechnung2!P42</f>
        <v>0</v>
      </c>
    </row>
    <row r="61" spans="1:26" s="9" customFormat="1" ht="10.199999999999999" hidden="1" x14ac:dyDescent="0.2">
      <c r="A61" s="211" t="str">
        <f>Berechnung2!B43</f>
        <v>DFS</v>
      </c>
      <c r="B61" s="211">
        <f>Berechnung2!C43</f>
        <v>0</v>
      </c>
      <c r="C61" s="211">
        <f>Berechnung2!D43</f>
        <v>0</v>
      </c>
      <c r="D61" s="211" t="str">
        <f>Berechnung2!E43</f>
        <v>von</v>
      </c>
      <c r="E61" s="211" t="str">
        <f>Berechnung2!F43</f>
        <v>untere Grenze</v>
      </c>
      <c r="F61" s="211">
        <f>Berechnung2!G43</f>
        <v>0</v>
      </c>
      <c r="G61" s="211">
        <f>Berechnung2!H43</f>
        <v>0</v>
      </c>
      <c r="H61" s="211">
        <f>Berechnung2!I43</f>
        <v>0</v>
      </c>
      <c r="I61" s="211" t="str">
        <f>Berechnung2!J43</f>
        <v>obere Grenze</v>
      </c>
      <c r="J61" s="211">
        <f>Berechnung2!K43</f>
        <v>0</v>
      </c>
      <c r="K61" s="211" t="str">
        <f>Berechnung2!L43</f>
        <v>DFS auffällig niedrig</v>
      </c>
      <c r="P61" s="9">
        <f>Berechnung2!Q43</f>
        <v>0</v>
      </c>
      <c r="R61" s="211">
        <f>Berechnung2!M43</f>
        <v>0</v>
      </c>
      <c r="S61" s="211" t="str">
        <f>Berechnung2!N43</f>
        <v>DFS auffällig hoch</v>
      </c>
      <c r="Y61" s="211">
        <f>Berechnung2!O43</f>
        <v>0</v>
      </c>
      <c r="Z61" s="211">
        <f>Berechnung2!P43</f>
        <v>0</v>
      </c>
    </row>
    <row r="62" spans="1:26" s="9" customFormat="1" ht="10.199999999999999" hidden="1" x14ac:dyDescent="0.2">
      <c r="A62" s="211">
        <f>Berechnung2!B44</f>
        <v>0</v>
      </c>
      <c r="B62" s="211">
        <f>Berechnung2!C44</f>
        <v>0</v>
      </c>
      <c r="C62" s="211">
        <f>Berechnung2!D44</f>
        <v>1E-3</v>
      </c>
      <c r="D62" s="211">
        <f>Berechnung2!E44</f>
        <v>0</v>
      </c>
      <c r="E62" s="211">
        <f>Berechnung2!F44</f>
        <v>0.59899999999999998</v>
      </c>
      <c r="F62" s="211">
        <f>Berechnung2!G44</f>
        <v>0.6</v>
      </c>
      <c r="G62" s="211">
        <f>Berechnung2!H44</f>
        <v>0</v>
      </c>
      <c r="H62" s="211">
        <f>Berechnung2!I44</f>
        <v>0.94899999999999995</v>
      </c>
      <c r="I62" s="211">
        <f>Berechnung2!J44</f>
        <v>0.95</v>
      </c>
      <c r="J62" s="211">
        <f>Berechnung2!K44</f>
        <v>0</v>
      </c>
      <c r="K62" s="211" t="str">
        <f>Berechnung2!L44</f>
        <v>DFS auffällig niedrig</v>
      </c>
      <c r="P62" s="9">
        <f>Berechnung2!Q44</f>
        <v>0</v>
      </c>
      <c r="R62" s="211">
        <f>Berechnung2!M44</f>
        <v>0</v>
      </c>
      <c r="S62" s="211" t="str">
        <f>Berechnung2!N44</f>
        <v>DFS auffällig hoch</v>
      </c>
      <c r="Y62" s="211">
        <f>Berechnung2!O44</f>
        <v>0</v>
      </c>
      <c r="Z62" s="211">
        <f>Berechnung2!P44</f>
        <v>0</v>
      </c>
    </row>
    <row r="63" spans="1:26" s="9" customFormat="1" ht="10.199999999999999" hidden="1" x14ac:dyDescent="0.2">
      <c r="A63" s="211">
        <f>Berechnung2!B45</f>
        <v>0</v>
      </c>
      <c r="B63" s="211">
        <f>Berechnung2!C45</f>
        <v>0</v>
      </c>
      <c r="C63" s="211">
        <f>Berechnung2!D45</f>
        <v>1E-3</v>
      </c>
      <c r="D63" s="211">
        <f>Berechnung2!E45</f>
        <v>0</v>
      </c>
      <c r="E63" s="211">
        <f>Berechnung2!F45</f>
        <v>0.59899999999999998</v>
      </c>
      <c r="F63" s="211">
        <f>Berechnung2!G45</f>
        <v>0.6</v>
      </c>
      <c r="G63" s="211">
        <f>Berechnung2!H45</f>
        <v>0</v>
      </c>
      <c r="H63" s="211">
        <f>Berechnung2!I45</f>
        <v>0.94899999999999995</v>
      </c>
      <c r="I63" s="211">
        <f>Berechnung2!J45</f>
        <v>0.95</v>
      </c>
      <c r="J63" s="211">
        <f>Berechnung2!K45</f>
        <v>0</v>
      </c>
      <c r="K63" s="211" t="str">
        <f>Berechnung2!L45</f>
        <v>DFS auffällig niedrig</v>
      </c>
      <c r="P63" s="9">
        <f>Berechnung2!Q45</f>
        <v>0</v>
      </c>
      <c r="R63" s="211">
        <f>Berechnung2!M45</f>
        <v>0</v>
      </c>
      <c r="S63" s="211" t="str">
        <f>Berechnung2!N45</f>
        <v>DFS auffällig hoch</v>
      </c>
      <c r="Y63" s="211">
        <f>Berechnung2!O45</f>
        <v>0</v>
      </c>
      <c r="Z63" s="211">
        <f>Berechnung2!P45</f>
        <v>0</v>
      </c>
    </row>
    <row r="64" spans="1:26" s="9" customFormat="1" ht="10.199999999999999" hidden="1" x14ac:dyDescent="0.2">
      <c r="A64" s="211">
        <f>Berechnung2!B46</f>
        <v>0</v>
      </c>
      <c r="B64" s="211">
        <f>Berechnung2!C46</f>
        <v>0</v>
      </c>
      <c r="C64" s="211">
        <f>Berechnung2!D46</f>
        <v>1E-3</v>
      </c>
      <c r="D64" s="211">
        <f>Berechnung2!E46</f>
        <v>0</v>
      </c>
      <c r="E64" s="211">
        <f>Berechnung2!F46</f>
        <v>0.59899999999999998</v>
      </c>
      <c r="F64" s="211">
        <f>Berechnung2!G46</f>
        <v>0.6</v>
      </c>
      <c r="G64" s="211">
        <f>Berechnung2!H46</f>
        <v>0</v>
      </c>
      <c r="H64" s="211">
        <f>Berechnung2!I46</f>
        <v>0.94899999999999995</v>
      </c>
      <c r="I64" s="211">
        <f>Berechnung2!J46</f>
        <v>0.95</v>
      </c>
      <c r="J64" s="211">
        <f>Berechnung2!K46</f>
        <v>0</v>
      </c>
      <c r="K64" s="211" t="str">
        <f>Berechnung2!L46</f>
        <v>DFS auffällig niedrig</v>
      </c>
      <c r="P64" s="9">
        <f>Berechnung2!Q46</f>
        <v>0</v>
      </c>
      <c r="R64" s="211">
        <f>Berechnung2!M46</f>
        <v>0</v>
      </c>
      <c r="S64" s="211" t="str">
        <f>Berechnung2!N46</f>
        <v>DFS auffällig hoch</v>
      </c>
      <c r="Y64" s="211">
        <f>Berechnung2!O46</f>
        <v>0</v>
      </c>
      <c r="Z64" s="211">
        <f>Berechnung2!P46</f>
        <v>0</v>
      </c>
    </row>
    <row r="65" spans="1:31" s="9" customFormat="1" ht="10.199999999999999" hidden="1" x14ac:dyDescent="0.2">
      <c r="A65" s="211">
        <f>Berechnung2!B47</f>
        <v>0</v>
      </c>
      <c r="B65" s="211">
        <f>Berechnung2!C47</f>
        <v>0</v>
      </c>
      <c r="C65" s="211">
        <f>Berechnung2!D47</f>
        <v>1E-3</v>
      </c>
      <c r="D65" s="211">
        <f>Berechnung2!E47</f>
        <v>0</v>
      </c>
      <c r="E65" s="211">
        <f>Berechnung2!F47</f>
        <v>0.59899999999999998</v>
      </c>
      <c r="F65" s="211">
        <f>Berechnung2!G47</f>
        <v>0.6</v>
      </c>
      <c r="G65" s="211">
        <f>Berechnung2!H47</f>
        <v>0</v>
      </c>
      <c r="H65" s="211">
        <f>Berechnung2!I47</f>
        <v>0.94899999999999995</v>
      </c>
      <c r="I65" s="211">
        <f>Berechnung2!J47</f>
        <v>0.95</v>
      </c>
      <c r="J65" s="211">
        <f>Berechnung2!K47</f>
        <v>0</v>
      </c>
      <c r="K65" s="211" t="str">
        <f>Berechnung2!L47</f>
        <v>DFS auffällig niedrig</v>
      </c>
      <c r="P65" s="9">
        <f>Berechnung2!Q47</f>
        <v>0</v>
      </c>
      <c r="R65" s="211">
        <f>Berechnung2!M47</f>
        <v>0</v>
      </c>
      <c r="S65" s="211" t="str">
        <f>Berechnung2!N47</f>
        <v>DFS auffällig hoch</v>
      </c>
      <c r="Y65" s="211">
        <f>Berechnung2!O47</f>
        <v>0</v>
      </c>
      <c r="Z65" s="211">
        <f>Berechnung2!P47</f>
        <v>0</v>
      </c>
    </row>
    <row r="66" spans="1:31" s="9" customFormat="1" ht="10.199999999999999" hidden="1" x14ac:dyDescent="0.2">
      <c r="A66" s="211">
        <f>Berechnung2!B48</f>
        <v>0</v>
      </c>
      <c r="B66" s="211">
        <f>Berechnung2!C48</f>
        <v>0</v>
      </c>
      <c r="C66" s="211">
        <f>Berechnung2!D48</f>
        <v>1E-3</v>
      </c>
      <c r="D66" s="211">
        <f>Berechnung2!E48</f>
        <v>0</v>
      </c>
      <c r="E66" s="211">
        <f>Berechnung2!F48</f>
        <v>0.59899999999999998</v>
      </c>
      <c r="F66" s="211">
        <f>Berechnung2!G48</f>
        <v>0.6</v>
      </c>
      <c r="G66" s="211">
        <f>Berechnung2!H48</f>
        <v>0</v>
      </c>
      <c r="H66" s="211">
        <f>Berechnung2!I48</f>
        <v>0.94899999999999995</v>
      </c>
      <c r="I66" s="211">
        <f>Berechnung2!J48</f>
        <v>0.95</v>
      </c>
      <c r="J66" s="211">
        <f>Berechnung2!K48</f>
        <v>0</v>
      </c>
      <c r="K66" s="211" t="str">
        <f>Berechnung2!L48</f>
        <v>DFS auffällig niedrig</v>
      </c>
      <c r="P66" s="9">
        <f>Berechnung2!Q48</f>
        <v>0</v>
      </c>
      <c r="R66" s="211">
        <f>Berechnung2!M48</f>
        <v>0</v>
      </c>
      <c r="S66" s="211" t="str">
        <f>Berechnung2!N48</f>
        <v>DFS auffällig hoch</v>
      </c>
      <c r="Y66" s="211">
        <f>Berechnung2!O48</f>
        <v>0</v>
      </c>
      <c r="Z66" s="211">
        <f>Berechnung2!P48</f>
        <v>0</v>
      </c>
    </row>
    <row r="67" spans="1:31" s="9" customFormat="1" ht="10.199999999999999" hidden="1" x14ac:dyDescent="0.2">
      <c r="A67" s="211">
        <f>Berechnung2!B49</f>
        <v>0</v>
      </c>
      <c r="B67" s="211">
        <f>Berechnung2!C49</f>
        <v>0</v>
      </c>
      <c r="C67" s="211">
        <f>Berechnung2!D49</f>
        <v>1E-3</v>
      </c>
      <c r="D67" s="211">
        <f>Berechnung2!E49</f>
        <v>0</v>
      </c>
      <c r="E67" s="211">
        <f>Berechnung2!F49</f>
        <v>0.79900000000000004</v>
      </c>
      <c r="F67" s="211">
        <f>Berechnung2!G49</f>
        <v>0.8</v>
      </c>
      <c r="G67" s="211">
        <f>Berechnung2!H49</f>
        <v>0</v>
      </c>
      <c r="H67" s="211">
        <f>Berechnung2!I49</f>
        <v>0.98899999999999999</v>
      </c>
      <c r="I67" s="211">
        <f>Berechnung2!J49</f>
        <v>0.99</v>
      </c>
      <c r="J67" s="211">
        <f>Berechnung2!K49</f>
        <v>0</v>
      </c>
      <c r="K67" s="211" t="str">
        <f>Berechnung2!L49</f>
        <v>DFS auffällig niedrig</v>
      </c>
      <c r="P67" s="9">
        <f>Berechnung2!Q49</f>
        <v>0</v>
      </c>
      <c r="R67" s="211">
        <f>Berechnung2!M49</f>
        <v>0</v>
      </c>
      <c r="S67" s="211" t="str">
        <f>Berechnung2!N49</f>
        <v>DFS auffällig hoch</v>
      </c>
      <c r="Y67" s="211">
        <f>Berechnung2!O49</f>
        <v>0</v>
      </c>
      <c r="Z67" s="211">
        <f>Berechnung2!P49</f>
        <v>0</v>
      </c>
    </row>
    <row r="68" spans="1:31" s="9" customFormat="1" ht="10.199999999999999" hidden="1" x14ac:dyDescent="0.2">
      <c r="A68" s="211">
        <f>Berechnung2!B50</f>
        <v>0</v>
      </c>
      <c r="B68" s="211">
        <f>Berechnung2!C50</f>
        <v>0</v>
      </c>
      <c r="C68" s="211">
        <f>Berechnung2!D50</f>
        <v>1E-3</v>
      </c>
      <c r="D68" s="211">
        <f>Berechnung2!E50</f>
        <v>0</v>
      </c>
      <c r="E68" s="211">
        <f>Berechnung2!F50</f>
        <v>0.89900000000000002</v>
      </c>
      <c r="F68" s="211">
        <f>Berechnung2!G50</f>
        <v>0.9</v>
      </c>
      <c r="G68" s="211">
        <f>Berechnung2!H50</f>
        <v>0</v>
      </c>
      <c r="H68" s="211">
        <f>Berechnung2!I50</f>
        <v>0.98899999999999999</v>
      </c>
      <c r="I68" s="211">
        <f>Berechnung2!J50</f>
        <v>0.99</v>
      </c>
      <c r="J68" s="211">
        <f>Berechnung2!K50</f>
        <v>0</v>
      </c>
      <c r="K68" s="211" t="str">
        <f>Berechnung2!L50</f>
        <v>DFS auffällig niedrig</v>
      </c>
      <c r="P68" s="9">
        <f>Berechnung2!Q50</f>
        <v>0</v>
      </c>
      <c r="R68" s="211">
        <f>Berechnung2!M50</f>
        <v>0</v>
      </c>
      <c r="S68" s="211" t="str">
        <f>Berechnung2!N50</f>
        <v>DFS auffällig hoch</v>
      </c>
      <c r="Y68" s="211">
        <f>Berechnung2!O50</f>
        <v>0</v>
      </c>
      <c r="Z68" s="211">
        <f>Berechnung2!P50</f>
        <v>0</v>
      </c>
    </row>
    <row r="69" spans="1:31" s="9" customFormat="1" ht="10.199999999999999" hidden="1" x14ac:dyDescent="0.2">
      <c r="A69" s="211">
        <f>Berechnung2!B51</f>
        <v>0</v>
      </c>
      <c r="B69" s="211">
        <f>Berechnung2!C51</f>
        <v>0</v>
      </c>
      <c r="C69" s="211">
        <f>Berechnung2!D51</f>
        <v>0</v>
      </c>
      <c r="D69" s="211">
        <f>Berechnung2!E51</f>
        <v>0</v>
      </c>
      <c r="E69" s="211">
        <f>Berechnung2!F51</f>
        <v>0</v>
      </c>
      <c r="F69" s="211">
        <f>Berechnung2!G51</f>
        <v>0</v>
      </c>
      <c r="G69" s="211">
        <f>Berechnung2!H51</f>
        <v>0</v>
      </c>
      <c r="H69" s="211">
        <f>Berechnung2!I51</f>
        <v>0</v>
      </c>
      <c r="I69" s="211">
        <f>Berechnung2!J51</f>
        <v>0</v>
      </c>
      <c r="J69" s="211">
        <f>Berechnung2!K51</f>
        <v>0</v>
      </c>
      <c r="K69" s="211">
        <f>Berechnung2!L51</f>
        <v>0</v>
      </c>
      <c r="P69" s="9">
        <f>Berechnung2!Q51</f>
        <v>0</v>
      </c>
      <c r="R69" s="211">
        <f>Berechnung2!M51</f>
        <v>0</v>
      </c>
      <c r="S69" s="211">
        <f>Berechnung2!N51</f>
        <v>0</v>
      </c>
      <c r="Y69" s="211">
        <f>Berechnung2!O51</f>
        <v>0</v>
      </c>
      <c r="Z69" s="211">
        <f>Berechnung2!P51</f>
        <v>0</v>
      </c>
    </row>
    <row r="70" spans="1:31" s="9" customFormat="1" ht="10.199999999999999" hidden="1" x14ac:dyDescent="0.2">
      <c r="A70" s="211" t="str">
        <f>Berechnung2!B52</f>
        <v>OAS</v>
      </c>
      <c r="B70" s="211">
        <f>Berechnung2!C52</f>
        <v>0</v>
      </c>
      <c r="C70" s="211">
        <f>Berechnung2!D52</f>
        <v>0</v>
      </c>
      <c r="D70" s="211">
        <f>Berechnung2!E52</f>
        <v>0</v>
      </c>
      <c r="E70" s="211" t="str">
        <f>Berechnung2!F52</f>
        <v>untere Grenze</v>
      </c>
      <c r="F70" s="211">
        <f>Berechnung2!G52</f>
        <v>0</v>
      </c>
      <c r="G70" s="211">
        <f>Berechnung2!H52</f>
        <v>0</v>
      </c>
      <c r="H70" s="211">
        <f>Berechnung2!I52</f>
        <v>0</v>
      </c>
      <c r="I70" s="211" t="str">
        <f>Berechnung2!J52</f>
        <v>obere Grenze</v>
      </c>
      <c r="J70" s="211">
        <f>Berechnung2!K52</f>
        <v>0</v>
      </c>
      <c r="K70" s="211" t="str">
        <f>Berechnung2!L52</f>
        <v xml:space="preserve">OAS auffällig niedrig </v>
      </c>
      <c r="P70" s="9">
        <f>Berechnung2!Q52</f>
        <v>0</v>
      </c>
      <c r="R70" s="211">
        <f>Berechnung2!M52</f>
        <v>0</v>
      </c>
      <c r="S70" s="211" t="str">
        <f>Berechnung2!N52</f>
        <v>OAS auffällig hoch</v>
      </c>
      <c r="Y70" s="211">
        <f>Berechnung2!O52</f>
        <v>0</v>
      </c>
      <c r="Z70" s="211">
        <f>Berechnung2!P52</f>
        <v>0</v>
      </c>
    </row>
    <row r="71" spans="1:31" s="9" customFormat="1" ht="10.199999999999999" hidden="1" x14ac:dyDescent="0.2">
      <c r="A71" s="211">
        <f>Berechnung2!B53</f>
        <v>0</v>
      </c>
      <c r="B71" s="211">
        <f>Berechnung2!C53</f>
        <v>0</v>
      </c>
      <c r="C71" s="211">
        <f>Berechnung2!D53</f>
        <v>1E-3</v>
      </c>
      <c r="D71" s="211">
        <f>Berechnung2!E53</f>
        <v>0</v>
      </c>
      <c r="E71" s="211">
        <f>Berechnung2!F53</f>
        <v>0.59899999999999998</v>
      </c>
      <c r="F71" s="211">
        <f>Berechnung2!G53</f>
        <v>0.6</v>
      </c>
      <c r="G71" s="211">
        <f>Berechnung2!H53</f>
        <v>0</v>
      </c>
      <c r="H71" s="211">
        <f>Berechnung2!I53</f>
        <v>0.94899999999999995</v>
      </c>
      <c r="I71" s="211">
        <f>Berechnung2!J53</f>
        <v>0.95</v>
      </c>
      <c r="J71" s="211">
        <f>Berechnung2!K53</f>
        <v>0</v>
      </c>
      <c r="K71" s="211" t="str">
        <f>Berechnung2!L53</f>
        <v xml:space="preserve">OAS auffällig niedrig </v>
      </c>
      <c r="P71" s="9">
        <f>Berechnung2!Q53</f>
        <v>0</v>
      </c>
      <c r="R71" s="211">
        <f>Berechnung2!M53</f>
        <v>0</v>
      </c>
      <c r="S71" s="211" t="str">
        <f>Berechnung2!N53</f>
        <v>OAS auffällig hoch</v>
      </c>
      <c r="Y71" s="211">
        <f>Berechnung2!O53</f>
        <v>0</v>
      </c>
      <c r="Z71" s="211">
        <f>Berechnung2!P53</f>
        <v>0</v>
      </c>
    </row>
    <row r="72" spans="1:31" s="9" customFormat="1" ht="10.199999999999999" hidden="1" x14ac:dyDescent="0.2">
      <c r="A72" s="211">
        <f>Berechnung2!B54</f>
        <v>0</v>
      </c>
      <c r="B72" s="211">
        <f>Berechnung2!C54</f>
        <v>0</v>
      </c>
      <c r="C72" s="211">
        <f>Berechnung2!D54</f>
        <v>1E-3</v>
      </c>
      <c r="D72" s="211">
        <f>Berechnung2!E54</f>
        <v>0</v>
      </c>
      <c r="E72" s="211">
        <f>Berechnung2!F54</f>
        <v>0.59899999999999998</v>
      </c>
      <c r="F72" s="211">
        <f>Berechnung2!G54</f>
        <v>0.6</v>
      </c>
      <c r="G72" s="211">
        <f>Berechnung2!H54</f>
        <v>0</v>
      </c>
      <c r="H72" s="211">
        <f>Berechnung2!I54</f>
        <v>0.94899999999999995</v>
      </c>
      <c r="I72" s="211">
        <f>Berechnung2!J54</f>
        <v>0.95</v>
      </c>
      <c r="J72" s="211">
        <f>Berechnung2!K54</f>
        <v>0</v>
      </c>
      <c r="K72" s="211" t="str">
        <f>Berechnung2!L54</f>
        <v xml:space="preserve">OAS auffällig niedrig </v>
      </c>
      <c r="P72" s="9">
        <f>Berechnung2!Q54</f>
        <v>0</v>
      </c>
      <c r="R72" s="211">
        <f>Berechnung2!M54</f>
        <v>0</v>
      </c>
      <c r="S72" s="211" t="str">
        <f>Berechnung2!N54</f>
        <v>OAS auffällig hoch</v>
      </c>
      <c r="Y72" s="211">
        <f>Berechnung2!O54</f>
        <v>0</v>
      </c>
      <c r="Z72" s="211">
        <f>Berechnung2!P54</f>
        <v>0</v>
      </c>
    </row>
    <row r="73" spans="1:31" s="9" customFormat="1" ht="10.199999999999999" hidden="1" x14ac:dyDescent="0.2">
      <c r="A73" s="211">
        <f>Berechnung2!B55</f>
        <v>0</v>
      </c>
      <c r="B73" s="211">
        <f>Berechnung2!C55</f>
        <v>0</v>
      </c>
      <c r="C73" s="211">
        <f>Berechnung2!D55</f>
        <v>1E-3</v>
      </c>
      <c r="D73" s="211">
        <f>Berechnung2!E55</f>
        <v>0</v>
      </c>
      <c r="E73" s="211">
        <f>Berechnung2!F55</f>
        <v>0.59899999999999998</v>
      </c>
      <c r="F73" s="211">
        <f>Berechnung2!G55</f>
        <v>0.6</v>
      </c>
      <c r="G73" s="211">
        <f>Berechnung2!H55</f>
        <v>0</v>
      </c>
      <c r="H73" s="211">
        <f>Berechnung2!I55</f>
        <v>0.94899999999999995</v>
      </c>
      <c r="I73" s="211">
        <f>Berechnung2!J55</f>
        <v>0.95</v>
      </c>
      <c r="J73" s="211">
        <f>Berechnung2!K55</f>
        <v>0</v>
      </c>
      <c r="K73" s="211" t="str">
        <f>Berechnung2!L55</f>
        <v xml:space="preserve">OAS auffällig niedrig </v>
      </c>
      <c r="P73" s="9">
        <f>Berechnung2!Q55</f>
        <v>0</v>
      </c>
      <c r="R73" s="211">
        <f>Berechnung2!M55</f>
        <v>0</v>
      </c>
      <c r="S73" s="211" t="str">
        <f>Berechnung2!N55</f>
        <v>OAS auffällig hoch</v>
      </c>
      <c r="Y73" s="211">
        <f>Berechnung2!O55</f>
        <v>0</v>
      </c>
      <c r="Z73" s="211">
        <f>Berechnung2!P55</f>
        <v>0</v>
      </c>
    </row>
    <row r="74" spans="1:31" hidden="1" x14ac:dyDescent="0.25">
      <c r="A74" s="211">
        <f>Berechnung2!B56</f>
        <v>0</v>
      </c>
      <c r="B74" s="211">
        <f>Berechnung2!C56</f>
        <v>0</v>
      </c>
      <c r="C74" s="211">
        <f>Berechnung2!D56</f>
        <v>1E-3</v>
      </c>
      <c r="D74" s="211">
        <f>Berechnung2!E56</f>
        <v>0</v>
      </c>
      <c r="E74" s="211">
        <f>Berechnung2!F56</f>
        <v>0.59899999999999998</v>
      </c>
      <c r="F74" s="211">
        <f>Berechnung2!G56</f>
        <v>0.6</v>
      </c>
      <c r="G74" s="211">
        <f>Berechnung2!H56</f>
        <v>0</v>
      </c>
      <c r="H74" s="211">
        <f>Berechnung2!I56</f>
        <v>0.94899999999999995</v>
      </c>
      <c r="I74" s="211">
        <f>Berechnung2!J56</f>
        <v>0.95</v>
      </c>
      <c r="J74" s="211">
        <f>Berechnung2!K56</f>
        <v>0</v>
      </c>
      <c r="K74" s="211" t="str">
        <f>Berechnung2!L56</f>
        <v xml:space="preserve">OAS auffällig niedrig </v>
      </c>
      <c r="P74" s="9">
        <f>Berechnung2!Q56</f>
        <v>0</v>
      </c>
      <c r="Q74" s="9"/>
      <c r="R74" s="211">
        <f>Berechnung2!M56</f>
        <v>0</v>
      </c>
      <c r="S74" s="211" t="str">
        <f>Berechnung2!N56</f>
        <v>OAS auffällig hoch</v>
      </c>
      <c r="Y74" s="211">
        <f>Berechnung2!O56</f>
        <v>0</v>
      </c>
      <c r="Z74" s="211">
        <f>Berechnung2!P56</f>
        <v>0</v>
      </c>
      <c r="AA74" s="9"/>
      <c r="AB74" s="9"/>
      <c r="AC74" s="9"/>
      <c r="AD74" s="9"/>
      <c r="AE74" s="9"/>
    </row>
    <row r="75" spans="1:31" hidden="1" x14ac:dyDescent="0.25">
      <c r="A75" s="211">
        <f>Berechnung2!B57</f>
        <v>0</v>
      </c>
      <c r="B75" s="211">
        <f>Berechnung2!C57</f>
        <v>0</v>
      </c>
      <c r="C75" s="211">
        <f>Berechnung2!D57</f>
        <v>1E-3</v>
      </c>
      <c r="D75" s="211">
        <f>Berechnung2!E57</f>
        <v>0</v>
      </c>
      <c r="E75" s="211">
        <f>Berechnung2!F57</f>
        <v>0.59899999999999998</v>
      </c>
      <c r="F75" s="211">
        <f>Berechnung2!G57</f>
        <v>0.6</v>
      </c>
      <c r="G75" s="211">
        <f>Berechnung2!H57</f>
        <v>0</v>
      </c>
      <c r="H75" s="211">
        <f>Berechnung2!I57</f>
        <v>0.94899999999999995</v>
      </c>
      <c r="I75" s="211">
        <f>Berechnung2!J57</f>
        <v>0.95</v>
      </c>
      <c r="J75" s="211">
        <f>Berechnung2!K57</f>
        <v>0</v>
      </c>
      <c r="K75" s="211" t="str">
        <f>Berechnung2!L57</f>
        <v xml:space="preserve">OAS auffällig niedrig </v>
      </c>
      <c r="P75" s="9">
        <f>Berechnung2!Q57</f>
        <v>0</v>
      </c>
      <c r="Q75" s="9"/>
      <c r="R75" s="211">
        <f>Berechnung2!M57</f>
        <v>0</v>
      </c>
      <c r="S75" s="211" t="str">
        <f>Berechnung2!N57</f>
        <v>OAS auffällig hoch</v>
      </c>
      <c r="Y75" s="211">
        <f>Berechnung2!O57</f>
        <v>0</v>
      </c>
      <c r="Z75" s="211">
        <f>Berechnung2!P57</f>
        <v>0</v>
      </c>
      <c r="AA75" s="9"/>
      <c r="AB75" s="9"/>
      <c r="AC75" s="9"/>
      <c r="AD75" s="9"/>
      <c r="AE75" s="9"/>
    </row>
    <row r="76" spans="1:31" hidden="1" x14ac:dyDescent="0.25">
      <c r="A76" s="211">
        <f>Berechnung2!B58</f>
        <v>0</v>
      </c>
      <c r="B76" s="211">
        <f>Berechnung2!C58</f>
        <v>0</v>
      </c>
      <c r="C76" s="211">
        <f>Berechnung2!D58</f>
        <v>1E-3</v>
      </c>
      <c r="D76" s="211">
        <f>Berechnung2!E58</f>
        <v>0</v>
      </c>
      <c r="E76" s="211">
        <f>Berechnung2!F58</f>
        <v>0.84899999999999998</v>
      </c>
      <c r="F76" s="211">
        <f>Berechnung2!G58</f>
        <v>0.85</v>
      </c>
      <c r="G76" s="211">
        <f>Berechnung2!H58</f>
        <v>0</v>
      </c>
      <c r="H76" s="211">
        <f>Berechnung2!I58</f>
        <v>0.98899999999999999</v>
      </c>
      <c r="I76" s="211">
        <f>Berechnung2!J58</f>
        <v>0.99</v>
      </c>
      <c r="J76" s="211">
        <f>Berechnung2!K58</f>
        <v>0</v>
      </c>
      <c r="K76" s="211" t="str">
        <f>Berechnung2!L58</f>
        <v xml:space="preserve">OAS auffällig niedrig </v>
      </c>
      <c r="P76" s="9">
        <f>Berechnung2!Q58</f>
        <v>0</v>
      </c>
      <c r="Q76" s="9"/>
      <c r="R76" s="211">
        <f>Berechnung2!M58</f>
        <v>0</v>
      </c>
      <c r="S76" s="211" t="str">
        <f>Berechnung2!N58</f>
        <v>OAS auffällig hoch</v>
      </c>
      <c r="Y76" s="211">
        <f>Berechnung2!O58</f>
        <v>0</v>
      </c>
      <c r="Z76" s="211">
        <f>Berechnung2!P58</f>
        <v>0</v>
      </c>
      <c r="AA76" s="9"/>
      <c r="AB76" s="9"/>
      <c r="AC76" s="9"/>
      <c r="AD76" s="9"/>
      <c r="AE76" s="9"/>
    </row>
    <row r="77" spans="1:31" hidden="1" x14ac:dyDescent="0.25">
      <c r="A77" s="211">
        <f>Berechnung2!B59</f>
        <v>0</v>
      </c>
      <c r="B77" s="211">
        <f>Berechnung2!C59</f>
        <v>0</v>
      </c>
      <c r="C77" s="211">
        <f>Berechnung2!D59</f>
        <v>1E-3</v>
      </c>
      <c r="D77" s="211">
        <f>Berechnung2!E59</f>
        <v>0</v>
      </c>
      <c r="E77" s="211">
        <f>Berechnung2!F59</f>
        <v>0.94899999999999995</v>
      </c>
      <c r="F77" s="211">
        <f>Berechnung2!G59</f>
        <v>0.95</v>
      </c>
      <c r="G77" s="211">
        <f>Berechnung2!H59</f>
        <v>0</v>
      </c>
      <c r="H77" s="211">
        <f>Berechnung2!I59</f>
        <v>0.98899999999999999</v>
      </c>
      <c r="I77" s="211">
        <f>Berechnung2!J59</f>
        <v>0.99</v>
      </c>
      <c r="J77" s="211">
        <f>Berechnung2!K59</f>
        <v>0</v>
      </c>
      <c r="K77" s="211" t="str">
        <f>Berechnung2!L59</f>
        <v xml:space="preserve">OAS auffällig niedrig </v>
      </c>
      <c r="P77" s="9">
        <f>Berechnung2!Q59</f>
        <v>0</v>
      </c>
      <c r="Q77" s="9"/>
      <c r="R77" s="211">
        <f>Berechnung2!M59</f>
        <v>0</v>
      </c>
      <c r="S77" s="211" t="str">
        <f>Berechnung2!N59</f>
        <v>OAS auffällig hoch</v>
      </c>
      <c r="Y77" s="211">
        <f>Berechnung2!O59</f>
        <v>0</v>
      </c>
      <c r="Z77" s="211">
        <f>Berechnung2!P59</f>
        <v>0</v>
      </c>
      <c r="AA77" s="9"/>
      <c r="AB77" s="9"/>
      <c r="AC77" s="9"/>
      <c r="AD77" s="9"/>
      <c r="AE77" s="9"/>
    </row>
    <row r="78" spans="1:31" x14ac:dyDescent="0.25">
      <c r="A78" s="9"/>
      <c r="B78" s="9"/>
      <c r="C78" s="9"/>
      <c r="D78" s="9"/>
      <c r="E78" s="9"/>
      <c r="F78" s="9"/>
      <c r="G78" s="9"/>
      <c r="H78" s="9"/>
      <c r="I78" s="9"/>
      <c r="J78" s="9"/>
      <c r="K78" s="9"/>
      <c r="L78" s="9"/>
      <c r="M78" s="9"/>
      <c r="N78" s="9"/>
      <c r="O78" s="9"/>
      <c r="P78" s="9"/>
      <c r="Q78" s="9"/>
      <c r="R78" s="9"/>
      <c r="S78" s="9"/>
      <c r="T78" s="9"/>
      <c r="U78" s="9"/>
      <c r="V78" s="9"/>
      <c r="W78" s="9"/>
      <c r="X78" s="9"/>
      <c r="Y78" s="9"/>
      <c r="Z78" s="9"/>
      <c r="AA78" s="9"/>
      <c r="AB78" s="9"/>
    </row>
    <row r="79" spans="1:31" x14ac:dyDescent="0.25">
      <c r="A79" s="9"/>
      <c r="B79" s="9"/>
      <c r="C79" s="9"/>
      <c r="D79" s="9"/>
      <c r="E79" s="9"/>
      <c r="F79" s="9"/>
      <c r="G79" s="9"/>
      <c r="H79" s="9"/>
      <c r="I79" s="9"/>
      <c r="J79" s="9"/>
      <c r="K79" s="9"/>
      <c r="L79" s="9"/>
      <c r="M79" s="9"/>
      <c r="N79" s="9"/>
      <c r="O79" s="9"/>
      <c r="P79" s="9"/>
      <c r="Q79" s="9"/>
      <c r="R79" s="9"/>
      <c r="S79" s="9"/>
      <c r="T79" s="9"/>
      <c r="U79" s="9"/>
      <c r="V79" s="9"/>
      <c r="W79" s="9"/>
      <c r="X79" s="9"/>
      <c r="Y79" s="9"/>
      <c r="Z79" s="9"/>
      <c r="AA79" s="9"/>
      <c r="AB79" s="9"/>
    </row>
  </sheetData>
  <sheetProtection password="CA09" sheet="1" objects="1" scenarios="1" selectLockedCells="1"/>
  <dataConsolidate/>
  <mergeCells count="90">
    <mergeCell ref="A12:D12"/>
    <mergeCell ref="A13:D13"/>
    <mergeCell ref="E12:J12"/>
    <mergeCell ref="E13:I13"/>
    <mergeCell ref="A17:A18"/>
    <mergeCell ref="B17:B18"/>
    <mergeCell ref="C17:C18"/>
    <mergeCell ref="G17:G18"/>
    <mergeCell ref="I17:I18"/>
    <mergeCell ref="J15:J24"/>
    <mergeCell ref="C15:I15"/>
    <mergeCell ref="H17:H18"/>
    <mergeCell ref="E17:E18"/>
    <mergeCell ref="F17:F18"/>
    <mergeCell ref="B42:D42"/>
    <mergeCell ref="E42:I42"/>
    <mergeCell ref="B43:D43"/>
    <mergeCell ref="J40:AA40"/>
    <mergeCell ref="J41:AA41"/>
    <mergeCell ref="J42:AA42"/>
    <mergeCell ref="B40:D40"/>
    <mergeCell ref="E43:I43"/>
    <mergeCell ref="J43:AA43"/>
    <mergeCell ref="E40:I40"/>
    <mergeCell ref="B41:D41"/>
    <mergeCell ref="E41:I41"/>
    <mergeCell ref="B46:D46"/>
    <mergeCell ref="J45:AA46"/>
    <mergeCell ref="J44:AA44"/>
    <mergeCell ref="E44:I44"/>
    <mergeCell ref="E46:I46"/>
    <mergeCell ref="B44:D44"/>
    <mergeCell ref="B45:D45"/>
    <mergeCell ref="E45:I45"/>
    <mergeCell ref="A6:B6"/>
    <mergeCell ref="A8:B8"/>
    <mergeCell ref="C6:W6"/>
    <mergeCell ref="E37:I37"/>
    <mergeCell ref="B38:D38"/>
    <mergeCell ref="E38:I38"/>
    <mergeCell ref="J35:AA35"/>
    <mergeCell ref="D17:D18"/>
    <mergeCell ref="A28:B28"/>
    <mergeCell ref="B35:D35"/>
    <mergeCell ref="E35:I35"/>
    <mergeCell ref="V17:V18"/>
    <mergeCell ref="W17:W18"/>
    <mergeCell ref="Y17:Y18"/>
    <mergeCell ref="K17:K18"/>
    <mergeCell ref="L17:L18"/>
    <mergeCell ref="S8:W8"/>
    <mergeCell ref="C8:G8"/>
    <mergeCell ref="P13:U13"/>
    <mergeCell ref="K24:O24"/>
    <mergeCell ref="K12:O12"/>
    <mergeCell ref="P12:U12"/>
    <mergeCell ref="N17:N18"/>
    <mergeCell ref="K13:O13"/>
    <mergeCell ref="K15:W15"/>
    <mergeCell ref="V12:Z12"/>
    <mergeCell ref="V13:Z13"/>
    <mergeCell ref="Y15:Z15"/>
    <mergeCell ref="Y24:Z24"/>
    <mergeCell ref="S17:S18"/>
    <mergeCell ref="M17:M18"/>
    <mergeCell ref="R17:R18"/>
    <mergeCell ref="U17:U18"/>
    <mergeCell ref="A30:AA30"/>
    <mergeCell ref="T17:T18"/>
    <mergeCell ref="J39:AA39"/>
    <mergeCell ref="B37:D37"/>
    <mergeCell ref="B39:D39"/>
    <mergeCell ref="E39:I39"/>
    <mergeCell ref="B36:D36"/>
    <mergeCell ref="E36:I36"/>
    <mergeCell ref="J36:AA36"/>
    <mergeCell ref="Z17:Z18"/>
    <mergeCell ref="X15:X24"/>
    <mergeCell ref="O17:O18"/>
    <mergeCell ref="Q17:Q18"/>
    <mergeCell ref="P16:P24"/>
    <mergeCell ref="K25:O25"/>
    <mergeCell ref="Y25:Z25"/>
    <mergeCell ref="A31:AA31"/>
    <mergeCell ref="J37:AA37"/>
    <mergeCell ref="J38:AA38"/>
    <mergeCell ref="A32:AA32"/>
    <mergeCell ref="K26:O26"/>
    <mergeCell ref="Q26:W26"/>
    <mergeCell ref="B26:I26"/>
  </mergeCells>
  <phoneticPr fontId="118" type="noConversion"/>
  <conditionalFormatting sqref="B19">
    <cfRule type="expression" dxfId="247" priority="506" stopIfTrue="1">
      <formula>OR(A19="nicht relevant",A19="EZ")</formula>
    </cfRule>
  </conditionalFormatting>
  <conditionalFormatting sqref="L19">
    <cfRule type="expression" dxfId="246" priority="458" stopIfTrue="1">
      <formula>OR($A19="nicht relevant",$A19="EZ")</formula>
    </cfRule>
    <cfRule type="expression" dxfId="245" priority="3260" stopIfTrue="1">
      <formula>LEN(TRIM(L19))=0</formula>
    </cfRule>
  </conditionalFormatting>
  <conditionalFormatting sqref="O28">
    <cfRule type="cellIs" dxfId="244" priority="514" operator="equal">
      <formula>"---"</formula>
    </cfRule>
    <cfRule type="cellIs" dxfId="243" priority="3282" stopIfTrue="1" operator="between">
      <formula>$F$55</formula>
      <formula>$H$55</formula>
    </cfRule>
    <cfRule type="cellIs" dxfId="242" priority="3283" stopIfTrue="1" operator="between">
      <formula>$G$56</formula>
      <formula>$H$56</formula>
    </cfRule>
  </conditionalFormatting>
  <conditionalFormatting sqref="Z19">
    <cfRule type="expression" dxfId="241" priority="468" stopIfTrue="1">
      <formula>OR($A19="nicht relevant",$A19="EZ")</formula>
    </cfRule>
  </conditionalFormatting>
  <conditionalFormatting sqref="Y19">
    <cfRule type="expression" dxfId="240" priority="527" stopIfTrue="1">
      <formula>OR($A19="nicht relevant",$A19="EZ")</formula>
    </cfRule>
  </conditionalFormatting>
  <conditionalFormatting sqref="D19">
    <cfRule type="expression" dxfId="239" priority="134" stopIfTrue="1">
      <formula>OR($A19="nicht relevant",$A19="EZ")</formula>
    </cfRule>
    <cfRule type="expression" dxfId="238" priority="505" stopIfTrue="1">
      <formula>LEN(TRIM(D19))=0</formula>
    </cfRule>
  </conditionalFormatting>
  <conditionalFormatting sqref="Y20">
    <cfRule type="expression" dxfId="237" priority="476" stopIfTrue="1">
      <formula>OR($A20="nicht relevant",$A20="EZ")</formula>
    </cfRule>
  </conditionalFormatting>
  <conditionalFormatting sqref="Y21">
    <cfRule type="expression" dxfId="236" priority="474" stopIfTrue="1">
      <formula>OR($A21="nicht relevant",$A21="EZ")</formula>
    </cfRule>
  </conditionalFormatting>
  <conditionalFormatting sqref="Y22">
    <cfRule type="expression" dxfId="235" priority="472" stopIfTrue="1">
      <formula>OR($A22="nicht relevant",$A22="EZ")</formula>
    </cfRule>
  </conditionalFormatting>
  <conditionalFormatting sqref="Z20">
    <cfRule type="expression" dxfId="234" priority="466" stopIfTrue="1">
      <formula>OR($A20="nicht relevant",$A20="EZ")</formula>
    </cfRule>
  </conditionalFormatting>
  <conditionalFormatting sqref="Z21">
    <cfRule type="expression" dxfId="233" priority="464" stopIfTrue="1">
      <formula>OR($A21="nicht relevant",$A21="EZ")</formula>
    </cfRule>
  </conditionalFormatting>
  <conditionalFormatting sqref="Z22">
    <cfRule type="expression" dxfId="232" priority="462" stopIfTrue="1">
      <formula>OR($A22="nicht relevant",$A22="EZ")</formula>
    </cfRule>
  </conditionalFormatting>
  <conditionalFormatting sqref="L20">
    <cfRule type="expression" dxfId="231" priority="428" stopIfTrue="1">
      <formula>OR($A20="nicht relevant",$A20="EZ")</formula>
    </cfRule>
    <cfRule type="expression" dxfId="230" priority="429" stopIfTrue="1">
      <formula>LEN(TRIM(L20))=0</formula>
    </cfRule>
  </conditionalFormatting>
  <conditionalFormatting sqref="L21">
    <cfRule type="expression" dxfId="229" priority="426" stopIfTrue="1">
      <formula>OR($A21="nicht relevant",$A21="EZ")</formula>
    </cfRule>
    <cfRule type="expression" dxfId="228" priority="427" stopIfTrue="1">
      <formula>LEN(TRIM(L21))=0</formula>
    </cfRule>
  </conditionalFormatting>
  <conditionalFormatting sqref="L22">
    <cfRule type="expression" dxfId="227" priority="424" stopIfTrue="1">
      <formula>OR($A22="nicht relevant",$A22="EZ")</formula>
    </cfRule>
    <cfRule type="expression" dxfId="226" priority="425" stopIfTrue="1">
      <formula>LEN(TRIM(L22))=0</formula>
    </cfRule>
  </conditionalFormatting>
  <conditionalFormatting sqref="M19">
    <cfRule type="expression" dxfId="225" priority="420" stopIfTrue="1">
      <formula>OR($A19="nicht relevant",$A19="EZ")</formula>
    </cfRule>
    <cfRule type="expression" dxfId="224" priority="421" stopIfTrue="1">
      <formula>LEN(TRIM(M19))=0</formula>
    </cfRule>
  </conditionalFormatting>
  <conditionalFormatting sqref="N19">
    <cfRule type="expression" dxfId="223" priority="410" stopIfTrue="1">
      <formula>OR($A19="nicht relevant",$A19="EZ")</formula>
    </cfRule>
    <cfRule type="expression" dxfId="222" priority="411" stopIfTrue="1">
      <formula>LEN(TRIM(N19))=0</formula>
    </cfRule>
  </conditionalFormatting>
  <conditionalFormatting sqref="B20">
    <cfRule type="expression" dxfId="221" priority="378" stopIfTrue="1">
      <formula>OR(A20="nicht relevant",A20="EZ")</formula>
    </cfRule>
  </conditionalFormatting>
  <conditionalFormatting sqref="B21">
    <cfRule type="expression" dxfId="220" priority="377" stopIfTrue="1">
      <formula>OR(A21="nicht relevant",A21="EZ")</formula>
    </cfRule>
  </conditionalFormatting>
  <conditionalFormatting sqref="B22">
    <cfRule type="expression" dxfId="219" priority="376" stopIfTrue="1">
      <formula>OR(A22="nicht relevant",A22="EZ")</formula>
    </cfRule>
  </conditionalFormatting>
  <conditionalFormatting sqref="B23">
    <cfRule type="expression" dxfId="218" priority="375" stopIfTrue="1">
      <formula>OR(A23="nicht relevant",A23="EZ")</formula>
    </cfRule>
  </conditionalFormatting>
  <conditionalFormatting sqref="B24:B25">
    <cfRule type="expression" dxfId="217" priority="374" stopIfTrue="1">
      <formula>OR(A24="nicht relevant",A24="EZ")</formula>
    </cfRule>
  </conditionalFormatting>
  <conditionalFormatting sqref="K19:K20">
    <cfRule type="expression" dxfId="216" priority="334" stopIfTrue="1">
      <formula>OR($A19="nicht relevant",$A19="EZ")</formula>
    </cfRule>
    <cfRule type="expression" dxfId="215" priority="335" stopIfTrue="1">
      <formula>LEN(TRIM(K19))=0</formula>
    </cfRule>
    <cfRule type="cellIs" dxfId="214" priority="336" stopIfTrue="1" operator="greaterThan">
      <formula>$C19-$I19</formula>
    </cfRule>
  </conditionalFormatting>
  <conditionalFormatting sqref="K21">
    <cfRule type="expression" dxfId="213" priority="331" stopIfTrue="1">
      <formula>OR($A21="nicht relevant",$A21="EZ")</formula>
    </cfRule>
    <cfRule type="expression" dxfId="212" priority="332" stopIfTrue="1">
      <formula>LEN(TRIM(K21))=0</formula>
    </cfRule>
    <cfRule type="cellIs" dxfId="211" priority="333" stopIfTrue="1" operator="greaterThan">
      <formula>$C21-$I21</formula>
    </cfRule>
  </conditionalFormatting>
  <conditionalFormatting sqref="K22">
    <cfRule type="expression" dxfId="210" priority="328" stopIfTrue="1">
      <formula>OR($A22="nicht relevant",$A22="EZ")</formula>
    </cfRule>
    <cfRule type="expression" dxfId="209" priority="329" stopIfTrue="1">
      <formula>LEN(TRIM(K22))=0</formula>
    </cfRule>
    <cfRule type="cellIs" dxfId="208" priority="330" stopIfTrue="1" operator="greaterThan">
      <formula>$C22-$I22</formula>
    </cfRule>
  </conditionalFormatting>
  <conditionalFormatting sqref="T19">
    <cfRule type="expression" dxfId="207" priority="515" stopIfTrue="1">
      <formula>OR($A19="nicht relevant",$A19="EZ")</formula>
    </cfRule>
    <cfRule type="expression" dxfId="206" priority="516" stopIfTrue="1">
      <formula>LEN(TRIM(T19))=0</formula>
    </cfRule>
  </conditionalFormatting>
  <conditionalFormatting sqref="T20">
    <cfRule type="expression" dxfId="205" priority="315" stopIfTrue="1">
      <formula>OR($A20="nicht relevant",$A20="EZ")</formula>
    </cfRule>
    <cfRule type="expression" dxfId="204" priority="316" stopIfTrue="1">
      <formula>LEN(TRIM(T20))=0</formula>
    </cfRule>
  </conditionalFormatting>
  <conditionalFormatting sqref="T21">
    <cfRule type="expression" dxfId="203" priority="313" stopIfTrue="1">
      <formula>OR($A21="nicht relevant",$A21="EZ")</formula>
    </cfRule>
    <cfRule type="expression" dxfId="202" priority="314" stopIfTrue="1">
      <formula>LEN(TRIM(T21))=0</formula>
    </cfRule>
  </conditionalFormatting>
  <conditionalFormatting sqref="T22">
    <cfRule type="expression" dxfId="201" priority="311" stopIfTrue="1">
      <formula>OR($A22="nicht relevant",$A22="EZ")</formula>
    </cfRule>
    <cfRule type="expression" dxfId="200" priority="312" stopIfTrue="1">
      <formula>LEN(TRIM(T22))=0</formula>
    </cfRule>
  </conditionalFormatting>
  <conditionalFormatting sqref="U19">
    <cfRule type="expression" dxfId="199" priority="307" stopIfTrue="1">
      <formula>OR($A19="nicht relevant",$A19="EZ")</formula>
    </cfRule>
    <cfRule type="expression" dxfId="198" priority="308" stopIfTrue="1">
      <formula>LEN(TRIM(U19))=0</formula>
    </cfRule>
  </conditionalFormatting>
  <conditionalFormatting sqref="V19">
    <cfRule type="expression" dxfId="197" priority="297" stopIfTrue="1">
      <formula>OR($A19="nicht relevant",$A19="EZ")</formula>
    </cfRule>
    <cfRule type="expression" dxfId="196" priority="298" stopIfTrue="1">
      <formula>LEN(TRIM(V19))=0</formula>
    </cfRule>
  </conditionalFormatting>
  <conditionalFormatting sqref="W19">
    <cfRule type="expression" dxfId="195" priority="287" stopIfTrue="1">
      <formula>OR($A19="nicht relevant",$A19="EZ")</formula>
    </cfRule>
    <cfRule type="expression" dxfId="194" priority="288" stopIfTrue="1">
      <formula>LEN(TRIM(W19))=0</formula>
    </cfRule>
  </conditionalFormatting>
  <conditionalFormatting sqref="S19">
    <cfRule type="expression" dxfId="193" priority="277" stopIfTrue="1">
      <formula>OR($A19="nicht relevant",$A19="EZ")</formula>
    </cfRule>
    <cfRule type="expression" dxfId="192" priority="278" stopIfTrue="1">
      <formula>LEN(TRIM(S19))=0</formula>
    </cfRule>
  </conditionalFormatting>
  <conditionalFormatting sqref="R19">
    <cfRule type="expression" dxfId="191" priority="267" stopIfTrue="1">
      <formula>OR($A19="nicht relevant",$A19="EZ")</formula>
    </cfRule>
    <cfRule type="expression" dxfId="190" priority="268" stopIfTrue="1">
      <formula>LEN(TRIM(R19))=0</formula>
    </cfRule>
  </conditionalFormatting>
  <conditionalFormatting sqref="R20">
    <cfRule type="expression" dxfId="189" priority="257" stopIfTrue="1">
      <formula>OR($A20="nicht relevant",$A20="EZ")</formula>
    </cfRule>
    <cfRule type="expression" dxfId="188" priority="258" stopIfTrue="1">
      <formula>LEN(TRIM(R20))=0</formula>
    </cfRule>
  </conditionalFormatting>
  <conditionalFormatting sqref="R21">
    <cfRule type="expression" dxfId="187" priority="255" stopIfTrue="1">
      <formula>OR($A21="nicht relevant",$A21="EZ")</formula>
    </cfRule>
    <cfRule type="expression" dxfId="186" priority="256" stopIfTrue="1">
      <formula>LEN(TRIM(R21))=0</formula>
    </cfRule>
  </conditionalFormatting>
  <conditionalFormatting sqref="R22">
    <cfRule type="expression" dxfId="185" priority="253" stopIfTrue="1">
      <formula>OR($A22="nicht relevant",$A22="EZ")</formula>
    </cfRule>
    <cfRule type="expression" dxfId="184" priority="254" stopIfTrue="1">
      <formula>LEN(TRIM(R22))=0</formula>
    </cfRule>
  </conditionalFormatting>
  <conditionalFormatting sqref="S20">
    <cfRule type="expression" dxfId="183" priority="249" stopIfTrue="1">
      <formula>OR($A20="nicht relevant",$A20="EZ")</formula>
    </cfRule>
    <cfRule type="expression" dxfId="182" priority="250" stopIfTrue="1">
      <formula>LEN(TRIM(S20))=0</formula>
    </cfRule>
  </conditionalFormatting>
  <conditionalFormatting sqref="S21">
    <cfRule type="expression" dxfId="181" priority="247" stopIfTrue="1">
      <formula>OR($A21="nicht relevant",$A21="EZ")</formula>
    </cfRule>
    <cfRule type="expression" dxfId="180" priority="248" stopIfTrue="1">
      <formula>LEN(TRIM(S21))=0</formula>
    </cfRule>
  </conditionalFormatting>
  <conditionalFormatting sqref="S22">
    <cfRule type="expression" dxfId="179" priority="245" stopIfTrue="1">
      <formula>OR($A22="nicht relevant",$A22="EZ")</formula>
    </cfRule>
    <cfRule type="expression" dxfId="178" priority="246" stopIfTrue="1">
      <formula>LEN(TRIM(S22))=0</formula>
    </cfRule>
  </conditionalFormatting>
  <conditionalFormatting sqref="U20">
    <cfRule type="expression" dxfId="177" priority="241" stopIfTrue="1">
      <formula>OR($A20="nicht relevant",$A20="EZ")</formula>
    </cfRule>
    <cfRule type="expression" dxfId="176" priority="242" stopIfTrue="1">
      <formula>LEN(TRIM(U20))=0</formula>
    </cfRule>
  </conditionalFormatting>
  <conditionalFormatting sqref="U21">
    <cfRule type="expression" dxfId="175" priority="239" stopIfTrue="1">
      <formula>OR($A21="nicht relevant",$A21="EZ")</formula>
    </cfRule>
    <cfRule type="expression" dxfId="174" priority="240" stopIfTrue="1">
      <formula>LEN(TRIM(U21))=0</formula>
    </cfRule>
  </conditionalFormatting>
  <conditionalFormatting sqref="U22">
    <cfRule type="expression" dxfId="173" priority="237" stopIfTrue="1">
      <formula>OR($A22="nicht relevant",$A22="EZ")</formula>
    </cfRule>
    <cfRule type="expression" dxfId="172" priority="238" stopIfTrue="1">
      <formula>LEN(TRIM(U22))=0</formula>
    </cfRule>
  </conditionalFormatting>
  <conditionalFormatting sqref="V20">
    <cfRule type="expression" dxfId="171" priority="233" stopIfTrue="1">
      <formula>OR($A20="nicht relevant",$A20="EZ")</formula>
    </cfRule>
    <cfRule type="expression" dxfId="170" priority="234" stopIfTrue="1">
      <formula>LEN(TRIM(V20))=0</formula>
    </cfRule>
  </conditionalFormatting>
  <conditionalFormatting sqref="V21">
    <cfRule type="expression" dxfId="169" priority="231" stopIfTrue="1">
      <formula>OR($A21="nicht relevant",$A21="EZ")</formula>
    </cfRule>
    <cfRule type="expression" dxfId="168" priority="232" stopIfTrue="1">
      <formula>LEN(TRIM(V21))=0</formula>
    </cfRule>
  </conditionalFormatting>
  <conditionalFormatting sqref="V22">
    <cfRule type="expression" dxfId="167" priority="229" stopIfTrue="1">
      <formula>OR($A22="nicht relevant",$A22="EZ")</formula>
    </cfRule>
    <cfRule type="expression" dxfId="166" priority="230" stopIfTrue="1">
      <formula>LEN(TRIM(V22))=0</formula>
    </cfRule>
  </conditionalFormatting>
  <conditionalFormatting sqref="W20">
    <cfRule type="expression" dxfId="165" priority="225" stopIfTrue="1">
      <formula>OR($A20="nicht relevant",$A20="EZ")</formula>
    </cfRule>
    <cfRule type="expression" dxfId="164" priority="226" stopIfTrue="1">
      <formula>LEN(TRIM(W20))=0</formula>
    </cfRule>
  </conditionalFormatting>
  <conditionalFormatting sqref="W21">
    <cfRule type="expression" dxfId="163" priority="223" stopIfTrue="1">
      <formula>OR($A21="nicht relevant",$A21="EZ")</formula>
    </cfRule>
    <cfRule type="expression" dxfId="162" priority="224" stopIfTrue="1">
      <formula>LEN(TRIM(W21))=0</formula>
    </cfRule>
  </conditionalFormatting>
  <conditionalFormatting sqref="W22">
    <cfRule type="expression" dxfId="161" priority="221" stopIfTrue="1">
      <formula>OR($A22="nicht relevant",$A22="EZ")</formula>
    </cfRule>
    <cfRule type="expression" dxfId="160" priority="222" stopIfTrue="1">
      <formula>LEN(TRIM(W22))=0</formula>
    </cfRule>
  </conditionalFormatting>
  <conditionalFormatting sqref="M20">
    <cfRule type="expression" dxfId="159" priority="217" stopIfTrue="1">
      <formula>OR($A20="nicht relevant",$A20="EZ")</formula>
    </cfRule>
    <cfRule type="expression" dxfId="158" priority="218" stopIfTrue="1">
      <formula>LEN(TRIM(M20))=0</formula>
    </cfRule>
  </conditionalFormatting>
  <conditionalFormatting sqref="M21">
    <cfRule type="expression" dxfId="157" priority="215" stopIfTrue="1">
      <formula>OR($A21="nicht relevant",$A21="EZ")</formula>
    </cfRule>
    <cfRule type="expression" dxfId="156" priority="216" stopIfTrue="1">
      <formula>LEN(TRIM(M21))=0</formula>
    </cfRule>
  </conditionalFormatting>
  <conditionalFormatting sqref="M22">
    <cfRule type="expression" dxfId="155" priority="213" stopIfTrue="1">
      <formula>OR($A22="nicht relevant",$A22="EZ")</formula>
    </cfRule>
    <cfRule type="expression" dxfId="154" priority="214" stopIfTrue="1">
      <formula>LEN(TRIM(M22))=0</formula>
    </cfRule>
  </conditionalFormatting>
  <conditionalFormatting sqref="N20">
    <cfRule type="expression" dxfId="153" priority="209" stopIfTrue="1">
      <formula>OR($A20="nicht relevant",$A20="EZ")</formula>
    </cfRule>
    <cfRule type="expression" dxfId="152" priority="210" stopIfTrue="1">
      <formula>LEN(TRIM(N20))=0</formula>
    </cfRule>
  </conditionalFormatting>
  <conditionalFormatting sqref="N21">
    <cfRule type="expression" dxfId="151" priority="207" stopIfTrue="1">
      <formula>OR($A21="nicht relevant",$A21="EZ")</formula>
    </cfRule>
    <cfRule type="expression" dxfId="150" priority="208" stopIfTrue="1">
      <formula>LEN(TRIM(N21))=0</formula>
    </cfRule>
  </conditionalFormatting>
  <conditionalFormatting sqref="N22">
    <cfRule type="expression" dxfId="149" priority="205" stopIfTrue="1">
      <formula>OR($A22="nicht relevant",$A22="EZ")</formula>
    </cfRule>
    <cfRule type="expression" dxfId="148" priority="206" stopIfTrue="1">
      <formula>LEN(TRIM(N22))=0</formula>
    </cfRule>
  </conditionalFormatting>
  <conditionalFormatting sqref="D20">
    <cfRule type="expression" dxfId="147" priority="132" stopIfTrue="1">
      <formula>OR($A20="nicht relevant",$A20="EZ")</formula>
    </cfRule>
    <cfRule type="expression" dxfId="146" priority="133" stopIfTrue="1">
      <formula>LEN(TRIM(D20))=0</formula>
    </cfRule>
  </conditionalFormatting>
  <conditionalFormatting sqref="D21">
    <cfRule type="expression" dxfId="145" priority="130" stopIfTrue="1">
      <formula>OR($A21="nicht relevant",$A21="EZ")</formula>
    </cfRule>
    <cfRule type="expression" dxfId="144" priority="131" stopIfTrue="1">
      <formula>LEN(TRIM(D21))=0</formula>
    </cfRule>
  </conditionalFormatting>
  <conditionalFormatting sqref="D22">
    <cfRule type="expression" dxfId="143" priority="128" stopIfTrue="1">
      <formula>OR($A22="nicht relevant",$A22="EZ")</formula>
    </cfRule>
    <cfRule type="expression" dxfId="142" priority="129" stopIfTrue="1">
      <formula>LEN(TRIM(D22))=0</formula>
    </cfRule>
  </conditionalFormatting>
  <conditionalFormatting sqref="D23">
    <cfRule type="expression" dxfId="141" priority="126" stopIfTrue="1">
      <formula>OR($A23="nicht relevant",$A23="EZ")</formula>
    </cfRule>
    <cfRule type="expression" dxfId="140" priority="127" stopIfTrue="1">
      <formula>LEN(TRIM(D23))=0</formula>
    </cfRule>
  </conditionalFormatting>
  <conditionalFormatting sqref="D25">
    <cfRule type="expression" dxfId="139" priority="124" stopIfTrue="1">
      <formula>OR($A25="nicht relevant",$A25="EZ")</formula>
    </cfRule>
  </conditionalFormatting>
  <conditionalFormatting sqref="E19">
    <cfRule type="expression" dxfId="138" priority="122" stopIfTrue="1">
      <formula>OR($A19="nicht relevant",$A19="EZ")</formula>
    </cfRule>
    <cfRule type="expression" dxfId="137" priority="123" stopIfTrue="1">
      <formula>LEN(TRIM(E19))=0</formula>
    </cfRule>
  </conditionalFormatting>
  <conditionalFormatting sqref="E20">
    <cfRule type="expression" dxfId="136" priority="120" stopIfTrue="1">
      <formula>OR($A20="nicht relevant",$A20="EZ")</formula>
    </cfRule>
    <cfRule type="expression" dxfId="135" priority="121" stopIfTrue="1">
      <formula>LEN(TRIM(E20))=0</formula>
    </cfRule>
  </conditionalFormatting>
  <conditionalFormatting sqref="E21">
    <cfRule type="expression" dxfId="134" priority="118" stopIfTrue="1">
      <formula>OR($A21="nicht relevant",$A21="EZ")</formula>
    </cfRule>
    <cfRule type="expression" dxfId="133" priority="119" stopIfTrue="1">
      <formula>LEN(TRIM(E21))=0</formula>
    </cfRule>
  </conditionalFormatting>
  <conditionalFormatting sqref="E22">
    <cfRule type="expression" dxfId="132" priority="116" stopIfTrue="1">
      <formula>OR($A22="nicht relevant",$A22="EZ")</formula>
    </cfRule>
    <cfRule type="expression" dxfId="131" priority="117" stopIfTrue="1">
      <formula>LEN(TRIM(E22))=0</formula>
    </cfRule>
  </conditionalFormatting>
  <conditionalFormatting sqref="E23">
    <cfRule type="expression" dxfId="130" priority="114" stopIfTrue="1">
      <formula>OR($A23="nicht relevant",$A23="EZ")</formula>
    </cfRule>
    <cfRule type="expression" dxfId="129" priority="115" stopIfTrue="1">
      <formula>LEN(TRIM(E23))=0</formula>
    </cfRule>
  </conditionalFormatting>
  <conditionalFormatting sqref="E25">
    <cfRule type="expression" dxfId="128" priority="112" stopIfTrue="1">
      <formula>OR($A25="nicht relevant",$A25="EZ")</formula>
    </cfRule>
  </conditionalFormatting>
  <conditionalFormatting sqref="F19">
    <cfRule type="expression" dxfId="127" priority="110" stopIfTrue="1">
      <formula>OR($A19="nicht relevant",$A19="EZ")</formula>
    </cfRule>
    <cfRule type="expression" dxfId="126" priority="111" stopIfTrue="1">
      <formula>LEN(TRIM(F19))=0</formula>
    </cfRule>
  </conditionalFormatting>
  <conditionalFormatting sqref="F20">
    <cfRule type="expression" dxfId="125" priority="108" stopIfTrue="1">
      <formula>OR($A20="nicht relevant",$A20="EZ")</formula>
    </cfRule>
    <cfRule type="expression" dxfId="124" priority="109" stopIfTrue="1">
      <formula>LEN(TRIM(F20))=0</formula>
    </cfRule>
  </conditionalFormatting>
  <conditionalFormatting sqref="F21">
    <cfRule type="expression" dxfId="123" priority="106" stopIfTrue="1">
      <formula>OR($A21="nicht relevant",$A21="EZ")</formula>
    </cfRule>
    <cfRule type="expression" dxfId="122" priority="107" stopIfTrue="1">
      <formula>LEN(TRIM(F21))=0</formula>
    </cfRule>
  </conditionalFormatting>
  <conditionalFormatting sqref="F22">
    <cfRule type="expression" dxfId="121" priority="104" stopIfTrue="1">
      <formula>OR($A22="nicht relevant",$A22="EZ")</formula>
    </cfRule>
    <cfRule type="expression" dxfId="120" priority="105" stopIfTrue="1">
      <formula>LEN(TRIM(F22))=0</formula>
    </cfRule>
  </conditionalFormatting>
  <conditionalFormatting sqref="F23">
    <cfRule type="expression" dxfId="119" priority="102" stopIfTrue="1">
      <formula>OR($A23="nicht relevant",$A23="EZ")</formula>
    </cfRule>
    <cfRule type="expression" dxfId="118" priority="103" stopIfTrue="1">
      <formula>LEN(TRIM(F23))=0</formula>
    </cfRule>
  </conditionalFormatting>
  <conditionalFormatting sqref="F25">
    <cfRule type="expression" dxfId="117" priority="100" stopIfTrue="1">
      <formula>OR($A25="nicht relevant",$A25="EZ")</formula>
    </cfRule>
  </conditionalFormatting>
  <conditionalFormatting sqref="G19">
    <cfRule type="expression" dxfId="116" priority="98" stopIfTrue="1">
      <formula>OR($A19="nicht relevant",$A19="EZ")</formula>
    </cfRule>
    <cfRule type="expression" dxfId="115" priority="99" stopIfTrue="1">
      <formula>LEN(TRIM(G19))=0</formula>
    </cfRule>
  </conditionalFormatting>
  <conditionalFormatting sqref="G20">
    <cfRule type="expression" dxfId="114" priority="96" stopIfTrue="1">
      <formula>OR($A20="nicht relevant",$A20="EZ")</formula>
    </cfRule>
    <cfRule type="expression" dxfId="113" priority="97" stopIfTrue="1">
      <formula>LEN(TRIM(G20))=0</formula>
    </cfRule>
  </conditionalFormatting>
  <conditionalFormatting sqref="G21">
    <cfRule type="expression" dxfId="112" priority="94" stopIfTrue="1">
      <formula>OR($A21="nicht relevant",$A21="EZ")</formula>
    </cfRule>
    <cfRule type="expression" dxfId="111" priority="95" stopIfTrue="1">
      <formula>LEN(TRIM(G21))=0</formula>
    </cfRule>
  </conditionalFormatting>
  <conditionalFormatting sqref="G22">
    <cfRule type="expression" dxfId="110" priority="92" stopIfTrue="1">
      <formula>OR($A22="nicht relevant",$A22="EZ")</formula>
    </cfRule>
    <cfRule type="expression" dxfId="109" priority="93" stopIfTrue="1">
      <formula>LEN(TRIM(G22))=0</formula>
    </cfRule>
  </conditionalFormatting>
  <conditionalFormatting sqref="G23">
    <cfRule type="expression" dxfId="108" priority="90" stopIfTrue="1">
      <formula>OR($A23="nicht relevant",$A23="EZ")</formula>
    </cfRule>
    <cfRule type="expression" dxfId="107" priority="91" stopIfTrue="1">
      <formula>LEN(TRIM(G23))=0</formula>
    </cfRule>
  </conditionalFormatting>
  <conditionalFormatting sqref="G25">
    <cfRule type="expression" dxfId="106" priority="88" stopIfTrue="1">
      <formula>OR($A25="nicht relevant",$A25="EZ")</formula>
    </cfRule>
  </conditionalFormatting>
  <conditionalFormatting sqref="H19">
    <cfRule type="expression" dxfId="105" priority="86" stopIfTrue="1">
      <formula>OR($A19="nicht relevant",$A19="EZ")</formula>
    </cfRule>
    <cfRule type="expression" dxfId="104" priority="87" stopIfTrue="1">
      <formula>LEN(TRIM(H19))=0</formula>
    </cfRule>
  </conditionalFormatting>
  <conditionalFormatting sqref="H20">
    <cfRule type="expression" dxfId="103" priority="84" stopIfTrue="1">
      <formula>OR($A20="nicht relevant",$A20="EZ")</formula>
    </cfRule>
    <cfRule type="expression" dxfId="102" priority="85" stopIfTrue="1">
      <formula>LEN(TRIM(H20))=0</formula>
    </cfRule>
  </conditionalFormatting>
  <conditionalFormatting sqref="H21">
    <cfRule type="expression" dxfId="101" priority="82" stopIfTrue="1">
      <formula>OR($A21="nicht relevant",$A21="EZ")</formula>
    </cfRule>
    <cfRule type="expression" dxfId="100" priority="83" stopIfTrue="1">
      <formula>LEN(TRIM(H21))=0</formula>
    </cfRule>
  </conditionalFormatting>
  <conditionalFormatting sqref="H22">
    <cfRule type="expression" dxfId="99" priority="80" stopIfTrue="1">
      <formula>OR($A22="nicht relevant",$A22="EZ")</formula>
    </cfRule>
    <cfRule type="expression" dxfId="98" priority="81" stopIfTrue="1">
      <formula>LEN(TRIM(H22))=0</formula>
    </cfRule>
  </conditionalFormatting>
  <conditionalFormatting sqref="H23">
    <cfRule type="expression" dxfId="97" priority="78" stopIfTrue="1">
      <formula>OR($A23="nicht relevant",$A23="EZ")</formula>
    </cfRule>
    <cfRule type="expression" dxfId="96" priority="79" stopIfTrue="1">
      <formula>LEN(TRIM(H23))=0</formula>
    </cfRule>
  </conditionalFormatting>
  <conditionalFormatting sqref="H25">
    <cfRule type="expression" dxfId="95" priority="76" stopIfTrue="1">
      <formula>OR($A25="nicht relevant",$A25="EZ")</formula>
    </cfRule>
  </conditionalFormatting>
  <conditionalFormatting sqref="I19">
    <cfRule type="expression" dxfId="94" priority="74" stopIfTrue="1">
      <formula>OR($A19="nicht relevant",$A19="EZ")</formula>
    </cfRule>
    <cfRule type="expression" dxfId="93" priority="75" stopIfTrue="1">
      <formula>LEN(TRIM(I19))=0</formula>
    </cfRule>
  </conditionalFormatting>
  <conditionalFormatting sqref="I20">
    <cfRule type="expression" dxfId="92" priority="72" stopIfTrue="1">
      <formula>OR($A20="nicht relevant",$A20="EZ")</formula>
    </cfRule>
    <cfRule type="expression" dxfId="91" priority="73" stopIfTrue="1">
      <formula>LEN(TRIM(I20))=0</formula>
    </cfRule>
  </conditionalFormatting>
  <conditionalFormatting sqref="I21">
    <cfRule type="expression" dxfId="90" priority="70" stopIfTrue="1">
      <formula>OR($A21="nicht relevant",$A21="EZ")</formula>
    </cfRule>
    <cfRule type="expression" dxfId="89" priority="71" stopIfTrue="1">
      <formula>LEN(TRIM(I21))=0</formula>
    </cfRule>
  </conditionalFormatting>
  <conditionalFormatting sqref="I22">
    <cfRule type="expression" dxfId="88" priority="68" stopIfTrue="1">
      <formula>OR($A22="nicht relevant",$A22="EZ")</formula>
    </cfRule>
    <cfRule type="expression" dxfId="87" priority="69" stopIfTrue="1">
      <formula>LEN(TRIM(I22))=0</formula>
    </cfRule>
  </conditionalFormatting>
  <conditionalFormatting sqref="I23">
    <cfRule type="expression" dxfId="86" priority="66" stopIfTrue="1">
      <formula>OR($A23="nicht relevant",$A23="EZ")</formula>
    </cfRule>
    <cfRule type="expression" dxfId="85" priority="67" stopIfTrue="1">
      <formula>LEN(TRIM(I23))=0</formula>
    </cfRule>
  </conditionalFormatting>
  <conditionalFormatting sqref="I25">
    <cfRule type="expression" dxfId="84" priority="64" stopIfTrue="1">
      <formula>OR($A25="nicht relevant",$A25="EZ")</formula>
    </cfRule>
  </conditionalFormatting>
  <conditionalFormatting sqref="A12:D12">
    <cfRule type="expression" dxfId="83" priority="63" stopIfTrue="1">
      <formula>$A$12="Nicht in Ordnung"</formula>
    </cfRule>
  </conditionalFormatting>
  <conditionalFormatting sqref="A13:D13">
    <cfRule type="expression" dxfId="82" priority="62" stopIfTrue="1">
      <formula>$A$13="die inkorrekten und unvollständigen Einträge beheben"</formula>
    </cfRule>
  </conditionalFormatting>
  <conditionalFormatting sqref="C24:C25">
    <cfRule type="expression" dxfId="81" priority="1" stopIfTrue="1">
      <formula>OR($A24="nicht relevant",$A24="EZ")</formula>
    </cfRule>
    <cfRule type="cellIs" dxfId="80" priority="3347" stopIfTrue="1" operator="lessThan">
      <formula>$F$53</formula>
    </cfRule>
  </conditionalFormatting>
  <conditionalFormatting sqref="C19:C23">
    <cfRule type="expression" dxfId="79" priority="3351" stopIfTrue="1">
      <formula>OR($A19="nicht relevant",$A19="EZ")</formula>
    </cfRule>
    <cfRule type="cellIs" dxfId="78" priority="3352" stopIfTrue="1" operator="lessThan">
      <formula>$F$53</formula>
    </cfRule>
  </conditionalFormatting>
  <conditionalFormatting sqref="O19">
    <cfRule type="expression" dxfId="77" priority="3348" stopIfTrue="1">
      <formula>OR($A19="nicht relevant",$A19="EZ")</formula>
    </cfRule>
    <cfRule type="expression" dxfId="76" priority="3349" stopIfTrue="1">
      <formula>LEN(TRIM(O19))=0</formula>
    </cfRule>
  </conditionalFormatting>
  <conditionalFormatting sqref="O20">
    <cfRule type="expression" dxfId="75" priority="50" stopIfTrue="1">
      <formula>OR($A20="nicht relevant",$A20="EZ")</formula>
    </cfRule>
    <cfRule type="expression" dxfId="74" priority="60" stopIfTrue="1">
      <formula>LEN(TRIM(O20))=0</formula>
    </cfRule>
    <cfRule type="cellIs" dxfId="73" priority="61" operator="between">
      <formula>$F$54</formula>
      <formula>$H$54</formula>
    </cfRule>
  </conditionalFormatting>
  <conditionalFormatting sqref="O21">
    <cfRule type="expression" dxfId="72" priority="57" stopIfTrue="1">
      <formula>OR($A21="nicht relevant",$A21="EZ")</formula>
    </cfRule>
    <cfRule type="expression" dxfId="71" priority="58" stopIfTrue="1">
      <formula>LEN(TRIM(O21))=0</formula>
    </cfRule>
    <cfRule type="cellIs" dxfId="70" priority="59" stopIfTrue="1" operator="between">
      <formula>$F$54</formula>
      <formula>$H$54</formula>
    </cfRule>
  </conditionalFormatting>
  <conditionalFormatting sqref="O22:O23">
    <cfRule type="expression" dxfId="69" priority="54" stopIfTrue="1">
      <formula>OR($A22="nicht relevant",$A22="EZ")</formula>
    </cfRule>
    <cfRule type="expression" dxfId="68" priority="55" stopIfTrue="1">
      <formula>LEN(TRIM(O22))=0</formula>
    </cfRule>
    <cfRule type="cellIs" dxfId="67" priority="56" stopIfTrue="1" operator="between">
      <formula>$F$54</formula>
      <formula>$H$54</formula>
    </cfRule>
  </conditionalFormatting>
  <conditionalFormatting sqref="Q19">
    <cfRule type="expression" dxfId="66" priority="48" stopIfTrue="1">
      <formula>OR($A19="nicht relevant",$A19="EZ")</formula>
    </cfRule>
    <cfRule type="cellIs" dxfId="65" priority="49" stopIfTrue="1" operator="lessThan">
      <formula>0</formula>
    </cfRule>
  </conditionalFormatting>
  <conditionalFormatting sqref="Q20">
    <cfRule type="expression" dxfId="64" priority="46" stopIfTrue="1">
      <formula>OR($A20="nicht relevant",$A20="EZ")</formula>
    </cfRule>
    <cfRule type="cellIs" dxfId="63" priority="47" stopIfTrue="1" operator="lessThan">
      <formula>0</formula>
    </cfRule>
  </conditionalFormatting>
  <conditionalFormatting sqref="Q21:Q22">
    <cfRule type="expression" dxfId="62" priority="44" stopIfTrue="1">
      <formula>OR($A21="nicht relevant",$A21="EZ")</formula>
    </cfRule>
    <cfRule type="cellIs" dxfId="61" priority="45" stopIfTrue="1" operator="lessThan">
      <formula>0</formula>
    </cfRule>
  </conditionalFormatting>
  <conditionalFormatting sqref="L23">
    <cfRule type="expression" dxfId="60" priority="40" stopIfTrue="1">
      <formula>OR($A23="nicht relevant",$A23="EZ")</formula>
    </cfRule>
    <cfRule type="expression" dxfId="59" priority="41" stopIfTrue="1">
      <formula>LEN(TRIM(L23))=0</formula>
    </cfRule>
  </conditionalFormatting>
  <conditionalFormatting sqref="K23">
    <cfRule type="expression" dxfId="58" priority="37" stopIfTrue="1">
      <formula>OR($A23="nicht relevant",$A23="EZ")</formula>
    </cfRule>
    <cfRule type="expression" dxfId="57" priority="38" stopIfTrue="1">
      <formula>LEN(TRIM(K23))=0</formula>
    </cfRule>
    <cfRule type="cellIs" dxfId="56" priority="39" stopIfTrue="1" operator="greaterThan">
      <formula>$C23-$I23</formula>
    </cfRule>
  </conditionalFormatting>
  <conditionalFormatting sqref="M23">
    <cfRule type="expression" dxfId="55" priority="35" stopIfTrue="1">
      <formula>OR($A23="nicht relevant",$A23="EZ")</formula>
    </cfRule>
    <cfRule type="expression" dxfId="54" priority="36" stopIfTrue="1">
      <formula>LEN(TRIM(M23))=0</formula>
    </cfRule>
  </conditionalFormatting>
  <conditionalFormatting sqref="N23">
    <cfRule type="expression" dxfId="53" priority="33" stopIfTrue="1">
      <formula>OR($A23="nicht relevant",$A23="EZ")</formula>
    </cfRule>
    <cfRule type="expression" dxfId="52" priority="34" stopIfTrue="1">
      <formula>LEN(TRIM(N23))=0</formula>
    </cfRule>
  </conditionalFormatting>
  <conditionalFormatting sqref="T23">
    <cfRule type="expression" dxfId="51" priority="28" stopIfTrue="1">
      <formula>OR($A23="nicht relevant",$A23="EZ")</formula>
    </cfRule>
    <cfRule type="expression" dxfId="50" priority="29" stopIfTrue="1">
      <formula>LEN(TRIM(T23))=0</formula>
    </cfRule>
  </conditionalFormatting>
  <conditionalFormatting sqref="R23">
    <cfRule type="expression" dxfId="49" priority="26" stopIfTrue="1">
      <formula>OR($A23="nicht relevant",$A23="EZ")</formula>
    </cfRule>
    <cfRule type="expression" dxfId="48" priority="27" stopIfTrue="1">
      <formula>LEN(TRIM(R23))=0</formula>
    </cfRule>
  </conditionalFormatting>
  <conditionalFormatting sqref="S23">
    <cfRule type="expression" dxfId="47" priority="24" stopIfTrue="1">
      <formula>OR($A23="nicht relevant",$A23="EZ")</formula>
    </cfRule>
    <cfRule type="expression" dxfId="46" priority="25" stopIfTrue="1">
      <formula>LEN(TRIM(S23))=0</formula>
    </cfRule>
  </conditionalFormatting>
  <conditionalFormatting sqref="U23">
    <cfRule type="expression" dxfId="45" priority="22" stopIfTrue="1">
      <formula>OR($A23="nicht relevant",$A23="EZ")</formula>
    </cfRule>
    <cfRule type="expression" dxfId="44" priority="23" stopIfTrue="1">
      <formula>LEN(TRIM(U23))=0</formula>
    </cfRule>
  </conditionalFormatting>
  <conditionalFormatting sqref="V23">
    <cfRule type="expression" dxfId="43" priority="20" stopIfTrue="1">
      <formula>OR($A23="nicht relevant",$A23="EZ")</formula>
    </cfRule>
    <cfRule type="expression" dxfId="42" priority="21" stopIfTrue="1">
      <formula>LEN(TRIM(V23))=0</formula>
    </cfRule>
  </conditionalFormatting>
  <conditionalFormatting sqref="W23">
    <cfRule type="expression" dxfId="41" priority="18" stopIfTrue="1">
      <formula>OR($A23="nicht relevant",$A23="EZ")</formula>
    </cfRule>
    <cfRule type="expression" dxfId="40" priority="19" stopIfTrue="1">
      <formula>LEN(TRIM(W23))=0</formula>
    </cfRule>
  </conditionalFormatting>
  <conditionalFormatting sqref="Q23">
    <cfRule type="expression" dxfId="39" priority="16" stopIfTrue="1">
      <formula>OR($A23="nicht relevant",$A23="EZ")</formula>
    </cfRule>
    <cfRule type="cellIs" dxfId="38" priority="17" stopIfTrue="1" operator="lessThan">
      <formula>0</formula>
    </cfRule>
  </conditionalFormatting>
  <conditionalFormatting sqref="Y23">
    <cfRule type="expression" dxfId="37" priority="15" stopIfTrue="1">
      <formula>OR($A23="nicht relevant",$A23="EZ")</formula>
    </cfRule>
  </conditionalFormatting>
  <conditionalFormatting sqref="Z23">
    <cfRule type="expression" dxfId="36" priority="14" stopIfTrue="1">
      <formula>OR($A23="nicht relevant",$A23="EZ")</formula>
    </cfRule>
  </conditionalFormatting>
  <conditionalFormatting sqref="D24">
    <cfRule type="expression" dxfId="35" priority="12" stopIfTrue="1">
      <formula>OR($A24="nicht relevant",$A24="EZ")</formula>
    </cfRule>
    <cfRule type="expression" dxfId="34" priority="13" stopIfTrue="1">
      <formula>LEN(TRIM(D24))=0</formula>
    </cfRule>
  </conditionalFormatting>
  <conditionalFormatting sqref="E24">
    <cfRule type="expression" dxfId="33" priority="10" stopIfTrue="1">
      <formula>OR($A24="nicht relevant",$A24="EZ")</formula>
    </cfRule>
    <cfRule type="expression" dxfId="32" priority="11" stopIfTrue="1">
      <formula>LEN(TRIM(E24))=0</formula>
    </cfRule>
  </conditionalFormatting>
  <conditionalFormatting sqref="F24">
    <cfRule type="expression" dxfId="31" priority="8" stopIfTrue="1">
      <formula>OR($A24="nicht relevant",$A24="EZ")</formula>
    </cfRule>
    <cfRule type="expression" dxfId="30" priority="9" stopIfTrue="1">
      <formula>LEN(TRIM(F24))=0</formula>
    </cfRule>
  </conditionalFormatting>
  <conditionalFormatting sqref="G24">
    <cfRule type="expression" dxfId="29" priority="6" stopIfTrue="1">
      <formula>OR($A24="nicht relevant",$A24="EZ")</formula>
    </cfRule>
    <cfRule type="expression" dxfId="28" priority="7" stopIfTrue="1">
      <formula>LEN(TRIM(G24))=0</formula>
    </cfRule>
  </conditionalFormatting>
  <conditionalFormatting sqref="H24">
    <cfRule type="expression" dxfId="27" priority="4" stopIfTrue="1">
      <formula>OR($A24="nicht relevant",$A24="EZ")</formula>
    </cfRule>
    <cfRule type="expression" dxfId="26" priority="5" stopIfTrue="1">
      <formula>LEN(TRIM(H24))=0</formula>
    </cfRule>
  </conditionalFormatting>
  <conditionalFormatting sqref="I24">
    <cfRule type="expression" dxfId="25" priority="2" stopIfTrue="1">
      <formula>OR($A24="nicht relevant",$A24="EZ")</formula>
    </cfRule>
    <cfRule type="expression" dxfId="24" priority="3" stopIfTrue="1">
      <formula>LEN(TRIM(I24))=0</formula>
    </cfRule>
  </conditionalFormatting>
  <conditionalFormatting sqref="C25">
    <cfRule type="cellIs" dxfId="23" priority="3345" stopIfTrue="1" operator="greaterThan">
      <formula>$F$51</formula>
    </cfRule>
  </conditionalFormatting>
  <dataValidations count="22">
    <dataValidation type="whole" allowBlank="1" showInputMessage="1" showErrorMessage="1" errorTitle="Eingabefehler" error="Ganze Zahl zwischen 0 und 5000 eingeben." sqref="E65493:I65493 IU65493:IV65493 D19:I23" xr:uid="{00000000-0002-0000-0900-000000000000}">
      <formula1>0</formula1>
      <formula2>5000</formula2>
    </dataValidation>
    <dataValidation type="whole" operator="greaterThanOrEqual" allowBlank="1" showInputMessage="1" showErrorMessage="1" errorTitle="Error" error="Minuszahlen..." sqref="C65488:C65493 IS65488:IS65493" xr:uid="{00000000-0002-0000-0900-000001000000}">
      <formula1>0</formula1>
    </dataValidation>
    <dataValidation type="whole" errorStyle="information" allowBlank="1" showInputMessage="1" showErrorMessage="1" errorTitle="Ausfüllhinweis" error="Nur postive ganze Zahlen verwenden." sqref="J65488:J65493" xr:uid="{00000000-0002-0000-0900-000002000000}">
      <formula1>0</formula1>
      <formula2>5000</formula2>
    </dataValidation>
    <dataValidation type="decimal" allowBlank="1" showInputMessage="1" showErrorMessage="1" errorTitle="Aufüllhinweis" error="Nur Prozentwerte zwischen 1% und 100% können verwendet werden." sqref="Y65488:Z65492" xr:uid="{00000000-0002-0000-0900-000003000000}">
      <formula1>0.01</formula1>
      <formula2>1</formula2>
    </dataValidation>
    <dataValidation type="whole" showInputMessage="1" showErrorMessage="1" errorTitle="Eingabefehler" error="Anzahl Pat. im Follow-Up zu hoch." sqref="L65488:L65492 L19:L22" xr:uid="{00000000-0002-0000-0900-000004000000}">
      <formula1>0</formula1>
      <formula2>C19-I19-M19-N19</formula2>
    </dataValidation>
    <dataValidation type="whole" showInputMessage="1" showErrorMessage="1" errorTitle="Eingabefehler" error="Anzahl Pat. im Follow-Up zu hoch." sqref="M65488:M65492 M19:M22" xr:uid="{00000000-0002-0000-0900-000005000000}">
      <formula1>0</formula1>
      <formula2>C19-I19-L19-N19</formula2>
    </dataValidation>
    <dataValidation type="whole" showInputMessage="1" showErrorMessage="1" errorTitle="Eingabefehler" error="Anzahl Pat. im Follow-Up zu hoch." sqref="N65488:N65492 N19:N22" xr:uid="{00000000-0002-0000-0900-000006000000}">
      <formula1>0</formula1>
      <formula2>C19-I19-L19-M19</formula2>
    </dataValidation>
    <dataValidation type="whole" showInputMessage="1" showErrorMessage="1" errorTitle="Eingabefehler" error="Anzahl &gt; als Patienten Rückmeldungen. " sqref="S65488:S65492" xr:uid="{00000000-0002-0000-0900-000007000000}">
      <formula1>0</formula1>
      <formula2>SUM($L65488:$M65488)-$U65488-$V65488-$W65488</formula2>
    </dataValidation>
    <dataValidation type="whole" showInputMessage="1" showErrorMessage="1" errorTitle="Eingabefehler" error="Anzahl &gt; als Patienten Rückmeldungen. " sqref="U65488:U65492" xr:uid="{00000000-0002-0000-0900-000008000000}">
      <formula1>0</formula1>
      <formula2>SUM($L65488:$M65488)-$S65488-$V65488-$W65488</formula2>
    </dataValidation>
    <dataValidation type="whole" showInputMessage="1" showErrorMessage="1" errorTitle="Eingabefehler" error="Anzahl &gt; als Patienten Rückmeldungen. " sqref="V65488:V65492" xr:uid="{00000000-0002-0000-0900-000009000000}">
      <formula1>0</formula1>
      <formula2>SUM($L65488:$M65488)-$U65488-$S65488-$W65488</formula2>
    </dataValidation>
    <dataValidation type="whole" showInputMessage="1" showErrorMessage="1" errorTitle="Eingabefehler" error="Anzahl &gt; als Patienten Rückmeldungen. " sqref="W65488:W65492" xr:uid="{00000000-0002-0000-0900-00000A000000}">
      <formula1>0</formula1>
      <formula2>SUM($L65488:$M65488)-$U65488-$V65488-$S65488</formula2>
    </dataValidation>
    <dataValidation type="whole" showInputMessage="1" showErrorMessage="1" errorTitle="Eingabefehler" error="Summe Spalten R+S+T+U+V+W (Patienten mit Ereignisse) darf nicht größer als Summe Spalten L+M (Patientenrückmeldungen) sein._x000a_" sqref="T19:T22" xr:uid="{00000000-0002-0000-0900-00000B000000}">
      <formula1>0</formula1>
      <formula2>SUM($L19:$M19)-R19-S19-$U19-$V19-$W19</formula2>
    </dataValidation>
    <dataValidation type="decimal" allowBlank="1" showInputMessage="1" showErrorMessage="1" errorTitle="Aufüllhinweis" error="Nur Prozentwerte zwischen 0% und 100% können verwendet werden." sqref="Y19:Z22" xr:uid="{00000000-0002-0000-0900-00000C000000}">
      <formula1>0</formula1>
      <formula2>1</formula2>
    </dataValidation>
    <dataValidation type="whole" showInputMessage="1" showErrorMessage="1" errorTitle="Eingabefehler" error="Summe Spalten R+S+T+U+V+W (Patienten mit Ereignisse) darf nicht größer als Summe Spalten L+M (Patientenrückmeldungen) sein._x000a_" sqref="R19:R22" xr:uid="{00000000-0002-0000-0900-00000D000000}">
      <formula1>0</formula1>
      <formula2>SUM($L19:$M19)-S19-T19-$U19-$V19-$W19</formula2>
    </dataValidation>
    <dataValidation type="whole" showInputMessage="1" showErrorMessage="1" errorTitle="Eingabefehler" error="Summe Spalten R+S+T+U+V+W (Patienten mit Ereignisse) darf nicht größer als Summe Spalten L+M (Patientenrückmeldungen) sein._x000a_" sqref="S19:S21" xr:uid="{00000000-0002-0000-0900-00000E000000}">
      <formula1>0</formula1>
      <formula2>SUM($L19:$M19)-R19-T19-$U19-$V19-$W19</formula2>
    </dataValidation>
    <dataValidation type="whole" showInputMessage="1" showErrorMessage="1" errorTitle="Eingabefehler" error="Summe Spalten R+S+T+U+V+W (Patienten mit Ereignisse) darf nicht größer als Summe Spalten L+M (Patientenrückmeldungen) sein._x000a_" sqref="U19:U22" xr:uid="{00000000-0002-0000-0900-00000F000000}">
      <formula1>0</formula1>
      <formula2>SUM($L19:$M19)-R19-S19-T19-$V19-$W19</formula2>
    </dataValidation>
    <dataValidation type="whole" showInputMessage="1" showErrorMessage="1" errorTitle="Eingabefehler" error="Summe Spalten R+S+T+U+V+W (Patienten mit Ereignisse) darf nicht größer als Summe Spalten L+M (Patientenrückmeldungen) sein." sqref="W22" xr:uid="{00000000-0002-0000-0900-000010000000}">
      <formula1>0</formula1>
      <formula2>SUM($L22:$M22)-R22-S22-T22-U22-V22</formula2>
    </dataValidation>
    <dataValidation type="whole" showInputMessage="1" showErrorMessage="1" errorTitle="Eingabefehler" error="Summe Spalten R+S+T+U+V+W (Patienten mit Ereignisse) darf nicht größer als Summe Spalten L+M (Patientenrückmeldungen) sein._x000a__x000a_" sqref="S22" xr:uid="{00000000-0002-0000-0900-000011000000}">
      <formula1>0</formula1>
      <formula2>SUM($L22:$M22)-R22-T22-$U22-$V22-$W22</formula2>
    </dataValidation>
    <dataValidation type="whole" showInputMessage="1" showErrorMessage="1" errorTitle="Eingabefehler" error="Summe Spalten R+S+T+U+V+W (Patienten mit Ereignisse) darf nicht größer als Summe Spalten L+M (Patientenrückmeldungen) sein._x000a__x000a_" sqref="V19" xr:uid="{00000000-0002-0000-0900-000012000000}">
      <formula1>0</formula1>
      <formula2>SUM($L19:$M19)-R19-S19-T19-U19-W19</formula2>
    </dataValidation>
    <dataValidation type="whole" showInputMessage="1" showErrorMessage="1" errorTitle="Eingabefehler" error="Summe Spalten R+S+T+U+V+W (Patienten mit Ereignisse) darf nicht größer als Summe Spalten L+M (Patientenrückmeldungen) sein._x000a_" sqref="V20:V22" xr:uid="{00000000-0002-0000-0900-000013000000}">
      <formula1>0</formula1>
      <formula2>SUM($L20:$M20)-R20-S20-T20-U20-W20</formula2>
    </dataValidation>
    <dataValidation type="whole" showInputMessage="1" showErrorMessage="1" errorTitle="Eingabefehler" error="Summe Spalten R+S+T+U+V+W (Patienten mit Ereignisse) darf nicht größer als Summe Spalten L+M (Patientenrückmeldungen) sein. _x000a_" sqref="W19" xr:uid="{00000000-0002-0000-0900-000014000000}">
      <formula1>0</formula1>
      <formula2>SUM($L19:$M19)-R19-S19-T19-U19-V19</formula2>
    </dataValidation>
    <dataValidation type="whole" showInputMessage="1" showErrorMessage="1" errorTitle="Eingabefehler" error="Summe Spalten R+S+T+U+V+W (Patienten mit Ereignisse) darf nicht größer als Summe Spalten L+M (Patientenrückmeldungen) sein._x000a_" sqref="W20:W21" xr:uid="{00000000-0002-0000-0900-000015000000}">
      <formula1>0</formula1>
      <formula2>SUM($L20:$M20)-R20-S20-T20-U20-V20</formula2>
    </dataValidation>
  </dataValidations>
  <pageMargins left="0.39370078740157483" right="3.937007874015748E-2" top="0.59055118110236227" bottom="0.39370078740157483" header="0.11811023622047245" footer="0.11811023622047245"/>
  <pageSetup paperSize="9" scale="90" orientation="landscape" r:id="rId1"/>
  <headerFooter>
    <oddFooter xml:space="preserve">&amp;L&amp;"Arial,Standard"&amp;7&amp;F&amp;C&amp;"Arial,Standard"&amp;7 © DKG  Alle Rechte vorbehalten&amp;R&amp;"Arial,Standard"&amp;7&amp;P                                 
</oddFooter>
    <firstHeader>&amp;C&amp;F&amp;RUnabhängiges Zertifizierungsinstitut
der Deutschen Krebsgesellschaft
Gartenstraße 24, D-89231 Neu-Ulm
Tel. +49  (0)7 31 / 70 51 16 - 0
Fax  +49  (0)7 31 / 70 51 16 - 16
www.onkozert.de, info@onkozert.d</firstHeader>
  </headerFooter>
  <rowBreaks count="1" manualBreakCount="1">
    <brk id="28" max="26" man="1"/>
  </rowBreaks>
  <ignoredErrors>
    <ignoredError sqref="O20:O21" formulaRange="1"/>
  </ignoredErrors>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abelle10"/>
  <dimension ref="A1:W8"/>
  <sheetViews>
    <sheetView workbookViewId="0">
      <selection activeCell="S2" sqref="S2"/>
    </sheetView>
  </sheetViews>
  <sheetFormatPr defaultColWidth="11.44140625" defaultRowHeight="10.199999999999999" x14ac:dyDescent="0.2"/>
  <cols>
    <col min="1" max="2" width="12" style="316" customWidth="1"/>
    <col min="3" max="3" width="9.6640625" style="316" customWidth="1"/>
    <col min="4" max="9" width="7.6640625" style="316" customWidth="1"/>
    <col min="10" max="10" width="14.5546875" style="316" customWidth="1"/>
    <col min="11" max="11" width="8.6640625" style="316" customWidth="1"/>
    <col min="12" max="12" width="9.109375" style="316" customWidth="1"/>
    <col min="13" max="13" width="7.5546875" style="316" customWidth="1"/>
    <col min="14" max="17" width="9.109375" style="316" customWidth="1"/>
    <col min="18" max="18" width="10.44140625" style="316" customWidth="1"/>
    <col min="19" max="19" width="13.109375" style="316" customWidth="1"/>
    <col min="20" max="20" width="13.33203125" style="316" customWidth="1"/>
    <col min="21" max="21" width="12.44140625" style="316" customWidth="1"/>
    <col min="22" max="22" width="9.109375" style="316" customWidth="1"/>
    <col min="23" max="23" width="8.6640625" style="316" customWidth="1"/>
    <col min="24" max="16384" width="11.44140625" style="316"/>
  </cols>
  <sheetData>
    <row r="1" spans="1:23" s="314" customFormat="1" ht="84" customHeight="1" x14ac:dyDescent="0.3">
      <c r="A1" s="325" t="str">
        <f>Matrix!A17</f>
        <v>Relevante Nachsorgejahre</v>
      </c>
      <c r="B1" s="325" t="str">
        <f>Matrix!B17</f>
        <v>Jahr der Erstdiagnose</v>
      </c>
      <c r="C1" s="325" t="s">
        <v>223</v>
      </c>
      <c r="D1" s="325" t="str">
        <f>LEFT(Matrix!D17,8)</f>
        <v xml:space="preserve">UICC IA </v>
      </c>
      <c r="E1" s="325" t="str">
        <f>LEFT(Matrix!E17,9)</f>
        <v xml:space="preserve">UICC IB  </v>
      </c>
      <c r="F1" s="325" t="str">
        <f>LEFT(Matrix!F17,9)</f>
        <v xml:space="preserve">UICC IIA </v>
      </c>
      <c r="G1" s="325" t="str">
        <f>LEFT(Matrix!G17,9)</f>
        <v xml:space="preserve">UICC IIB </v>
      </c>
      <c r="H1" s="325" t="str">
        <f>LEFT(Matrix!H17,9)</f>
        <v xml:space="preserve">UICC III </v>
      </c>
      <c r="I1" s="325" t="str">
        <f>LEFT(Matrix!I17,9)</f>
        <v xml:space="preserve">UICC IV  </v>
      </c>
      <c r="J1" s="325" t="str">
        <f>LEFT(Matrix!K17,53)</f>
        <v>Pat.  „im Follow-Up“
(aus Grundgesamtheit Primärpat.)</v>
      </c>
      <c r="K1" s="325" t="str">
        <f>LEFT(Matrix!L17,34)</f>
        <v xml:space="preserve">Follow-Up-Daten vom Krebsregister </v>
      </c>
      <c r="L1" s="325" t="str">
        <f>LEFT(Matrix!M17,57)</f>
        <v xml:space="preserve">Follow-Up-Daten vom Zentrum 
(bzw. Quelle nicht bekannt) </v>
      </c>
      <c r="M1" s="325" t="str">
        <f>LEFT(Matrix!N17,18)</f>
        <v xml:space="preserve">Keine Rückmeldung </v>
      </c>
      <c r="N1" s="325" t="str">
        <f>Matrix!O17</f>
        <v>Follow-Up Quote in %
= (L + M) / K</v>
      </c>
      <c r="O1" s="325" t="str">
        <f>LEFT(Matrix!Q17,14)</f>
        <v>Pat. tumorfrei</v>
      </c>
      <c r="P1" s="325" t="str">
        <f>LEFT(Matrix!R17,56)</f>
        <v>Pat. mit folgenden Ereignissen: 
Rezidiv, Fernmetastasen</v>
      </c>
      <c r="Q1" s="325" t="str">
        <f>LEFT(Matrix!S17,20)</f>
        <v>Pat. nicht tumorfrei</v>
      </c>
      <c r="R1" s="325" t="str">
        <f>LEFT(Matrix!T17,17)</f>
        <v>Pat. mit Progress</v>
      </c>
      <c r="S1" s="325" t="str">
        <f>LEFT(Matrix!U17,33)</f>
        <v>Diagnose Zweitmalignom im Verlauf</v>
      </c>
      <c r="T1" s="325" t="str">
        <f>Matrix!V17</f>
        <v>Tumorbedingt gestorben (bezüglich jeder Tumorentität)</v>
      </c>
      <c r="U1" s="325" t="str">
        <f>Matrix!W17</f>
        <v>Nicht tumorbedingt gestorben bzw. Todesursache unbekannt</v>
      </c>
      <c r="V1" s="325" t="str">
        <f>Matrix!Y17</f>
        <v>DFS nach Kaplan-Meier
(Disease Free Survival) in %</v>
      </c>
      <c r="W1" s="325" t="str">
        <f>Matrix!Z17</f>
        <v>OAS nach Kaplan-Meier    
(Overall Survival) in %</v>
      </c>
    </row>
    <row r="2" spans="1:23" s="315" customFormat="1" ht="12" customHeight="1" x14ac:dyDescent="0.3">
      <c r="A2" s="258" t="str">
        <f>Matrix!A19</f>
        <v>nicht relevant</v>
      </c>
      <c r="B2" s="257">
        <f>Matrix!B19</f>
        <v>2016</v>
      </c>
      <c r="C2" s="257">
        <f>Matrix!C19</f>
        <v>0</v>
      </c>
      <c r="D2" s="257" t="str">
        <f>IF(Matrix!D19="","",Matrix!D19)</f>
        <v/>
      </c>
      <c r="E2" s="257" t="str">
        <f>IF(Matrix!E19="","",Matrix!E19)</f>
        <v/>
      </c>
      <c r="F2" s="257" t="str">
        <f>IF(Matrix!F19="","",Matrix!F19)</f>
        <v/>
      </c>
      <c r="G2" s="257" t="str">
        <f>IF(Matrix!G19="","",Matrix!G19)</f>
        <v/>
      </c>
      <c r="H2" s="257" t="str">
        <f>IF(Matrix!H19="","",Matrix!H19)</f>
        <v/>
      </c>
      <c r="I2" s="257" t="str">
        <f>IF(Matrix!I19="","",Matrix!I19)</f>
        <v/>
      </c>
      <c r="J2" s="257" t="str">
        <f>IF(Matrix!K19="","",Matrix!K19)</f>
        <v/>
      </c>
      <c r="K2" s="257" t="str">
        <f>IF(Matrix!L19="","",Matrix!L19)</f>
        <v/>
      </c>
      <c r="L2" s="257" t="str">
        <f>IF(Matrix!M19="","",Matrix!M19)</f>
        <v/>
      </c>
      <c r="M2" s="257" t="str">
        <f>IF(Matrix!N19="","",Matrix!N19)</f>
        <v/>
      </c>
      <c r="N2" s="317" t="str">
        <f>IF(Matrix!O19="","",Matrix!O19*100)</f>
        <v/>
      </c>
      <c r="O2" s="257" t="str">
        <f>IF(Matrix!Q19="","",Matrix!Q19)</f>
        <v/>
      </c>
      <c r="P2" s="257" t="str">
        <f>IF(Matrix!R19="","",Matrix!R19)</f>
        <v/>
      </c>
      <c r="Q2" s="257" t="str">
        <f>IF(Matrix!S19="","",Matrix!S19)</f>
        <v/>
      </c>
      <c r="R2" s="257" t="str">
        <f>IF(Matrix!T19="","",Matrix!T19)</f>
        <v/>
      </c>
      <c r="S2" s="257" t="str">
        <f>IF(Matrix!U19="","",Matrix!U19)</f>
        <v/>
      </c>
      <c r="T2" s="257" t="str">
        <f>IF(Matrix!V19="","",Matrix!V19)</f>
        <v/>
      </c>
      <c r="U2" s="257" t="str">
        <f>IF(Matrix!W19="","",Matrix!W19)</f>
        <v/>
      </c>
      <c r="V2" s="317" t="str">
        <f>IF(Matrix!Y19="","",Matrix!Y19*100)</f>
        <v/>
      </c>
      <c r="W2" s="317" t="str">
        <f>IF(Matrix!Z19="","",Matrix!Z19*100)</f>
        <v/>
      </c>
    </row>
    <row r="3" spans="1:23" s="315" customFormat="1" x14ac:dyDescent="0.3">
      <c r="A3" s="258" t="str">
        <f>Matrix!A20</f>
        <v>nicht relevant</v>
      </c>
      <c r="B3" s="257">
        <f>Matrix!B20</f>
        <v>2017</v>
      </c>
      <c r="C3" s="257">
        <f>Matrix!C20</f>
        <v>0</v>
      </c>
      <c r="D3" s="257" t="str">
        <f>IF(Matrix!D20="","",Matrix!D20)</f>
        <v/>
      </c>
      <c r="E3" s="257" t="str">
        <f>IF(Matrix!E20="","",Matrix!E20)</f>
        <v/>
      </c>
      <c r="F3" s="257" t="str">
        <f>IF(Matrix!F20="","",Matrix!F20)</f>
        <v/>
      </c>
      <c r="G3" s="257" t="str">
        <f>IF(Matrix!G20="","",Matrix!G20)</f>
        <v/>
      </c>
      <c r="H3" s="257" t="str">
        <f>IF(Matrix!H20="","",Matrix!H20)</f>
        <v/>
      </c>
      <c r="I3" s="257" t="str">
        <f>IF(Matrix!I20="","",Matrix!I20)</f>
        <v/>
      </c>
      <c r="J3" s="257" t="str">
        <f>IF(Matrix!K20="","",Matrix!K20)</f>
        <v/>
      </c>
      <c r="K3" s="257" t="str">
        <f>IF(Matrix!L20="","",Matrix!L20)</f>
        <v/>
      </c>
      <c r="L3" s="257" t="str">
        <f>IF(Matrix!M20="","",Matrix!M20)</f>
        <v/>
      </c>
      <c r="M3" s="257" t="str">
        <f>IF(Matrix!N20="","",Matrix!N20)</f>
        <v/>
      </c>
      <c r="N3" s="317" t="str">
        <f>IF(Matrix!O20="","",Matrix!O20*100)</f>
        <v/>
      </c>
      <c r="O3" s="257" t="str">
        <f>IF(Matrix!Q20="","",Matrix!Q20)</f>
        <v/>
      </c>
      <c r="P3" s="257" t="str">
        <f>IF(Matrix!R20="","",Matrix!R20)</f>
        <v/>
      </c>
      <c r="Q3" s="257" t="str">
        <f>IF(Matrix!S20="","",Matrix!S20)</f>
        <v/>
      </c>
      <c r="R3" s="257" t="str">
        <f>IF(Matrix!T20="","",Matrix!T20)</f>
        <v/>
      </c>
      <c r="S3" s="257" t="str">
        <f>IF(Matrix!U20="","",Matrix!U20)</f>
        <v/>
      </c>
      <c r="T3" s="257" t="str">
        <f>IF(Matrix!V20="","",Matrix!V20)</f>
        <v/>
      </c>
      <c r="U3" s="257" t="str">
        <f>IF(Matrix!W20="","",Matrix!W20)</f>
        <v/>
      </c>
      <c r="V3" s="317" t="str">
        <f>IF(Matrix!Y20="","",Matrix!Y20*100)</f>
        <v/>
      </c>
      <c r="W3" s="317" t="str">
        <f>IF(Matrix!Z20="","",Matrix!Z20*100)</f>
        <v/>
      </c>
    </row>
    <row r="4" spans="1:23" s="315" customFormat="1" x14ac:dyDescent="0.3">
      <c r="A4" s="258" t="str">
        <f>Matrix!A21</f>
        <v>nicht relevant</v>
      </c>
      <c r="B4" s="257">
        <f>Matrix!B21</f>
        <v>2018</v>
      </c>
      <c r="C4" s="257">
        <f>Matrix!C21</f>
        <v>0</v>
      </c>
      <c r="D4" s="257" t="str">
        <f>IF(Matrix!D21="","",Matrix!D21)</f>
        <v/>
      </c>
      <c r="E4" s="257" t="str">
        <f>IF(Matrix!E21="","",Matrix!E21)</f>
        <v/>
      </c>
      <c r="F4" s="257" t="str">
        <f>IF(Matrix!F21="","",Matrix!F21)</f>
        <v/>
      </c>
      <c r="G4" s="257" t="str">
        <f>IF(Matrix!G21="","",Matrix!G21)</f>
        <v/>
      </c>
      <c r="H4" s="257" t="str">
        <f>IF(Matrix!H21="","",Matrix!H21)</f>
        <v/>
      </c>
      <c r="I4" s="257" t="str">
        <f>IF(Matrix!I21="","",Matrix!I21)</f>
        <v/>
      </c>
      <c r="J4" s="257" t="str">
        <f>IF(Matrix!K21="","",Matrix!K21)</f>
        <v/>
      </c>
      <c r="K4" s="257" t="str">
        <f>IF(Matrix!L21="","",Matrix!L21)</f>
        <v/>
      </c>
      <c r="L4" s="257" t="str">
        <f>IF(Matrix!M21="","",Matrix!M21)</f>
        <v/>
      </c>
      <c r="M4" s="257" t="str">
        <f>IF(Matrix!N21="","",Matrix!N21)</f>
        <v/>
      </c>
      <c r="N4" s="317" t="str">
        <f>IF(Matrix!O21="","",Matrix!O21*100)</f>
        <v/>
      </c>
      <c r="O4" s="257" t="str">
        <f>IF(Matrix!Q21="","",Matrix!Q21)</f>
        <v/>
      </c>
      <c r="P4" s="257" t="str">
        <f>IF(Matrix!R21="","",Matrix!R21)</f>
        <v/>
      </c>
      <c r="Q4" s="257" t="str">
        <f>IF(Matrix!S21="","",Matrix!S21)</f>
        <v/>
      </c>
      <c r="R4" s="257" t="str">
        <f>IF(Matrix!T21="","",Matrix!T21)</f>
        <v/>
      </c>
      <c r="S4" s="257" t="str">
        <f>IF(Matrix!U21="","",Matrix!U21)</f>
        <v/>
      </c>
      <c r="T4" s="257" t="str">
        <f>IF(Matrix!V21="","",Matrix!V21)</f>
        <v/>
      </c>
      <c r="U4" s="257" t="str">
        <f>IF(Matrix!W21="","",Matrix!W21)</f>
        <v/>
      </c>
      <c r="V4" s="317" t="str">
        <f>IF(Matrix!Y21="","",Matrix!Y21*100)</f>
        <v/>
      </c>
      <c r="W4" s="317" t="str">
        <f>IF(Matrix!Z21="","",Matrix!Z21*100)</f>
        <v/>
      </c>
    </row>
    <row r="5" spans="1:23" s="315" customFormat="1" x14ac:dyDescent="0.3">
      <c r="A5" s="258" t="str">
        <f>Matrix!A22</f>
        <v>nicht relevant</v>
      </c>
      <c r="B5" s="257">
        <f>Matrix!B22</f>
        <v>2019</v>
      </c>
      <c r="C5" s="257">
        <f>Matrix!C22</f>
        <v>0</v>
      </c>
      <c r="D5" s="257" t="str">
        <f>IF(Matrix!D22="","",Matrix!D22)</f>
        <v/>
      </c>
      <c r="E5" s="257" t="str">
        <f>IF(Matrix!E22="","",Matrix!E22)</f>
        <v/>
      </c>
      <c r="F5" s="257" t="str">
        <f>IF(Matrix!F22="","",Matrix!F22)</f>
        <v/>
      </c>
      <c r="G5" s="257" t="str">
        <f>IF(Matrix!G22="","",Matrix!G22)</f>
        <v/>
      </c>
      <c r="H5" s="257" t="str">
        <f>IF(Matrix!H22="","",Matrix!H22)</f>
        <v/>
      </c>
      <c r="I5" s="257" t="str">
        <f>IF(Matrix!I22="","",Matrix!I22)</f>
        <v/>
      </c>
      <c r="J5" s="257" t="str">
        <f>IF(Matrix!K22="","",Matrix!K22)</f>
        <v/>
      </c>
      <c r="K5" s="257" t="str">
        <f>IF(Matrix!L22="","",Matrix!L22)</f>
        <v/>
      </c>
      <c r="L5" s="257" t="str">
        <f>IF(Matrix!M22="","",Matrix!M22)</f>
        <v/>
      </c>
      <c r="M5" s="257" t="str">
        <f>IF(Matrix!N22="","",Matrix!N22)</f>
        <v/>
      </c>
      <c r="N5" s="317" t="str">
        <f>IF(Matrix!O22="","",Matrix!O22*100)</f>
        <v/>
      </c>
      <c r="O5" s="257" t="str">
        <f>IF(Matrix!Q22="","",Matrix!Q22)</f>
        <v/>
      </c>
      <c r="P5" s="257" t="str">
        <f>IF(Matrix!R22="","",Matrix!R22)</f>
        <v/>
      </c>
      <c r="Q5" s="257" t="str">
        <f>IF(Matrix!S22="","",Matrix!S22)</f>
        <v/>
      </c>
      <c r="R5" s="257" t="str">
        <f>IF(Matrix!T22="","",Matrix!T22)</f>
        <v/>
      </c>
      <c r="S5" s="257" t="str">
        <f>IF(Matrix!U22="","",Matrix!U22)</f>
        <v/>
      </c>
      <c r="T5" s="257" t="str">
        <f>IF(Matrix!V22="","",Matrix!V22)</f>
        <v/>
      </c>
      <c r="U5" s="257" t="str">
        <f>IF(Matrix!W22="","",Matrix!W22)</f>
        <v/>
      </c>
      <c r="V5" s="317" t="str">
        <f>IF(Matrix!Y22="","",Matrix!Y22*100)</f>
        <v/>
      </c>
      <c r="W5" s="317" t="str">
        <f>IF(Matrix!Z22="","",Matrix!Z22*100)</f>
        <v/>
      </c>
    </row>
    <row r="6" spans="1:23" s="315" customFormat="1" x14ac:dyDescent="0.3">
      <c r="A6" s="258" t="str">
        <f>Matrix!A23</f>
        <v>nicht relevant</v>
      </c>
      <c r="B6" s="257" t="str">
        <f>LEFT(Matrix!B23,4)</f>
        <v>2020</v>
      </c>
      <c r="C6" s="257">
        <f>Matrix!C23</f>
        <v>0</v>
      </c>
      <c r="D6" s="257" t="str">
        <f>IF(Matrix!D23="","",Matrix!D23)</f>
        <v/>
      </c>
      <c r="E6" s="257" t="str">
        <f>IF(Matrix!E23="","",Matrix!E23)</f>
        <v/>
      </c>
      <c r="F6" s="257" t="str">
        <f>IF(Matrix!F23="","",Matrix!F23)</f>
        <v/>
      </c>
      <c r="G6" s="257" t="str">
        <f>IF(Matrix!G23="","",Matrix!G23)</f>
        <v/>
      </c>
      <c r="H6" s="257" t="str">
        <f>IF(Matrix!H23="","",Matrix!H23)</f>
        <v/>
      </c>
      <c r="I6" s="257" t="str">
        <f>IF(Matrix!I23="","",Matrix!I23)</f>
        <v/>
      </c>
      <c r="J6" s="257" t="str">
        <f>IF(Matrix!K23="","",Matrix!K23)</f>
        <v/>
      </c>
      <c r="K6" s="257" t="str">
        <f>IF(Matrix!L23="","",Matrix!L23)</f>
        <v/>
      </c>
      <c r="L6" s="257" t="str">
        <f>IF(Matrix!M23="","",Matrix!M23)</f>
        <v/>
      </c>
      <c r="M6" s="257" t="str">
        <f>IF(Matrix!N23="","",Matrix!N23)</f>
        <v/>
      </c>
      <c r="N6" s="317" t="str">
        <f>IF(Matrix!O23="","",Matrix!O23*100)</f>
        <v/>
      </c>
      <c r="O6" s="257" t="str">
        <f>IF(Matrix!Q23="","",Matrix!Q23)</f>
        <v/>
      </c>
      <c r="P6" s="257" t="str">
        <f>IF(Matrix!R23="","",Matrix!R23)</f>
        <v/>
      </c>
      <c r="Q6" s="257" t="str">
        <f>IF(Matrix!S23="","",Matrix!S23)</f>
        <v/>
      </c>
      <c r="R6" s="257" t="str">
        <f>IF(Matrix!T23="","",Matrix!T23)</f>
        <v/>
      </c>
      <c r="S6" s="257" t="str">
        <f>IF(Matrix!U23="","",Matrix!U23)</f>
        <v/>
      </c>
      <c r="T6" s="257" t="str">
        <f>IF(Matrix!V23="","",Matrix!V23)</f>
        <v/>
      </c>
      <c r="U6" s="257" t="str">
        <f>IF(Matrix!W23="","",Matrix!W23)</f>
        <v/>
      </c>
      <c r="V6" s="317" t="str">
        <f>IF(Matrix!Y23="","",Matrix!Y23*100)</f>
        <v/>
      </c>
      <c r="W6" s="317" t="str">
        <f>IF(Matrix!Z23="","",Matrix!Z23*100)</f>
        <v/>
      </c>
    </row>
    <row r="7" spans="1:23" s="315" customFormat="1" x14ac:dyDescent="0.3">
      <c r="A7" s="258" t="str">
        <f>Matrix!A24</f>
        <v>nicht relevant</v>
      </c>
      <c r="B7" s="257" t="str">
        <f>LEFT(Matrix!B24,4)</f>
        <v>2021</v>
      </c>
      <c r="C7" s="257">
        <f>Matrix!C24</f>
        <v>0</v>
      </c>
      <c r="D7" s="257" t="str">
        <f>IF(Matrix!D24="","",Matrix!D24)</f>
        <v/>
      </c>
      <c r="E7" s="257" t="str">
        <f>IF(Matrix!E24="","",Matrix!E24)</f>
        <v/>
      </c>
      <c r="F7" s="257" t="str">
        <f>IF(Matrix!F24="","",Matrix!F24)</f>
        <v/>
      </c>
      <c r="G7" s="257" t="str">
        <f>IF(Matrix!G24="","",Matrix!G24)</f>
        <v/>
      </c>
      <c r="H7" s="257" t="str">
        <f>IF(Matrix!H24="","",Matrix!H24)</f>
        <v/>
      </c>
      <c r="I7" s="257" t="str">
        <f>IF(Matrix!I24="","",Matrix!I24)</f>
        <v/>
      </c>
      <c r="J7" s="257" t="str">
        <f>IF(Matrix!K24="","",Matrix!K24)</f>
        <v/>
      </c>
      <c r="K7" s="257" t="str">
        <f>IF(Matrix!L24="","",Matrix!L24)</f>
        <v/>
      </c>
      <c r="L7" s="257" t="str">
        <f>IF(Matrix!M24="","",Matrix!M24)</f>
        <v/>
      </c>
      <c r="M7" s="257" t="str">
        <f>IF(Matrix!N24="","",Matrix!N24)</f>
        <v/>
      </c>
      <c r="N7" s="317" t="str">
        <f>IF(Matrix!O24="","",Matrix!O24*100)</f>
        <v/>
      </c>
      <c r="O7" s="257" t="str">
        <f>IF(Matrix!Q24="","",Matrix!Q24)</f>
        <v/>
      </c>
      <c r="P7" s="257" t="str">
        <f>IF(Matrix!R24="","",Matrix!R24)</f>
        <v/>
      </c>
      <c r="Q7" s="257" t="str">
        <f>IF(Matrix!S24="","",Matrix!S24)</f>
        <v/>
      </c>
      <c r="R7" s="257" t="str">
        <f>IF(Matrix!T24="","",Matrix!T24)</f>
        <v/>
      </c>
      <c r="S7" s="257" t="str">
        <f>IF(Matrix!U24="","",Matrix!U24)</f>
        <v/>
      </c>
      <c r="T7" s="257" t="str">
        <f>IF(Matrix!V24="","",Matrix!V24)</f>
        <v/>
      </c>
      <c r="U7" s="257" t="str">
        <f>IF(Matrix!W24="","",Matrix!W24)</f>
        <v/>
      </c>
      <c r="V7" s="317" t="str">
        <f>IF(Matrix!Y24="","",Matrix!Y24*100)</f>
        <v/>
      </c>
      <c r="W7" s="317" t="str">
        <f>IF(Matrix!Z24="","",Matrix!Z24*100)</f>
        <v/>
      </c>
    </row>
    <row r="8" spans="1:23" x14ac:dyDescent="0.2">
      <c r="A8" s="258" t="str">
        <f>Matrix!A25</f>
        <v>nicht relevant</v>
      </c>
      <c r="B8" s="257" t="str">
        <f>LEFT(Matrix!B25,4)</f>
        <v>2022</v>
      </c>
      <c r="C8" s="257">
        <f>Matrix!C25</f>
        <v>0</v>
      </c>
      <c r="D8" s="257" t="str">
        <f>IF(Matrix!D25="","",Matrix!D25)</f>
        <v/>
      </c>
      <c r="E8" s="257" t="str">
        <f>IF(Matrix!E25="","",Matrix!E25)</f>
        <v/>
      </c>
      <c r="F8" s="257" t="str">
        <f>IF(Matrix!F25="","",Matrix!F25)</f>
        <v/>
      </c>
      <c r="G8" s="257" t="str">
        <f>IF(Matrix!G25="","",Matrix!G25)</f>
        <v/>
      </c>
      <c r="H8" s="257" t="str">
        <f>IF(Matrix!H25="","",Matrix!H25)</f>
        <v/>
      </c>
      <c r="I8" s="257" t="str">
        <f>IF(Matrix!I25="","",Matrix!I25)</f>
        <v/>
      </c>
      <c r="J8" s="257" t="str">
        <f>IF(Matrix!K25="","",Matrix!K25)</f>
        <v/>
      </c>
      <c r="K8" s="257" t="str">
        <f>IF(Matrix!L25="","",Matrix!L25)</f>
        <v/>
      </c>
      <c r="L8" s="257" t="str">
        <f>IF(Matrix!M25="","",Matrix!M25)</f>
        <v/>
      </c>
      <c r="M8" s="257" t="str">
        <f>IF(Matrix!N25="","",Matrix!N25)</f>
        <v/>
      </c>
      <c r="N8" s="317" t="str">
        <f>IF(Matrix!O25="","",Matrix!O25*100)</f>
        <v/>
      </c>
      <c r="O8" s="257" t="str">
        <f>IF(Matrix!Q25="","",Matrix!Q25)</f>
        <v/>
      </c>
      <c r="P8" s="257" t="str">
        <f>IF(Matrix!R25="","",Matrix!R25)</f>
        <v/>
      </c>
      <c r="Q8" s="257" t="str">
        <f>IF(Matrix!S25="","",Matrix!S25)</f>
        <v/>
      </c>
      <c r="R8" s="257" t="str">
        <f>IF(Matrix!T25="","",Matrix!T25)</f>
        <v/>
      </c>
      <c r="S8" s="257" t="str">
        <f>IF(Matrix!U25="","",Matrix!U25)</f>
        <v/>
      </c>
      <c r="T8" s="257" t="str">
        <f>IF(Matrix!V25="","",Matrix!V25)</f>
        <v/>
      </c>
      <c r="U8" s="257" t="str">
        <f>IF(Matrix!W25="","",Matrix!W25)</f>
        <v/>
      </c>
      <c r="V8" s="317" t="str">
        <f>IF(Matrix!Y25="","",Matrix!Y25*100)</f>
        <v/>
      </c>
      <c r="W8" s="317" t="str">
        <f>IF(Matrix!Z25="","",Matrix!Z25*100)</f>
        <v/>
      </c>
    </row>
  </sheetData>
  <customSheetViews>
    <customSheetView guid="{DAA0C1F4-4D8F-4BD8-91F9-40281B589772}" state="hidden">
      <selection activeCell="D30" sqref="D30"/>
      <pageMargins left="0.7" right="0.7" top="0.78740157499999996" bottom="0.78740157499999996" header="0.3" footer="0.3"/>
    </customSheetView>
    <customSheetView guid="{AD479C9E-06F7-4C03-8179-295428B49475}">
      <selection activeCell="H28" sqref="H28"/>
      <pageMargins left="0.7" right="0.7" top="0.78740157499999996" bottom="0.78740157499999996" header="0.3" footer="0.3"/>
    </customSheetView>
  </customSheetViews>
  <phoneticPr fontId="40" type="noConversion"/>
  <pageMargins left="0.7" right="0.7" top="0.78740157499999996" bottom="0.78740157499999996"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Tabelle9"/>
  <dimension ref="A1:BK59"/>
  <sheetViews>
    <sheetView zoomScale="90" zoomScaleNormal="90" workbookViewId="0">
      <selection activeCell="B39" sqref="B39"/>
    </sheetView>
  </sheetViews>
  <sheetFormatPr defaultColWidth="9" defaultRowHeight="13.8" x14ac:dyDescent="0.25"/>
  <cols>
    <col min="1" max="1" width="20.6640625" style="4" customWidth="1"/>
    <col min="2" max="2" width="28.88671875" style="4" customWidth="1"/>
    <col min="3" max="3" width="42.6640625" style="4" customWidth="1"/>
    <col min="4" max="4" width="24.88671875" style="4" customWidth="1"/>
    <col min="5" max="5" width="30.5546875" style="4" customWidth="1"/>
    <col min="6" max="6" width="29.44140625" style="4" customWidth="1"/>
    <col min="7" max="7" width="29.44140625" style="40" customWidth="1"/>
    <col min="8" max="8" width="25.88671875" style="39" customWidth="1"/>
    <col min="9" max="9" width="25.33203125" style="39" customWidth="1"/>
    <col min="10" max="10" width="61.88671875" style="4" customWidth="1"/>
    <col min="11" max="11" width="29.88671875" style="4" customWidth="1"/>
    <col min="12" max="12" width="32.88671875" style="4" customWidth="1"/>
    <col min="13" max="13" width="27.5546875" style="4" customWidth="1"/>
    <col min="14" max="14" width="24.44140625" style="4" customWidth="1"/>
    <col min="15" max="15" width="21.44140625" style="4" customWidth="1"/>
    <col min="16" max="16" width="42.88671875" style="4" customWidth="1"/>
    <col min="17" max="17" width="41.109375" style="4" customWidth="1"/>
    <col min="18" max="18" width="27.5546875" style="4" customWidth="1"/>
    <col min="19" max="19" width="21.6640625" style="4" customWidth="1"/>
    <col min="20" max="20" width="19.6640625" style="4" customWidth="1"/>
    <col min="21" max="21" width="18.6640625" style="4" customWidth="1"/>
    <col min="22" max="160" width="11.44140625" style="4" customWidth="1"/>
    <col min="161" max="16384" width="9" style="4"/>
  </cols>
  <sheetData>
    <row r="1" spans="1:62" s="8" customFormat="1" x14ac:dyDescent="0.25"/>
    <row r="2" spans="1:62" s="29" customFormat="1" ht="20.25" customHeight="1" x14ac:dyDescent="0.3">
      <c r="A2" s="146" t="s">
        <v>109</v>
      </c>
      <c r="AI2" s="26"/>
      <c r="BI2" s="8"/>
      <c r="BJ2" s="17"/>
    </row>
    <row r="3" spans="1:62" ht="14.25" customHeight="1" x14ac:dyDescent="0.25">
      <c r="AI3" s="26"/>
      <c r="BH3" s="8"/>
      <c r="BJ3" s="17"/>
    </row>
    <row r="4" spans="1:62" x14ac:dyDescent="0.25">
      <c r="G4" s="4"/>
      <c r="H4" s="4"/>
      <c r="I4" s="4"/>
      <c r="AI4" s="26"/>
      <c r="BH4" s="8"/>
      <c r="BJ4" s="17"/>
    </row>
    <row r="5" spans="1:62" ht="15" customHeight="1" x14ac:dyDescent="0.25">
      <c r="B5" s="75" t="s">
        <v>97</v>
      </c>
      <c r="C5" s="44" t="s">
        <v>79</v>
      </c>
      <c r="D5" s="43" t="s">
        <v>10</v>
      </c>
      <c r="E5" s="76" t="s">
        <v>99</v>
      </c>
      <c r="F5" s="77" t="s">
        <v>101</v>
      </c>
      <c r="G5" s="4"/>
      <c r="H5" s="4"/>
      <c r="I5" s="4"/>
      <c r="AI5" s="38"/>
      <c r="BH5" s="29"/>
      <c r="BI5" s="14"/>
    </row>
    <row r="6" spans="1:62" ht="24.75" customHeight="1" x14ac:dyDescent="0.25">
      <c r="B6" s="127" t="str">
        <f>IF(AND(E6=0,F6=0,Berechnung3!A7="relevant"),B8,IF(OR(Berechnung3!A7="nicht relevant",Berechnung3!A7="EZ"),"",B9))</f>
        <v/>
      </c>
      <c r="C6" s="124">
        <f>Berechnung3!J43</f>
        <v>0</v>
      </c>
      <c r="D6" s="69">
        <f>Berechnung3!J44</f>
        <v>0</v>
      </c>
      <c r="E6" s="128">
        <f>Berechnung3!J42</f>
        <v>0</v>
      </c>
      <c r="F6" s="129">
        <f>Berechnung3!J41</f>
        <v>0</v>
      </c>
      <c r="G6" s="4"/>
      <c r="H6" s="4"/>
      <c r="I6" s="4"/>
      <c r="AI6" s="38"/>
    </row>
    <row r="7" spans="1:62" x14ac:dyDescent="0.25">
      <c r="G7" s="4"/>
      <c r="H7" s="4"/>
      <c r="I7" s="4"/>
      <c r="AI7" s="38"/>
    </row>
    <row r="8" spans="1:62" x14ac:dyDescent="0.25">
      <c r="A8" s="64" t="s">
        <v>123</v>
      </c>
      <c r="B8" s="4" t="s">
        <v>137</v>
      </c>
      <c r="G8" s="4"/>
      <c r="H8" s="4"/>
      <c r="I8" s="4"/>
      <c r="AI8" s="39"/>
    </row>
    <row r="9" spans="1:62" x14ac:dyDescent="0.25">
      <c r="B9" s="4" t="s">
        <v>383</v>
      </c>
      <c r="G9" s="4"/>
      <c r="H9" s="4"/>
      <c r="I9" s="4"/>
      <c r="AI9" s="39"/>
    </row>
    <row r="10" spans="1:62" x14ac:dyDescent="0.25">
      <c r="G10" s="4"/>
      <c r="H10" s="4"/>
      <c r="I10" s="4"/>
      <c r="AI10" s="39"/>
    </row>
    <row r="11" spans="1:62" ht="15.6" x14ac:dyDescent="0.3">
      <c r="A11" s="26"/>
      <c r="B11" s="20" t="s">
        <v>129</v>
      </c>
      <c r="E11" s="8"/>
      <c r="F11" s="8"/>
      <c r="G11" s="8"/>
      <c r="H11" s="8"/>
      <c r="I11" s="8"/>
      <c r="AI11" s="39"/>
    </row>
    <row r="12" spans="1:62" x14ac:dyDescent="0.25">
      <c r="A12" s="26"/>
      <c r="E12" s="8"/>
      <c r="F12" s="8"/>
      <c r="G12" s="8"/>
      <c r="H12" s="8"/>
      <c r="I12" s="8"/>
      <c r="AI12" s="39"/>
    </row>
    <row r="13" spans="1:62" x14ac:dyDescent="0.25">
      <c r="A13" s="26"/>
      <c r="B13" s="1082" t="s">
        <v>118</v>
      </c>
      <c r="C13" s="1084" t="s">
        <v>131</v>
      </c>
      <c r="D13" s="1080" t="s">
        <v>62</v>
      </c>
      <c r="E13" s="1086" t="s">
        <v>428</v>
      </c>
      <c r="F13" s="8"/>
      <c r="G13" s="8"/>
      <c r="H13" s="8"/>
      <c r="I13" s="8"/>
      <c r="AI13" s="39"/>
    </row>
    <row r="14" spans="1:62" ht="15" customHeight="1" x14ac:dyDescent="0.25">
      <c r="A14" s="38"/>
      <c r="B14" s="1083"/>
      <c r="C14" s="1085"/>
      <c r="D14" s="1081"/>
      <c r="E14" s="1087"/>
      <c r="F14" s="29"/>
      <c r="G14" s="29"/>
      <c r="H14" s="29"/>
      <c r="I14" s="163" t="s">
        <v>428</v>
      </c>
      <c r="J14" s="334" t="s">
        <v>429</v>
      </c>
      <c r="AI14" s="39"/>
    </row>
    <row r="15" spans="1:62" ht="60" customHeight="1" x14ac:dyDescent="0.25">
      <c r="A15" s="276" t="s">
        <v>128</v>
      </c>
      <c r="B15" s="41" t="str">
        <f>CONCATENATE(IF(Berechnung3!$H$2=Berechnung2!$L$34,Berechnung3!$B$2,""),IF(Berechnung3!$H$3=Berechnung2!$L$34,Berechnung3!$B$3,""),IF(Berechnung3!$H$4=Berechnung2!$L$34,Berechnung3!$B$4,""),IF(Berechnung3!$H$5=Berechnung2!$L$34,Berechnung3!$B$5,""),IF(Berechnung3!$H$6=Berechnung2!$L$34,Berechnung3!$B$6,""),IF(Berechnung3!$H$7=Berechnung2!$L$34,Berechnung3!$B$7,""),IF(Berechnung3!$H$8=Berechnung2!$L$34,Berechnung3!$B$8,""))</f>
        <v/>
      </c>
      <c r="C15" s="41">
        <f>IF(LEN(B15)&gt;0,"X",0)</f>
        <v>0</v>
      </c>
      <c r="D15" s="125" t="str">
        <f>IF(COUNTIF(Berechnung3!$H$2:$H$8,Berechnung2!$L$34)&gt;0,CONCATENATE("  ",Berechnung1!$F$4,"                      ",Berechnung2!$L$34),"")</f>
        <v/>
      </c>
      <c r="E15" s="125" t="str">
        <f>IF(COUNTIF(Berechnung3!$H$2:$H$7,Berechnung2!$L$34)&gt;0,"a","")</f>
        <v/>
      </c>
      <c r="G15" s="57" t="e">
        <f t="array" ref="G15">INDEX(B:B,SMALL(IF($C$15:$C$22="X",ROW($15:$22)),1))</f>
        <v>#NUM!</v>
      </c>
      <c r="H15" s="57" t="e">
        <f t="array" ref="H15">INDEX(D:D,SMALL(IF($C$15:$C$22="X",ROW($15:$22)),1))</f>
        <v>#NUM!</v>
      </c>
      <c r="I15" s="333" t="e">
        <f t="array" ref="I15">INDEX(E:E,SMALL(IF($C$15:$C$22="X",ROW($15:$22)),1))</f>
        <v>#NUM!</v>
      </c>
      <c r="J15" s="330" t="e">
        <f>IF(AND(Datendefizite_Matrix!D17="",I15&lt;&gt;""),"Anmerkung OnkoZert : Keine Erläuterung vorhanden",Datendefizite_Matrix!D17)</f>
        <v>#NUM!</v>
      </c>
      <c r="AJ15" s="39"/>
    </row>
    <row r="16" spans="1:62" ht="60" customHeight="1" x14ac:dyDescent="0.25">
      <c r="A16" s="272" t="s">
        <v>372</v>
      </c>
      <c r="B16" s="41" t="str">
        <f>CONCATENATE(IF(Berechnung3!$H$9=Berechnung2!$L$39,Berechnung3!$B$2,""),IF(Berechnung3!$H$10=Berechnung2!$L$39,Berechnung3!$B$3,""),IF(Berechnung3!$H$11=Berechnung2!$L$39,Berechnung3!$B$4,""),IF(Berechnung3!$H$12=Berechnung2!$L$39,Berechnung3!$B$5,""),IF(Berechnung3!$H$13=Berechnung2!$L$39,Berechnung3!$B$6,""),IF(Berechnung3!$H$14=Berechnung2!$L$39,Berechnung3!$B$7,""))</f>
        <v/>
      </c>
      <c r="C16" s="41">
        <f>IF(LEN(B16)&gt;0,"X",0)</f>
        <v>0</v>
      </c>
      <c r="D16" s="125" t="str">
        <f>IF(COUNTIF(Berechnung3!$H$9:$H$15,Berechnung2!$L$39)&gt;0,CONCATENATE("",Berechnung1!$G$4,"                                       ",Berechnung2!$L$39),"")</f>
        <v/>
      </c>
      <c r="E16" s="125" t="str">
        <f>IF(COUNTIF(Berechnung3!$H$9:$H$14,Berechnung2!$L$39)&gt;0,"b","")</f>
        <v/>
      </c>
      <c r="G16" s="57" t="e">
        <f t="array" ref="G16">INDEX(B:B,SMALL(IF($C$15:$C$22="X",ROW($15:$22)),2))</f>
        <v>#NUM!</v>
      </c>
      <c r="H16" s="57" t="e">
        <f t="array" ref="H16">INDEX(D:D,SMALL(IF($C$15:$C$22="X",ROW($15:$22)),2))</f>
        <v>#NUM!</v>
      </c>
      <c r="I16" s="333" t="e">
        <f t="array" ref="I16">INDEX(E:E,SMALL(IF($C$15:$C$22="X",ROW($15:$22)),2))</f>
        <v>#NUM!</v>
      </c>
      <c r="J16" s="330" t="e">
        <f>IF(AND(Datendefizite_Matrix!D18="",I16&lt;&gt;""),"Anmerkung OnkoZert : Keine Erläuterung vorhanden",Datendefizite_Matrix!D18)</f>
        <v>#NUM!</v>
      </c>
    </row>
    <row r="17" spans="1:63" ht="60" customHeight="1" x14ac:dyDescent="0.25">
      <c r="A17" s="272" t="s">
        <v>371</v>
      </c>
      <c r="B17" s="41" t="str">
        <f>CONCATENATE(IF(Berechnung3!$H$16=Berechnung2!$L$40,Berechnung3!$B$2,""),IF(Berechnung3!$H$17=Berechnung2!$L$40,Berechnung3!$B$3,""),IF(Berechnung3!$H$18=Berechnung2!$L$40,Berechnung3!$B$4,""),IF(Berechnung3!$H$19=Berechnung2!$L$40,Berechnung3!$B$5,""),IF(Berechnung3!$H$20=Berechnung2!$L$40,Berechnung3!$B$6,""),IF(Berechnung3!$H$21=Berechnung2!$L$40,Berechnung3!$B$7,""))</f>
        <v/>
      </c>
      <c r="C17" s="41">
        <f>IF(LEN(B17)&gt;0,"X",0)</f>
        <v>0</v>
      </c>
      <c r="D17" s="125" t="str">
        <f>IF(COUNTIF(Berechnung3!$H$16:$H$22,Berechnung2!$L$40)&gt;0,CONCATENATE(" ",Berechnung1!$G$4,"                                      ",Berechnung2!$L$40),"")</f>
        <v/>
      </c>
      <c r="E17" s="125" t="str">
        <f>IF(COUNTIF(Berechnung3!$H$16:$H$21,Berechnung2!$L$40)&gt;0,"c","")</f>
        <v/>
      </c>
      <c r="G17" s="147" t="e">
        <f t="array" ref="G17">INDEX(B:B,SMALL(IF($C$15:$C$22="X",ROW($15:$22)),3))</f>
        <v>#NUM!</v>
      </c>
      <c r="H17" s="273" t="e">
        <f t="array" ref="H17">INDEX(D:D,SMALL(IF($C$15:$C$22="X",ROW($15:$22)),3))</f>
        <v>#NUM!</v>
      </c>
      <c r="I17" s="333" t="e">
        <f t="array" ref="I17">INDEX(E:E,SMALL(IF($C$15:$C$22="X",ROW($15:$22)),3))</f>
        <v>#NUM!</v>
      </c>
      <c r="J17" s="330" t="e">
        <f>IF(AND(Datendefizite_Matrix!D19="",I17&lt;&gt;""),"Anmerkung OnkoZert : Keine Erläuterung vorhanden",Datendefizite_Matrix!D19)</f>
        <v>#NUM!</v>
      </c>
    </row>
    <row r="18" spans="1:63" ht="60" customHeight="1" x14ac:dyDescent="0.25">
      <c r="A18" s="275" t="s">
        <v>369</v>
      </c>
      <c r="B18" s="42" t="s">
        <v>974</v>
      </c>
      <c r="C18" s="41">
        <f>IF(LEN(D18)&gt;0,"X",0)</f>
        <v>0</v>
      </c>
      <c r="D18" s="125" t="str">
        <f>IF(COUNTIF(Berechnung3!H23,Berechnung2!$L$37)&gt;0,CONCATENATE("  ",Berechnung1!$E$4,"          ",Berechnung2!$L$37),"")</f>
        <v/>
      </c>
      <c r="E18" s="125" t="str">
        <f>IF(COUNTIF(Berechnung3!H23,Berechnung2!$L$37)&gt;0,"d","")</f>
        <v/>
      </c>
      <c r="G18" s="57" t="e">
        <f t="array" ref="G18">INDEX(B:B,SMALL(IF($C$15:$C$22="X",ROW($15:$22)),4))</f>
        <v>#NUM!</v>
      </c>
      <c r="H18" s="57" t="e">
        <f t="array" ref="H18">INDEX(D:D,SMALL(IF($C$15:$C$22="X",ROW($15:$22)),4))</f>
        <v>#NUM!</v>
      </c>
      <c r="I18" s="333" t="e">
        <f t="array" ref="I18">INDEX(E:E,SMALL(IF($C$15:$C$22="X",ROW($15:$22)),4))</f>
        <v>#NUM!</v>
      </c>
      <c r="J18" s="330" t="e">
        <f>IF(AND(Datendefizite_Matrix!D20="",I18&lt;&gt;""),"Anmerkung OnkoZert : Keine Erläuterung vorhanden",Datendefizite_Matrix!D20)</f>
        <v>#NUM!</v>
      </c>
      <c r="AJ18" s="39"/>
    </row>
    <row r="19" spans="1:63" ht="60" customHeight="1" x14ac:dyDescent="0.25">
      <c r="A19" s="277" t="s">
        <v>367</v>
      </c>
      <c r="B19" s="41" t="str">
        <f>CONCATENATE(IF(Berechnung3!$H$24=Berechnung2!$L$35,Berechnung3!$B$2,""),IF(Berechnung3!$H$25=Berechnung2!$L$35,Berechnung3!$B$3,""),IF(Berechnung3!$H$26=Berechnung2!$L$35,Berechnung3!$B$4,""),IF(Berechnung3!$H$27=Berechnung2!$L$35,Berechnung3!$B$5,""),IF(Berechnung3!$H$28=Berechnung2!$L$35,Berechnung3!$B$6,""),IF(Berechnung3!$H$29=Berechnung2!$L$35,Berechnung3!$B$7,""),IF(Berechnung3!$H$30=Berechnung2!$L$35,Berechnung3!$B$8,""))</f>
        <v/>
      </c>
      <c r="C19" s="41">
        <f>IF(LEN(B19)&gt;0,"X",0)</f>
        <v>0</v>
      </c>
      <c r="D19" s="125" t="str">
        <f>IF(COUNTIF(Berechnung3!$H$24:$H$30,Berechnung2!$L$35)&gt;0,CONCATENATE(" ",Berechnung1!$D$3,"                          ",Berechnung2!$L$35),"")</f>
        <v/>
      </c>
      <c r="E19" s="125" t="str">
        <f>IF(COUNTIF(Berechnung3!$H$24:$H$29,Berechnung2!$L$35)&gt;0,"e","")</f>
        <v/>
      </c>
      <c r="G19" s="57" t="e">
        <f t="array" ref="G19">INDEX(B:B,SMALL(IF($C$15:$C$22="X",ROW($15:$22)),5))</f>
        <v>#NUM!</v>
      </c>
      <c r="H19" s="57" t="e">
        <f t="array" ref="H19">INDEX(D:D,SMALL(IF($C$15:$C$22="X",ROW($15:$22)),5))</f>
        <v>#NUM!</v>
      </c>
      <c r="I19" s="333" t="e">
        <f t="array" ref="I19">INDEX(E:E,SMALL(IF($C$15:$C$22="X",ROW($15:$22)),5))</f>
        <v>#NUM!</v>
      </c>
      <c r="J19" s="330" t="e">
        <f>IF(AND(Datendefizite_Matrix!D21="",I19&lt;&gt;""),"Anmerkung OnkoZert : Keine Erläuterung vorhanden",Datendefizite_Matrix!D21)</f>
        <v>#NUM!</v>
      </c>
      <c r="AJ19" s="37"/>
      <c r="BK19" s="36"/>
    </row>
    <row r="20" spans="1:63" ht="60" customHeight="1" x14ac:dyDescent="0.25">
      <c r="A20" s="274" t="s">
        <v>370</v>
      </c>
      <c r="B20" s="42" t="s">
        <v>974</v>
      </c>
      <c r="C20" s="41">
        <f>IF(LEN(D20)&gt;0,"X",0)</f>
        <v>0</v>
      </c>
      <c r="D20" s="125" t="str">
        <f>IF(COUNTIF(Berechnung3!H31,Berechnung2!$L$38),CONCATENATE(" ",Berechnung1!$D$3,"                                 ",Berechnung2!$L$38),"")</f>
        <v/>
      </c>
      <c r="E20" s="125" t="str">
        <f>IF(COUNTIF(Berechnung3!H31,Berechnung2!$L$38)&gt;0,"f","")</f>
        <v/>
      </c>
      <c r="G20" s="57" t="e">
        <f t="array" ref="G20">INDEX(B:B,SMALL(IF($C$15:$C$22="X",ROW($15:$22)),6))</f>
        <v>#NUM!</v>
      </c>
      <c r="H20" s="57" t="e">
        <f t="array" ref="H20">INDEX(D:D,SMALL(IF($C$15:$C$22="X",ROW($15:$22)),6))</f>
        <v>#NUM!</v>
      </c>
      <c r="I20" s="333" t="e">
        <f t="array" ref="I20">INDEX(E:E,SMALL(IF($C$15:$C$22="X",ROW($15:$22)),6))</f>
        <v>#NUM!</v>
      </c>
      <c r="J20" s="330" t="e">
        <f>IF(AND(Datendefizite_Matrix!D22="",I20&lt;&gt;""),"Anmerkung OnkoZert : Keine Erläuterung vorhanden",Datendefizite_Matrix!D22)</f>
        <v>#NUM!</v>
      </c>
      <c r="AJ20" s="39"/>
    </row>
    <row r="21" spans="1:63" ht="60" customHeight="1" x14ac:dyDescent="0.25">
      <c r="A21" s="277" t="s">
        <v>368</v>
      </c>
      <c r="B21" s="41" t="str">
        <f>CONCATENATE(IF(Berechnung3!$H$32=Berechnung2!L36,Berechnung3!$B$2,""),IF(Berechnung3!$H$33=Berechnung2!L36,Berechnung3!$B$3,""),IF(Berechnung3!$H$34=Berechnung2!L36,Berechnung3!$B$4,""),IF(Berechnung3!$H$35=Berechnung2!L36,Berechnung3!$B$5,""),IF(Berechnung3!$H$36=Berechnung2!L36,Berechnung3!$B$6,""),IF(Berechnung3!$H$37=Berechnung2!L36,Berechnung3!$B$7,""),IF(Berechnung3!$H$38=Berechnung2!L36,Berechnung3!$B$8,""))</f>
        <v/>
      </c>
      <c r="C21" s="41">
        <f>IF(LEN(B21)&gt;0,"X",0)</f>
        <v>0</v>
      </c>
      <c r="D21" s="125" t="str">
        <f>IF(COUNTIF(Berechnung3!H32:H38,Berechnung2!$L$36)&gt;0,CONCATENATE(" ",Berechnung1!$D$3,"                           ",Berechnung2!$L$36),"")</f>
        <v/>
      </c>
      <c r="E21" s="125" t="str">
        <f>IF(COUNTIF(Berechnung3!H32:H37,Berechnung2!$L$36)&gt;0,"g","")</f>
        <v/>
      </c>
      <c r="G21" s="57" t="e">
        <f t="array" ref="G21">INDEX(B:B,SMALL(IF($C$15:$C$22="X",ROW($15:$22)),7))</f>
        <v>#NUM!</v>
      </c>
      <c r="H21" s="57" t="e">
        <f t="array" ref="H21">INDEX(D:D,SMALL(IF($C$15:$C$22="X",ROW($15:$22)),7))</f>
        <v>#NUM!</v>
      </c>
      <c r="I21" s="333" t="e">
        <f t="array" ref="I21">INDEX(E:E,SMALL(IF($C$15:$C$22="X",ROW($15:$22)),7))</f>
        <v>#NUM!</v>
      </c>
      <c r="J21" s="330" t="e">
        <f>IF(AND(Datendefizite_Matrix!D23="",I21&lt;&gt;""),"Anmerkung OnkoZert : Keine Erläuterung vorhanden",Datendefizite_Matrix!D23)</f>
        <v>#NUM!</v>
      </c>
      <c r="AJ21" s="39"/>
      <c r="BK21" s="40"/>
    </row>
    <row r="22" spans="1:63" ht="60" customHeight="1" x14ac:dyDescent="0.25">
      <c r="A22" s="274" t="s">
        <v>366</v>
      </c>
      <c r="B22" s="41">
        <v>2015</v>
      </c>
      <c r="C22" s="41">
        <f>IF(LEN(D22)&gt;0,"X",0)</f>
        <v>0</v>
      </c>
      <c r="D22" s="125" t="str">
        <f>IF(COUNTIF(Berechnung3!$H$39,Berechnung2!$L$33),CONCATENATE(Berechnung2!$C$5,"                                     ",L33),"")</f>
        <v/>
      </c>
      <c r="E22" s="125" t="str">
        <f>IF(COUNTIF(Berechnung3!$H$39,Berechnung2!$L$33)&gt;0,"h","")</f>
        <v/>
      </c>
      <c r="G22" s="57" t="e">
        <f t="array" ref="G22">INDEX(B:B,SMALL(IF($C$15:$C$22="X",ROW($15:$22)),8))</f>
        <v>#NUM!</v>
      </c>
      <c r="H22" s="57" t="e">
        <f t="array" ref="H22">INDEX(D:D,SMALL(IF($C$15:$C$22="X",ROW($15:$22)),8))</f>
        <v>#NUM!</v>
      </c>
      <c r="I22" s="333" t="e">
        <f t="array" ref="I22">INDEX(E:E,SMALL(IF($C$15:$C$22="X",ROW($15:$22)),8))</f>
        <v>#NUM!</v>
      </c>
      <c r="J22" s="330" t="e">
        <f>IF(AND(Datendefizite_Matrix!D24="",I22&lt;&gt;""),"Anmerkung OnkoZert : Keine Erläuterung vorhanden",Datendefizite_Matrix!D24)</f>
        <v>#NUM!</v>
      </c>
    </row>
    <row r="25" spans="1:63" x14ac:dyDescent="0.25">
      <c r="A25" s="86" t="s">
        <v>60</v>
      </c>
      <c r="B25" s="83"/>
    </row>
    <row r="26" spans="1:63" x14ac:dyDescent="0.25">
      <c r="A26" s="86" t="s">
        <v>155</v>
      </c>
      <c r="B26" s="83"/>
    </row>
    <row r="27" spans="1:63" x14ac:dyDescent="0.25">
      <c r="A27" s="84" t="str">
        <f>Basisdaten!I14</f>
        <v/>
      </c>
      <c r="B27" s="85">
        <f>IF(A27&gt;A28,0,DATEDIF(A27,A28,"y"))</f>
        <v>0</v>
      </c>
      <c r="C27" s="87"/>
    </row>
    <row r="28" spans="1:63" x14ac:dyDescent="0.25">
      <c r="A28" s="389">
        <v>45291</v>
      </c>
      <c r="B28" s="85"/>
    </row>
    <row r="30" spans="1:63" ht="21" x14ac:dyDescent="0.4">
      <c r="A30" s="74"/>
    </row>
    <row r="32" spans="1:63" s="1" customFormat="1" ht="21.6" thickBot="1" x14ac:dyDescent="0.45">
      <c r="A32" s="74" t="s">
        <v>117</v>
      </c>
      <c r="B32" s="131" t="s">
        <v>125</v>
      </c>
      <c r="C32" s="132"/>
      <c r="D32" s="132"/>
      <c r="E32" s="133"/>
      <c r="F32" s="134" t="s">
        <v>122</v>
      </c>
      <c r="G32" s="269"/>
      <c r="H32" s="135"/>
      <c r="I32" s="135"/>
      <c r="J32" s="136"/>
      <c r="K32" s="133"/>
      <c r="L32" s="137" t="s">
        <v>158</v>
      </c>
      <c r="M32" s="132"/>
      <c r="N32" s="132"/>
      <c r="O32" s="132"/>
      <c r="P32" s="163" t="s">
        <v>159</v>
      </c>
      <c r="Q32" s="138"/>
      <c r="R32" s="47"/>
      <c r="S32" s="47"/>
      <c r="T32" s="47"/>
      <c r="U32" s="47"/>
      <c r="V32" s="47"/>
    </row>
    <row r="33" spans="1:22" s="1" customFormat="1" ht="15" thickBot="1" x14ac:dyDescent="0.35">
      <c r="A33" s="47"/>
      <c r="B33" s="245" t="s">
        <v>365</v>
      </c>
      <c r="C33" s="132"/>
      <c r="D33" s="144" t="s">
        <v>126</v>
      </c>
      <c r="E33" s="133"/>
      <c r="F33" s="267"/>
      <c r="G33" s="271" t="str">
        <f>Basisdaten!J31</f>
        <v/>
      </c>
      <c r="H33" s="268"/>
      <c r="I33" s="135"/>
      <c r="J33" s="136"/>
      <c r="K33" s="133"/>
      <c r="L33" s="138" t="s">
        <v>374</v>
      </c>
      <c r="M33" s="132"/>
      <c r="N33" s="132"/>
      <c r="O33" s="132"/>
      <c r="P33" s="164" t="s">
        <v>160</v>
      </c>
      <c r="Q33" s="138"/>
      <c r="R33" s="47"/>
      <c r="S33" s="47"/>
      <c r="T33" s="47"/>
      <c r="U33" s="47"/>
      <c r="V33" s="47"/>
    </row>
    <row r="34" spans="1:22" s="1" customFormat="1" ht="27" x14ac:dyDescent="0.3">
      <c r="A34" s="47"/>
      <c r="B34" s="139"/>
      <c r="C34" s="130"/>
      <c r="D34" s="140" t="s">
        <v>128</v>
      </c>
      <c r="E34" s="142"/>
      <c r="F34" s="156"/>
      <c r="G34" s="270"/>
      <c r="H34" s="152"/>
      <c r="I34" s="152"/>
      <c r="J34" s="162"/>
      <c r="K34" s="142"/>
      <c r="L34" s="298" t="s">
        <v>399</v>
      </c>
      <c r="M34" s="130"/>
      <c r="N34" s="130"/>
      <c r="O34" s="130"/>
      <c r="P34" s="141"/>
      <c r="Q34" s="138"/>
      <c r="R34" s="47"/>
      <c r="S34" s="47"/>
      <c r="T34" s="47"/>
      <c r="U34" s="47"/>
      <c r="V34" s="47"/>
    </row>
    <row r="35" spans="1:22" s="2" customFormat="1" ht="14.4" x14ac:dyDescent="0.3">
      <c r="A35" s="148"/>
      <c r="B35" s="139" t="s">
        <v>119</v>
      </c>
      <c r="C35" s="143"/>
      <c r="D35" s="144" t="s">
        <v>126</v>
      </c>
      <c r="E35" s="149" t="s">
        <v>114</v>
      </c>
      <c r="F35" s="159"/>
      <c r="G35" s="158">
        <v>25</v>
      </c>
      <c r="H35" s="157"/>
      <c r="I35" s="159"/>
      <c r="J35" s="155"/>
      <c r="K35" s="149"/>
      <c r="L35" s="150" t="s">
        <v>161</v>
      </c>
      <c r="M35" s="143"/>
      <c r="N35" s="143"/>
      <c r="O35" s="143"/>
      <c r="P35" s="144"/>
      <c r="Q35" s="151"/>
      <c r="R35" s="148"/>
      <c r="S35" s="148"/>
      <c r="T35" s="148"/>
      <c r="U35" s="148"/>
      <c r="V35" s="148"/>
    </row>
    <row r="36" spans="1:22" s="2" customFormat="1" ht="14.4" x14ac:dyDescent="0.3">
      <c r="A36" s="148"/>
      <c r="B36" s="139" t="s">
        <v>386</v>
      </c>
      <c r="C36" s="143"/>
      <c r="D36" s="144" t="s">
        <v>126</v>
      </c>
      <c r="E36" s="149" t="s">
        <v>114</v>
      </c>
      <c r="F36" s="407">
        <v>0</v>
      </c>
      <c r="G36" s="161">
        <v>0</v>
      </c>
      <c r="H36" s="160"/>
      <c r="I36" s="503">
        <v>0.69999</v>
      </c>
      <c r="J36" s="503">
        <v>0.69999</v>
      </c>
      <c r="K36" s="505"/>
      <c r="L36" s="506" t="s">
        <v>361</v>
      </c>
      <c r="M36" s="506"/>
      <c r="N36" s="143"/>
      <c r="O36" s="143"/>
      <c r="P36" s="144"/>
      <c r="Q36" s="151"/>
      <c r="R36" s="148"/>
      <c r="S36" s="148"/>
      <c r="T36" s="148"/>
      <c r="U36" s="148"/>
      <c r="V36" s="148"/>
    </row>
    <row r="37" spans="1:22" s="1" customFormat="1" ht="14.4" x14ac:dyDescent="0.3">
      <c r="A37" s="47"/>
      <c r="B37" s="516" t="s">
        <v>976</v>
      </c>
      <c r="C37" s="130"/>
      <c r="D37" s="144" t="s">
        <v>127</v>
      </c>
      <c r="E37" s="142" t="s">
        <v>114</v>
      </c>
      <c r="F37" s="154">
        <v>0</v>
      </c>
      <c r="G37" s="153">
        <v>0</v>
      </c>
      <c r="H37" s="156"/>
      <c r="I37" s="503">
        <v>0.79998999999999998</v>
      </c>
      <c r="J37" s="504">
        <v>0.79998999999999998</v>
      </c>
      <c r="K37" s="505"/>
      <c r="L37" s="507" t="s">
        <v>515</v>
      </c>
      <c r="M37" s="506"/>
      <c r="N37" s="130"/>
      <c r="O37" s="130"/>
      <c r="P37" s="141"/>
      <c r="Q37" s="138"/>
      <c r="R37" s="47"/>
      <c r="S37" s="47"/>
      <c r="T37" s="47"/>
      <c r="U37" s="47"/>
      <c r="V37" s="47"/>
    </row>
    <row r="38" spans="1:22" s="1" customFormat="1" ht="14.4" x14ac:dyDescent="0.3">
      <c r="A38" s="47"/>
      <c r="B38" s="517" t="s">
        <v>977</v>
      </c>
      <c r="C38" s="130"/>
      <c r="D38" s="144" t="s">
        <v>126</v>
      </c>
      <c r="E38" s="149" t="s">
        <v>113</v>
      </c>
      <c r="F38" s="152"/>
      <c r="G38" s="153">
        <v>0</v>
      </c>
      <c r="H38" s="162">
        <v>0.95001000000000002</v>
      </c>
      <c r="I38" s="162">
        <v>1</v>
      </c>
      <c r="J38" s="155">
        <v>0.95001000000000002</v>
      </c>
      <c r="K38" s="142"/>
      <c r="L38" s="130" t="s">
        <v>385</v>
      </c>
      <c r="M38" s="130"/>
      <c r="N38" s="130"/>
      <c r="O38" s="130"/>
      <c r="P38" s="141"/>
      <c r="Q38" s="138"/>
      <c r="R38" s="47"/>
      <c r="S38" s="47"/>
      <c r="T38" s="47"/>
      <c r="U38" s="47"/>
      <c r="V38" s="47"/>
    </row>
    <row r="39" spans="1:22" s="1" customFormat="1" ht="14.4" x14ac:dyDescent="0.3">
      <c r="A39" s="47"/>
      <c r="B39" s="145" t="s">
        <v>343</v>
      </c>
      <c r="C39" s="130"/>
      <c r="D39" s="145" t="s">
        <v>344</v>
      </c>
      <c r="E39" s="142"/>
      <c r="F39" s="152"/>
      <c r="G39" s="152"/>
      <c r="H39" s="152"/>
      <c r="I39" s="152"/>
      <c r="J39" s="162"/>
      <c r="K39" s="142"/>
      <c r="L39" s="130" t="s">
        <v>373</v>
      </c>
      <c r="M39" s="130"/>
      <c r="N39" s="130"/>
      <c r="O39" s="130"/>
      <c r="P39" s="141"/>
      <c r="Q39" s="138"/>
      <c r="R39" s="47"/>
      <c r="S39" s="47"/>
      <c r="T39" s="47"/>
      <c r="U39" s="47"/>
      <c r="V39" s="47"/>
    </row>
    <row r="40" spans="1:22" s="1" customFormat="1" ht="14.4" x14ac:dyDescent="0.3">
      <c r="A40" s="47"/>
      <c r="B40" s="145" t="s">
        <v>345</v>
      </c>
      <c r="C40" s="130"/>
      <c r="D40" s="145" t="s">
        <v>344</v>
      </c>
      <c r="E40" s="142" t="s">
        <v>114</v>
      </c>
      <c r="F40" s="152">
        <v>0</v>
      </c>
      <c r="G40" s="152"/>
      <c r="H40" s="152"/>
      <c r="I40" s="152"/>
      <c r="J40" s="162"/>
      <c r="K40" s="142"/>
      <c r="L40" s="130" t="s">
        <v>364</v>
      </c>
      <c r="M40" s="130"/>
      <c r="N40" s="130"/>
      <c r="O40" s="130"/>
      <c r="P40" s="141"/>
      <c r="Q40" s="138"/>
      <c r="R40" s="47"/>
      <c r="S40" s="47"/>
      <c r="T40" s="47"/>
      <c r="U40" s="47"/>
      <c r="V40" s="47"/>
    </row>
    <row r="41" spans="1:22" s="1" customFormat="1" ht="14.4" x14ac:dyDescent="0.3">
      <c r="A41" s="47"/>
      <c r="B41" s="145"/>
      <c r="C41" s="130"/>
      <c r="D41" s="145"/>
      <c r="E41" s="142"/>
      <c r="F41" s="152"/>
      <c r="G41" s="152"/>
      <c r="H41" s="152"/>
      <c r="I41" s="152"/>
      <c r="J41" s="162"/>
      <c r="K41" s="142"/>
      <c r="L41" s="130"/>
      <c r="M41" s="130"/>
      <c r="N41" s="130"/>
      <c r="O41" s="130"/>
      <c r="P41" s="141"/>
      <c r="Q41" s="138"/>
      <c r="R41" s="47"/>
      <c r="S41" s="47"/>
      <c r="T41" s="47"/>
      <c r="U41" s="47"/>
      <c r="V41" s="47"/>
    </row>
    <row r="42" spans="1:22" s="1" customFormat="1" ht="14.4" x14ac:dyDescent="0.3">
      <c r="A42" s="47"/>
      <c r="B42" s="138"/>
      <c r="C42" s="138"/>
      <c r="D42" s="138"/>
      <c r="E42" s="138"/>
      <c r="F42" s="138"/>
      <c r="G42" s="138"/>
      <c r="H42" s="138"/>
      <c r="I42" s="138"/>
      <c r="J42" s="138"/>
      <c r="K42" s="138"/>
      <c r="L42" s="138"/>
      <c r="M42" s="138"/>
      <c r="N42" s="138"/>
      <c r="O42" s="138"/>
      <c r="P42" s="141"/>
      <c r="Q42" s="138"/>
      <c r="R42" s="47"/>
      <c r="S42" s="47"/>
      <c r="T42" s="47"/>
      <c r="U42" s="47"/>
      <c r="V42" s="47"/>
    </row>
    <row r="43" spans="1:22" s="1" customFormat="1" ht="14.4" x14ac:dyDescent="0.3">
      <c r="A43" s="47"/>
      <c r="B43" s="297" t="s">
        <v>108</v>
      </c>
      <c r="C43" s="296"/>
      <c r="D43" s="295"/>
      <c r="E43" s="294" t="s">
        <v>124</v>
      </c>
      <c r="F43" s="294" t="s">
        <v>120</v>
      </c>
      <c r="G43" s="294"/>
      <c r="H43" s="294"/>
      <c r="I43" s="294"/>
      <c r="J43" s="294" t="s">
        <v>121</v>
      </c>
      <c r="K43" s="293"/>
      <c r="L43" s="292" t="s">
        <v>142</v>
      </c>
      <c r="M43" s="292"/>
      <c r="N43" s="292" t="s">
        <v>162</v>
      </c>
      <c r="O43" s="292"/>
      <c r="P43" s="291"/>
      <c r="Q43" s="138"/>
      <c r="R43" s="47"/>
      <c r="S43" s="47"/>
      <c r="T43" s="47"/>
      <c r="U43" s="47"/>
      <c r="V43" s="47"/>
    </row>
    <row r="44" spans="1:22" s="1" customFormat="1" ht="14.4" x14ac:dyDescent="0.3">
      <c r="A44" s="47"/>
      <c r="B44" s="297"/>
      <c r="C44" s="296"/>
      <c r="D44" s="396">
        <v>1E-3</v>
      </c>
      <c r="E44" s="397">
        <v>0</v>
      </c>
      <c r="F44" s="398">
        <v>0.59899999999999998</v>
      </c>
      <c r="G44" s="399">
        <v>0.6</v>
      </c>
      <c r="H44" s="399"/>
      <c r="I44" s="398">
        <v>0.94899999999999995</v>
      </c>
      <c r="J44" s="400">
        <v>0.95</v>
      </c>
      <c r="K44" s="293"/>
      <c r="L44" s="292" t="s">
        <v>142</v>
      </c>
      <c r="M44" s="292"/>
      <c r="N44" s="292" t="s">
        <v>162</v>
      </c>
      <c r="O44" s="292"/>
      <c r="P44" s="291"/>
      <c r="Q44" s="138"/>
      <c r="R44" s="47"/>
      <c r="S44" s="47"/>
      <c r="T44" s="47"/>
      <c r="U44" s="47"/>
      <c r="V44" s="47"/>
    </row>
    <row r="45" spans="1:22" s="1" customFormat="1" ht="14.4" x14ac:dyDescent="0.3">
      <c r="A45" s="47"/>
      <c r="B45" s="297"/>
      <c r="C45" s="296"/>
      <c r="D45" s="396">
        <v>1E-3</v>
      </c>
      <c r="E45" s="397">
        <v>0</v>
      </c>
      <c r="F45" s="398">
        <v>0.59899999999999998</v>
      </c>
      <c r="G45" s="399">
        <v>0.6</v>
      </c>
      <c r="H45" s="399"/>
      <c r="I45" s="398">
        <v>0.94899999999999995</v>
      </c>
      <c r="J45" s="400">
        <v>0.95</v>
      </c>
      <c r="K45" s="293"/>
      <c r="L45" s="292" t="s">
        <v>142</v>
      </c>
      <c r="M45" s="292"/>
      <c r="N45" s="292" t="s">
        <v>162</v>
      </c>
      <c r="O45" s="292"/>
      <c r="P45" s="291"/>
      <c r="Q45" s="138"/>
      <c r="R45" s="47"/>
      <c r="S45" s="47"/>
      <c r="T45" s="47"/>
      <c r="U45" s="47"/>
      <c r="V45" s="47"/>
    </row>
    <row r="46" spans="1:22" s="1" customFormat="1" ht="14.4" x14ac:dyDescent="0.3">
      <c r="A46" s="47"/>
      <c r="B46" s="297"/>
      <c r="C46" s="296"/>
      <c r="D46" s="396">
        <v>1E-3</v>
      </c>
      <c r="E46" s="397">
        <v>0</v>
      </c>
      <c r="F46" s="398">
        <v>0.59899999999999998</v>
      </c>
      <c r="G46" s="399">
        <v>0.6</v>
      </c>
      <c r="H46" s="399"/>
      <c r="I46" s="398">
        <v>0.94899999999999995</v>
      </c>
      <c r="J46" s="400">
        <v>0.95</v>
      </c>
      <c r="K46" s="293"/>
      <c r="L46" s="292" t="s">
        <v>142</v>
      </c>
      <c r="M46" s="292"/>
      <c r="N46" s="292" t="s">
        <v>162</v>
      </c>
      <c r="O46" s="292"/>
      <c r="P46" s="291"/>
      <c r="Q46" s="138"/>
      <c r="R46" s="47"/>
      <c r="S46" s="47"/>
      <c r="T46" s="47"/>
      <c r="U46" s="47"/>
      <c r="V46" s="47"/>
    </row>
    <row r="47" spans="1:22" s="1" customFormat="1" ht="14.4" x14ac:dyDescent="0.3">
      <c r="A47" s="47"/>
      <c r="B47" s="297"/>
      <c r="C47" s="296"/>
      <c r="D47" s="396">
        <v>1E-3</v>
      </c>
      <c r="E47" s="397">
        <v>0</v>
      </c>
      <c r="F47" s="398">
        <v>0.59899999999999998</v>
      </c>
      <c r="G47" s="399">
        <v>0.6</v>
      </c>
      <c r="H47" s="399"/>
      <c r="I47" s="398">
        <v>0.94899999999999995</v>
      </c>
      <c r="J47" s="400">
        <v>0.95</v>
      </c>
      <c r="K47" s="293"/>
      <c r="L47" s="292" t="s">
        <v>142</v>
      </c>
      <c r="M47" s="292"/>
      <c r="N47" s="292" t="s">
        <v>162</v>
      </c>
      <c r="O47" s="292"/>
      <c r="P47" s="291"/>
      <c r="Q47" s="138"/>
      <c r="R47" s="47"/>
      <c r="S47" s="47"/>
      <c r="T47" s="47"/>
      <c r="U47" s="47"/>
      <c r="V47" s="47"/>
    </row>
    <row r="48" spans="1:22" s="1" customFormat="1" ht="14.4" x14ac:dyDescent="0.3">
      <c r="A48" s="47"/>
      <c r="B48" s="297"/>
      <c r="C48" s="296"/>
      <c r="D48" s="396">
        <v>1E-3</v>
      </c>
      <c r="E48" s="397">
        <v>0</v>
      </c>
      <c r="F48" s="398">
        <v>0.59899999999999998</v>
      </c>
      <c r="G48" s="399">
        <v>0.6</v>
      </c>
      <c r="H48" s="399"/>
      <c r="I48" s="398">
        <v>0.94899999999999995</v>
      </c>
      <c r="J48" s="400">
        <v>0.95</v>
      </c>
      <c r="K48" s="293"/>
      <c r="L48" s="292" t="s">
        <v>142</v>
      </c>
      <c r="M48" s="292"/>
      <c r="N48" s="292" t="s">
        <v>162</v>
      </c>
      <c r="O48" s="292"/>
      <c r="P48" s="291"/>
      <c r="Q48" s="138"/>
      <c r="R48" s="47"/>
      <c r="S48" s="47"/>
      <c r="T48" s="47"/>
      <c r="U48" s="47"/>
      <c r="V48" s="47"/>
    </row>
    <row r="49" spans="1:22" s="1" customFormat="1" ht="14.4" x14ac:dyDescent="0.3">
      <c r="A49" s="47"/>
      <c r="B49" s="297"/>
      <c r="C49" s="296"/>
      <c r="D49" s="396">
        <v>1E-3</v>
      </c>
      <c r="E49" s="397">
        <v>0</v>
      </c>
      <c r="F49" s="398">
        <v>0.79900000000000004</v>
      </c>
      <c r="G49" s="399">
        <v>0.8</v>
      </c>
      <c r="H49" s="399"/>
      <c r="I49" s="398">
        <v>0.98899999999999999</v>
      </c>
      <c r="J49" s="401">
        <v>0.99</v>
      </c>
      <c r="K49" s="293"/>
      <c r="L49" s="292" t="s">
        <v>142</v>
      </c>
      <c r="M49" s="292"/>
      <c r="N49" s="292" t="s">
        <v>162</v>
      </c>
      <c r="O49" s="292"/>
      <c r="P49" s="291"/>
      <c r="Q49" s="138"/>
      <c r="R49" s="47"/>
      <c r="S49" s="47"/>
      <c r="T49" s="47"/>
      <c r="U49" s="47"/>
      <c r="V49" s="47"/>
    </row>
    <row r="50" spans="1:22" s="1" customFormat="1" ht="14.4" x14ac:dyDescent="0.3">
      <c r="A50" s="47"/>
      <c r="B50" s="297"/>
      <c r="C50" s="296"/>
      <c r="D50" s="396">
        <v>1E-3</v>
      </c>
      <c r="E50" s="397">
        <v>0</v>
      </c>
      <c r="F50" s="398">
        <v>0.89900000000000002</v>
      </c>
      <c r="G50" s="399">
        <v>0.9</v>
      </c>
      <c r="H50" s="399"/>
      <c r="I50" s="398">
        <v>0.98899999999999999</v>
      </c>
      <c r="J50" s="401">
        <v>0.99</v>
      </c>
      <c r="K50" s="293"/>
      <c r="L50" s="292" t="s">
        <v>142</v>
      </c>
      <c r="M50" s="292"/>
      <c r="N50" s="292" t="s">
        <v>162</v>
      </c>
      <c r="O50" s="292"/>
      <c r="P50" s="291"/>
      <c r="Q50" s="138"/>
      <c r="R50" s="47"/>
      <c r="S50" s="47"/>
      <c r="T50" s="47"/>
      <c r="U50" s="47"/>
      <c r="V50" s="47"/>
    </row>
    <row r="51" spans="1:22" s="1" customFormat="1" ht="14.4" x14ac:dyDescent="0.3">
      <c r="A51" s="47"/>
      <c r="B51" s="290"/>
      <c r="C51" s="290"/>
      <c r="D51" s="390"/>
      <c r="E51" s="390"/>
      <c r="F51" s="391"/>
      <c r="G51" s="391"/>
      <c r="H51" s="390"/>
      <c r="I51" s="391"/>
      <c r="J51" s="392"/>
      <c r="K51" s="289"/>
      <c r="L51" s="288"/>
      <c r="M51" s="288"/>
      <c r="N51" s="288"/>
      <c r="O51" s="288"/>
      <c r="P51" s="291"/>
      <c r="Q51" s="138"/>
      <c r="R51" s="47"/>
      <c r="S51" s="47"/>
      <c r="T51" s="47"/>
      <c r="U51" s="47"/>
      <c r="V51" s="47"/>
    </row>
    <row r="52" spans="1:22" s="1" customFormat="1" ht="14.4" x14ac:dyDescent="0.3">
      <c r="A52" s="47"/>
      <c r="B52" s="297" t="s">
        <v>61</v>
      </c>
      <c r="C52" s="296"/>
      <c r="D52" s="393"/>
      <c r="E52" s="394"/>
      <c r="F52" s="394" t="s">
        <v>120</v>
      </c>
      <c r="G52" s="394"/>
      <c r="H52" s="394"/>
      <c r="I52" s="394"/>
      <c r="J52" s="394" t="s">
        <v>121</v>
      </c>
      <c r="K52" s="293"/>
      <c r="L52" s="292" t="s">
        <v>143</v>
      </c>
      <c r="M52" s="292"/>
      <c r="N52" s="292" t="s">
        <v>163</v>
      </c>
      <c r="O52" s="292"/>
      <c r="P52" s="291"/>
      <c r="Q52" s="138"/>
      <c r="R52" s="47"/>
      <c r="S52" s="47"/>
      <c r="T52" s="47"/>
      <c r="U52" s="47"/>
      <c r="V52" s="47"/>
    </row>
    <row r="53" spans="1:22" s="1" customFormat="1" ht="14.4" x14ac:dyDescent="0.3">
      <c r="A53" s="47"/>
      <c r="B53" s="297"/>
      <c r="C53" s="296"/>
      <c r="D53" s="396">
        <v>1E-3</v>
      </c>
      <c r="E53" s="402">
        <v>0</v>
      </c>
      <c r="F53" s="403">
        <v>0.59899999999999998</v>
      </c>
      <c r="G53" s="404">
        <v>0.6</v>
      </c>
      <c r="H53" s="395"/>
      <c r="I53" s="403">
        <v>0.94899999999999995</v>
      </c>
      <c r="J53" s="405">
        <v>0.95</v>
      </c>
      <c r="K53" s="293"/>
      <c r="L53" s="292" t="s">
        <v>143</v>
      </c>
      <c r="M53" s="292"/>
      <c r="N53" s="292" t="s">
        <v>163</v>
      </c>
      <c r="O53" s="292"/>
      <c r="P53" s="291"/>
      <c r="Q53" s="138"/>
      <c r="R53" s="47"/>
      <c r="S53" s="47"/>
      <c r="T53" s="47"/>
      <c r="U53" s="47"/>
      <c r="V53" s="47"/>
    </row>
    <row r="54" spans="1:22" s="1" customFormat="1" ht="14.4" x14ac:dyDescent="0.3">
      <c r="A54" s="47"/>
      <c r="B54" s="297"/>
      <c r="C54" s="296"/>
      <c r="D54" s="396">
        <v>1E-3</v>
      </c>
      <c r="E54" s="402">
        <v>0</v>
      </c>
      <c r="F54" s="403">
        <v>0.59899999999999998</v>
      </c>
      <c r="G54" s="404">
        <v>0.6</v>
      </c>
      <c r="H54" s="395"/>
      <c r="I54" s="403">
        <v>0.94899999999999995</v>
      </c>
      <c r="J54" s="405">
        <v>0.95</v>
      </c>
      <c r="K54" s="293"/>
      <c r="L54" s="292" t="s">
        <v>143</v>
      </c>
      <c r="M54" s="292"/>
      <c r="N54" s="292" t="s">
        <v>163</v>
      </c>
      <c r="O54" s="292"/>
      <c r="P54" s="291"/>
      <c r="Q54" s="138"/>
      <c r="R54" s="47"/>
      <c r="S54" s="47"/>
      <c r="T54" s="47"/>
      <c r="U54" s="47"/>
      <c r="V54" s="47"/>
    </row>
    <row r="55" spans="1:22" s="1" customFormat="1" ht="14.4" x14ac:dyDescent="0.3">
      <c r="A55" s="47"/>
      <c r="B55" s="297"/>
      <c r="C55" s="296"/>
      <c r="D55" s="396">
        <v>1E-3</v>
      </c>
      <c r="E55" s="402">
        <v>0</v>
      </c>
      <c r="F55" s="403">
        <v>0.59899999999999998</v>
      </c>
      <c r="G55" s="404">
        <v>0.6</v>
      </c>
      <c r="H55" s="395"/>
      <c r="I55" s="403">
        <v>0.94899999999999995</v>
      </c>
      <c r="J55" s="405">
        <v>0.95</v>
      </c>
      <c r="K55" s="293"/>
      <c r="L55" s="292" t="s">
        <v>143</v>
      </c>
      <c r="M55" s="292"/>
      <c r="N55" s="292" t="s">
        <v>163</v>
      </c>
      <c r="O55" s="292"/>
      <c r="P55" s="291"/>
      <c r="Q55" s="138"/>
      <c r="R55" s="47"/>
      <c r="S55" s="47"/>
      <c r="T55" s="47"/>
      <c r="U55" s="47"/>
      <c r="V55" s="47"/>
    </row>
    <row r="56" spans="1:22" s="1" customFormat="1" ht="14.4" x14ac:dyDescent="0.3">
      <c r="A56" s="47"/>
      <c r="B56" s="297"/>
      <c r="C56" s="296"/>
      <c r="D56" s="396">
        <v>1E-3</v>
      </c>
      <c r="E56" s="402">
        <v>0</v>
      </c>
      <c r="F56" s="403">
        <v>0.59899999999999998</v>
      </c>
      <c r="G56" s="404">
        <v>0.6</v>
      </c>
      <c r="H56" s="395"/>
      <c r="I56" s="403">
        <v>0.94899999999999995</v>
      </c>
      <c r="J56" s="405">
        <v>0.95</v>
      </c>
      <c r="K56" s="293"/>
      <c r="L56" s="292" t="s">
        <v>143</v>
      </c>
      <c r="M56" s="292"/>
      <c r="N56" s="292" t="s">
        <v>163</v>
      </c>
      <c r="O56" s="292"/>
      <c r="P56" s="291"/>
      <c r="Q56" s="138"/>
      <c r="R56" s="47"/>
      <c r="S56" s="47"/>
      <c r="T56" s="47"/>
      <c r="U56" s="47"/>
      <c r="V56" s="47"/>
    </row>
    <row r="57" spans="1:22" s="1" customFormat="1" ht="14.4" x14ac:dyDescent="0.3">
      <c r="A57" s="47"/>
      <c r="B57" s="297"/>
      <c r="C57" s="296"/>
      <c r="D57" s="396">
        <v>1E-3</v>
      </c>
      <c r="E57" s="402">
        <v>0</v>
      </c>
      <c r="F57" s="403">
        <v>0.59899999999999998</v>
      </c>
      <c r="G57" s="404">
        <v>0.6</v>
      </c>
      <c r="H57" s="395"/>
      <c r="I57" s="403">
        <v>0.94899999999999995</v>
      </c>
      <c r="J57" s="405">
        <v>0.95</v>
      </c>
      <c r="K57" s="293"/>
      <c r="L57" s="292" t="s">
        <v>143</v>
      </c>
      <c r="M57" s="292"/>
      <c r="N57" s="292" t="s">
        <v>163</v>
      </c>
      <c r="O57" s="292"/>
      <c r="P57" s="291"/>
      <c r="Q57" s="138"/>
      <c r="R57" s="47"/>
      <c r="S57" s="47"/>
      <c r="T57" s="47"/>
      <c r="U57" s="47"/>
      <c r="V57" s="47"/>
    </row>
    <row r="58" spans="1:22" s="1" customFormat="1" ht="14.4" x14ac:dyDescent="0.3">
      <c r="A58" s="47"/>
      <c r="B58" s="297"/>
      <c r="C58" s="296"/>
      <c r="D58" s="396">
        <v>1E-3</v>
      </c>
      <c r="E58" s="402">
        <v>0</v>
      </c>
      <c r="F58" s="403">
        <v>0.84899999999999998</v>
      </c>
      <c r="G58" s="404">
        <v>0.85</v>
      </c>
      <c r="H58" s="395"/>
      <c r="I58" s="403">
        <v>0.98899999999999999</v>
      </c>
      <c r="J58" s="406">
        <v>0.99</v>
      </c>
      <c r="K58" s="293"/>
      <c r="L58" s="292" t="s">
        <v>143</v>
      </c>
      <c r="M58" s="292"/>
      <c r="N58" s="292" t="s">
        <v>163</v>
      </c>
      <c r="O58" s="292"/>
      <c r="P58" s="291"/>
      <c r="Q58" s="138"/>
      <c r="R58" s="47"/>
      <c r="S58" s="47"/>
      <c r="T58" s="47"/>
      <c r="U58" s="47"/>
      <c r="V58" s="47"/>
    </row>
    <row r="59" spans="1:22" s="1" customFormat="1" ht="14.4" x14ac:dyDescent="0.3">
      <c r="A59" s="47"/>
      <c r="B59" s="297"/>
      <c r="C59" s="296"/>
      <c r="D59" s="396">
        <v>1E-3</v>
      </c>
      <c r="E59" s="402">
        <v>0</v>
      </c>
      <c r="F59" s="403">
        <v>0.94899999999999995</v>
      </c>
      <c r="G59" s="404">
        <v>0.95</v>
      </c>
      <c r="H59" s="395"/>
      <c r="I59" s="403">
        <v>0.98899999999999999</v>
      </c>
      <c r="J59" s="406">
        <v>0.99</v>
      </c>
      <c r="K59" s="293"/>
      <c r="L59" s="292" t="s">
        <v>143</v>
      </c>
      <c r="M59" s="292"/>
      <c r="N59" s="292" t="s">
        <v>163</v>
      </c>
      <c r="O59" s="292"/>
      <c r="P59" s="291"/>
      <c r="Q59" s="138"/>
      <c r="R59" s="47"/>
      <c r="S59" s="47"/>
      <c r="T59" s="47"/>
      <c r="U59" s="47"/>
      <c r="V59" s="47"/>
    </row>
  </sheetData>
  <customSheetViews>
    <customSheetView guid="{DAA0C1F4-4D8F-4BD8-91F9-40281B589772}" scale="80" state="hidden">
      <selection activeCell="E33" sqref="E33"/>
      <pageMargins left="0.31496062992125984" right="0.11811023622047245" top="0.39370078740157483" bottom="0.39370078740157483" header="0.31496062992125984" footer="0.31496062992125984"/>
      <pageSetup paperSize="9" orientation="landscape" r:id="rId1"/>
    </customSheetView>
    <customSheetView guid="{AD479C9E-06F7-4C03-8179-295428B49475}">
      <selection activeCell="B11" sqref="B11"/>
      <pageMargins left="0.31496062992125984" right="0.11811023622047245" top="0.39370078740157483" bottom="0.39370078740157483" header="0.31496062992125984" footer="0.31496062992125984"/>
      <pageSetup paperSize="9" orientation="landscape" r:id="rId2"/>
    </customSheetView>
  </customSheetViews>
  <mergeCells count="4">
    <mergeCell ref="D13:D14"/>
    <mergeCell ref="B13:B14"/>
    <mergeCell ref="C13:C14"/>
    <mergeCell ref="E13:E14"/>
  </mergeCells>
  <phoneticPr fontId="40" type="noConversion"/>
  <conditionalFormatting sqref="BH7">
    <cfRule type="expression" dxfId="22" priority="2160">
      <formula>$BH7="EZ"</formula>
    </cfRule>
    <cfRule type="expression" dxfId="21" priority="2161">
      <formula>$BH7="nicht relevant"</formula>
    </cfRule>
  </conditionalFormatting>
  <pageMargins left="0.31496062992125984" right="0.11811023622047245" top="0.39370078740157483" bottom="0.39370078740157483" header="0.31496062992125984" footer="0.31496062992125984"/>
  <pageSetup paperSize="9" orientation="landscape"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Tabelle11"/>
  <dimension ref="A1:R44"/>
  <sheetViews>
    <sheetView workbookViewId="0">
      <selection activeCell="H14" sqref="H14"/>
    </sheetView>
  </sheetViews>
  <sheetFormatPr defaultColWidth="11.44140625" defaultRowHeight="11.4" x14ac:dyDescent="0.3"/>
  <cols>
    <col min="1" max="1" width="12.44140625" style="335" customWidth="1"/>
    <col min="2" max="3" width="9.109375" style="335" customWidth="1"/>
    <col min="4" max="4" width="31.109375" style="335" customWidth="1"/>
    <col min="5" max="5" width="12.33203125" style="335" customWidth="1"/>
    <col min="6" max="7" width="9.109375" style="335" customWidth="1"/>
    <col min="8" max="8" width="49.6640625" style="237" customWidth="1"/>
    <col min="9" max="9" width="56.44140625" style="237" customWidth="1"/>
    <col min="10" max="10" width="6.88671875" style="335" customWidth="1"/>
    <col min="11" max="11" width="11" style="335" customWidth="1"/>
    <col min="12" max="12" width="28.88671875" style="230" customWidth="1"/>
    <col min="13" max="13" width="22.6640625" style="230" customWidth="1"/>
    <col min="14" max="14" width="26.44140625" style="230" customWidth="1"/>
    <col min="15" max="15" width="48.88671875" style="237" customWidth="1"/>
    <col min="16" max="16" width="54.44140625" style="237" customWidth="1"/>
    <col min="17" max="16384" width="11.44140625" style="335"/>
  </cols>
  <sheetData>
    <row r="1" spans="1:18" ht="24.6" thickBot="1" x14ac:dyDescent="0.35">
      <c r="L1" s="327" t="s">
        <v>130</v>
      </c>
      <c r="M1" s="327" t="s">
        <v>428</v>
      </c>
      <c r="N1" s="327" t="s">
        <v>439</v>
      </c>
      <c r="O1" s="327" t="s">
        <v>62</v>
      </c>
      <c r="P1" s="327" t="s">
        <v>396</v>
      </c>
    </row>
    <row r="2" spans="1:18" s="10" customFormat="1" ht="24.75" customHeight="1" x14ac:dyDescent="0.3">
      <c r="A2" s="332" t="str">
        <f>IF(Berechnung2!$B$27&gt;6,IF(Berechnung2!$B$27=7,"EZ",IF(Berechnung2!$B$27&gt;7,"relevant","?")),"nicht relevant")</f>
        <v>nicht relevant</v>
      </c>
      <c r="B2" s="110" t="str">
        <f>CONCATENATE("2016;"," ")</f>
        <v xml:space="preserve">2016; </v>
      </c>
      <c r="C2" s="329"/>
      <c r="D2" s="341" t="s">
        <v>101</v>
      </c>
      <c r="E2" s="347" t="str">
        <f>IF(H2="","","2016")</f>
        <v/>
      </c>
      <c r="F2" s="347" t="str">
        <f t="shared" ref="F2:F7" si="0">IF(H2="","","a")</f>
        <v/>
      </c>
      <c r="G2" s="347" t="str">
        <f>IF(H2="","","1")</f>
        <v/>
      </c>
      <c r="H2" s="359" t="str">
        <f>IF(A2="relevant",IF(COUNTIF(Matrix!C19:W19,"")&gt;2,Berechnung2!$L$34,""),"")</f>
        <v/>
      </c>
      <c r="I2" s="360" t="str">
        <f>IF(H2="","",VLOOKUP(F2,Berechnung2!$I$15:$J$22,2,FALSE))</f>
        <v/>
      </c>
      <c r="J2" s="345" t="str">
        <f>IF(H2&lt;&gt;"",1,"")</f>
        <v/>
      </c>
      <c r="L2" s="104" t="str">
        <f t="array" aca="1" ref="L2" ca="1">IF(ROW()-ROW($F$2:$F$39)+1&gt;ROWS($E$2:$E$39)-COUNTBLANK($E$2:$E$39),"",INDIRECT(ADDRESS(SMALL((IF($E$2:$E$39&lt;&gt;"",ROW($E$2:$E$39),ROW()+ROWS($E$2:$E$39))),ROW()-ROW($F$2:$F$39)+1),COLUMN($E$2:$E$39),4)))</f>
        <v/>
      </c>
      <c r="M2" s="104" t="str">
        <f t="array" aca="1" ref="M2" ca="1">IF(ROW()-ROW($G$2:$G$39)+1&gt;ROWS($F$2:$F$39)-COUNTBLANK($F$2:$F$39),"",INDIRECT(ADDRESS(SMALL((IF($F$2:$F$39&lt;&gt;"",ROW($F$2:$F$39),ROW()+ROWS($F$2:$F$39))),ROW()-ROW($G$2:$G$39)+1),COLUMN($F$2:$F$39),4)))</f>
        <v/>
      </c>
      <c r="N2" s="104" t="str">
        <f t="array" aca="1" ref="N2" ca="1">IF(ROW()-ROW($H$2:$H$39)+1&gt;ROWS($G$2:$G$39)-COUNTBLANK($G$2:$G$39),"",INDIRECT(ADDRESS(SMALL((IF($G$2:$G$39&lt;&gt;"",ROW($G$2:$G$39),ROW()+ROWS($G$2:$G$39))),ROW()-ROW($H$2:$H$39)+1),COLUMN($G$2:$G$39),4)))</f>
        <v/>
      </c>
      <c r="O2" s="319" t="str">
        <f t="array" aca="1" ref="O2" ca="1">IF(ROW()-ROW($I$2:$I$39)+1&gt;ROWS($H$2:$H$39)-COUNTBLANK($H$2:$H$39),"",INDIRECT(ADDRESS(SMALL((IF($H$2:$H$39&lt;&gt;"",ROW($H$2:$H$39),ROW()+ROWS($H$2:$H$39))),ROW()-ROW($I$2:$I$39)+1),COLUMN($H$2:$H$39),4)))</f>
        <v/>
      </c>
      <c r="P2" s="319" t="str">
        <f t="array" aca="1" ref="P2" ca="1">IF(ROW()-ROW($J$2:$J$39)+1&gt;ROWS($I$2:$I$39)-COUNTBLANK($I$2:$I$39),"",INDIRECT(ADDRESS(SMALL((IF($I$2:$I$39&lt;&gt;"",ROW($I$2:$I$39),ROW()+ROWS($I$2:$I$39))),ROW()-ROW($J$2:$J$39)+1),COLUMN($I$2:$I$39),4)))</f>
        <v/>
      </c>
    </row>
    <row r="3" spans="1:18" s="10" customFormat="1" ht="20.399999999999999" x14ac:dyDescent="0.3">
      <c r="A3" s="332" t="str">
        <f>IF(Berechnung2!$B$27&gt;5,IF(Berechnung2!$B$27=6,"EZ",IF(Berechnung2!$B$27&gt;6,"relevant","?")),"nicht relevant")</f>
        <v>nicht relevant</v>
      </c>
      <c r="B3" s="110" t="str">
        <f>CONCATENATE("2017;"," ")</f>
        <v xml:space="preserve">2017; </v>
      </c>
      <c r="C3" s="329"/>
      <c r="D3" s="342" t="s">
        <v>431</v>
      </c>
      <c r="E3" s="59" t="str">
        <f>IF(H3="","","2017")</f>
        <v/>
      </c>
      <c r="F3" s="59" t="str">
        <f t="shared" si="0"/>
        <v/>
      </c>
      <c r="G3" s="59" t="str">
        <f t="shared" ref="G3:G20" si="1">IF(H3="","","1")</f>
        <v/>
      </c>
      <c r="H3" s="361" t="str">
        <f>IF(A3="relevant",IF(COUNTIF(Matrix!C20:W20,"")&gt;2,Berechnung2!$L$34,""),"")</f>
        <v/>
      </c>
      <c r="I3" s="362" t="str">
        <f>IF(H3="","",VLOOKUP(F3,Berechnung2!$I$15:$J$22,2,FALSE))</f>
        <v/>
      </c>
      <c r="J3" s="344" t="str">
        <f t="shared" ref="J3:J35" si="2">IF(H3&lt;&gt;"",1,"")</f>
        <v/>
      </c>
      <c r="L3" s="595" t="str">
        <f t="array" aca="1" ref="L3" ca="1">IF(ROW()-ROW($F$2:$F$39)+1&gt;ROWS($E$2:$E$39)-COUNTBLANK($E$2:$E$39),"",INDIRECT(ADDRESS(SMALL((IF($E$2:$E$39&lt;&gt;"",ROW($E$2:$E$39),ROW()+ROWS($E$2:$E$39))),ROW()-ROW($F$2:$F$39)+1),COLUMN($E$2:$E$39),4)))</f>
        <v/>
      </c>
      <c r="M3" s="595" t="str">
        <f t="array" aca="1" ref="M3" ca="1">IF(ROW()-ROW($G$2:$G$39)+1&gt;ROWS($F$2:$F$39)-COUNTBLANK($F$2:$F$39),"",INDIRECT(ADDRESS(SMALL((IF($F$2:$F$39&lt;&gt;"",ROW($F$2:$F$39),ROW()+ROWS($F$2:$F$39))),ROW()-ROW($G$2:$G$39)+1),COLUMN($F$2:$F$39),4)))</f>
        <v/>
      </c>
      <c r="N3" s="595" t="str">
        <f t="array" aca="1" ref="N3" ca="1">IF(ROW()-ROW($H$2:$H$39)+1&gt;ROWS($G$2:$G$39)-COUNTBLANK($G$2:$G$39),"",INDIRECT(ADDRESS(SMALL((IF($G$2:$G$39&lt;&gt;"",ROW($G$2:$G$39),ROW()+ROWS($G$2:$G$39))),ROW()-ROW($H$2:$H$39)+1),COLUMN($G$2:$G$39),4)))</f>
        <v/>
      </c>
      <c r="O3" s="591" t="str">
        <f t="array" aca="1" ref="O3" ca="1">IF(ROW()-ROW($I$2:$I$39)+1&gt;ROWS($H$2:$H$39)-COUNTBLANK($H$2:$H$39),"",INDIRECT(ADDRESS(SMALL((IF($H$2:$H$39&lt;&gt;"",ROW($H$2:$H$39),ROW()+ROWS($H$2:$H$39))),ROW()-ROW($I$2:$I$39)+1),COLUMN($H$2:$H$39),4)))</f>
        <v/>
      </c>
      <c r="P3" s="591" t="str">
        <f t="array" aca="1" ref="P3" ca="1">IF(ROW()-ROW($J$2:$J$39)+1&gt;ROWS($I$2:$I$39)-COUNTBLANK($I$2:$I$39),"",INDIRECT(ADDRESS(SMALL((IF($I$2:$I$39&lt;&gt;"",ROW($I$2:$I$39),ROW()+ROWS($I$2:$I$39))),ROW()-ROW($J$2:$J$39)+1),COLUMN($I$2:$I$39),4)))</f>
        <v/>
      </c>
    </row>
    <row r="4" spans="1:18" s="10" customFormat="1" x14ac:dyDescent="0.3">
      <c r="A4" s="332" t="str">
        <f>IF(Berechnung2!$B$27&gt;4,IF(Berechnung2!$B$27=5,"EZ",IF(Berechnung2!$B$27&gt;5,"relevant","?")),"nicht relevant")</f>
        <v>nicht relevant</v>
      </c>
      <c r="B4" s="110" t="str">
        <f>CONCATENATE("2018;"," ")</f>
        <v xml:space="preserve">2018; </v>
      </c>
      <c r="C4" s="329"/>
      <c r="D4" s="342"/>
      <c r="E4" s="59" t="str">
        <f>IF(H4="","","2018")</f>
        <v/>
      </c>
      <c r="F4" s="59" t="str">
        <f t="shared" si="0"/>
        <v/>
      </c>
      <c r="G4" s="59" t="str">
        <f t="shared" si="1"/>
        <v/>
      </c>
      <c r="H4" s="361" t="str">
        <f>IF(A4="relevant",IF(COUNTIF(Matrix!C21:W21,"")&gt;2,Berechnung2!$L$34,""),"")</f>
        <v/>
      </c>
      <c r="I4" s="362" t="str">
        <f>IF(H4="","",VLOOKUP(F4,Berechnung2!$I$15:$J$22,2,FALSE))</f>
        <v/>
      </c>
      <c r="J4" s="344" t="str">
        <f t="shared" si="2"/>
        <v/>
      </c>
      <c r="L4" s="595" t="str">
        <f t="array" aca="1" ref="L4" ca="1">IF(ROW()-ROW($F$2:$F$39)+1&gt;ROWS($E$2:$E$39)-COUNTBLANK($E$2:$E$39),"",INDIRECT(ADDRESS(SMALL((IF($E$2:$E$39&lt;&gt;"",ROW($E$2:$E$39),ROW()+ROWS($E$2:$E$39))),ROW()-ROW($F$2:$F$39)+1),COLUMN($E$2:$E$39),4)))</f>
        <v/>
      </c>
      <c r="M4" s="595" t="str">
        <f t="array" aca="1" ref="M4" ca="1">IF(ROW()-ROW($G$2:$G$39)+1&gt;ROWS($F$2:$F$39)-COUNTBLANK($F$2:$F$39),"",INDIRECT(ADDRESS(SMALL((IF($F$2:$F$39&lt;&gt;"",ROW($F$2:$F$39),ROW()+ROWS($F$2:$F$39))),ROW()-ROW($G$2:$G$39)+1),COLUMN($F$2:$F$39),4)))</f>
        <v/>
      </c>
      <c r="N4" s="595" t="str">
        <f t="array" aca="1" ref="N4" ca="1">IF(ROW()-ROW($H$2:$H$39)+1&gt;ROWS($G$2:$G$39)-COUNTBLANK($G$2:$G$39),"",INDIRECT(ADDRESS(SMALL((IF($G$2:$G$39&lt;&gt;"",ROW($G$2:$G$39),ROW()+ROWS($G$2:$G$39))),ROW()-ROW($H$2:$H$39)+1),COLUMN($G$2:$G$39),4)))</f>
        <v/>
      </c>
      <c r="O4" s="591" t="str">
        <f t="array" aca="1" ref="O4" ca="1">IF(ROW()-ROW($I$2:$I$39)+1&gt;ROWS($H$2:$H$39)-COUNTBLANK($H$2:$H$39),"",INDIRECT(ADDRESS(SMALL((IF($H$2:$H$39&lt;&gt;"",ROW($H$2:$H$39),ROW()+ROWS($H$2:$H$39))),ROW()-ROW($I$2:$I$39)+1),COLUMN($H$2:$H$39),4)))</f>
        <v/>
      </c>
      <c r="P4" s="591" t="str">
        <f t="array" aca="1" ref="P4" ca="1">IF(ROW()-ROW($J$2:$J$39)+1&gt;ROWS($I$2:$I$39)-COUNTBLANK($I$2:$I$39),"",INDIRECT(ADDRESS(SMALL((IF($I$2:$I$39&lt;&gt;"",ROW($I$2:$I$39),ROW()+ROWS($I$2:$I$39))),ROW()-ROW($J$2:$J$39)+1),COLUMN($I$2:$I$39),4)))</f>
        <v/>
      </c>
    </row>
    <row r="5" spans="1:18" s="10" customFormat="1" x14ac:dyDescent="0.3">
      <c r="A5" s="332" t="str">
        <f>IF(Berechnung2!$B$27&gt;3,IF(Berechnung2!$B$27=4,"EZ",IF(Berechnung2!$B$27&gt;4,"relevant","?")),"nicht relevant")</f>
        <v>nicht relevant</v>
      </c>
      <c r="B5" s="110" t="str">
        <f>CONCATENATE("2019;"," ")</f>
        <v xml:space="preserve">2019; </v>
      </c>
      <c r="C5" s="329"/>
      <c r="D5" s="342"/>
      <c r="E5" s="59" t="str">
        <f>IF(H5="","","2019")</f>
        <v/>
      </c>
      <c r="F5" s="59" t="str">
        <f t="shared" si="0"/>
        <v/>
      </c>
      <c r="G5" s="59" t="str">
        <f t="shared" si="1"/>
        <v/>
      </c>
      <c r="H5" s="361" t="str">
        <f>IF(A5="relevant",IF(COUNTIF(Matrix!C22:W22,"")&gt;2,Berechnung2!$L$34,""),"")</f>
        <v/>
      </c>
      <c r="I5" s="362" t="str">
        <f>IF(H5="","",VLOOKUP(F5,Berechnung2!$I$15:$J$22,2,FALSE))</f>
        <v/>
      </c>
      <c r="J5" s="344" t="str">
        <f t="shared" si="2"/>
        <v/>
      </c>
      <c r="L5" s="595" t="str">
        <f t="array" aca="1" ref="L5" ca="1">IF(ROW()-ROW($F$2:$F$39)+1&gt;ROWS($E$2:$E$39)-COUNTBLANK($E$2:$E$39),"",INDIRECT(ADDRESS(SMALL((IF($E$2:$E$39&lt;&gt;"",ROW($E$2:$E$39),ROW()+ROWS($E$2:$E$39))),ROW()-ROW($F$2:$F$39)+1),COLUMN($E$2:$E$39),4)))</f>
        <v/>
      </c>
      <c r="M5" s="595" t="str">
        <f t="array" aca="1" ref="M5" ca="1">IF(ROW()-ROW($G$2:$G$39)+1&gt;ROWS($F$2:$F$39)-COUNTBLANK($F$2:$F$39),"",INDIRECT(ADDRESS(SMALL((IF($F$2:$F$39&lt;&gt;"",ROW($F$2:$F$39),ROW()+ROWS($F$2:$F$39))),ROW()-ROW($G$2:$G$39)+1),COLUMN($F$2:$F$39),4)))</f>
        <v/>
      </c>
      <c r="N5" s="595" t="str">
        <f t="array" aca="1" ref="N5" ca="1">IF(ROW()-ROW($H$2:$H$39)+1&gt;ROWS($G$2:$G$39)-COUNTBLANK($G$2:$G$39),"",INDIRECT(ADDRESS(SMALL((IF($G$2:$G$39&lt;&gt;"",ROW($G$2:$G$39),ROW()+ROWS($G$2:$G$39))),ROW()-ROW($H$2:$H$39)+1),COLUMN($G$2:$G$39),4)))</f>
        <v/>
      </c>
      <c r="O5" s="591" t="str">
        <f t="array" aca="1" ref="O5" ca="1">IF(ROW()-ROW($I$2:$I$39)+1&gt;ROWS($H$2:$H$39)-COUNTBLANK($H$2:$H$39),"",INDIRECT(ADDRESS(SMALL((IF($H$2:$H$39&lt;&gt;"",ROW($H$2:$H$39),ROW()+ROWS($H$2:$H$39))),ROW()-ROW($I$2:$I$39)+1),COLUMN($H$2:$H$39),4)))</f>
        <v/>
      </c>
      <c r="P5" s="591" t="str">
        <f t="array" aca="1" ref="P5" ca="1">IF(ROW()-ROW($J$2:$J$39)+1&gt;ROWS($I$2:$I$39)-COUNTBLANK($I$2:$I$39),"",INDIRECT(ADDRESS(SMALL((IF($I$2:$I$39&lt;&gt;"",ROW($I$2:$I$39),ROW()+ROWS($I$2:$I$39))),ROW()-ROW($J$2:$J$39)+1),COLUMN($I$2:$I$39),4)))</f>
        <v/>
      </c>
    </row>
    <row r="6" spans="1:18" s="10" customFormat="1" x14ac:dyDescent="0.3">
      <c r="A6" s="332" t="str">
        <f>IF(Berechnung2!$B$27&gt;2,IF(Berechnung2!$B$27=3,"EZ",IF(Berechnung2!$B$27&gt;3,"relevant","?")),"nicht relevant")</f>
        <v>nicht relevant</v>
      </c>
      <c r="B6" s="110" t="str">
        <f>CONCATENATE("2020;"," ")</f>
        <v xml:space="preserve">2020; </v>
      </c>
      <c r="C6" s="329"/>
      <c r="D6" s="342"/>
      <c r="E6" s="59" t="str">
        <f>IF(H6="","","2020")</f>
        <v/>
      </c>
      <c r="F6" s="59" t="str">
        <f t="shared" si="0"/>
        <v/>
      </c>
      <c r="G6" s="59" t="str">
        <f t="shared" si="1"/>
        <v/>
      </c>
      <c r="H6" s="361" t="str">
        <f>IF(A6="relevant",IF(COUNTIF(Matrix!C23:W23,"")&gt;2,Berechnung2!$L$34,""),"")</f>
        <v/>
      </c>
      <c r="I6" s="362" t="str">
        <f>IF(H6="","",VLOOKUP(F6,Berechnung2!$I$15:$J$22,2,FALSE))</f>
        <v/>
      </c>
      <c r="J6" s="344" t="str">
        <f t="shared" si="2"/>
        <v/>
      </c>
      <c r="L6" s="595" t="str">
        <f t="array" aca="1" ref="L6" ca="1">IF(ROW()-ROW($F$2:$F$39)+1&gt;ROWS($E$2:$E$39)-COUNTBLANK($E$2:$E$39),"",INDIRECT(ADDRESS(SMALL((IF($E$2:$E$39&lt;&gt;"",ROW($E$2:$E$39),ROW()+ROWS($E$2:$E$39))),ROW()-ROW($F$2:$F$39)+1),COLUMN($E$2:$E$39),4)))</f>
        <v/>
      </c>
      <c r="M6" s="595" t="str">
        <f t="array" aca="1" ref="M6" ca="1">IF(ROW()-ROW($G$2:$G$39)+1&gt;ROWS($F$2:$F$39)-COUNTBLANK($F$2:$F$39),"",INDIRECT(ADDRESS(SMALL((IF($F$2:$F$39&lt;&gt;"",ROW($F$2:$F$39),ROW()+ROWS($F$2:$F$39))),ROW()-ROW($G$2:$G$39)+1),COLUMN($F$2:$F$39),4)))</f>
        <v/>
      </c>
      <c r="N6" s="595" t="str">
        <f t="array" aca="1" ref="N6" ca="1">IF(ROW()-ROW($H$2:$H$39)+1&gt;ROWS($G$2:$G$39)-COUNTBLANK($G$2:$G$39),"",INDIRECT(ADDRESS(SMALL((IF($G$2:$G$39&lt;&gt;"",ROW($G$2:$G$39),ROW()+ROWS($G$2:$G$39))),ROW()-ROW($H$2:$H$39)+1),COLUMN($G$2:$G$39),4)))</f>
        <v/>
      </c>
      <c r="O6" s="591" t="str">
        <f t="array" aca="1" ref="O6" ca="1">IF(ROW()-ROW($I$2:$I$39)+1&gt;ROWS($H$2:$H$39)-COUNTBLANK($H$2:$H$39),"",INDIRECT(ADDRESS(SMALL((IF($H$2:$H$39&lt;&gt;"",ROW($H$2:$H$39),ROW()+ROWS($H$2:$H$39))),ROW()-ROW($I$2:$I$39)+1),COLUMN($H$2:$H$39),4)))</f>
        <v/>
      </c>
      <c r="P6" s="591" t="str">
        <f t="array" aca="1" ref="P6" ca="1">IF(ROW()-ROW($J$2:$J$39)+1&gt;ROWS($I$2:$I$39)-COUNTBLANK($I$2:$I$39),"",INDIRECT(ADDRESS(SMALL((IF($I$2:$I$39&lt;&gt;"",ROW($I$2:$I$39),ROW()+ROWS($I$2:$I$39))),ROW()-ROW($J$2:$J$39)+1),COLUMN($I$2:$I$39),4)))</f>
        <v/>
      </c>
    </row>
    <row r="7" spans="1:18" s="10" customFormat="1" x14ac:dyDescent="0.3">
      <c r="A7" s="332" t="str">
        <f>IF(Berechnung2!$B$27&gt;1,IF(Berechnung2!$B$27=2,"EZ",IF(Berechnung2!$B$27&gt;2,"relevant","?")),"nicht relevant")</f>
        <v>nicht relevant</v>
      </c>
      <c r="B7" s="110" t="str">
        <f>CONCATENATE("2021;"," ")</f>
        <v xml:space="preserve">2021; </v>
      </c>
      <c r="C7" s="329"/>
      <c r="D7" s="342" t="s">
        <v>432</v>
      </c>
      <c r="E7" s="574" t="str">
        <f>IF(H7="","","2021")</f>
        <v/>
      </c>
      <c r="F7" s="574" t="str">
        <f t="shared" si="0"/>
        <v/>
      </c>
      <c r="G7" s="574" t="str">
        <f t="shared" si="1"/>
        <v/>
      </c>
      <c r="H7" s="573" t="str">
        <f>IF(A7="relevant",IF(COUNTIF(Matrix!C24:I24,"")&gt;0,Berechnung2!$L$34,""),"")</f>
        <v/>
      </c>
      <c r="I7" s="572" t="str">
        <f>IF(H7="","",VLOOKUP(F7,Berechnung2!$I$15:$J$22,2,FALSE))</f>
        <v/>
      </c>
      <c r="J7" s="571" t="str">
        <f t="shared" si="2"/>
        <v/>
      </c>
      <c r="L7" s="595" t="str">
        <f t="array" aca="1" ref="L7" ca="1">IF(ROW()-ROW($F$2:$F$39)+1&gt;ROWS($E$2:$E$39)-COUNTBLANK($E$2:$E$39),"",INDIRECT(ADDRESS(SMALL((IF($E$2:$E$39&lt;&gt;"",ROW($E$2:$E$39),ROW()+ROWS($E$2:$E$39))),ROW()-ROW($F$2:$F$39)+1),COLUMN($E$2:$E$39),4)))</f>
        <v/>
      </c>
      <c r="M7" s="595" t="str">
        <f t="array" aca="1" ref="M7" ca="1">IF(ROW()-ROW($G$2:$G$39)+1&gt;ROWS($F$2:$F$39)-COUNTBLANK($F$2:$F$39),"",INDIRECT(ADDRESS(SMALL((IF($F$2:$F$39&lt;&gt;"",ROW($F$2:$F$39),ROW()+ROWS($F$2:$F$39))),ROW()-ROW($G$2:$G$39)+1),COLUMN($F$2:$F$39),4)))</f>
        <v/>
      </c>
      <c r="N7" s="595" t="str">
        <f t="array" aca="1" ref="N7" ca="1">IF(ROW()-ROW($H$2:$H$39)+1&gt;ROWS($G$2:$G$39)-COUNTBLANK($G$2:$G$39),"",INDIRECT(ADDRESS(SMALL((IF($G$2:$G$39&lt;&gt;"",ROW($G$2:$G$39),ROW()+ROWS($G$2:$G$39))),ROW()-ROW($H$2:$H$39)+1),COLUMN($G$2:$G$39),4)))</f>
        <v/>
      </c>
      <c r="O7" s="591" t="str">
        <f t="array" aca="1" ref="O7" ca="1">IF(ROW()-ROW($I$2:$I$39)+1&gt;ROWS($H$2:$H$39)-COUNTBLANK($H$2:$H$39),"",INDIRECT(ADDRESS(SMALL((IF($H$2:$H$39&lt;&gt;"",ROW($H$2:$H$39),ROW()+ROWS($H$2:$H$39))),ROW()-ROW($I$2:$I$39)+1),COLUMN($H$2:$H$39),4)))</f>
        <v/>
      </c>
      <c r="P7" s="591" t="str">
        <f t="array" aca="1" ref="P7" ca="1">IF(ROW()-ROW($J$2:$J$39)+1&gt;ROWS($I$2:$I$39)-COUNTBLANK($I$2:$I$39),"",INDIRECT(ADDRESS(SMALL((IF($I$2:$I$39&lt;&gt;"",ROW($I$2:$I$39),ROW()+ROWS($I$2:$I$39))),ROW()-ROW($J$2:$J$39)+1),COLUMN($I$2:$I$39),4)))</f>
        <v/>
      </c>
      <c r="Q7" s="335"/>
      <c r="R7" s="335"/>
    </row>
    <row r="8" spans="1:18" s="587" customFormat="1" ht="15.75" customHeight="1" thickBot="1" x14ac:dyDescent="0.35">
      <c r="A8" s="332" t="str">
        <f>IF(Berechnung2!$B$27&gt;0,IF(Berechnung2!$B$27=1,"EZ",IF(Berechnung2!$B$27&gt;1,"relevant","?")),"nicht relevant")</f>
        <v>nicht relevant</v>
      </c>
      <c r="B8" s="110" t="str">
        <f>CONCATENATE("2022;"," ")</f>
        <v xml:space="preserve">2022; </v>
      </c>
      <c r="C8" s="329"/>
      <c r="D8" s="343"/>
      <c r="E8" s="574" t="str">
        <f>IF(H8="","","2022")</f>
        <v/>
      </c>
      <c r="F8" s="574" t="str">
        <f t="shared" ref="F8" si="3">IF(H8="","","a")</f>
        <v/>
      </c>
      <c r="G8" s="574" t="str">
        <f t="shared" ref="G8" si="4">IF(H8="","","1")</f>
        <v/>
      </c>
      <c r="H8" s="573" t="str">
        <f>IF(A8="relevant",IF(COUNTIF(Matrix!C25:I25,"")&gt;0,Berechnung2!$L$34,""),"")</f>
        <v/>
      </c>
      <c r="I8" s="572" t="str">
        <f>IF(H8="","",VLOOKUP(F8,Berechnung2!$I$15:$J$22,2,FALSE))</f>
        <v/>
      </c>
      <c r="J8" s="571" t="str">
        <f t="shared" ref="J8" si="5">IF(H8&lt;&gt;"",1,"")</f>
        <v/>
      </c>
      <c r="L8" s="595" t="str">
        <f t="array" aca="1" ref="L8" ca="1">IF(ROW()-ROW($F$2:$F$39)+1&gt;ROWS($E$2:$E$39)-COUNTBLANK($E$2:$E$39),"",INDIRECT(ADDRESS(SMALL((IF($E$2:$E$39&lt;&gt;"",ROW($E$2:$E$39),ROW()+ROWS($E$2:$E$39))),ROW()-ROW($F$2:$F$39)+1),COLUMN($E$2:$E$39),4)))</f>
        <v/>
      </c>
      <c r="M8" s="595" t="str">
        <f t="array" aca="1" ref="M8" ca="1">IF(ROW()-ROW($G$2:$G$39)+1&gt;ROWS($F$2:$F$39)-COUNTBLANK($F$2:$F$39),"",INDIRECT(ADDRESS(SMALL((IF($F$2:$F$39&lt;&gt;"",ROW($F$2:$F$39),ROW()+ROWS($F$2:$F$39))),ROW()-ROW($G$2:$G$39)+1),COLUMN($F$2:$F$39),4)))</f>
        <v/>
      </c>
      <c r="N8" s="595" t="str">
        <f t="array" aca="1" ref="N8" ca="1">IF(ROW()-ROW($H$2:$H$39)+1&gt;ROWS($G$2:$G$39)-COUNTBLANK($G$2:$G$39),"",INDIRECT(ADDRESS(SMALL((IF($G$2:$G$39&lt;&gt;"",ROW($G$2:$G$39),ROW()+ROWS($G$2:$G$39))),ROW()-ROW($H$2:$H$39)+1),COLUMN($G$2:$G$39),4)))</f>
        <v/>
      </c>
      <c r="O8" s="591" t="str">
        <f t="array" aca="1" ref="O8" ca="1">IF(ROW()-ROW($I$2:$I$39)+1&gt;ROWS($H$2:$H$39)-COUNTBLANK($H$2:$H$39),"",INDIRECT(ADDRESS(SMALL((IF($H$2:$H$39&lt;&gt;"",ROW($H$2:$H$39),ROW()+ROWS($H$2:$H$39))),ROW()-ROW($I$2:$I$39)+1),COLUMN($H$2:$H$39),4)))</f>
        <v/>
      </c>
      <c r="P8" s="591" t="str">
        <f t="array" aca="1" ref="P8" ca="1">IF(ROW()-ROW($J$2:$J$39)+1&gt;ROWS($I$2:$I$39)-COUNTBLANK($I$2:$I$39),"",INDIRECT(ADDRESS(SMALL((IF($I$2:$I$39&lt;&gt;"",ROW($I$2:$I$39),ROW()+ROWS($I$2:$I$39))),ROW()-ROW($J$2:$J$39)+1),COLUMN($I$2:$I$39),4)))</f>
        <v/>
      </c>
      <c r="Q8" s="335"/>
      <c r="R8" s="335"/>
    </row>
    <row r="9" spans="1:18" s="10" customFormat="1" x14ac:dyDescent="0.3">
      <c r="D9" s="346" t="s">
        <v>99</v>
      </c>
      <c r="E9" s="386" t="str">
        <f>IF(H9="","","2016")</f>
        <v/>
      </c>
      <c r="F9" s="347" t="str">
        <f t="shared" ref="F9:F13" si="6">IF(H9="","","b")</f>
        <v/>
      </c>
      <c r="G9" s="347" t="str">
        <f t="shared" si="1"/>
        <v/>
      </c>
      <c r="H9" s="364" t="str">
        <f>IF(A2="relevant",IF(Matrix!K19="","",IF(Matrix!K19&gt;(Matrix!C19-Matrix!I19),Berechnung2!$L$39,"")),"")</f>
        <v/>
      </c>
      <c r="I9" s="360" t="str">
        <f>IF(H9="","",VLOOKUP(F9,Berechnung2!$I$15:$J$22,2,FALSE))</f>
        <v/>
      </c>
      <c r="J9" s="345" t="str">
        <f t="shared" si="2"/>
        <v/>
      </c>
      <c r="K9" s="331"/>
      <c r="L9" s="595" t="str">
        <f t="array" aca="1" ref="L9" ca="1">IF(ROW()-ROW($F$2:$F$39)+1&gt;ROWS($E$2:$E$39)-COUNTBLANK($E$2:$E$39),"",INDIRECT(ADDRESS(SMALL((IF($E$2:$E$39&lt;&gt;"",ROW($E$2:$E$39),ROW()+ROWS($E$2:$E$39))),ROW()-ROW($F$2:$F$39)+1),COLUMN($E$2:$E$39),4)))</f>
        <v/>
      </c>
      <c r="M9" s="595" t="str">
        <f t="array" aca="1" ref="M9" ca="1">IF(ROW()-ROW($G$2:$G$39)+1&gt;ROWS($F$2:$F$39)-COUNTBLANK($F$2:$F$39),"",INDIRECT(ADDRESS(SMALL((IF($F$2:$F$39&lt;&gt;"",ROW($F$2:$F$39),ROW()+ROWS($F$2:$F$39))),ROW()-ROW($G$2:$G$39)+1),COLUMN($F$2:$F$39),4)))</f>
        <v/>
      </c>
      <c r="N9" s="595" t="str">
        <f t="array" aca="1" ref="N9" ca="1">IF(ROW()-ROW($H$2:$H$39)+1&gt;ROWS($G$2:$G$39)-COUNTBLANK($G$2:$G$39),"",INDIRECT(ADDRESS(SMALL((IF($G$2:$G$39&lt;&gt;"",ROW($G$2:$G$39),ROW()+ROWS($G$2:$G$39))),ROW()-ROW($H$2:$H$39)+1),COLUMN($G$2:$G$39),4)))</f>
        <v/>
      </c>
      <c r="O9" s="591" t="str">
        <f t="array" aca="1" ref="O9" ca="1">IF(ROW()-ROW($I$2:$I$39)+1&gt;ROWS($H$2:$H$39)-COUNTBLANK($H$2:$H$39),"",INDIRECT(ADDRESS(SMALL((IF($H$2:$H$39&lt;&gt;"",ROW($H$2:$H$39),ROW()+ROWS($H$2:$H$39))),ROW()-ROW($I$2:$I$39)+1),COLUMN($H$2:$H$39),4)))</f>
        <v/>
      </c>
      <c r="P9" s="591" t="str">
        <f t="array" aca="1" ref="P9" ca="1">IF(ROW()-ROW($J$2:$J$39)+1&gt;ROWS($I$2:$I$39)-COUNTBLANK($I$2:$I$39),"",INDIRECT(ADDRESS(SMALL((IF($I$2:$I$39&lt;&gt;"",ROW($I$2:$I$39),ROW()+ROWS($I$2:$I$39))),ROW()-ROW($J$2:$J$39)+1),COLUMN($I$2:$I$39),4)))</f>
        <v/>
      </c>
    </row>
    <row r="10" spans="1:18" s="10" customFormat="1" ht="12" customHeight="1" x14ac:dyDescent="0.3">
      <c r="D10" s="1091" t="s">
        <v>373</v>
      </c>
      <c r="E10" s="387" t="str">
        <f>IF(H10="","","2017")</f>
        <v/>
      </c>
      <c r="F10" s="59" t="str">
        <f t="shared" si="6"/>
        <v/>
      </c>
      <c r="G10" s="59" t="str">
        <f t="shared" si="1"/>
        <v/>
      </c>
      <c r="H10" s="365" t="str">
        <f>IF(A3="relevant",IF(Matrix!K20="","",IF(Matrix!K20&gt;(Matrix!C20-Matrix!I20),Berechnung2!$L$39,"")),"")</f>
        <v/>
      </c>
      <c r="I10" s="362" t="str">
        <f>IF(H10="","",VLOOKUP(F10,Berechnung2!$I$15:$J$22,2,FALSE))</f>
        <v/>
      </c>
      <c r="J10" s="344" t="str">
        <f t="shared" si="2"/>
        <v/>
      </c>
      <c r="K10" s="331"/>
      <c r="L10" s="595" t="str">
        <f t="array" aca="1" ref="L10" ca="1">IF(ROW()-ROW($F$2:$F$39)+1&gt;ROWS($E$2:$E$39)-COUNTBLANK($E$2:$E$39),"",INDIRECT(ADDRESS(SMALL((IF($E$2:$E$39&lt;&gt;"",ROW($E$2:$E$39),ROW()+ROWS($E$2:$E$39))),ROW()-ROW($F$2:$F$39)+1),COLUMN($E$2:$E$39),4)))</f>
        <v/>
      </c>
      <c r="M10" s="595" t="str">
        <f t="array" aca="1" ref="M10" ca="1">IF(ROW()-ROW($G$2:$G$39)+1&gt;ROWS($F$2:$F$39)-COUNTBLANK($F$2:$F$39),"",INDIRECT(ADDRESS(SMALL((IF($F$2:$F$39&lt;&gt;"",ROW($F$2:$F$39),ROW()+ROWS($F$2:$F$39))),ROW()-ROW($G$2:$G$39)+1),COLUMN($F$2:$F$39),4)))</f>
        <v/>
      </c>
      <c r="N10" s="595" t="str">
        <f t="array" aca="1" ref="N10" ca="1">IF(ROW()-ROW($H$2:$H$39)+1&gt;ROWS($G$2:$G$39)-COUNTBLANK($G$2:$G$39),"",INDIRECT(ADDRESS(SMALL((IF($G$2:$G$39&lt;&gt;"",ROW($G$2:$G$39),ROW()+ROWS($G$2:$G$39))),ROW()-ROW($H$2:$H$39)+1),COLUMN($G$2:$G$39),4)))</f>
        <v/>
      </c>
      <c r="O10" s="591" t="str">
        <f t="array" aca="1" ref="O10" ca="1">IF(ROW()-ROW($I$2:$I$39)+1&gt;ROWS($H$2:$H$39)-COUNTBLANK($H$2:$H$39),"",INDIRECT(ADDRESS(SMALL((IF($H$2:$H$39&lt;&gt;"",ROW($H$2:$H$39),ROW()+ROWS($H$2:$H$39))),ROW()-ROW($I$2:$I$39)+1),COLUMN($H$2:$H$39),4)))</f>
        <v/>
      </c>
      <c r="P10" s="591" t="str">
        <f t="array" aca="1" ref="P10" ca="1">IF(ROW()-ROW($J$2:$J$39)+1&gt;ROWS($I$2:$I$39)-COUNTBLANK($I$2:$I$39),"",INDIRECT(ADDRESS(SMALL((IF($I$2:$I$39&lt;&gt;"",ROW($I$2:$I$39),ROW()+ROWS($I$2:$I$39))),ROW()-ROW($J$2:$J$39)+1),COLUMN($I$2:$I$39),4)))</f>
        <v/>
      </c>
    </row>
    <row r="11" spans="1:18" s="10" customFormat="1" ht="15" customHeight="1" x14ac:dyDescent="0.3">
      <c r="D11" s="1091"/>
      <c r="E11" s="387" t="str">
        <f>IF(H11="","","2018")</f>
        <v/>
      </c>
      <c r="F11" s="59" t="str">
        <f t="shared" si="6"/>
        <v/>
      </c>
      <c r="G11" s="59" t="str">
        <f t="shared" si="1"/>
        <v/>
      </c>
      <c r="H11" s="365" t="str">
        <f>IF(A4="relevant",IF(Matrix!K21="","",IF(Matrix!K21&gt;(Matrix!C21-Matrix!I21),Berechnung2!$L$39,"")),"")</f>
        <v/>
      </c>
      <c r="I11" s="362" t="str">
        <f>IF(H11="","",VLOOKUP(F11,Berechnung2!$I$15:$J$22,2,FALSE))</f>
        <v/>
      </c>
      <c r="J11" s="344" t="str">
        <f t="shared" si="2"/>
        <v/>
      </c>
      <c r="K11" s="331"/>
      <c r="L11" s="595" t="str">
        <f t="array" aca="1" ref="L11" ca="1">IF(ROW()-ROW($F$2:$F$39)+1&gt;ROWS($E$2:$E$39)-COUNTBLANK($E$2:$E$39),"",INDIRECT(ADDRESS(SMALL((IF($E$2:$E$39&lt;&gt;"",ROW($E$2:$E$39),ROW()+ROWS($E$2:$E$39))),ROW()-ROW($F$2:$F$39)+1),COLUMN($E$2:$E$39),4)))</f>
        <v/>
      </c>
      <c r="M11" s="595" t="str">
        <f t="array" aca="1" ref="M11" ca="1">IF(ROW()-ROW($G$2:$G$39)+1&gt;ROWS($F$2:$F$39)-COUNTBLANK($F$2:$F$39),"",INDIRECT(ADDRESS(SMALL((IF($F$2:$F$39&lt;&gt;"",ROW($F$2:$F$39),ROW()+ROWS($F$2:$F$39))),ROW()-ROW($G$2:$G$39)+1),COLUMN($F$2:$F$39),4)))</f>
        <v/>
      </c>
      <c r="N11" s="595" t="str">
        <f t="array" aca="1" ref="N11" ca="1">IF(ROW()-ROW($H$2:$H$39)+1&gt;ROWS($G$2:$G$39)-COUNTBLANK($G$2:$G$39),"",INDIRECT(ADDRESS(SMALL((IF($G$2:$G$39&lt;&gt;"",ROW($G$2:$G$39),ROW()+ROWS($G$2:$G$39))),ROW()-ROW($H$2:$H$39)+1),COLUMN($G$2:$G$39),4)))</f>
        <v/>
      </c>
      <c r="O11" s="591" t="str">
        <f t="array" aca="1" ref="O11" ca="1">IF(ROW()-ROW($I$2:$I$39)+1&gt;ROWS($H$2:$H$39)-COUNTBLANK($H$2:$H$39),"",INDIRECT(ADDRESS(SMALL((IF($H$2:$H$39&lt;&gt;"",ROW($H$2:$H$39),ROW()+ROWS($H$2:$H$39))),ROW()-ROW($I$2:$I$39)+1),COLUMN($H$2:$H$39),4)))</f>
        <v/>
      </c>
      <c r="P11" s="591" t="str">
        <f t="array" aca="1" ref="P11" ca="1">IF(ROW()-ROW($J$2:$J$39)+1&gt;ROWS($I$2:$I$39)-COUNTBLANK($I$2:$I$39),"",INDIRECT(ADDRESS(SMALL((IF($I$2:$I$39&lt;&gt;"",ROW($I$2:$I$39),ROW()+ROWS($I$2:$I$39))),ROW()-ROW($J$2:$J$39)+1),COLUMN($I$2:$I$39),4)))</f>
        <v/>
      </c>
    </row>
    <row r="12" spans="1:18" s="10" customFormat="1" ht="15" customHeight="1" x14ac:dyDescent="0.3">
      <c r="D12" s="1091"/>
      <c r="E12" s="387" t="str">
        <f>IF(H12="","","2019")</f>
        <v/>
      </c>
      <c r="F12" s="59" t="str">
        <f t="shared" si="6"/>
        <v/>
      </c>
      <c r="G12" s="59" t="str">
        <f t="shared" si="1"/>
        <v/>
      </c>
      <c r="H12" s="365" t="str">
        <f>IF(A5="relevant",IF(Matrix!K22="","",IF(Matrix!K22&gt;(Matrix!C22-Matrix!I22),Berechnung2!$L$39,"")),"")</f>
        <v/>
      </c>
      <c r="I12" s="362" t="str">
        <f>IF(H12="","",VLOOKUP(F12,Berechnung2!$I$15:$J$22,2,FALSE))</f>
        <v/>
      </c>
      <c r="J12" s="344" t="str">
        <f t="shared" si="2"/>
        <v/>
      </c>
      <c r="K12" s="331"/>
      <c r="L12" s="595" t="str">
        <f t="array" aca="1" ref="L12" ca="1">IF(ROW()-ROW($F$2:$F$39)+1&gt;ROWS($E$2:$E$39)-COUNTBLANK($E$2:$E$39),"",INDIRECT(ADDRESS(SMALL((IF($E$2:$E$39&lt;&gt;"",ROW($E$2:$E$39),ROW()+ROWS($E$2:$E$39))),ROW()-ROW($F$2:$F$39)+1),COLUMN($E$2:$E$39),4)))</f>
        <v/>
      </c>
      <c r="M12" s="595" t="str">
        <f t="array" aca="1" ref="M12" ca="1">IF(ROW()-ROW($G$2:$G$39)+1&gt;ROWS($F$2:$F$39)-COUNTBLANK($F$2:$F$39),"",INDIRECT(ADDRESS(SMALL((IF($F$2:$F$39&lt;&gt;"",ROW($F$2:$F$39),ROW()+ROWS($F$2:$F$39))),ROW()-ROW($G$2:$G$39)+1),COLUMN($F$2:$F$39),4)))</f>
        <v/>
      </c>
      <c r="N12" s="595" t="str">
        <f t="array" aca="1" ref="N12" ca="1">IF(ROW()-ROW($H$2:$H$39)+1&gt;ROWS($G$2:$G$39)-COUNTBLANK($G$2:$G$39),"",INDIRECT(ADDRESS(SMALL((IF($G$2:$G$39&lt;&gt;"",ROW($G$2:$G$39),ROW()+ROWS($G$2:$G$39))),ROW()-ROW($H$2:$H$39)+1),COLUMN($G$2:$G$39),4)))</f>
        <v/>
      </c>
      <c r="O12" s="591" t="str">
        <f t="array" aca="1" ref="O12" ca="1">IF(ROW()-ROW($I$2:$I$39)+1&gt;ROWS($H$2:$H$39)-COUNTBLANK($H$2:$H$39),"",INDIRECT(ADDRESS(SMALL((IF($H$2:$H$39&lt;&gt;"",ROW($H$2:$H$39),ROW()+ROWS($H$2:$H$39))),ROW()-ROW($I$2:$I$39)+1),COLUMN($H$2:$H$39),4)))</f>
        <v/>
      </c>
      <c r="P12" s="591" t="str">
        <f t="array" aca="1" ref="P12" ca="1">IF(ROW()-ROW($J$2:$J$39)+1&gt;ROWS($I$2:$I$39)-COUNTBLANK($I$2:$I$39),"",INDIRECT(ADDRESS(SMALL((IF($I$2:$I$39&lt;&gt;"",ROW($I$2:$I$39),ROW()+ROWS($I$2:$I$39))),ROW()-ROW($J$2:$J$39)+1),COLUMN($I$2:$I$39),4)))</f>
        <v/>
      </c>
    </row>
    <row r="13" spans="1:18" s="10" customFormat="1" ht="15" customHeight="1" x14ac:dyDescent="0.3">
      <c r="D13" s="1091"/>
      <c r="E13" s="387" t="str">
        <f>IF(H13="","","2020")</f>
        <v/>
      </c>
      <c r="F13" s="59" t="str">
        <f t="shared" si="6"/>
        <v/>
      </c>
      <c r="G13" s="59" t="str">
        <f t="shared" si="1"/>
        <v/>
      </c>
      <c r="H13" s="365" t="str">
        <f>IF(A6="relevant",IF(Matrix!K23="","",IF(Matrix!K23&gt;(Matrix!C23-Matrix!I23),Berechnung2!$L$39,"")),"")</f>
        <v/>
      </c>
      <c r="I13" s="362" t="str">
        <f>IF(H13="","",VLOOKUP(F13,Berechnung2!$I$15:$J$22,2,FALSE))</f>
        <v/>
      </c>
      <c r="J13" s="344" t="str">
        <f t="shared" si="2"/>
        <v/>
      </c>
      <c r="K13" s="331"/>
      <c r="L13" s="595" t="str">
        <f t="array" aca="1" ref="L13" ca="1">IF(ROW()-ROW($F$2:$F$39)+1&gt;ROWS($E$2:$E$39)-COUNTBLANK($E$2:$E$39),"",INDIRECT(ADDRESS(SMALL((IF($E$2:$E$39&lt;&gt;"",ROW($E$2:$E$39),ROW()+ROWS($E$2:$E$39))),ROW()-ROW($F$2:$F$39)+1),COLUMN($E$2:$E$39),4)))</f>
        <v/>
      </c>
      <c r="M13" s="595" t="str">
        <f t="array" aca="1" ref="M13" ca="1">IF(ROW()-ROW($G$2:$G$39)+1&gt;ROWS($F$2:$F$39)-COUNTBLANK($F$2:$F$39),"",INDIRECT(ADDRESS(SMALL((IF($F$2:$F$39&lt;&gt;"",ROW($F$2:$F$39),ROW()+ROWS($F$2:$F$39))),ROW()-ROW($G$2:$G$39)+1),COLUMN($F$2:$F$39),4)))</f>
        <v/>
      </c>
      <c r="N13" s="595" t="str">
        <f t="array" aca="1" ref="N13" ca="1">IF(ROW()-ROW($H$2:$H$39)+1&gt;ROWS($G$2:$G$39)-COUNTBLANK($G$2:$G$39),"",INDIRECT(ADDRESS(SMALL((IF($G$2:$G$39&lt;&gt;"",ROW($G$2:$G$39),ROW()+ROWS($G$2:$G$39))),ROW()-ROW($H$2:$H$39)+1),COLUMN($G$2:$G$39),4)))</f>
        <v/>
      </c>
      <c r="O13" s="591" t="str">
        <f t="array" aca="1" ref="O13" ca="1">IF(ROW()-ROW($I$2:$I$39)+1&gt;ROWS($H$2:$H$39)-COUNTBLANK($H$2:$H$39),"",INDIRECT(ADDRESS(SMALL((IF($H$2:$H$39&lt;&gt;"",ROW($H$2:$H$39),ROW()+ROWS($H$2:$H$39))),ROW()-ROW($I$2:$I$39)+1),COLUMN($H$2:$H$39),4)))</f>
        <v/>
      </c>
      <c r="P13" s="591" t="str">
        <f t="array" aca="1" ref="P13" ca="1">IF(ROW()-ROW($J$2:$J$39)+1&gt;ROWS($I$2:$I$39)-COUNTBLANK($I$2:$I$39),"",INDIRECT(ADDRESS(SMALL((IF($I$2:$I$39&lt;&gt;"",ROW($I$2:$I$39),ROW()+ROWS($I$2:$I$39))),ROW()-ROW($J$2:$J$39)+1),COLUMN($I$2:$I$39),4)))</f>
        <v/>
      </c>
    </row>
    <row r="14" spans="1:18" s="10" customFormat="1" x14ac:dyDescent="0.3">
      <c r="D14" s="566" t="s">
        <v>433</v>
      </c>
      <c r="E14" s="568"/>
      <c r="F14" s="574"/>
      <c r="G14" s="574"/>
      <c r="H14" s="569"/>
      <c r="I14" s="572"/>
      <c r="J14" s="571"/>
      <c r="K14" s="331"/>
      <c r="L14" s="595" t="str">
        <f t="array" aca="1" ref="L14" ca="1">IF(ROW()-ROW($F$2:$F$39)+1&gt;ROWS($E$2:$E$39)-COUNTBLANK($E$2:$E$39),"",INDIRECT(ADDRESS(SMALL((IF($E$2:$E$39&lt;&gt;"",ROW($E$2:$E$39),ROW()+ROWS($E$2:$E$39))),ROW()-ROW($F$2:$F$39)+1),COLUMN($E$2:$E$39),4)))</f>
        <v/>
      </c>
      <c r="M14" s="595" t="str">
        <f t="array" aca="1" ref="M14" ca="1">IF(ROW()-ROW($G$2:$G$39)+1&gt;ROWS($F$2:$F$39)-COUNTBLANK($F$2:$F$39),"",INDIRECT(ADDRESS(SMALL((IF($F$2:$F$39&lt;&gt;"",ROW($F$2:$F$39),ROW()+ROWS($F$2:$F$39))),ROW()-ROW($G$2:$G$39)+1),COLUMN($F$2:$F$39),4)))</f>
        <v/>
      </c>
      <c r="N14" s="595" t="str">
        <f t="array" aca="1" ref="N14" ca="1">IF(ROW()-ROW($H$2:$H$39)+1&gt;ROWS($G$2:$G$39)-COUNTBLANK($G$2:$G$39),"",INDIRECT(ADDRESS(SMALL((IF($G$2:$G$39&lt;&gt;"",ROW($G$2:$G$39),ROW()+ROWS($G$2:$G$39))),ROW()-ROW($H$2:$H$39)+1),COLUMN($G$2:$G$39),4)))</f>
        <v/>
      </c>
      <c r="O14" s="591" t="str">
        <f t="array" aca="1" ref="O14" ca="1">IF(ROW()-ROW($I$2:$I$39)+1&gt;ROWS($H$2:$H$39)-COUNTBLANK($H$2:$H$39),"",INDIRECT(ADDRESS(SMALL((IF($H$2:$H$39&lt;&gt;"",ROW($H$2:$H$39),ROW()+ROWS($H$2:$H$39))),ROW()-ROW($I$2:$I$39)+1),COLUMN($H$2:$H$39),4)))</f>
        <v/>
      </c>
      <c r="P14" s="591" t="str">
        <f t="array" aca="1" ref="P14" ca="1">IF(ROW()-ROW($J$2:$J$39)+1&gt;ROWS($I$2:$I$39)-COUNTBLANK($I$2:$I$39),"",INDIRECT(ADDRESS(SMALL((IF($I$2:$I$39&lt;&gt;"",ROW($I$2:$I$39),ROW()+ROWS($I$2:$I$39))),ROW()-ROW($J$2:$J$39)+1),COLUMN($I$2:$I$39),4)))</f>
        <v/>
      </c>
    </row>
    <row r="15" spans="1:18" s="587" customFormat="1" ht="12" thickBot="1" x14ac:dyDescent="0.35">
      <c r="D15" s="567"/>
      <c r="E15" s="388"/>
      <c r="F15" s="348"/>
      <c r="G15" s="348"/>
      <c r="H15" s="366"/>
      <c r="I15" s="363"/>
      <c r="J15" s="336"/>
      <c r="K15" s="331"/>
      <c r="L15" s="595" t="str">
        <f t="array" aca="1" ref="L15" ca="1">IF(ROW()-ROW($F$2:$F$39)+1&gt;ROWS($E$2:$E$39)-COUNTBLANK($E$2:$E$39),"",INDIRECT(ADDRESS(SMALL((IF($E$2:$E$39&lt;&gt;"",ROW($E$2:$E$39),ROW()+ROWS($E$2:$E$39))),ROW()-ROW($F$2:$F$39)+1),COLUMN($E$2:$E$39),4)))</f>
        <v/>
      </c>
      <c r="M15" s="595" t="str">
        <f t="array" aca="1" ref="M15" ca="1">IF(ROW()-ROW($G$2:$G$39)+1&gt;ROWS($F$2:$F$39)-COUNTBLANK($F$2:$F$39),"",INDIRECT(ADDRESS(SMALL((IF($F$2:$F$39&lt;&gt;"",ROW($F$2:$F$39),ROW()+ROWS($F$2:$F$39))),ROW()-ROW($G$2:$G$39)+1),COLUMN($F$2:$F$39),4)))</f>
        <v/>
      </c>
      <c r="N15" s="595" t="str">
        <f t="array" aca="1" ref="N15" ca="1">IF(ROW()-ROW($H$2:$H$39)+1&gt;ROWS($G$2:$G$39)-COUNTBLANK($G$2:$G$39),"",INDIRECT(ADDRESS(SMALL((IF($G$2:$G$39&lt;&gt;"",ROW($G$2:$G$39),ROW()+ROWS($G$2:$G$39))),ROW()-ROW($H$2:$H$39)+1),COLUMN($G$2:$G$39),4)))</f>
        <v/>
      </c>
      <c r="O15" s="591" t="str">
        <f t="array" aca="1" ref="O15" ca="1">IF(ROW()-ROW($I$2:$I$39)+1&gt;ROWS($H$2:$H$39)-COUNTBLANK($H$2:$H$39),"",INDIRECT(ADDRESS(SMALL((IF($H$2:$H$39&lt;&gt;"",ROW($H$2:$H$39),ROW()+ROWS($H$2:$H$39))),ROW()-ROW($I$2:$I$39)+1),COLUMN($H$2:$H$39),4)))</f>
        <v/>
      </c>
      <c r="P15" s="591" t="str">
        <f t="array" aca="1" ref="P15" ca="1">IF(ROW()-ROW($J$2:$J$39)+1&gt;ROWS($I$2:$I$39)-COUNTBLANK($I$2:$I$39),"",INDIRECT(ADDRESS(SMALL((IF($I$2:$I$39&lt;&gt;"",ROW($I$2:$I$39),ROW()+ROWS($I$2:$I$39))),ROW()-ROW($J$2:$J$39)+1),COLUMN($I$2:$I$39),4)))</f>
        <v/>
      </c>
    </row>
    <row r="16" spans="1:18" s="10" customFormat="1" x14ac:dyDescent="0.3">
      <c r="D16" s="346" t="s">
        <v>99</v>
      </c>
      <c r="E16" s="386" t="str">
        <f>IF(H16="","","2016")</f>
        <v/>
      </c>
      <c r="F16" s="347" t="str">
        <f t="shared" ref="F16:F20" si="7">IF(H16="","","c")</f>
        <v/>
      </c>
      <c r="G16" s="347" t="str">
        <f t="shared" si="1"/>
        <v/>
      </c>
      <c r="H16" s="364" t="str">
        <f>IF(A2="relevant",IF(Matrix!Q19&lt;Berechnung2!$F$40,Berechnung2!$L$40,""),"")</f>
        <v/>
      </c>
      <c r="I16" s="360" t="str">
        <f>IF(H16="","",VLOOKUP(F16,Berechnung2!$I$15:$J$22,2,FALSE))</f>
        <v/>
      </c>
      <c r="J16" s="345" t="str">
        <f t="shared" si="2"/>
        <v/>
      </c>
      <c r="K16" s="331"/>
      <c r="L16" s="595" t="str">
        <f t="array" aca="1" ref="L16" ca="1">IF(ROW()-ROW($F$2:$F$39)+1&gt;ROWS($E$2:$E$39)-COUNTBLANK($E$2:$E$39),"",INDIRECT(ADDRESS(SMALL((IF($E$2:$E$39&lt;&gt;"",ROW($E$2:$E$39),ROW()+ROWS($E$2:$E$39))),ROW()-ROW($F$2:$F$39)+1),COLUMN($E$2:$E$39),4)))</f>
        <v/>
      </c>
      <c r="M16" s="595" t="str">
        <f t="array" aca="1" ref="M16" ca="1">IF(ROW()-ROW($G$2:$G$39)+1&gt;ROWS($F$2:$F$39)-COUNTBLANK($F$2:$F$39),"",INDIRECT(ADDRESS(SMALL((IF($F$2:$F$39&lt;&gt;"",ROW($F$2:$F$39),ROW()+ROWS($F$2:$F$39))),ROW()-ROW($G$2:$G$39)+1),COLUMN($F$2:$F$39),4)))</f>
        <v/>
      </c>
      <c r="N16" s="595" t="str">
        <f t="array" aca="1" ref="N16" ca="1">IF(ROW()-ROW($H$2:$H$39)+1&gt;ROWS($G$2:$G$39)-COUNTBLANK($G$2:$G$39),"",INDIRECT(ADDRESS(SMALL((IF($G$2:$G$39&lt;&gt;"",ROW($G$2:$G$39),ROW()+ROWS($G$2:$G$39))),ROW()-ROW($H$2:$H$39)+1),COLUMN($G$2:$G$39),4)))</f>
        <v/>
      </c>
      <c r="O16" s="591" t="str">
        <f t="array" aca="1" ref="O16" ca="1">IF(ROW()-ROW($I$2:$I$39)+1&gt;ROWS($H$2:$H$39)-COUNTBLANK($H$2:$H$39),"",INDIRECT(ADDRESS(SMALL((IF($H$2:$H$39&lt;&gt;"",ROW($H$2:$H$39),ROW()+ROWS($H$2:$H$39))),ROW()-ROW($I$2:$I$39)+1),COLUMN($H$2:$H$39),4)))</f>
        <v/>
      </c>
      <c r="P16" s="591" t="str">
        <f t="array" aca="1" ref="P16" ca="1">IF(ROW()-ROW($J$2:$J$39)+1&gt;ROWS($I$2:$I$39)-COUNTBLANK($I$2:$I$39),"",INDIRECT(ADDRESS(SMALL((IF($I$2:$I$39&lt;&gt;"",ROW($I$2:$I$39),ROW()+ROWS($I$2:$I$39))),ROW()-ROW($J$2:$J$39)+1),COLUMN($I$2:$I$39),4)))</f>
        <v/>
      </c>
    </row>
    <row r="17" spans="1:16" s="10" customFormat="1" x14ac:dyDescent="0.3">
      <c r="D17" s="1091" t="s">
        <v>364</v>
      </c>
      <c r="E17" s="387" t="str">
        <f>IF(H17="","","2017")</f>
        <v/>
      </c>
      <c r="F17" s="59" t="str">
        <f t="shared" si="7"/>
        <v/>
      </c>
      <c r="G17" s="59" t="str">
        <f t="shared" si="1"/>
        <v/>
      </c>
      <c r="H17" s="365" t="str">
        <f>IF(A3="relevant",IF(Matrix!Q20&lt;Berechnung2!$F$40,Berechnung2!$L$40,""),"")</f>
        <v/>
      </c>
      <c r="I17" s="362" t="str">
        <f>IF(H17="","",VLOOKUP(F17,Berechnung2!$I$15:$J$22,2,FALSE))</f>
        <v/>
      </c>
      <c r="J17" s="344" t="str">
        <f t="shared" si="2"/>
        <v/>
      </c>
      <c r="K17" s="331"/>
      <c r="L17" s="595" t="str">
        <f t="array" aca="1" ref="L17" ca="1">IF(ROW()-ROW($F$2:$F$39)+1&gt;ROWS($E$2:$E$39)-COUNTBLANK($E$2:$E$39),"",INDIRECT(ADDRESS(SMALL((IF($E$2:$E$39&lt;&gt;"",ROW($E$2:$E$39),ROW()+ROWS($E$2:$E$39))),ROW()-ROW($F$2:$F$39)+1),COLUMN($E$2:$E$39),4)))</f>
        <v/>
      </c>
      <c r="M17" s="595" t="str">
        <f t="array" aca="1" ref="M17" ca="1">IF(ROW()-ROW($G$2:$G$39)+1&gt;ROWS($F$2:$F$39)-COUNTBLANK($F$2:$F$39),"",INDIRECT(ADDRESS(SMALL((IF($F$2:$F$39&lt;&gt;"",ROW($F$2:$F$39),ROW()+ROWS($F$2:$F$39))),ROW()-ROW($G$2:$G$39)+1),COLUMN($F$2:$F$39),4)))</f>
        <v/>
      </c>
      <c r="N17" s="595" t="str">
        <f t="array" aca="1" ref="N17" ca="1">IF(ROW()-ROW($H$2:$H$39)+1&gt;ROWS($G$2:$G$39)-COUNTBLANK($G$2:$G$39),"",INDIRECT(ADDRESS(SMALL((IF($G$2:$G$39&lt;&gt;"",ROW($G$2:$G$39),ROW()+ROWS($G$2:$G$39))),ROW()-ROW($H$2:$H$39)+1),COLUMN($G$2:$G$39),4)))</f>
        <v/>
      </c>
      <c r="O17" s="591" t="str">
        <f t="array" aca="1" ref="O17" ca="1">IF(ROW()-ROW($I$2:$I$39)+1&gt;ROWS($H$2:$H$39)-COUNTBLANK($H$2:$H$39),"",INDIRECT(ADDRESS(SMALL((IF($H$2:$H$39&lt;&gt;"",ROW($H$2:$H$39),ROW()+ROWS($H$2:$H$39))),ROW()-ROW($I$2:$I$39)+1),COLUMN($H$2:$H$39),4)))</f>
        <v/>
      </c>
      <c r="P17" s="591" t="str">
        <f t="array" aca="1" ref="P17" ca="1">IF(ROW()-ROW($J$2:$J$39)+1&gt;ROWS($I$2:$I$39)-COUNTBLANK($I$2:$I$39),"",INDIRECT(ADDRESS(SMALL((IF($I$2:$I$39&lt;&gt;"",ROW($I$2:$I$39),ROW()+ROWS($I$2:$I$39))),ROW()-ROW($J$2:$J$39)+1),COLUMN($I$2:$I$39),4)))</f>
        <v/>
      </c>
    </row>
    <row r="18" spans="1:16" s="10" customFormat="1" x14ac:dyDescent="0.3">
      <c r="D18" s="1091"/>
      <c r="E18" s="387" t="str">
        <f>IF(H18="","","2018")</f>
        <v/>
      </c>
      <c r="F18" s="59" t="str">
        <f t="shared" si="7"/>
        <v/>
      </c>
      <c r="G18" s="59" t="str">
        <f t="shared" si="1"/>
        <v/>
      </c>
      <c r="H18" s="365" t="str">
        <f>IF(A4="relevant",IF(Matrix!Q21&lt;Berechnung2!$F$40,Berechnung2!$L$40,""),"")</f>
        <v/>
      </c>
      <c r="I18" s="362" t="str">
        <f>IF(H18="","",VLOOKUP(F18,Berechnung2!$I$15:$J$22,2,FALSE))</f>
        <v/>
      </c>
      <c r="J18" s="344" t="str">
        <f t="shared" si="2"/>
        <v/>
      </c>
      <c r="K18" s="331"/>
      <c r="L18" s="595" t="str">
        <f t="array" aca="1" ref="L18" ca="1">IF(ROW()-ROW($F$2:$F$39)+1&gt;ROWS($E$2:$E$39)-COUNTBLANK($E$2:$E$39),"",INDIRECT(ADDRESS(SMALL((IF($E$2:$E$39&lt;&gt;"",ROW($E$2:$E$39),ROW()+ROWS($E$2:$E$39))),ROW()-ROW($F$2:$F$39)+1),COLUMN($E$2:$E$39),4)))</f>
        <v/>
      </c>
      <c r="M18" s="595" t="str">
        <f t="array" aca="1" ref="M18" ca="1">IF(ROW()-ROW($G$2:$G$39)+1&gt;ROWS($F$2:$F$39)-COUNTBLANK($F$2:$F$39),"",INDIRECT(ADDRESS(SMALL((IF($F$2:$F$39&lt;&gt;"",ROW($F$2:$F$39),ROW()+ROWS($F$2:$F$39))),ROW()-ROW($G$2:$G$39)+1),COLUMN($F$2:$F$39),4)))</f>
        <v/>
      </c>
      <c r="N18" s="595" t="str">
        <f t="array" aca="1" ref="N18" ca="1">IF(ROW()-ROW($H$2:$H$39)+1&gt;ROWS($G$2:$G$39)-COUNTBLANK($G$2:$G$39),"",INDIRECT(ADDRESS(SMALL((IF($G$2:$G$39&lt;&gt;"",ROW($G$2:$G$39),ROW()+ROWS($G$2:$G$39))),ROW()-ROW($H$2:$H$39)+1),COLUMN($G$2:$G$39),4)))</f>
        <v/>
      </c>
      <c r="O18" s="591" t="str">
        <f t="array" aca="1" ref="O18" ca="1">IF(ROW()-ROW($I$2:$I$39)+1&gt;ROWS($H$2:$H$39)-COUNTBLANK($H$2:$H$39),"",INDIRECT(ADDRESS(SMALL((IF($H$2:$H$39&lt;&gt;"",ROW($H$2:$H$39),ROW()+ROWS($H$2:$H$39))),ROW()-ROW($I$2:$I$39)+1),COLUMN($H$2:$H$39),4)))</f>
        <v/>
      </c>
      <c r="P18" s="591" t="str">
        <f t="array" aca="1" ref="P18" ca="1">IF(ROW()-ROW($J$2:$J$39)+1&gt;ROWS($I$2:$I$39)-COUNTBLANK($I$2:$I$39),"",INDIRECT(ADDRESS(SMALL((IF($I$2:$I$39&lt;&gt;"",ROW($I$2:$I$39),ROW()+ROWS($I$2:$I$39))),ROW()-ROW($J$2:$J$39)+1),COLUMN($I$2:$I$39),4)))</f>
        <v/>
      </c>
    </row>
    <row r="19" spans="1:16" s="10" customFormat="1" x14ac:dyDescent="0.3">
      <c r="A19" s="335"/>
      <c r="B19" s="335"/>
      <c r="C19" s="335"/>
      <c r="D19" s="1091"/>
      <c r="E19" s="387" t="str">
        <f>IF(H19="","","2019")</f>
        <v/>
      </c>
      <c r="F19" s="59" t="str">
        <f t="shared" si="7"/>
        <v/>
      </c>
      <c r="G19" s="59" t="str">
        <f t="shared" si="1"/>
        <v/>
      </c>
      <c r="H19" s="365" t="str">
        <f>IF(A5="relevant",IF(Matrix!Q22&lt;Berechnung2!$F$40,Berechnung2!$L$40,""),"")</f>
        <v/>
      </c>
      <c r="I19" s="362" t="str">
        <f>IF(H19="","",VLOOKUP(F19,Berechnung2!$I$15:$J$22,2,FALSE))</f>
        <v/>
      </c>
      <c r="J19" s="344" t="str">
        <f t="shared" si="2"/>
        <v/>
      </c>
      <c r="K19" s="335"/>
      <c r="L19" s="595" t="str">
        <f t="array" aca="1" ref="L19" ca="1">IF(ROW()-ROW($F$2:$F$39)+1&gt;ROWS($E$2:$E$39)-COUNTBLANK($E$2:$E$39),"",INDIRECT(ADDRESS(SMALL((IF($E$2:$E$39&lt;&gt;"",ROW($E$2:$E$39),ROW()+ROWS($E$2:$E$39))),ROW()-ROW($F$2:$F$39)+1),COLUMN($E$2:$E$39),4)))</f>
        <v/>
      </c>
      <c r="M19" s="595" t="str">
        <f t="array" aca="1" ref="M19" ca="1">IF(ROW()-ROW($G$2:$G$39)+1&gt;ROWS($F$2:$F$39)-COUNTBLANK($F$2:$F$39),"",INDIRECT(ADDRESS(SMALL((IF($F$2:$F$39&lt;&gt;"",ROW($F$2:$F$39),ROW()+ROWS($F$2:$F$39))),ROW()-ROW($G$2:$G$39)+1),COLUMN($F$2:$F$39),4)))</f>
        <v/>
      </c>
      <c r="N19" s="595" t="str">
        <f t="array" aca="1" ref="N19" ca="1">IF(ROW()-ROW($H$2:$H$39)+1&gt;ROWS($G$2:$G$39)-COUNTBLANK($G$2:$G$39),"",INDIRECT(ADDRESS(SMALL((IF($G$2:$G$39&lt;&gt;"",ROW($G$2:$G$39),ROW()+ROWS($G$2:$G$39))),ROW()-ROW($H$2:$H$39)+1),COLUMN($G$2:$G$39),4)))</f>
        <v/>
      </c>
      <c r="O19" s="591" t="str">
        <f t="array" aca="1" ref="O19" ca="1">IF(ROW()-ROW($I$2:$I$39)+1&gt;ROWS($H$2:$H$39)-COUNTBLANK($H$2:$H$39),"",INDIRECT(ADDRESS(SMALL((IF($H$2:$H$39&lt;&gt;"",ROW($H$2:$H$39),ROW()+ROWS($H$2:$H$39))),ROW()-ROW($I$2:$I$39)+1),COLUMN($H$2:$H$39),4)))</f>
        <v/>
      </c>
      <c r="P19" s="591" t="str">
        <f t="array" aca="1" ref="P19" ca="1">IF(ROW()-ROW($J$2:$J$39)+1&gt;ROWS($I$2:$I$39)-COUNTBLANK($I$2:$I$39),"",INDIRECT(ADDRESS(SMALL((IF($I$2:$I$39&lt;&gt;"",ROW($I$2:$I$39),ROW()+ROWS($I$2:$I$39))),ROW()-ROW($J$2:$J$39)+1),COLUMN($I$2:$I$39),4)))</f>
        <v/>
      </c>
    </row>
    <row r="20" spans="1:16" x14ac:dyDescent="0.3">
      <c r="D20" s="1091"/>
      <c r="E20" s="387" t="str">
        <f>IF(H20="","","2020")</f>
        <v/>
      </c>
      <c r="F20" s="59" t="str">
        <f t="shared" si="7"/>
        <v/>
      </c>
      <c r="G20" s="59" t="str">
        <f t="shared" si="1"/>
        <v/>
      </c>
      <c r="H20" s="365" t="str">
        <f>IF(A6="relevant",IF(Matrix!Q23&lt;Berechnung2!$F$40,Berechnung2!$L$40,""),"")</f>
        <v/>
      </c>
      <c r="I20" s="362" t="str">
        <f>IF(H20="","",VLOOKUP(F20,Berechnung2!$I$15:$J$22,2,FALSE))</f>
        <v/>
      </c>
      <c r="J20" s="344" t="str">
        <f t="shared" si="2"/>
        <v/>
      </c>
      <c r="L20" s="595" t="str">
        <f t="array" aca="1" ref="L20" ca="1">IF(ROW()-ROW($F$2:$F$39)+1&gt;ROWS($E$2:$E$39)-COUNTBLANK($E$2:$E$39),"",INDIRECT(ADDRESS(SMALL((IF($E$2:$E$39&lt;&gt;"",ROW($E$2:$E$39),ROW()+ROWS($E$2:$E$39))),ROW()-ROW($F$2:$F$39)+1),COLUMN($E$2:$E$39),4)))</f>
        <v/>
      </c>
      <c r="M20" s="595" t="str">
        <f t="array" aca="1" ref="M20" ca="1">IF(ROW()-ROW($G$2:$G$39)+1&gt;ROWS($F$2:$F$39)-COUNTBLANK($F$2:$F$39),"",INDIRECT(ADDRESS(SMALL((IF($F$2:$F$39&lt;&gt;"",ROW($F$2:$F$39),ROW()+ROWS($F$2:$F$39))),ROW()-ROW($G$2:$G$39)+1),COLUMN($F$2:$F$39),4)))</f>
        <v/>
      </c>
      <c r="N20" s="595" t="str">
        <f t="array" aca="1" ref="N20" ca="1">IF(ROW()-ROW($H$2:$H$39)+1&gt;ROWS($G$2:$G$39)-COUNTBLANK($G$2:$G$39),"",INDIRECT(ADDRESS(SMALL((IF($G$2:$G$39&lt;&gt;"",ROW($G$2:$G$39),ROW()+ROWS($G$2:$G$39))),ROW()-ROW($H$2:$H$39)+1),COLUMN($G$2:$G$39),4)))</f>
        <v/>
      </c>
      <c r="O20" s="591" t="str">
        <f t="array" aca="1" ref="O20" ca="1">IF(ROW()-ROW($I$2:$I$39)+1&gt;ROWS($H$2:$H$39)-COUNTBLANK($H$2:$H$39),"",INDIRECT(ADDRESS(SMALL((IF($H$2:$H$39&lt;&gt;"",ROW($H$2:$H$39),ROW()+ROWS($H$2:$H$39))),ROW()-ROW($I$2:$I$39)+1),COLUMN($H$2:$H$39),4)))</f>
        <v/>
      </c>
      <c r="P20" s="591" t="str">
        <f t="array" aca="1" ref="P20" ca="1">IF(ROW()-ROW($J$2:$J$39)+1&gt;ROWS($I$2:$I$39)-COUNTBLANK($I$2:$I$39),"",INDIRECT(ADDRESS(SMALL((IF($I$2:$I$39&lt;&gt;"",ROW($I$2:$I$39),ROW()+ROWS($I$2:$I$39))),ROW()-ROW($J$2:$J$39)+1),COLUMN($I$2:$I$39),4)))</f>
        <v/>
      </c>
    </row>
    <row r="21" spans="1:16" x14ac:dyDescent="0.3">
      <c r="D21" s="566" t="s">
        <v>434</v>
      </c>
      <c r="E21" s="568"/>
      <c r="F21" s="574"/>
      <c r="G21" s="574"/>
      <c r="H21" s="569"/>
      <c r="I21" s="572"/>
      <c r="J21" s="571"/>
      <c r="L21" s="595" t="str">
        <f t="array" aca="1" ref="L21" ca="1">IF(ROW()-ROW($F$2:$F$39)+1&gt;ROWS($E$2:$E$39)-COUNTBLANK($E$2:$E$39),"",INDIRECT(ADDRESS(SMALL((IF($E$2:$E$39&lt;&gt;"",ROW($E$2:$E$39),ROW()+ROWS($E$2:$E$39))),ROW()-ROW($F$2:$F$39)+1),COLUMN($E$2:$E$39),4)))</f>
        <v/>
      </c>
      <c r="M21" s="595" t="str">
        <f t="array" aca="1" ref="M21" ca="1">IF(ROW()-ROW($G$2:$G$39)+1&gt;ROWS($F$2:$F$39)-COUNTBLANK($F$2:$F$39),"",INDIRECT(ADDRESS(SMALL((IF($F$2:$F$39&lt;&gt;"",ROW($F$2:$F$39),ROW()+ROWS($F$2:$F$39))),ROW()-ROW($G$2:$G$39)+1),COLUMN($F$2:$F$39),4)))</f>
        <v/>
      </c>
      <c r="N21" s="595" t="str">
        <f t="array" aca="1" ref="N21" ca="1">IF(ROW()-ROW($H$2:$H$39)+1&gt;ROWS($G$2:$G$39)-COUNTBLANK($G$2:$G$39),"",INDIRECT(ADDRESS(SMALL((IF($G$2:$G$39&lt;&gt;"",ROW($G$2:$G$39),ROW()+ROWS($G$2:$G$39))),ROW()-ROW($H$2:$H$39)+1),COLUMN($G$2:$G$39),4)))</f>
        <v/>
      </c>
      <c r="O21" s="591" t="str">
        <f t="array" aca="1" ref="O21" ca="1">IF(ROW()-ROW($I$2:$I$39)+1&gt;ROWS($H$2:$H$39)-COUNTBLANK($H$2:$H$39),"",INDIRECT(ADDRESS(SMALL((IF($H$2:$H$39&lt;&gt;"",ROW($H$2:$H$39),ROW()+ROWS($H$2:$H$39))),ROW()-ROW($I$2:$I$39)+1),COLUMN($H$2:$H$39),4)))</f>
        <v/>
      </c>
      <c r="P21" s="591" t="str">
        <f t="array" aca="1" ref="P21" ca="1">IF(ROW()-ROW($J$2:$J$39)+1&gt;ROWS($I$2:$I$39)-COUNTBLANK($I$2:$I$39),"",INDIRECT(ADDRESS(SMALL((IF($I$2:$I$39&lt;&gt;"",ROW($I$2:$I$39),ROW()+ROWS($I$2:$I$39))),ROW()-ROW($J$2:$J$39)+1),COLUMN($I$2:$I$39),4)))</f>
        <v/>
      </c>
    </row>
    <row r="22" spans="1:16" ht="12" thickBot="1" x14ac:dyDescent="0.35">
      <c r="D22" s="567"/>
      <c r="E22" s="388"/>
      <c r="F22" s="348"/>
      <c r="G22" s="348"/>
      <c r="H22" s="366"/>
      <c r="I22" s="363"/>
      <c r="J22" s="336"/>
      <c r="L22" s="595" t="str">
        <f t="array" aca="1" ref="L22" ca="1">IF(ROW()-ROW($F$2:$F$39)+1&gt;ROWS($E$2:$E$39)-COUNTBLANK($E$2:$E$39),"",INDIRECT(ADDRESS(SMALL((IF($E$2:$E$39&lt;&gt;"",ROW($E$2:$E$39),ROW()+ROWS($E$2:$E$39))),ROW()-ROW($F$2:$F$39)+1),COLUMN($E$2:$E$39),4)))</f>
        <v/>
      </c>
      <c r="M22" s="595" t="str">
        <f t="array" aca="1" ref="M22" ca="1">IF(ROW()-ROW($G$2:$G$39)+1&gt;ROWS($F$2:$F$39)-COUNTBLANK($F$2:$F$39),"",INDIRECT(ADDRESS(SMALL((IF($F$2:$F$39&lt;&gt;"",ROW($F$2:$F$39),ROW()+ROWS($F$2:$F$39))),ROW()-ROW($G$2:$G$39)+1),COLUMN($F$2:$F$39),4)))</f>
        <v/>
      </c>
      <c r="N22" s="595" t="str">
        <f t="array" aca="1" ref="N22" ca="1">IF(ROW()-ROW($H$2:$H$39)+1&gt;ROWS($G$2:$G$39)-COUNTBLANK($G$2:$G$39),"",INDIRECT(ADDRESS(SMALL((IF($G$2:$G$39&lt;&gt;"",ROW($G$2:$G$39),ROW()+ROWS($G$2:$G$39))),ROW()-ROW($H$2:$H$39)+1),COLUMN($G$2:$G$39),4)))</f>
        <v/>
      </c>
      <c r="O22" s="591" t="str">
        <f t="array" aca="1" ref="O22" ca="1">IF(ROW()-ROW($I$2:$I$39)+1&gt;ROWS($H$2:$H$39)-COUNTBLANK($H$2:$H$39),"",INDIRECT(ADDRESS(SMALL((IF($H$2:$H$39&lt;&gt;"",ROW($H$2:$H$39),ROW()+ROWS($H$2:$H$39))),ROW()-ROW($I$2:$I$39)+1),COLUMN($H$2:$H$39),4)))</f>
        <v/>
      </c>
      <c r="P22" s="591" t="str">
        <f t="array" aca="1" ref="P22" ca="1">IF(ROW()-ROW($J$2:$J$39)+1&gt;ROWS($I$2:$I$39)-COUNTBLANK($I$2:$I$39),"",INDIRECT(ADDRESS(SMALL((IF($I$2:$I$39&lt;&gt;"",ROW($I$2:$I$39),ROW()+ROWS($I$2:$I$39))),ROW()-ROW($J$2:$J$39)+1),COLUMN($I$2:$I$39),4)))</f>
        <v/>
      </c>
    </row>
    <row r="23" spans="1:16" ht="21" thickBot="1" x14ac:dyDescent="0.35">
      <c r="D23" s="508" t="s">
        <v>516</v>
      </c>
      <c r="E23" s="349" t="str">
        <f>IF(H23="","","2018-2020")</f>
        <v/>
      </c>
      <c r="F23" s="349" t="str">
        <f>IF(H23="","","d")</f>
        <v/>
      </c>
      <c r="G23" s="349" t="str">
        <f>IF(H23="","","5")</f>
        <v/>
      </c>
      <c r="H23" s="367" t="str">
        <f>IF(OR(Matrix!$O$28="-----",Matrix!$O$28=""),"",IF(Matrix!$O$28="",0,IF(AND(ROUND(Matrix!$O$28,4)&gt;=Berechnung2!G37,ROUND(Matrix!$O$28,4)&lt;Berechnung2!J37),Berechnung2!L37,"")))</f>
        <v/>
      </c>
      <c r="I23" s="368" t="str">
        <f>IF(H23="","",VLOOKUP(F23,Berechnung2!$I$15:$J$22,2,FALSE))</f>
        <v/>
      </c>
      <c r="J23" s="337" t="str">
        <f t="shared" si="2"/>
        <v/>
      </c>
      <c r="L23" s="595" t="str">
        <f t="array" aca="1" ref="L23" ca="1">IF(ROW()-ROW($F$2:$F$39)+1&gt;ROWS($E$2:$E$39)-COUNTBLANK($E$2:$E$39),"",INDIRECT(ADDRESS(SMALL((IF($E$2:$E$39&lt;&gt;"",ROW($E$2:$E$39),ROW()+ROWS($E$2:$E$39))),ROW()-ROW($F$2:$F$39)+1),COLUMN($E$2:$E$39),4)))</f>
        <v/>
      </c>
      <c r="M23" s="595" t="str">
        <f t="array" aca="1" ref="M23" ca="1">IF(ROW()-ROW($G$2:$G$39)+1&gt;ROWS($F$2:$F$39)-COUNTBLANK($F$2:$F$39),"",INDIRECT(ADDRESS(SMALL((IF($F$2:$F$39&lt;&gt;"",ROW($F$2:$F$39),ROW()+ROWS($F$2:$F$39))),ROW()-ROW($G$2:$G$39)+1),COLUMN($F$2:$F$39),4)))</f>
        <v/>
      </c>
      <c r="N23" s="595" t="str">
        <f t="array" aca="1" ref="N23" ca="1">IF(ROW()-ROW($H$2:$H$39)+1&gt;ROWS($G$2:$G$39)-COUNTBLANK($G$2:$G$39),"",INDIRECT(ADDRESS(SMALL((IF($G$2:$G$39&lt;&gt;"",ROW($G$2:$G$39),ROW()+ROWS($G$2:$G$39))),ROW()-ROW($H$2:$H$39)+1),COLUMN($G$2:$G$39),4)))</f>
        <v/>
      </c>
      <c r="O23" s="591" t="str">
        <f t="array" aca="1" ref="O23" ca="1">IF(ROW()-ROW($I$2:$I$39)+1&gt;ROWS($H$2:$H$39)-COUNTBLANK($H$2:$H$39),"",INDIRECT(ADDRESS(SMALL((IF($H$2:$H$39&lt;&gt;"",ROW($H$2:$H$39),ROW()+ROWS($H$2:$H$39))),ROW()-ROW($I$2:$I$39)+1),COLUMN($H$2:$H$39),4)))</f>
        <v/>
      </c>
      <c r="P23" s="591" t="str">
        <f t="array" aca="1" ref="P23" ca="1">IF(ROW()-ROW($J$2:$J$39)+1&gt;ROWS($I$2:$I$39)-COUNTBLANK($I$2:$I$39),"",INDIRECT(ADDRESS(SMALL((IF($I$2:$I$39&lt;&gt;"",ROW($I$2:$I$39),ROW()+ROWS($I$2:$I$39))),ROW()-ROW($J$2:$J$39)+1),COLUMN($I$2:$I$39),4)))</f>
        <v/>
      </c>
    </row>
    <row r="24" spans="1:16" x14ac:dyDescent="0.3">
      <c r="D24" s="339" t="s">
        <v>79</v>
      </c>
      <c r="E24" s="347" t="str">
        <f>IF(H24="","","2016")</f>
        <v/>
      </c>
      <c r="F24" s="347" t="str">
        <f t="shared" ref="F24:F29" si="8">IF(H24="","","e")</f>
        <v/>
      </c>
      <c r="G24" s="347" t="str">
        <f>IF(H24="","","6")</f>
        <v/>
      </c>
      <c r="H24" s="364" t="str">
        <f>IF(A2="relevant",IF(Matrix!C19="","",IF(Matrix!C19&lt;Berechnung2!$G$35,Berechnung2!$L$35,"")),"")</f>
        <v/>
      </c>
      <c r="I24" s="360" t="str">
        <f>IF(H24="","",VLOOKUP(F24,Berechnung2!$I$15:$J$22,2,FALSE))</f>
        <v/>
      </c>
      <c r="J24" s="345" t="str">
        <f t="shared" si="2"/>
        <v/>
      </c>
      <c r="L24" s="595" t="str">
        <f t="array" aca="1" ref="L24" ca="1">IF(ROW()-ROW($F$2:$F$39)+1&gt;ROWS($E$2:$E$39)-COUNTBLANK($E$2:$E$39),"",INDIRECT(ADDRESS(SMALL((IF($E$2:$E$39&lt;&gt;"",ROW($E$2:$E$39),ROW()+ROWS($E$2:$E$39))),ROW()-ROW($F$2:$F$39)+1),COLUMN($E$2:$E$39),4)))</f>
        <v/>
      </c>
      <c r="M24" s="595" t="str">
        <f t="array" aca="1" ref="M24" ca="1">IF(ROW()-ROW($G$2:$G$39)+1&gt;ROWS($F$2:$F$39)-COUNTBLANK($F$2:$F$39),"",INDIRECT(ADDRESS(SMALL((IF($F$2:$F$39&lt;&gt;"",ROW($F$2:$F$39),ROW()+ROWS($F$2:$F$39))),ROW()-ROW($G$2:$G$39)+1),COLUMN($F$2:$F$39),4)))</f>
        <v/>
      </c>
      <c r="N24" s="595" t="str">
        <f t="array" aca="1" ref="N24" ca="1">IF(ROW()-ROW($H$2:$H$39)+1&gt;ROWS($G$2:$G$39)-COUNTBLANK($G$2:$G$39),"",INDIRECT(ADDRESS(SMALL((IF($G$2:$G$39&lt;&gt;"",ROW($G$2:$G$39),ROW()+ROWS($G$2:$G$39))),ROW()-ROW($H$2:$H$39)+1),COLUMN($G$2:$G$39),4)))</f>
        <v/>
      </c>
      <c r="O24" s="591" t="str">
        <f t="array" aca="1" ref="O24" ca="1">IF(ROW()-ROW($I$2:$I$39)+1&gt;ROWS($H$2:$H$39)-COUNTBLANK($H$2:$H$39),"",INDIRECT(ADDRESS(SMALL((IF($H$2:$H$39&lt;&gt;"",ROW($H$2:$H$39),ROW()+ROWS($H$2:$H$39))),ROW()-ROW($I$2:$I$39)+1),COLUMN($H$2:$H$39),4)))</f>
        <v/>
      </c>
      <c r="P24" s="591" t="str">
        <f t="array" aca="1" ref="P24" ca="1">IF(ROW()-ROW($J$2:$J$39)+1&gt;ROWS($I$2:$I$39)-COUNTBLANK($I$2:$I$39),"",INDIRECT(ADDRESS(SMALL((IF($I$2:$I$39&lt;&gt;"",ROW($I$2:$I$39),ROW()+ROWS($I$2:$I$39))),ROW()-ROW($J$2:$J$39)+1),COLUMN($I$2:$I$39),4)))</f>
        <v/>
      </c>
    </row>
    <row r="25" spans="1:16" x14ac:dyDescent="0.3">
      <c r="D25" s="1092" t="s">
        <v>161</v>
      </c>
      <c r="E25" s="59" t="str">
        <f>IF(H25="","","2017")</f>
        <v/>
      </c>
      <c r="F25" s="59" t="str">
        <f t="shared" si="8"/>
        <v/>
      </c>
      <c r="G25" s="59" t="str">
        <f t="shared" ref="G25:G35" si="9">IF(H25="","","6")</f>
        <v/>
      </c>
      <c r="H25" s="365" t="str">
        <f>IF(A3="relevant",IF(Matrix!C20="","",IF(Matrix!C20&lt;Berechnung2!$G$35,Berechnung2!$L$35,"")),"")</f>
        <v/>
      </c>
      <c r="I25" s="362" t="str">
        <f>IF(H25="","",VLOOKUP(F25,Berechnung2!$I$15:$J$22,2,FALSE))</f>
        <v/>
      </c>
      <c r="J25" s="344" t="str">
        <f t="shared" si="2"/>
        <v/>
      </c>
      <c r="L25" s="595" t="str">
        <f t="array" aca="1" ref="L25" ca="1">IF(ROW()-ROW($F$2:$F$39)+1&gt;ROWS($E$2:$E$39)-COUNTBLANK($E$2:$E$39),"",INDIRECT(ADDRESS(SMALL((IF($E$2:$E$39&lt;&gt;"",ROW($E$2:$E$39),ROW()+ROWS($E$2:$E$39))),ROW()-ROW($F$2:$F$39)+1),COLUMN($E$2:$E$39),4)))</f>
        <v/>
      </c>
      <c r="M25" s="595" t="str">
        <f t="array" aca="1" ref="M25" ca="1">IF(ROW()-ROW($G$2:$G$39)+1&gt;ROWS($F$2:$F$39)-COUNTBLANK($F$2:$F$39),"",INDIRECT(ADDRESS(SMALL((IF($F$2:$F$39&lt;&gt;"",ROW($F$2:$F$39),ROW()+ROWS($F$2:$F$39))),ROW()-ROW($G$2:$G$39)+1),COLUMN($F$2:$F$39),4)))</f>
        <v/>
      </c>
      <c r="N25" s="595" t="str">
        <f t="array" aca="1" ref="N25" ca="1">IF(ROW()-ROW($H$2:$H$39)+1&gt;ROWS($G$2:$G$39)-COUNTBLANK($G$2:$G$39),"",INDIRECT(ADDRESS(SMALL((IF($G$2:$G$39&lt;&gt;"",ROW($G$2:$G$39),ROW()+ROWS($G$2:$G$39))),ROW()-ROW($H$2:$H$39)+1),COLUMN($G$2:$G$39),4)))</f>
        <v/>
      </c>
      <c r="O25" s="591" t="str">
        <f t="array" aca="1" ref="O25" ca="1">IF(ROW()-ROW($I$2:$I$39)+1&gt;ROWS($H$2:$H$39)-COUNTBLANK($H$2:$H$39),"",INDIRECT(ADDRESS(SMALL((IF($H$2:$H$39&lt;&gt;"",ROW($H$2:$H$39),ROW()+ROWS($H$2:$H$39))),ROW()-ROW($I$2:$I$39)+1),COLUMN($H$2:$H$39),4)))</f>
        <v/>
      </c>
      <c r="P25" s="591" t="str">
        <f t="array" aca="1" ref="P25" ca="1">IF(ROW()-ROW($J$2:$J$39)+1&gt;ROWS($I$2:$I$39)-COUNTBLANK($I$2:$I$39),"",INDIRECT(ADDRESS(SMALL((IF($I$2:$I$39&lt;&gt;"",ROW($I$2:$I$39),ROW()+ROWS($I$2:$I$39))),ROW()-ROW($J$2:$J$39)+1),COLUMN($I$2:$I$39),4)))</f>
        <v/>
      </c>
    </row>
    <row r="26" spans="1:16" x14ac:dyDescent="0.3">
      <c r="D26" s="1092"/>
      <c r="E26" s="59" t="str">
        <f>IF(H26="","","2018")</f>
        <v/>
      </c>
      <c r="F26" s="59" t="str">
        <f t="shared" si="8"/>
        <v/>
      </c>
      <c r="G26" s="59" t="str">
        <f t="shared" si="9"/>
        <v/>
      </c>
      <c r="H26" s="365" t="str">
        <f>IF(A4="relevant",IF(Matrix!C21="","",IF(Matrix!C21&lt;Berechnung2!$G$35,Berechnung2!$L$35,"")),"")</f>
        <v/>
      </c>
      <c r="I26" s="362" t="str">
        <f>IF(H26="","",VLOOKUP(F26,Berechnung2!$I$15:$J$22,2,FALSE))</f>
        <v/>
      </c>
      <c r="J26" s="344" t="str">
        <f t="shared" si="2"/>
        <v/>
      </c>
      <c r="L26" s="595" t="str">
        <f t="array" aca="1" ref="L26" ca="1">IF(ROW()-ROW($F$2:$F$39)+1&gt;ROWS($E$2:$E$39)-COUNTBLANK($E$2:$E$39),"",INDIRECT(ADDRESS(SMALL((IF($E$2:$E$39&lt;&gt;"",ROW($E$2:$E$39),ROW()+ROWS($E$2:$E$39))),ROW()-ROW($F$2:$F$39)+1),COLUMN($E$2:$E$39),4)))</f>
        <v/>
      </c>
      <c r="M26" s="595" t="str">
        <f t="array" aca="1" ref="M26" ca="1">IF(ROW()-ROW($G$2:$G$39)+1&gt;ROWS($F$2:$F$39)-COUNTBLANK($F$2:$F$39),"",INDIRECT(ADDRESS(SMALL((IF($F$2:$F$39&lt;&gt;"",ROW($F$2:$F$39),ROW()+ROWS($F$2:$F$39))),ROW()-ROW($G$2:$G$39)+1),COLUMN($F$2:$F$39),4)))</f>
        <v/>
      </c>
      <c r="N26" s="595" t="str">
        <f t="array" aca="1" ref="N26" ca="1">IF(ROW()-ROW($H$2:$H$39)+1&gt;ROWS($G$2:$G$39)-COUNTBLANK($G$2:$G$39),"",INDIRECT(ADDRESS(SMALL((IF($G$2:$G$39&lt;&gt;"",ROW($G$2:$G$39),ROW()+ROWS($G$2:$G$39))),ROW()-ROW($H$2:$H$39)+1),COLUMN($G$2:$G$39),4)))</f>
        <v/>
      </c>
      <c r="O26" s="591" t="str">
        <f t="array" aca="1" ref="O26" ca="1">IF(ROW()-ROW($I$2:$I$39)+1&gt;ROWS($H$2:$H$39)-COUNTBLANK($H$2:$H$39),"",INDIRECT(ADDRESS(SMALL((IF($H$2:$H$39&lt;&gt;"",ROW($H$2:$H$39),ROW()+ROWS($H$2:$H$39))),ROW()-ROW($I$2:$I$39)+1),COLUMN($H$2:$H$39),4)))</f>
        <v/>
      </c>
      <c r="P26" s="591" t="str">
        <f t="array" aca="1" ref="P26" ca="1">IF(ROW()-ROW($J$2:$J$39)+1&gt;ROWS($I$2:$I$39)-COUNTBLANK($I$2:$I$39),"",INDIRECT(ADDRESS(SMALL((IF($I$2:$I$39&lt;&gt;"",ROW($I$2:$I$39),ROW()+ROWS($I$2:$I$39))),ROW()-ROW($J$2:$J$39)+1),COLUMN($I$2:$I$39),4)))</f>
        <v/>
      </c>
    </row>
    <row r="27" spans="1:16" x14ac:dyDescent="0.3">
      <c r="D27" s="1092"/>
      <c r="E27" s="59" t="str">
        <f>IF(H27="","","2019")</f>
        <v/>
      </c>
      <c r="F27" s="59" t="str">
        <f t="shared" si="8"/>
        <v/>
      </c>
      <c r="G27" s="59" t="str">
        <f t="shared" si="9"/>
        <v/>
      </c>
      <c r="H27" s="365" t="str">
        <f>IF(A5="relevant",IF(Matrix!C22="","",IF(Matrix!C22&lt;Berechnung2!$G$35,Berechnung2!$L$35,"")),"")</f>
        <v/>
      </c>
      <c r="I27" s="362" t="str">
        <f>IF(H27="","",VLOOKUP(F27,Berechnung2!$I$15:$J$22,2,FALSE))</f>
        <v/>
      </c>
      <c r="J27" s="344" t="str">
        <f t="shared" si="2"/>
        <v/>
      </c>
      <c r="L27" s="595" t="str">
        <f t="array" aca="1" ref="L27" ca="1">IF(ROW()-ROW($F$2:$F$39)+1&gt;ROWS($E$2:$E$39)-COUNTBLANK($E$2:$E$39),"",INDIRECT(ADDRESS(SMALL((IF($E$2:$E$39&lt;&gt;"",ROW($E$2:$E$39),ROW()+ROWS($E$2:$E$39))),ROW()-ROW($F$2:$F$39)+1),COLUMN($E$2:$E$39),4)))</f>
        <v/>
      </c>
      <c r="M27" s="595" t="str">
        <f t="array" aca="1" ref="M27" ca="1">IF(ROW()-ROW($G$2:$G$39)+1&gt;ROWS($F$2:$F$39)-COUNTBLANK($F$2:$F$39),"",INDIRECT(ADDRESS(SMALL((IF($F$2:$F$39&lt;&gt;"",ROW($F$2:$F$39),ROW()+ROWS($F$2:$F$39))),ROW()-ROW($G$2:$G$39)+1),COLUMN($F$2:$F$39),4)))</f>
        <v/>
      </c>
      <c r="N27" s="595" t="str">
        <f t="array" aca="1" ref="N27" ca="1">IF(ROW()-ROW($H$2:$H$39)+1&gt;ROWS($G$2:$G$39)-COUNTBLANK($G$2:$G$39),"",INDIRECT(ADDRESS(SMALL((IF($G$2:$G$39&lt;&gt;"",ROW($G$2:$G$39),ROW()+ROWS($G$2:$G$39))),ROW()-ROW($H$2:$H$39)+1),COLUMN($G$2:$G$39),4)))</f>
        <v/>
      </c>
      <c r="O27" s="591" t="str">
        <f t="array" aca="1" ref="O27" ca="1">IF(ROW()-ROW($I$2:$I$39)+1&gt;ROWS($H$2:$H$39)-COUNTBLANK($H$2:$H$39),"",INDIRECT(ADDRESS(SMALL((IF($H$2:$H$39&lt;&gt;"",ROW($H$2:$H$39),ROW()+ROWS($H$2:$H$39))),ROW()-ROW($I$2:$I$39)+1),COLUMN($H$2:$H$39),4)))</f>
        <v/>
      </c>
      <c r="P27" s="591" t="str">
        <f t="array" aca="1" ref="P27" ca="1">IF(ROW()-ROW($J$2:$J$39)+1&gt;ROWS($I$2:$I$39)-COUNTBLANK($I$2:$I$39),"",INDIRECT(ADDRESS(SMALL((IF($I$2:$I$39&lt;&gt;"",ROW($I$2:$I$39),ROW()+ROWS($I$2:$I$39))),ROW()-ROW($J$2:$J$39)+1),COLUMN($I$2:$I$39),4)))</f>
        <v/>
      </c>
    </row>
    <row r="28" spans="1:16" x14ac:dyDescent="0.3">
      <c r="D28" s="1092"/>
      <c r="E28" s="59" t="str">
        <f>IF(H28="","","2020")</f>
        <v/>
      </c>
      <c r="F28" s="59" t="str">
        <f t="shared" si="8"/>
        <v/>
      </c>
      <c r="G28" s="59" t="str">
        <f t="shared" si="9"/>
        <v/>
      </c>
      <c r="H28" s="365" t="str">
        <f>IF(A6="relevant",IF(Matrix!C23="","",IF(Matrix!C23&lt;Berechnung2!$G$35,Berechnung2!$L$35,"")),"")</f>
        <v/>
      </c>
      <c r="I28" s="362" t="str">
        <f>IF(H28="","",VLOOKUP(F28,Berechnung2!$I$15:$J$22,2,FALSE))</f>
        <v/>
      </c>
      <c r="J28" s="344" t="str">
        <f t="shared" si="2"/>
        <v/>
      </c>
      <c r="L28" s="595" t="str">
        <f t="array" aca="1" ref="L28" ca="1">IF(ROW()-ROW($F$2:$F$39)+1&gt;ROWS($E$2:$E$39)-COUNTBLANK($E$2:$E$39),"",INDIRECT(ADDRESS(SMALL((IF($E$2:$E$39&lt;&gt;"",ROW($E$2:$E$39),ROW()+ROWS($E$2:$E$39))),ROW()-ROW($F$2:$F$39)+1),COLUMN($E$2:$E$39),4)))</f>
        <v/>
      </c>
      <c r="M28" s="595" t="str">
        <f t="array" aca="1" ref="M28" ca="1">IF(ROW()-ROW($G$2:$G$39)+1&gt;ROWS($F$2:$F$39)-COUNTBLANK($F$2:$F$39),"",INDIRECT(ADDRESS(SMALL((IF($F$2:$F$39&lt;&gt;"",ROW($F$2:$F$39),ROW()+ROWS($F$2:$F$39))),ROW()-ROW($G$2:$G$39)+1),COLUMN($F$2:$F$39),4)))</f>
        <v/>
      </c>
      <c r="N28" s="595" t="str">
        <f t="array" aca="1" ref="N28" ca="1">IF(ROW()-ROW($H$2:$H$39)+1&gt;ROWS($G$2:$G$39)-COUNTBLANK($G$2:$G$39),"",INDIRECT(ADDRESS(SMALL((IF($G$2:$G$39&lt;&gt;"",ROW($G$2:$G$39),ROW()+ROWS($G$2:$G$39))),ROW()-ROW($H$2:$H$39)+1),COLUMN($G$2:$G$39),4)))</f>
        <v/>
      </c>
      <c r="O28" s="591" t="str">
        <f t="array" aca="1" ref="O28" ca="1">IF(ROW()-ROW($I$2:$I$39)+1&gt;ROWS($H$2:$H$39)-COUNTBLANK($H$2:$H$39),"",INDIRECT(ADDRESS(SMALL((IF($H$2:$H$39&lt;&gt;"",ROW($H$2:$H$39),ROW()+ROWS($H$2:$H$39))),ROW()-ROW($I$2:$I$39)+1),COLUMN($H$2:$H$39),4)))</f>
        <v/>
      </c>
      <c r="P28" s="591" t="str">
        <f t="array" aca="1" ref="P28" ca="1">IF(ROW()-ROW($J$2:$J$39)+1&gt;ROWS($I$2:$I$39)-COUNTBLANK($I$2:$I$39),"",INDIRECT(ADDRESS(SMALL((IF($I$2:$I$39&lt;&gt;"",ROW($I$2:$I$39),ROW()+ROWS($I$2:$I$39))),ROW()-ROW($J$2:$J$39)+1),COLUMN($I$2:$I$39),4)))</f>
        <v/>
      </c>
    </row>
    <row r="29" spans="1:16" x14ac:dyDescent="0.3">
      <c r="D29" s="570" t="s">
        <v>436</v>
      </c>
      <c r="E29" s="574" t="str">
        <f>IF(H29="","","2021")</f>
        <v/>
      </c>
      <c r="F29" s="574" t="str">
        <f t="shared" si="8"/>
        <v/>
      </c>
      <c r="G29" s="574" t="str">
        <f t="shared" si="9"/>
        <v/>
      </c>
      <c r="H29" s="569" t="str">
        <f>IF(A7="relevant",IF(Matrix!C24="","",IF(Matrix!C24&lt;Berechnung2!$G$35,Berechnung2!$L$35,"")),"")</f>
        <v/>
      </c>
      <c r="I29" s="572" t="str">
        <f>IF(H29="","",VLOOKUP(F29,Berechnung2!$I$15:$J$22,2,FALSE))</f>
        <v/>
      </c>
      <c r="J29" s="571" t="str">
        <f t="shared" si="2"/>
        <v/>
      </c>
      <c r="L29" s="595" t="str">
        <f t="array" aca="1" ref="L29" ca="1">IF(ROW()-ROW($F$2:$F$39)+1&gt;ROWS($E$2:$E$39)-COUNTBLANK($E$2:$E$39),"",INDIRECT(ADDRESS(SMALL((IF($E$2:$E$39&lt;&gt;"",ROW($E$2:$E$39),ROW()+ROWS($E$2:$E$39))),ROW()-ROW($F$2:$F$39)+1),COLUMN($E$2:$E$39),4)))</f>
        <v/>
      </c>
      <c r="M29" s="595" t="str">
        <f t="array" aca="1" ref="M29" ca="1">IF(ROW()-ROW($G$2:$G$39)+1&gt;ROWS($F$2:$F$39)-COUNTBLANK($F$2:$F$39),"",INDIRECT(ADDRESS(SMALL((IF($F$2:$F$39&lt;&gt;"",ROW($F$2:$F$39),ROW()+ROWS($F$2:$F$39))),ROW()-ROW($G$2:$G$39)+1),COLUMN($F$2:$F$39),4)))</f>
        <v/>
      </c>
      <c r="N29" s="595" t="str">
        <f t="array" aca="1" ref="N29" ca="1">IF(ROW()-ROW($H$2:$H$39)+1&gt;ROWS($G$2:$G$39)-COUNTBLANK($G$2:$G$39),"",INDIRECT(ADDRESS(SMALL((IF($G$2:$G$39&lt;&gt;"",ROW($G$2:$G$39),ROW()+ROWS($G$2:$G$39))),ROW()-ROW($H$2:$H$39)+1),COLUMN($G$2:$G$39),4)))</f>
        <v/>
      </c>
      <c r="O29" s="591" t="str">
        <f t="array" aca="1" ref="O29" ca="1">IF(ROW()-ROW($I$2:$I$39)+1&gt;ROWS($H$2:$H$39)-COUNTBLANK($H$2:$H$39),"",INDIRECT(ADDRESS(SMALL((IF($H$2:$H$39&lt;&gt;"",ROW($H$2:$H$39),ROW()+ROWS($H$2:$H$39))),ROW()-ROW($I$2:$I$39)+1),COLUMN($H$2:$H$39),4)))</f>
        <v/>
      </c>
      <c r="P29" s="591" t="str">
        <f t="array" aca="1" ref="P29" ca="1">IF(ROW()-ROW($J$2:$J$39)+1&gt;ROWS($I$2:$I$39)-COUNTBLANK($I$2:$I$39),"",INDIRECT(ADDRESS(SMALL((IF($I$2:$I$39&lt;&gt;"",ROW($I$2:$I$39),ROW()+ROWS($I$2:$I$39))),ROW()-ROW($J$2:$J$39)+1),COLUMN($I$2:$I$39),4)))</f>
        <v/>
      </c>
    </row>
    <row r="30" spans="1:16" ht="12" thickBot="1" x14ac:dyDescent="0.35">
      <c r="D30" s="340"/>
      <c r="E30" s="574" t="str">
        <f>IF(H30="","","2022")</f>
        <v/>
      </c>
      <c r="F30" s="574" t="str">
        <f t="shared" ref="F30" si="10">IF(H30="","","e")</f>
        <v/>
      </c>
      <c r="G30" s="574" t="str">
        <f t="shared" ref="G30" si="11">IF(H30="","","6")</f>
        <v/>
      </c>
      <c r="H30" s="569" t="str">
        <f>IF(A8="relevant",IF(Matrix!C25="","",IF(Matrix!C25&lt;Berechnung2!$G$35,Berechnung2!$L$35,"")),"")</f>
        <v/>
      </c>
      <c r="I30" s="572" t="str">
        <f>IF(H30="","",VLOOKUP(F30,Berechnung2!$I$15:$J$22,2,FALSE))</f>
        <v/>
      </c>
      <c r="J30" s="571" t="str">
        <f t="shared" ref="J30" si="12">IF(H30&lt;&gt;"",1,"")</f>
        <v/>
      </c>
      <c r="L30" s="595" t="str">
        <f t="array" aca="1" ref="L30" ca="1">IF(ROW()-ROW($F$2:$F$39)+1&gt;ROWS($E$2:$E$39)-COUNTBLANK($E$2:$E$39),"",INDIRECT(ADDRESS(SMALL((IF($E$2:$E$39&lt;&gt;"",ROW($E$2:$E$39),ROW()+ROWS($E$2:$E$39))),ROW()-ROW($F$2:$F$39)+1),COLUMN($E$2:$E$39),4)))</f>
        <v/>
      </c>
      <c r="M30" s="595" t="str">
        <f t="array" aca="1" ref="M30" ca="1">IF(ROW()-ROW($G$2:$G$39)+1&gt;ROWS($F$2:$F$39)-COUNTBLANK($F$2:$F$39),"",INDIRECT(ADDRESS(SMALL((IF($F$2:$F$39&lt;&gt;"",ROW($F$2:$F$39),ROW()+ROWS($F$2:$F$39))),ROW()-ROW($G$2:$G$39)+1),COLUMN($F$2:$F$39),4)))</f>
        <v/>
      </c>
      <c r="N30" s="595" t="str">
        <f t="array" aca="1" ref="N30" ca="1">IF(ROW()-ROW($H$2:$H$39)+1&gt;ROWS($G$2:$G$39)-COUNTBLANK($G$2:$G$39),"",INDIRECT(ADDRESS(SMALL((IF($G$2:$G$39&lt;&gt;"",ROW($G$2:$G$39),ROW()+ROWS($G$2:$G$39))),ROW()-ROW($H$2:$H$39)+1),COLUMN($G$2:$G$39),4)))</f>
        <v/>
      </c>
      <c r="O30" s="591" t="str">
        <f t="array" aca="1" ref="O30" ca="1">IF(ROW()-ROW($I$2:$I$39)+1&gt;ROWS($H$2:$H$39)-COUNTBLANK($H$2:$H$39),"",INDIRECT(ADDRESS(SMALL((IF($H$2:$H$39&lt;&gt;"",ROW($H$2:$H$39),ROW()+ROWS($H$2:$H$39))),ROW()-ROW($I$2:$I$39)+1),COLUMN($H$2:$H$39),4)))</f>
        <v/>
      </c>
      <c r="P30" s="591" t="str">
        <f t="array" aca="1" ref="P30" ca="1">IF(ROW()-ROW($J$2:$J$39)+1&gt;ROWS($I$2:$I$39)-COUNTBLANK($I$2:$I$39),"",INDIRECT(ADDRESS(SMALL((IF($I$2:$I$39&lt;&gt;"",ROW($I$2:$I$39),ROW()+ROWS($I$2:$I$39))),ROW()-ROW($J$2:$J$39)+1),COLUMN($I$2:$I$39),4)))</f>
        <v/>
      </c>
    </row>
    <row r="31" spans="1:16" ht="21" thickBot="1" x14ac:dyDescent="0.35">
      <c r="D31" s="338" t="s">
        <v>435</v>
      </c>
      <c r="E31" s="349" t="str">
        <f>IF(H31="","","2018-2020")</f>
        <v/>
      </c>
      <c r="F31" s="349" t="str">
        <f>IF(H31="","","f")</f>
        <v/>
      </c>
      <c r="G31" s="349" t="str">
        <f t="shared" si="9"/>
        <v/>
      </c>
      <c r="H31" s="367" t="str">
        <f>IF(OR(Matrix!$O$28="-----",Matrix!$O$28=""),"",IF(Matrix!$O$28="",0,IF(ROUND(Matrix!$O$28,4)&gt;Berechnung2!J38,Berechnung2!L38,"")))</f>
        <v/>
      </c>
      <c r="I31" s="368" t="str">
        <f>IF(H31="","",VLOOKUP(F31,Berechnung2!$I$15:$J$22,2,FALSE))</f>
        <v/>
      </c>
      <c r="J31" s="337" t="str">
        <f t="shared" si="2"/>
        <v/>
      </c>
      <c r="L31" s="595" t="str">
        <f t="array" aca="1" ref="L31" ca="1">IF(ROW()-ROW($F$2:$F$39)+1&gt;ROWS($E$2:$E$39)-COUNTBLANK($E$2:$E$39),"",INDIRECT(ADDRESS(SMALL((IF($E$2:$E$39&lt;&gt;"",ROW($E$2:$E$39),ROW()+ROWS($E$2:$E$39))),ROW()-ROW($F$2:$F$39)+1),COLUMN($E$2:$E$39),4)))</f>
        <v/>
      </c>
      <c r="M31" s="595" t="str">
        <f t="array" aca="1" ref="M31" ca="1">IF(ROW()-ROW($G$2:$G$39)+1&gt;ROWS($F$2:$F$39)-COUNTBLANK($F$2:$F$39),"",INDIRECT(ADDRESS(SMALL((IF($F$2:$F$39&lt;&gt;"",ROW($F$2:$F$39),ROW()+ROWS($F$2:$F$39))),ROW()-ROW($G$2:$G$39)+1),COLUMN($F$2:$F$39),4)))</f>
        <v/>
      </c>
      <c r="N31" s="595" t="str">
        <f t="array" aca="1" ref="N31" ca="1">IF(ROW()-ROW($H$2:$H$39)+1&gt;ROWS($G$2:$G$39)-COUNTBLANK($G$2:$G$39),"",INDIRECT(ADDRESS(SMALL((IF($G$2:$G$39&lt;&gt;"",ROW($G$2:$G$39),ROW()+ROWS($G$2:$G$39))),ROW()-ROW($H$2:$H$39)+1),COLUMN($G$2:$G$39),4)))</f>
        <v/>
      </c>
      <c r="O31" s="591" t="str">
        <f t="array" aca="1" ref="O31" ca="1">IF(ROW()-ROW($I$2:$I$39)+1&gt;ROWS($H$2:$H$39)-COUNTBLANK($H$2:$H$39),"",INDIRECT(ADDRESS(SMALL((IF($H$2:$H$39&lt;&gt;"",ROW($H$2:$H$39),ROW()+ROWS($H$2:$H$39))),ROW()-ROW($I$2:$I$39)+1),COLUMN($H$2:$H$39),4)))</f>
        <v/>
      </c>
      <c r="P31" s="591" t="str">
        <f t="array" aca="1" ref="P31" ca="1">IF(ROW()-ROW($J$2:$J$39)+1&gt;ROWS($I$2:$I$39)-COUNTBLANK($I$2:$I$39),"",INDIRECT(ADDRESS(SMALL((IF($I$2:$I$39&lt;&gt;"",ROW($I$2:$I$39),ROW()+ROWS($I$2:$I$39))),ROW()-ROW($J$2:$J$39)+1),COLUMN($I$2:$I$39),4)))</f>
        <v/>
      </c>
    </row>
    <row r="32" spans="1:16" x14ac:dyDescent="0.3">
      <c r="D32" s="339" t="s">
        <v>79</v>
      </c>
      <c r="E32" s="59" t="str">
        <f>IF(H32="","","2016")</f>
        <v/>
      </c>
      <c r="F32" s="59" t="str">
        <f>IF(H32="","","g")</f>
        <v/>
      </c>
      <c r="G32" s="59" t="str">
        <f t="shared" si="9"/>
        <v/>
      </c>
      <c r="H32" s="365" t="str">
        <f>IF(A2="relevant",IF(Matrix!O19="","",IF(AND(ROUND(Matrix!O19,4)&lt;Berechnung2!$J$36),Berechnung2!$L$36,"")),"")</f>
        <v/>
      </c>
      <c r="I32" s="362" t="str">
        <f>IF(H32="","",VLOOKUP(F32,Berechnung2!$I$15:$J$22,2,FALSE))</f>
        <v/>
      </c>
      <c r="J32" s="344" t="str">
        <f t="shared" si="2"/>
        <v/>
      </c>
      <c r="L32" s="595" t="str">
        <f t="array" aca="1" ref="L32" ca="1">IF(ROW()-ROW($F$2:$F$39)+1&gt;ROWS($E$2:$E$39)-COUNTBLANK($E$2:$E$39),"",INDIRECT(ADDRESS(SMALL((IF($E$2:$E$39&lt;&gt;"",ROW($E$2:$E$39),ROW()+ROWS($E$2:$E$39))),ROW()-ROW($F$2:$F$39)+1),COLUMN($E$2:$E$39),4)))</f>
        <v/>
      </c>
      <c r="M32" s="595" t="str">
        <f t="array" aca="1" ref="M32" ca="1">IF(ROW()-ROW($G$2:$G$39)+1&gt;ROWS($F$2:$F$39)-COUNTBLANK($F$2:$F$39),"",INDIRECT(ADDRESS(SMALL((IF($F$2:$F$39&lt;&gt;"",ROW($F$2:$F$39),ROW()+ROWS($F$2:$F$39))),ROW()-ROW($G$2:$G$39)+1),COLUMN($F$2:$F$39),4)))</f>
        <v/>
      </c>
      <c r="N32" s="595" t="str">
        <f t="array" aca="1" ref="N32" ca="1">IF(ROW()-ROW($H$2:$H$39)+1&gt;ROWS($G$2:$G$39)-COUNTBLANK($G$2:$G$39),"",INDIRECT(ADDRESS(SMALL((IF($G$2:$G$39&lt;&gt;"",ROW($G$2:$G$39),ROW()+ROWS($G$2:$G$39))),ROW()-ROW($H$2:$H$39)+1),COLUMN($G$2:$G$39),4)))</f>
        <v/>
      </c>
      <c r="O32" s="591" t="str">
        <f t="array" aca="1" ref="O32" ca="1">IF(ROW()-ROW($I$2:$I$39)+1&gt;ROWS($H$2:$H$39)-COUNTBLANK($H$2:$H$39),"",INDIRECT(ADDRESS(SMALL((IF($H$2:$H$39&lt;&gt;"",ROW($H$2:$H$39),ROW()+ROWS($H$2:$H$39))),ROW()-ROW($I$2:$I$39)+1),COLUMN($H$2:$H$39),4)))</f>
        <v/>
      </c>
      <c r="P32" s="591" t="str">
        <f t="array" aca="1" ref="P32" ca="1">IF(ROW()-ROW($J$2:$J$39)+1&gt;ROWS($I$2:$I$39)-COUNTBLANK($I$2:$I$39),"",INDIRECT(ADDRESS(SMALL((IF($I$2:$I$39&lt;&gt;"",ROW($I$2:$I$39),ROW()+ROWS($I$2:$I$39))),ROW()-ROW($J$2:$J$39)+1),COLUMN($I$2:$I$39),4)))</f>
        <v/>
      </c>
    </row>
    <row r="33" spans="4:16" x14ac:dyDescent="0.3">
      <c r="D33" s="1092" t="s">
        <v>361</v>
      </c>
      <c r="E33" s="59" t="str">
        <f>IF(H33="","","2017")</f>
        <v/>
      </c>
      <c r="F33" s="59" t="str">
        <f>IF(H33="","","g")</f>
        <v/>
      </c>
      <c r="G33" s="59" t="str">
        <f t="shared" ref="G33" si="13">IF(H33="","","6")</f>
        <v/>
      </c>
      <c r="H33" s="365" t="str">
        <f>IF(A3="relevant",IF(Matrix!O20="","",IF(AND(ROUND(Matrix!O20,4)&lt;Berechnung2!$J$36),Berechnung2!$L$36,"")),"")</f>
        <v/>
      </c>
      <c r="I33" s="362" t="str">
        <f>IF(H33="","",VLOOKUP(F33,Berechnung2!$I$15:$J$22,2,FALSE))</f>
        <v/>
      </c>
      <c r="J33" s="344" t="str">
        <f t="shared" ref="J33" si="14">IF(H33&lt;&gt;"",1,"")</f>
        <v/>
      </c>
      <c r="L33" s="595" t="str">
        <f t="array" aca="1" ref="L33" ca="1">IF(ROW()-ROW($F$2:$F$39)+1&gt;ROWS($E$2:$E$39)-COUNTBLANK($E$2:$E$39),"",INDIRECT(ADDRESS(SMALL((IF($E$2:$E$39&lt;&gt;"",ROW($E$2:$E$39),ROW()+ROWS($E$2:$E$39))),ROW()-ROW($F$2:$F$39)+1),COLUMN($E$2:$E$39),4)))</f>
        <v/>
      </c>
      <c r="M33" s="595" t="str">
        <f t="array" aca="1" ref="M33" ca="1">IF(ROW()-ROW($G$2:$G$39)+1&gt;ROWS($F$2:$F$39)-COUNTBLANK($F$2:$F$39),"",INDIRECT(ADDRESS(SMALL((IF($F$2:$F$39&lt;&gt;"",ROW($F$2:$F$39),ROW()+ROWS($F$2:$F$39))),ROW()-ROW($G$2:$G$39)+1),COLUMN($F$2:$F$39),4)))</f>
        <v/>
      </c>
      <c r="N33" s="595" t="str">
        <f t="array" aca="1" ref="N33" ca="1">IF(ROW()-ROW($H$2:$H$39)+1&gt;ROWS($G$2:$G$39)-COUNTBLANK($G$2:$G$39),"",INDIRECT(ADDRESS(SMALL((IF($G$2:$G$39&lt;&gt;"",ROW($G$2:$G$39),ROW()+ROWS($G$2:$G$39))),ROW()-ROW($H$2:$H$39)+1),COLUMN($G$2:$G$39),4)))</f>
        <v/>
      </c>
      <c r="O33" s="591" t="str">
        <f t="array" aca="1" ref="O33" ca="1">IF(ROW()-ROW($I$2:$I$39)+1&gt;ROWS($H$2:$H$39)-COUNTBLANK($H$2:$H$39),"",INDIRECT(ADDRESS(SMALL((IF($H$2:$H$39&lt;&gt;"",ROW($H$2:$H$39),ROW()+ROWS($H$2:$H$39))),ROW()-ROW($I$2:$I$39)+1),COLUMN($H$2:$H$39),4)))</f>
        <v/>
      </c>
      <c r="P33" s="591" t="str">
        <f t="array" aca="1" ref="P33" ca="1">IF(ROW()-ROW($J$2:$J$39)+1&gt;ROWS($I$2:$I$39)-COUNTBLANK($I$2:$I$39),"",INDIRECT(ADDRESS(SMALL((IF($I$2:$I$39&lt;&gt;"",ROW($I$2:$I$39),ROW()+ROWS($I$2:$I$39))),ROW()-ROW($J$2:$J$39)+1),COLUMN($I$2:$I$39),4)))</f>
        <v/>
      </c>
    </row>
    <row r="34" spans="4:16" x14ac:dyDescent="0.3">
      <c r="D34" s="1092"/>
      <c r="E34" s="59" t="str">
        <f>IF(H34="","","2018")</f>
        <v/>
      </c>
      <c r="F34" s="59" t="str">
        <f>IF(H34="","","g")</f>
        <v/>
      </c>
      <c r="G34" s="59" t="str">
        <f t="shared" si="9"/>
        <v/>
      </c>
      <c r="H34" s="365" t="str">
        <f>IF(A4="relevant",IF(Matrix!O21="","",IF(AND(ROUND(Matrix!O21,4)&lt;Berechnung2!$J$36),Berechnung2!$L$36,"")),"")</f>
        <v/>
      </c>
      <c r="I34" s="362" t="str">
        <f>IF(H34="","",VLOOKUP(F34,Berechnung2!$I$15:$J$22,2,FALSE))</f>
        <v/>
      </c>
      <c r="J34" s="344" t="str">
        <f t="shared" si="2"/>
        <v/>
      </c>
      <c r="L34" s="595" t="str">
        <f t="array" aca="1" ref="L34" ca="1">IF(ROW()-ROW($F$2:$F$39)+1&gt;ROWS($E$2:$E$39)-COUNTBLANK($E$2:$E$39),"",INDIRECT(ADDRESS(SMALL((IF($E$2:$E$39&lt;&gt;"",ROW($E$2:$E$39),ROW()+ROWS($E$2:$E$39))),ROW()-ROW($F$2:$F$39)+1),COLUMN($E$2:$E$39),4)))</f>
        <v/>
      </c>
      <c r="M34" s="595" t="str">
        <f t="array" aca="1" ref="M34" ca="1">IF(ROW()-ROW($G$2:$G$39)+1&gt;ROWS($F$2:$F$39)-COUNTBLANK($F$2:$F$39),"",INDIRECT(ADDRESS(SMALL((IF($F$2:$F$39&lt;&gt;"",ROW($F$2:$F$39),ROW()+ROWS($F$2:$F$39))),ROW()-ROW($G$2:$G$39)+1),COLUMN($F$2:$F$39),4)))</f>
        <v/>
      </c>
      <c r="N34" s="595" t="str">
        <f t="array" aca="1" ref="N34" ca="1">IF(ROW()-ROW($H$2:$H$39)+1&gt;ROWS($G$2:$G$39)-COUNTBLANK($G$2:$G$39),"",INDIRECT(ADDRESS(SMALL((IF($G$2:$G$39&lt;&gt;"",ROW($G$2:$G$39),ROW()+ROWS($G$2:$G$39))),ROW()-ROW($H$2:$H$39)+1),COLUMN($G$2:$G$39),4)))</f>
        <v/>
      </c>
      <c r="O34" s="591" t="str">
        <f t="array" aca="1" ref="O34" ca="1">IF(ROW()-ROW($I$2:$I$39)+1&gt;ROWS($H$2:$H$39)-COUNTBLANK($H$2:$H$39),"",INDIRECT(ADDRESS(SMALL((IF($H$2:$H$39&lt;&gt;"",ROW($H$2:$H$39),ROW()+ROWS($H$2:$H$39))),ROW()-ROW($I$2:$I$39)+1),COLUMN($H$2:$H$39),4)))</f>
        <v/>
      </c>
      <c r="P34" s="591" t="str">
        <f t="array" aca="1" ref="P34" ca="1">IF(ROW()-ROW($J$2:$J$39)+1&gt;ROWS($I$2:$I$39)-COUNTBLANK($I$2:$I$39),"",INDIRECT(ADDRESS(SMALL((IF($I$2:$I$39&lt;&gt;"",ROW($I$2:$I$39),ROW()+ROWS($I$2:$I$39))),ROW()-ROW($J$2:$J$39)+1),COLUMN($I$2:$I$39),4)))</f>
        <v/>
      </c>
    </row>
    <row r="35" spans="4:16" x14ac:dyDescent="0.3">
      <c r="D35" s="1092"/>
      <c r="E35" s="59" t="str">
        <f>IF(H35="","","2019")</f>
        <v/>
      </c>
      <c r="F35" s="59" t="str">
        <f>IF(H35="","","g")</f>
        <v/>
      </c>
      <c r="G35" s="59" t="str">
        <f t="shared" si="9"/>
        <v/>
      </c>
      <c r="H35" s="365" t="str">
        <f>IF(A5="relevant",IF(Matrix!O22="","",IF(AND(ROUND(Matrix!O22,4)&lt;Berechnung2!$J$36),Berechnung2!$L$36,"")),"")</f>
        <v/>
      </c>
      <c r="I35" s="362" t="str">
        <f>IF(H35="","",VLOOKUP(F35,Berechnung2!$I$15:$J$22,2,FALSE))</f>
        <v/>
      </c>
      <c r="J35" s="344" t="str">
        <f t="shared" si="2"/>
        <v/>
      </c>
      <c r="L35" s="595" t="str">
        <f t="array" aca="1" ref="L35" ca="1">IF(ROW()-ROW($F$2:$F$39)+1&gt;ROWS($E$2:$E$39)-COUNTBLANK($E$2:$E$39),"",INDIRECT(ADDRESS(SMALL((IF($E$2:$E$39&lt;&gt;"",ROW($E$2:$E$39),ROW()+ROWS($E$2:$E$39))),ROW()-ROW($F$2:$F$39)+1),COLUMN($E$2:$E$39),4)))</f>
        <v/>
      </c>
      <c r="M35" s="595" t="str">
        <f t="array" aca="1" ref="M35" ca="1">IF(ROW()-ROW($G$2:$G$39)+1&gt;ROWS($F$2:$F$39)-COUNTBLANK($F$2:$F$39),"",INDIRECT(ADDRESS(SMALL((IF($F$2:$F$39&lt;&gt;"",ROW($F$2:$F$39),ROW()+ROWS($F$2:$F$39))),ROW()-ROW($G$2:$G$39)+1),COLUMN($F$2:$F$39),4)))</f>
        <v/>
      </c>
      <c r="N35" s="595" t="str">
        <f t="array" aca="1" ref="N35" ca="1">IF(ROW()-ROW($H$2:$H$39)+1&gt;ROWS($G$2:$G$39)-COUNTBLANK($G$2:$G$39),"",INDIRECT(ADDRESS(SMALL((IF($G$2:$G$39&lt;&gt;"",ROW($G$2:$G$39),ROW()+ROWS($G$2:$G$39))),ROW()-ROW($H$2:$H$39)+1),COLUMN($G$2:$G$39),4)))</f>
        <v/>
      </c>
      <c r="O35" s="591" t="str">
        <f t="array" aca="1" ref="O35" ca="1">IF(ROW()-ROW($I$2:$I$39)+1&gt;ROWS($H$2:$H$39)-COUNTBLANK($H$2:$H$39),"",INDIRECT(ADDRESS(SMALL((IF($H$2:$H$39&lt;&gt;"",ROW($H$2:$H$39),ROW()+ROWS($H$2:$H$39))),ROW()-ROW($I$2:$I$39)+1),COLUMN($H$2:$H$39),4)))</f>
        <v/>
      </c>
      <c r="P35" s="591" t="str">
        <f t="array" aca="1" ref="P35" ca="1">IF(ROW()-ROW($J$2:$J$39)+1&gt;ROWS($I$2:$I$39)-COUNTBLANK($I$2:$I$39),"",INDIRECT(ADDRESS(SMALL((IF($I$2:$I$39&lt;&gt;"",ROW($I$2:$I$39),ROW()+ROWS($I$2:$I$39))),ROW()-ROW($J$2:$J$39)+1),COLUMN($I$2:$I$39),4)))</f>
        <v/>
      </c>
    </row>
    <row r="36" spans="4:16" x14ac:dyDescent="0.3">
      <c r="D36" s="1092"/>
      <c r="E36" s="59" t="str">
        <f>IF(H36="","","2020")</f>
        <v/>
      </c>
      <c r="F36" s="59" t="str">
        <f t="shared" ref="F36:F38" si="15">IF(H36="","","g")</f>
        <v/>
      </c>
      <c r="G36" s="59" t="str">
        <f t="shared" ref="G36:G38" si="16">IF(H36="","","6")</f>
        <v/>
      </c>
      <c r="H36" s="365" t="str">
        <f>IF(A6="relevant",IF(Matrix!O23="","",IF(AND(ROUND(Matrix!O23,4)&lt;Berechnung2!$J$36),Berechnung2!$L$36,"")),"")</f>
        <v/>
      </c>
      <c r="I36" s="362" t="str">
        <f>IF(H36="","",VLOOKUP(F36,Berechnung2!$I$15:$J$22,2,FALSE))</f>
        <v/>
      </c>
      <c r="J36" s="344" t="str">
        <f t="shared" ref="J36:J38" si="17">IF(H36&lt;&gt;"",1,"")</f>
        <v/>
      </c>
      <c r="L36" s="595" t="str">
        <f t="array" aca="1" ref="L36" ca="1">IF(ROW()-ROW($F$2:$F$39)+1&gt;ROWS($E$2:$E$39)-COUNTBLANK($E$2:$E$39),"",INDIRECT(ADDRESS(SMALL((IF($E$2:$E$39&lt;&gt;"",ROW($E$2:$E$39),ROW()+ROWS($E$2:$E$39))),ROW()-ROW($F$2:$F$39)+1),COLUMN($E$2:$E$39),4)))</f>
        <v/>
      </c>
      <c r="M36" s="595" t="str">
        <f t="array" aca="1" ref="M36" ca="1">IF(ROW()-ROW($G$2:$G$39)+1&gt;ROWS($F$2:$F$39)-COUNTBLANK($F$2:$F$39),"",INDIRECT(ADDRESS(SMALL((IF($F$2:$F$39&lt;&gt;"",ROW($F$2:$F$39),ROW()+ROWS($F$2:$F$39))),ROW()-ROW($G$2:$G$39)+1),COLUMN($F$2:$F$39),4)))</f>
        <v/>
      </c>
      <c r="N36" s="595" t="str">
        <f t="array" aca="1" ref="N36" ca="1">IF(ROW()-ROW($H$2:$H$39)+1&gt;ROWS($G$2:$G$39)-COUNTBLANK($G$2:$G$39),"",INDIRECT(ADDRESS(SMALL((IF($G$2:$G$39&lt;&gt;"",ROW($G$2:$G$39),ROW()+ROWS($G$2:$G$39))),ROW()-ROW($H$2:$H$39)+1),COLUMN($G$2:$G$39),4)))</f>
        <v/>
      </c>
      <c r="O36" s="591" t="str">
        <f t="array" aca="1" ref="O36" ca="1">IF(ROW()-ROW($I$2:$I$39)+1&gt;ROWS($H$2:$H$39)-COUNTBLANK($H$2:$H$39),"",INDIRECT(ADDRESS(SMALL((IF($H$2:$H$39&lt;&gt;"",ROW($H$2:$H$39),ROW()+ROWS($H$2:$H$39))),ROW()-ROW($I$2:$I$39)+1),COLUMN($H$2:$H$39),4)))</f>
        <v/>
      </c>
      <c r="P36" s="591" t="str">
        <f t="array" aca="1" ref="P36" ca="1">IF(ROW()-ROW($J$2:$J$39)+1&gt;ROWS($I$2:$I$39)-COUNTBLANK($I$2:$I$39),"",INDIRECT(ADDRESS(SMALL((IF($I$2:$I$39&lt;&gt;"",ROW($I$2:$I$39),ROW()+ROWS($I$2:$I$39))),ROW()-ROW($J$2:$J$39)+1),COLUMN($I$2:$I$39),4)))</f>
        <v/>
      </c>
    </row>
    <row r="37" spans="4:16" x14ac:dyDescent="0.3">
      <c r="D37" s="570" t="s">
        <v>437</v>
      </c>
      <c r="E37" s="59" t="str">
        <f>IF(H37="","","2021")</f>
        <v/>
      </c>
      <c r="F37" s="59" t="str">
        <f t="shared" si="15"/>
        <v/>
      </c>
      <c r="G37" s="59" t="str">
        <f t="shared" si="16"/>
        <v/>
      </c>
      <c r="H37" s="365" t="str">
        <f>IF(A7="relevant",IF(Matrix!O24="","",IF(AND(ROUND(Matrix!O24,4)&lt;Berechnung2!$J$36),Berechnung2!$L$36,"")),"")</f>
        <v/>
      </c>
      <c r="I37" s="362" t="str">
        <f>IF(H37="","",VLOOKUP(F37,Berechnung2!$I$15:$J$22,2,FALSE))</f>
        <v/>
      </c>
      <c r="J37" s="344" t="str">
        <f t="shared" si="17"/>
        <v/>
      </c>
      <c r="L37" s="595" t="str">
        <f t="array" aca="1" ref="L37" ca="1">IF(ROW()-ROW($F$2:$F$39)+1&gt;ROWS($E$2:$E$39)-COUNTBLANK($E$2:$E$39),"",INDIRECT(ADDRESS(SMALL((IF($E$2:$E$39&lt;&gt;"",ROW($E$2:$E$39),ROW()+ROWS($E$2:$E$39))),ROW()-ROW($F$2:$F$39)+1),COLUMN($E$2:$E$39),4)))</f>
        <v/>
      </c>
      <c r="M37" s="595" t="str">
        <f t="array" aca="1" ref="M37" ca="1">IF(ROW()-ROW($G$2:$G$39)+1&gt;ROWS($F$2:$F$39)-COUNTBLANK($F$2:$F$39),"",INDIRECT(ADDRESS(SMALL((IF($F$2:$F$39&lt;&gt;"",ROW($F$2:$F$39),ROW()+ROWS($F$2:$F$39))),ROW()-ROW($G$2:$G$39)+1),COLUMN($F$2:$F$39),4)))</f>
        <v/>
      </c>
      <c r="N37" s="595" t="str">
        <f t="array" aca="1" ref="N37" ca="1">IF(ROW()-ROW($H$2:$H$39)+1&gt;ROWS($G$2:$G$39)-COUNTBLANK($G$2:$G$39),"",INDIRECT(ADDRESS(SMALL((IF($G$2:$G$39&lt;&gt;"",ROW($G$2:$G$39),ROW()+ROWS($G$2:$G$39))),ROW()-ROW($H$2:$H$39)+1),COLUMN($G$2:$G$39),4)))</f>
        <v/>
      </c>
      <c r="O37" s="591" t="str">
        <f t="array" aca="1" ref="O37" ca="1">IF(ROW()-ROW($I$2:$I$39)+1&gt;ROWS($H$2:$H$39)-COUNTBLANK($H$2:$H$39),"",INDIRECT(ADDRESS(SMALL((IF($H$2:$H$39&lt;&gt;"",ROW($H$2:$H$39),ROW()+ROWS($H$2:$H$39))),ROW()-ROW($I$2:$I$39)+1),COLUMN($H$2:$H$39),4)))</f>
        <v/>
      </c>
      <c r="P37" s="591" t="str">
        <f t="array" aca="1" ref="P37" ca="1">IF(ROW()-ROW($J$2:$J$39)+1&gt;ROWS($I$2:$I$39)-COUNTBLANK($I$2:$I$39),"",INDIRECT(ADDRESS(SMALL((IF($I$2:$I$39&lt;&gt;"",ROW($I$2:$I$39),ROW()+ROWS($I$2:$I$39))),ROW()-ROW($J$2:$J$39)+1),COLUMN($I$2:$I$39),4)))</f>
        <v/>
      </c>
    </row>
    <row r="38" spans="4:16" ht="12" thickBot="1" x14ac:dyDescent="0.35">
      <c r="D38" s="340"/>
      <c r="E38" s="59" t="str">
        <f>IF(H38="","","2022")</f>
        <v/>
      </c>
      <c r="F38" s="59" t="str">
        <f t="shared" si="15"/>
        <v/>
      </c>
      <c r="G38" s="59" t="str">
        <f t="shared" si="16"/>
        <v/>
      </c>
      <c r="H38" s="365" t="str">
        <f>IF(A8="relevant",IF(Matrix!O25="","",IF(AND(ROUND(Matrix!O25,4)&lt;Berechnung2!$J$36),Berechnung2!$L$36,"")),"")</f>
        <v/>
      </c>
      <c r="I38" s="362" t="str">
        <f>IF(H38="","",VLOOKUP(F38,Berechnung2!$I$15:$J$22,2,FALSE))</f>
        <v/>
      </c>
      <c r="J38" s="344" t="str">
        <f t="shared" si="17"/>
        <v/>
      </c>
      <c r="L38" s="595" t="str">
        <f t="array" aca="1" ref="L38" ca="1">IF(ROW()-ROW($F$2:$F$39)+1&gt;ROWS($E$2:$E$39)-COUNTBLANK($E$2:$E$39),"",INDIRECT(ADDRESS(SMALL((IF($E$2:$E$39&lt;&gt;"",ROW($E$2:$E$39),ROW()+ROWS($E$2:$E$39))),ROW()-ROW($F$2:$F$39)+1),COLUMN($E$2:$E$39),4)))</f>
        <v/>
      </c>
      <c r="M38" s="595" t="str">
        <f t="array" aca="1" ref="M38" ca="1">IF(ROW()-ROW($G$2:$G$39)+1&gt;ROWS($F$2:$F$39)-COUNTBLANK($F$2:$F$39),"",INDIRECT(ADDRESS(SMALL((IF($F$2:$F$39&lt;&gt;"",ROW($F$2:$F$39),ROW()+ROWS($F$2:$F$39))),ROW()-ROW($G$2:$G$39)+1),COLUMN($F$2:$F$39),4)))</f>
        <v/>
      </c>
      <c r="N38" s="595" t="str">
        <f t="array" aca="1" ref="N38" ca="1">IF(ROW()-ROW($H$2:$H$39)+1&gt;ROWS($G$2:$G$39)-COUNTBLANK($G$2:$G$39),"",INDIRECT(ADDRESS(SMALL((IF($G$2:$G$39&lt;&gt;"",ROW($G$2:$G$39),ROW()+ROWS($G$2:$G$39))),ROW()-ROW($H$2:$H$39)+1),COLUMN($G$2:$G$39),4)))</f>
        <v/>
      </c>
      <c r="O38" s="591" t="str">
        <f t="array" aca="1" ref="O38" ca="1">IF(ROW()-ROW($I$2:$I$39)+1&gt;ROWS($H$2:$H$39)-COUNTBLANK($H$2:$H$39),"",INDIRECT(ADDRESS(SMALL((IF($H$2:$H$39&lt;&gt;"",ROW($H$2:$H$39),ROW()+ROWS($H$2:$H$39))),ROW()-ROW($I$2:$I$39)+1),COLUMN($H$2:$H$39),4)))</f>
        <v/>
      </c>
      <c r="P38" s="591" t="str">
        <f t="array" aca="1" ref="P38" ca="1">IF(ROW()-ROW($J$2:$J$39)+1&gt;ROWS($I$2:$I$39)-COUNTBLANK($I$2:$I$39),"",INDIRECT(ADDRESS(SMALL((IF($I$2:$I$39&lt;&gt;"",ROW($I$2:$I$39),ROW()+ROWS($I$2:$I$39))),ROW()-ROW($J$2:$J$39)+1),COLUMN($I$2:$I$39),4)))</f>
        <v/>
      </c>
    </row>
    <row r="39" spans="4:16" ht="39" customHeight="1" thickBot="1" x14ac:dyDescent="0.35">
      <c r="D39" s="520" t="s">
        <v>438</v>
      </c>
      <c r="E39" s="521"/>
      <c r="F39" s="522"/>
      <c r="G39" s="522"/>
      <c r="H39" s="523"/>
      <c r="I39" s="524"/>
      <c r="J39" s="525"/>
      <c r="L39" s="595" t="str">
        <f t="array" aca="1" ref="L39" ca="1">IF(ROW()-ROW($F$2:$F$39)+1&gt;ROWS($E$2:$E$39)-COUNTBLANK($E$2:$E$39),"",INDIRECT(ADDRESS(SMALL((IF($E$2:$E$39&lt;&gt;"",ROW($E$2:$E$39),ROW()+ROWS($E$2:$E$39))),ROW()-ROW($F$2:$F$39)+1),COLUMN($E$2:$E$39),4)))</f>
        <v/>
      </c>
      <c r="M39" s="595" t="str">
        <f t="array" aca="1" ref="M39" ca="1">IF(ROW()-ROW($G$2:$G$39)+1&gt;ROWS($F$2:$F$39)-COUNTBLANK($F$2:$F$39),"",INDIRECT(ADDRESS(SMALL((IF($F$2:$F$39&lt;&gt;"",ROW($F$2:$F$39),ROW()+ROWS($F$2:$F$39))),ROW()-ROW($G$2:$G$39)+1),COLUMN($F$2:$F$39),4)))</f>
        <v/>
      </c>
      <c r="N39" s="595" t="str">
        <f t="array" aca="1" ref="N39" ca="1">IF(ROW()-ROW($H$2:$H$39)+1&gt;ROWS($G$2:$G$39)-COUNTBLANK($G$2:$G$39),"",INDIRECT(ADDRESS(SMALL((IF($G$2:$G$39&lt;&gt;"",ROW($G$2:$G$39),ROW()+ROWS($G$2:$G$39))),ROW()-ROW($H$2:$H$39)+1),COLUMN($G$2:$G$39),4)))</f>
        <v/>
      </c>
      <c r="O39" s="591" t="str">
        <f t="array" aca="1" ref="O39" ca="1">IF(ROW()-ROW($I$2:$I$39)+1&gt;ROWS($H$2:$H$39)-COUNTBLANK($H$2:$H$39),"",INDIRECT(ADDRESS(SMALL((IF($H$2:$H$39&lt;&gt;"",ROW($H$2:$H$39),ROW()+ROWS($H$2:$H$39))),ROW()-ROW($I$2:$I$39)+1),COLUMN($H$2:$H$39),4)))</f>
        <v/>
      </c>
      <c r="P39" s="591" t="str">
        <f t="array" aca="1" ref="P39" ca="1">IF(ROW()-ROW($J$2:$J$39)+1&gt;ROWS($I$2:$I$39)-COUNTBLANK($I$2:$I$39),"",INDIRECT(ADDRESS(SMALL((IF($I$2:$I$39&lt;&gt;"",ROW($I$2:$I$39),ROW()+ROWS($I$2:$I$39))),ROW()-ROW($J$2:$J$39)+1),COLUMN($I$2:$I$39),4)))</f>
        <v/>
      </c>
    </row>
    <row r="41" spans="4:16" ht="13.2" x14ac:dyDescent="0.3">
      <c r="H41" s="1089" t="s">
        <v>101</v>
      </c>
      <c r="I41" s="1089"/>
      <c r="J41" s="352">
        <f>IF(SUM(J2:J8)=0,0,SUM(J2:J8))</f>
        <v>0</v>
      </c>
    </row>
    <row r="42" spans="4:16" ht="13.2" x14ac:dyDescent="0.3">
      <c r="H42" s="1090" t="s">
        <v>99</v>
      </c>
      <c r="I42" s="1090"/>
      <c r="J42" s="351">
        <f>IF(SUM(J9:J22)=0,0,SUM(J9:J22))</f>
        <v>0</v>
      </c>
    </row>
    <row r="43" spans="4:16" ht="13.2" x14ac:dyDescent="0.3">
      <c r="H43" s="1093" t="s">
        <v>79</v>
      </c>
      <c r="I43" s="1093"/>
      <c r="J43" s="350">
        <f>IF(SUM(J24:J39)=0,0,SUM(J24:J39))</f>
        <v>0</v>
      </c>
    </row>
    <row r="44" spans="4:16" ht="13.2" x14ac:dyDescent="0.3">
      <c r="D44" s="335" t="s">
        <v>430</v>
      </c>
      <c r="H44" s="1088" t="s">
        <v>10</v>
      </c>
      <c r="I44" s="1088"/>
      <c r="J44" s="100">
        <f>IF(J23="",0,J23)</f>
        <v>0</v>
      </c>
    </row>
  </sheetData>
  <mergeCells count="8">
    <mergeCell ref="H44:I44"/>
    <mergeCell ref="H41:I41"/>
    <mergeCell ref="H42:I42"/>
    <mergeCell ref="D10:D13"/>
    <mergeCell ref="D17:D20"/>
    <mergeCell ref="D25:D28"/>
    <mergeCell ref="D33:D36"/>
    <mergeCell ref="H43:I43"/>
  </mergeCells>
  <pageMargins left="0.7" right="0.7" top="0.78740157499999996" bottom="0.78740157499999996"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Tabelle6"/>
  <dimension ref="B1:O52"/>
  <sheetViews>
    <sheetView showGridLines="0" zoomScaleNormal="100" zoomScaleSheetLayoutView="120" workbookViewId="0">
      <selection activeCell="D17" sqref="D17:H17"/>
    </sheetView>
  </sheetViews>
  <sheetFormatPr defaultColWidth="9" defaultRowHeight="13.8" x14ac:dyDescent="0.25"/>
  <cols>
    <col min="1" max="1" width="1.6640625" style="4" customWidth="1"/>
    <col min="2" max="2" width="14.109375" style="4" customWidth="1"/>
    <col min="3" max="3" width="25.33203125" style="4" customWidth="1"/>
    <col min="4" max="4" width="22" style="4" customWidth="1"/>
    <col min="5" max="5" width="21.88671875" style="4" customWidth="1"/>
    <col min="6" max="6" width="20.6640625" style="4" customWidth="1"/>
    <col min="7" max="7" width="21" style="4" customWidth="1"/>
    <col min="8" max="8" width="14.5546875" style="4" customWidth="1"/>
    <col min="9" max="183" width="11.44140625" style="4" customWidth="1"/>
    <col min="184" max="16384" width="9" style="4"/>
  </cols>
  <sheetData>
    <row r="1" spans="2:15" ht="9.9" customHeight="1" x14ac:dyDescent="0.25">
      <c r="C1" s="33"/>
      <c r="F1" s="22"/>
    </row>
    <row r="2" spans="2:15" ht="12.9" customHeight="1" x14ac:dyDescent="0.25">
      <c r="B2" s="518" t="s">
        <v>963</v>
      </c>
      <c r="C2" s="8"/>
      <c r="D2" s="8"/>
      <c r="F2" s="22"/>
    </row>
    <row r="3" spans="2:15" ht="16.8" x14ac:dyDescent="0.3">
      <c r="B3" s="51" t="s">
        <v>948</v>
      </c>
      <c r="F3" s="22"/>
      <c r="G3" s="23"/>
    </row>
    <row r="4" spans="2:15" x14ac:dyDescent="0.25">
      <c r="B4" s="27"/>
      <c r="K4" s="27"/>
    </row>
    <row r="5" spans="2:15" ht="11.25" customHeight="1" x14ac:dyDescent="0.25">
      <c r="B5" s="8"/>
      <c r="C5" s="8"/>
      <c r="D5" s="8"/>
      <c r="E5" s="13"/>
      <c r="F5" s="13"/>
      <c r="G5" s="13"/>
      <c r="H5" s="13"/>
      <c r="I5" s="13"/>
      <c r="J5" s="13"/>
      <c r="K5" s="27"/>
    </row>
    <row r="6" spans="2:15" s="29" customFormat="1" ht="15" customHeight="1" x14ac:dyDescent="0.25">
      <c r="B6" s="167" t="s">
        <v>135</v>
      </c>
      <c r="C6" s="1099" t="str">
        <f>IF(Basisdaten!C8=0,"",Basisdaten!C8)</f>
        <v/>
      </c>
      <c r="D6" s="1100"/>
      <c r="E6" s="1100"/>
      <c r="F6" s="1100"/>
      <c r="G6" s="1101"/>
      <c r="I6" s="27"/>
      <c r="J6" s="27"/>
      <c r="K6" s="25"/>
      <c r="L6" s="27"/>
      <c r="M6" s="27"/>
    </row>
    <row r="7" spans="2:15" s="29" customFormat="1" ht="6.9" customHeight="1" x14ac:dyDescent="0.25">
      <c r="B7" s="195"/>
      <c r="C7" s="195"/>
      <c r="D7" s="13"/>
      <c r="E7" s="13"/>
      <c r="F7" s="13"/>
      <c r="G7" s="13"/>
      <c r="H7" s="13"/>
      <c r="I7" s="13"/>
      <c r="K7" s="27"/>
      <c r="L7" s="27"/>
      <c r="M7" s="25"/>
      <c r="N7" s="27"/>
      <c r="O7" s="27"/>
    </row>
    <row r="8" spans="2:15" s="29" customFormat="1" ht="15" customHeight="1" x14ac:dyDescent="0.25">
      <c r="B8" s="167" t="s">
        <v>81</v>
      </c>
      <c r="C8" s="216" t="str">
        <f>IF(Basisdaten!C6=0,"",Basisdaten!C6)</f>
        <v/>
      </c>
      <c r="D8" s="208"/>
      <c r="F8" s="281" t="s">
        <v>375</v>
      </c>
      <c r="G8" s="217" t="str">
        <f>IF(Basisdaten!I12=0,"",Basisdaten!I12)</f>
        <v/>
      </c>
      <c r="I8" s="27"/>
      <c r="J8" s="27"/>
      <c r="K8" s="25"/>
      <c r="L8" s="27"/>
      <c r="M8" s="27"/>
    </row>
    <row r="9" spans="2:15" s="29" customFormat="1" ht="9.75" customHeight="1" x14ac:dyDescent="0.25">
      <c r="B9" s="183"/>
      <c r="C9" s="196"/>
      <c r="D9" s="194"/>
      <c r="E9" s="183"/>
      <c r="F9" s="194"/>
      <c r="G9" s="183"/>
      <c r="J9" s="16"/>
      <c r="K9" s="38"/>
      <c r="L9" s="38"/>
      <c r="M9" s="38"/>
      <c r="N9" s="38"/>
      <c r="O9" s="38"/>
    </row>
    <row r="10" spans="2:15" ht="4.5" customHeight="1" x14ac:dyDescent="0.25">
      <c r="B10" s="8"/>
      <c r="C10" s="8"/>
      <c r="D10" s="8"/>
      <c r="E10" s="8"/>
      <c r="F10" s="8"/>
      <c r="G10" s="8"/>
      <c r="J10" s="40"/>
      <c r="K10" s="39"/>
      <c r="L10" s="39"/>
      <c r="M10" s="39"/>
      <c r="N10" s="39"/>
      <c r="O10" s="39"/>
    </row>
    <row r="11" spans="2:15" s="8" customFormat="1" ht="18" customHeight="1" x14ac:dyDescent="0.25">
      <c r="B11" s="224" t="s">
        <v>109</v>
      </c>
    </row>
    <row r="12" spans="2:15" s="8" customFormat="1" ht="13.5" customHeight="1" x14ac:dyDescent="0.25">
      <c r="B12" s="1102" t="str">
        <f>IF(OR(B13="",B13="Matrix kann eingereicht werden"),"In Ordnung",IF(B13="die inkorrekten und unvollständigen Einträge beheben","Nicht in Ordnung"))</f>
        <v>In Ordnung</v>
      </c>
      <c r="C12" s="1102"/>
      <c r="D12" s="279" t="s">
        <v>79</v>
      </c>
      <c r="E12" s="214" t="s">
        <v>10</v>
      </c>
      <c r="F12" s="215" t="s">
        <v>99</v>
      </c>
      <c r="G12" s="215" t="s">
        <v>460</v>
      </c>
    </row>
    <row r="13" spans="2:15" s="8" customFormat="1" ht="21" customHeight="1" x14ac:dyDescent="0.25">
      <c r="B13" s="1106" t="str">
        <f>Berechnung2!B6</f>
        <v/>
      </c>
      <c r="C13" s="1107"/>
      <c r="D13" s="278">
        <f>Berechnung2!C6</f>
        <v>0</v>
      </c>
      <c r="E13" s="69">
        <f>Berechnung2!D6</f>
        <v>0</v>
      </c>
      <c r="F13" s="233">
        <f>Berechnung2!E6</f>
        <v>0</v>
      </c>
      <c r="G13" s="233">
        <f>Berechnung2!F6</f>
        <v>0</v>
      </c>
    </row>
    <row r="14" spans="2:15" s="29" customFormat="1" ht="12" customHeight="1" x14ac:dyDescent="0.25">
      <c r="B14" s="183"/>
      <c r="C14" s="54"/>
      <c r="D14" s="54"/>
      <c r="E14" s="183"/>
      <c r="F14" s="183"/>
      <c r="G14" s="183"/>
    </row>
    <row r="15" spans="2:15" ht="14.25" customHeight="1" x14ac:dyDescent="0.25">
      <c r="B15" s="1103" t="s">
        <v>130</v>
      </c>
      <c r="C15" s="1105" t="s">
        <v>62</v>
      </c>
      <c r="D15" s="941" t="s">
        <v>396</v>
      </c>
      <c r="E15" s="1097"/>
      <c r="F15" s="1097"/>
      <c r="G15" s="1097"/>
      <c r="H15" s="1098"/>
    </row>
    <row r="16" spans="2:15" s="21" customFormat="1" ht="9" customHeight="1" x14ac:dyDescent="0.25">
      <c r="B16" s="1104"/>
      <c r="C16" s="1104"/>
      <c r="D16" s="1097"/>
      <c r="E16" s="1097"/>
      <c r="F16" s="1097"/>
      <c r="G16" s="1097"/>
      <c r="H16" s="1098"/>
    </row>
    <row r="17" spans="2:8" ht="66" customHeight="1" x14ac:dyDescent="0.3">
      <c r="B17" s="209" t="str">
        <f>IF(ISERROR(Berechnung2!G15),"",Berechnung2!G15)</f>
        <v/>
      </c>
      <c r="C17" s="209" t="str">
        <f>IF(ISERROR(Berechnung2!H15),"",Berechnung2!H15)</f>
        <v/>
      </c>
      <c r="D17" s="1094"/>
      <c r="E17" s="1095"/>
      <c r="F17" s="1095"/>
      <c r="G17" s="1095"/>
      <c r="H17" s="1096"/>
    </row>
    <row r="18" spans="2:8" ht="66" customHeight="1" x14ac:dyDescent="0.3">
      <c r="B18" s="209" t="str">
        <f>IF(ISERROR(Berechnung2!G16),"",Berechnung2!G16)</f>
        <v/>
      </c>
      <c r="C18" s="209" t="str">
        <f>IF(ISERROR(Berechnung2!H16),"",Berechnung2!H16)</f>
        <v/>
      </c>
      <c r="D18" s="1094"/>
      <c r="E18" s="1095"/>
      <c r="F18" s="1095"/>
      <c r="G18" s="1095"/>
      <c r="H18" s="1096"/>
    </row>
    <row r="19" spans="2:8" ht="66" customHeight="1" x14ac:dyDescent="0.3">
      <c r="B19" s="209" t="str">
        <f>IF(ISERROR(Berechnung2!G17),"",Berechnung2!G17)</f>
        <v/>
      </c>
      <c r="C19" s="209" t="str">
        <f>IF(ISERROR(Berechnung2!H17),"",Berechnung2!H17)</f>
        <v/>
      </c>
      <c r="D19" s="1094"/>
      <c r="E19" s="1095"/>
      <c r="F19" s="1095"/>
      <c r="G19" s="1095"/>
      <c r="H19" s="1096"/>
    </row>
    <row r="20" spans="2:8" ht="66" customHeight="1" x14ac:dyDescent="0.3">
      <c r="B20" s="209" t="str">
        <f>IF(ISERROR(Berechnung2!G18),"",Berechnung2!G18)</f>
        <v/>
      </c>
      <c r="C20" s="209" t="str">
        <f>IF(ISERROR(Berechnung2!H18),"",Berechnung2!H18)</f>
        <v/>
      </c>
      <c r="D20" s="1094"/>
      <c r="E20" s="1095"/>
      <c r="F20" s="1095"/>
      <c r="G20" s="1095"/>
      <c r="H20" s="1096"/>
    </row>
    <row r="21" spans="2:8" ht="66" customHeight="1" x14ac:dyDescent="0.3">
      <c r="B21" s="209" t="str">
        <f>IF(ISERROR(Berechnung2!G19),"",Berechnung2!G19)</f>
        <v/>
      </c>
      <c r="C21" s="209" t="str">
        <f>IF(ISERROR(Berechnung2!H19),"",Berechnung2!H19)</f>
        <v/>
      </c>
      <c r="D21" s="1094"/>
      <c r="E21" s="1095"/>
      <c r="F21" s="1095"/>
      <c r="G21" s="1095"/>
      <c r="H21" s="1096"/>
    </row>
    <row r="22" spans="2:8" ht="66" customHeight="1" x14ac:dyDescent="0.3">
      <c r="B22" s="209" t="str">
        <f>IF(ISERROR(Berechnung2!G20),"",Berechnung2!G20)</f>
        <v/>
      </c>
      <c r="C22" s="209" t="str">
        <f>IF(ISERROR(Berechnung2!H20),"",Berechnung2!H20)</f>
        <v/>
      </c>
      <c r="D22" s="1094"/>
      <c r="E22" s="1095"/>
      <c r="F22" s="1095"/>
      <c r="G22" s="1095"/>
      <c r="H22" s="1096"/>
    </row>
    <row r="23" spans="2:8" ht="66" customHeight="1" x14ac:dyDescent="0.3">
      <c r="B23" s="169" t="str">
        <f>IF(ISERROR(Berechnung2!G21),"",Berechnung2!G21)</f>
        <v/>
      </c>
      <c r="C23" s="169" t="str">
        <f>IF(ISERROR(Berechnung2!H21),"",Berechnung2!H21)</f>
        <v/>
      </c>
      <c r="D23" s="1094"/>
      <c r="E23" s="1095"/>
      <c r="F23" s="1095"/>
      <c r="G23" s="1095"/>
      <c r="H23" s="1096"/>
    </row>
    <row r="24" spans="2:8" x14ac:dyDescent="0.25">
      <c r="B24" s="8"/>
      <c r="C24" s="8"/>
      <c r="D24" s="8"/>
      <c r="E24" s="8"/>
      <c r="F24" s="8"/>
      <c r="G24" s="8"/>
    </row>
    <row r="25" spans="2:8" x14ac:dyDescent="0.25">
      <c r="B25" s="8"/>
      <c r="C25" s="8"/>
      <c r="D25" s="8"/>
      <c r="E25" s="8"/>
      <c r="F25" s="8"/>
      <c r="G25" s="8"/>
    </row>
    <row r="26" spans="2:8" x14ac:dyDescent="0.25">
      <c r="B26" s="8"/>
      <c r="C26" s="8"/>
      <c r="D26" s="8"/>
      <c r="E26" s="8"/>
      <c r="F26" s="8"/>
      <c r="G26" s="8"/>
    </row>
    <row r="27" spans="2:8" x14ac:dyDescent="0.25">
      <c r="B27" s="8"/>
      <c r="C27" s="8"/>
      <c r="D27" s="8"/>
      <c r="E27" s="8"/>
      <c r="F27" s="8"/>
      <c r="G27" s="8"/>
    </row>
    <row r="28" spans="2:8" x14ac:dyDescent="0.25">
      <c r="B28" s="8"/>
      <c r="C28" s="8"/>
      <c r="D28" s="8"/>
      <c r="E28" s="8"/>
      <c r="F28" s="8"/>
      <c r="G28" s="8"/>
    </row>
    <row r="29" spans="2:8" x14ac:dyDescent="0.25">
      <c r="B29" s="8"/>
      <c r="C29" s="8"/>
      <c r="D29" s="8"/>
      <c r="E29" s="8"/>
      <c r="F29" s="8"/>
      <c r="G29" s="8"/>
    </row>
    <row r="30" spans="2:8" x14ac:dyDescent="0.25">
      <c r="B30" s="8"/>
      <c r="C30" s="8"/>
      <c r="D30" s="8"/>
      <c r="E30" s="8"/>
      <c r="F30" s="8"/>
      <c r="G30" s="8"/>
    </row>
    <row r="31" spans="2:8" x14ac:dyDescent="0.25">
      <c r="B31" s="8"/>
      <c r="C31" s="8"/>
      <c r="D31" s="8"/>
      <c r="E31" s="8"/>
      <c r="F31" s="8"/>
      <c r="G31" s="8"/>
    </row>
    <row r="32" spans="2:8" ht="24.75" customHeight="1" x14ac:dyDescent="0.25">
      <c r="B32" s="8"/>
      <c r="C32" s="8"/>
      <c r="D32" s="8"/>
      <c r="E32" s="8"/>
      <c r="F32" s="8"/>
      <c r="G32" s="8"/>
    </row>
    <row r="49" spans="8:8" x14ac:dyDescent="0.25">
      <c r="H49" s="248"/>
    </row>
    <row r="52" spans="8:8" x14ac:dyDescent="0.25">
      <c r="H52" s="248"/>
    </row>
  </sheetData>
  <sheetProtection algorithmName="SHA-512" hashValue="1PgI2LiY9o7iHiE1JPL5185gKHI0SmvlpNBMsLcROUQMx7FWuIFl4OkSzxg5pk0RZ4wzwi2mZYNTEjr6jjHwgA==" saltValue="xSAyV2oJb1GZoGddLGvdwg==" spinCount="100000" sheet="1" objects="1" scenarios="1" selectLockedCells="1"/>
  <customSheetViews>
    <customSheetView guid="{DAA0C1F4-4D8F-4BD8-91F9-40281B589772}" showGridLines="0">
      <selection activeCell="K19" sqref="K19"/>
      <pageMargins left="0.11811023622047245" right="0.11811023622047245" top="0.11811023622047245" bottom="0.11811023622047245" header="0.11811023622047245" footer="3.937007874015748E-2"/>
      <pageSetup paperSize="9" orientation="landscape" r:id="rId1"/>
      <headerFooter>
        <oddFooter>&amp;L&amp;"Arial,Standard"&amp;7&amp;F&amp;C&amp;"Arial,Standard"&amp;7 © DKG  Alle Rechte vorbehalten&amp;R&amp;"Arial,Standard"&amp;7&amp;P</oddFooter>
      </headerFooter>
    </customSheetView>
    <customSheetView guid="{AD479C9E-06F7-4C03-8179-295428B49475}" showGridLines="0">
      <selection activeCell="C17" sqref="C17:F17"/>
      <pageMargins left="0.11811023622047245" right="0.11811023622047245" top="0.11811023622047245" bottom="0.11811023622047245" header="0.11811023622047245" footer="3.937007874015748E-2"/>
      <pageSetup paperSize="9" orientation="landscape" r:id="rId2"/>
      <headerFooter>
        <oddFooter>&amp;L&amp;"Arial,Standard"&amp;7&amp;F&amp;C&amp;"Arial,Standard"&amp;7 © DKG  Alle Rechte vorbehalten&amp;R&amp;"Arial,Standard"&amp;7&amp;P</oddFooter>
      </headerFooter>
    </customSheetView>
  </customSheetViews>
  <mergeCells count="13">
    <mergeCell ref="C6:G6"/>
    <mergeCell ref="B12:C12"/>
    <mergeCell ref="B15:B16"/>
    <mergeCell ref="C15:C16"/>
    <mergeCell ref="B13:C13"/>
    <mergeCell ref="D23:H23"/>
    <mergeCell ref="D15:H16"/>
    <mergeCell ref="D17:H17"/>
    <mergeCell ref="D18:H18"/>
    <mergeCell ref="D19:H19"/>
    <mergeCell ref="D20:H20"/>
    <mergeCell ref="D21:H21"/>
    <mergeCell ref="D22:H22"/>
  </mergeCells>
  <phoneticPr fontId="40" type="noConversion"/>
  <conditionalFormatting sqref="D12:E13 F12:G12 H12:IV13 A9:XFD9 A11:XFD11">
    <cfRule type="cellIs" dxfId="20" priority="185" operator="lessThan">
      <formula>0</formula>
    </cfRule>
  </conditionalFormatting>
  <conditionalFormatting sqref="D17:G17">
    <cfRule type="notContainsBlanks" dxfId="19" priority="21" stopIfTrue="1">
      <formula>LEN(TRIM(D17))&gt;0</formula>
    </cfRule>
    <cfRule type="expression" dxfId="18" priority="2433" stopIfTrue="1">
      <formula>B17&lt;&gt;""</formula>
    </cfRule>
  </conditionalFormatting>
  <conditionalFormatting sqref="C17:C23">
    <cfRule type="expression" dxfId="17" priority="9">
      <formula>SEARCH("Unvollständig",$C17,1)</formula>
    </cfRule>
    <cfRule type="expression" dxfId="16" priority="31">
      <formula>SEARCH($E$12,$C17,1)</formula>
    </cfRule>
    <cfRule type="expression" dxfId="15" priority="32">
      <formula>SEARCH($D$12,$C17,1)</formula>
    </cfRule>
    <cfRule type="expression" dxfId="14" priority="33" stopIfTrue="1">
      <formula>SEARCH($F$12,$C17,1)</formula>
    </cfRule>
  </conditionalFormatting>
  <conditionalFormatting sqref="D18:G18">
    <cfRule type="notContainsBlanks" dxfId="13" priority="2432" stopIfTrue="1">
      <formula>LEN(TRIM(D18))&gt;0</formula>
    </cfRule>
    <cfRule type="expression" dxfId="12" priority="2434" stopIfTrue="1">
      <formula>B18&lt;&gt;""</formula>
    </cfRule>
  </conditionalFormatting>
  <conditionalFormatting sqref="D19:G19">
    <cfRule type="notContainsBlanks" dxfId="11" priority="29" stopIfTrue="1">
      <formula>LEN(TRIM(D19))&gt;0</formula>
    </cfRule>
    <cfRule type="expression" dxfId="10" priority="2435" stopIfTrue="1">
      <formula>B19&lt;&gt;""</formula>
    </cfRule>
  </conditionalFormatting>
  <conditionalFormatting sqref="D20:G20">
    <cfRule type="notContainsBlanks" dxfId="9" priority="28" stopIfTrue="1">
      <formula>LEN(TRIM(D20))&gt;0</formula>
    </cfRule>
    <cfRule type="expression" dxfId="8" priority="2436" stopIfTrue="1">
      <formula>B20&lt;&gt;""</formula>
    </cfRule>
  </conditionalFormatting>
  <conditionalFormatting sqref="D21:G21">
    <cfRule type="notContainsBlanks" dxfId="7" priority="27" stopIfTrue="1">
      <formula>LEN(TRIM(D21))&gt;0</formula>
    </cfRule>
    <cfRule type="expression" dxfId="6" priority="2437" stopIfTrue="1">
      <formula>B21&lt;&gt;""</formula>
    </cfRule>
  </conditionalFormatting>
  <conditionalFormatting sqref="D22:G22">
    <cfRule type="notContainsBlanks" dxfId="5" priority="24" stopIfTrue="1">
      <formula>LEN(TRIM(D22))&gt;0</formula>
    </cfRule>
    <cfRule type="expression" dxfId="4" priority="2438" stopIfTrue="1">
      <formula>B22&lt;&gt;""</formula>
    </cfRule>
  </conditionalFormatting>
  <conditionalFormatting sqref="D23:G23">
    <cfRule type="notContainsBlanks" dxfId="3" priority="23" stopIfTrue="1">
      <formula>LEN(TRIM(D23))&gt;0</formula>
    </cfRule>
    <cfRule type="expression" dxfId="2" priority="2439" stopIfTrue="1">
      <formula>B23&lt;&gt;""</formula>
    </cfRule>
  </conditionalFormatting>
  <conditionalFormatting sqref="B13:C13">
    <cfRule type="expression" dxfId="1" priority="2" stopIfTrue="1">
      <formula>$B$13="die inkorrekten und unvollständigen Einträge beheben"</formula>
    </cfRule>
  </conditionalFormatting>
  <conditionalFormatting sqref="B12:C12">
    <cfRule type="expression" dxfId="0" priority="1" stopIfTrue="1">
      <formula>$B$12="Nicht in Ordnung"</formula>
    </cfRule>
  </conditionalFormatting>
  <dataValidations count="1">
    <dataValidation type="textLength" allowBlank="1" showErrorMessage="1" errorTitle="Zeichenlänge" error="Minimal 30 Zeichen und max. 450 Zeichen." sqref="D17:H23" xr:uid="{00000000-0002-0000-0D00-000000000000}">
      <formula1>30</formula1>
      <formula2>450</formula2>
    </dataValidation>
  </dataValidations>
  <pageMargins left="0.39370078740157483" right="3.937007874015748E-2" top="0.59055118110236227" bottom="0.39370078740157483" header="0.11811023622047245" footer="0.11811023622047245"/>
  <pageSetup paperSize="9" orientation="landscape" r:id="rId3"/>
  <headerFooter>
    <oddFooter>&amp;L&amp;"Arial,Standard"&amp;7&amp;F&amp;C&amp;"Arial,Standard"&amp;7 © DKG  Alle Rechte vorbehalten&amp;R&amp;"Arial,Standard"&amp;7&amp;P</oddFooter>
    <firstHeader>&amp;C&amp;F&amp;RUnabhängiges Zertifizierungsinstitut
der Deutschen Krebsgesellschaft
Gartenstraße 24, D-89231 Neu-Ulm
Tel. +49  (0)7 31 / 70 51 16 - 0
Fax  +49  (0)7 31 / 70 51 16 - 16
www.onkozert.de, info@onkozert.d</firstHeader>
  </headerFooter>
  <drawing r:id="rId4"/>
  <legacyDrawing r:id="rId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Tabelle13"/>
  <dimension ref="A1:D39"/>
  <sheetViews>
    <sheetView workbookViewId="0">
      <selection activeCell="A39" sqref="A39"/>
    </sheetView>
  </sheetViews>
  <sheetFormatPr defaultColWidth="11.44140625" defaultRowHeight="11.4" x14ac:dyDescent="0.3"/>
  <cols>
    <col min="1" max="1" width="20.88671875" style="358" customWidth="1"/>
    <col min="2" max="2" width="20.109375" style="358" customWidth="1"/>
    <col min="3" max="3" width="61.33203125" style="353" customWidth="1"/>
    <col min="4" max="4" width="58" style="357" customWidth="1"/>
    <col min="5" max="16384" width="11.44140625" style="354"/>
  </cols>
  <sheetData>
    <row r="1" spans="1:4" ht="24" x14ac:dyDescent="0.3">
      <c r="A1" s="355" t="s">
        <v>130</v>
      </c>
      <c r="B1" s="356" t="s">
        <v>439</v>
      </c>
      <c r="C1" s="356" t="s">
        <v>62</v>
      </c>
      <c r="D1" s="355" t="s">
        <v>396</v>
      </c>
    </row>
    <row r="2" spans="1:4" x14ac:dyDescent="0.3">
      <c r="A2" s="358" t="str">
        <f ca="1">Berechnung3!L2</f>
        <v/>
      </c>
      <c r="B2" s="358" t="str">
        <f ca="1">Berechnung3!N2</f>
        <v/>
      </c>
      <c r="C2" s="353" t="str">
        <f ca="1">Berechnung3!O2</f>
        <v/>
      </c>
      <c r="D2" s="357" t="str">
        <f ca="1">Berechnung3!P2</f>
        <v/>
      </c>
    </row>
    <row r="3" spans="1:4" x14ac:dyDescent="0.3">
      <c r="A3" s="358" t="str">
        <f ca="1">Berechnung3!L3</f>
        <v/>
      </c>
      <c r="B3" s="358" t="str">
        <f ca="1">Berechnung3!N3</f>
        <v/>
      </c>
      <c r="C3" s="353" t="str">
        <f ca="1">Berechnung3!O3</f>
        <v/>
      </c>
      <c r="D3" s="357" t="str">
        <f ca="1">Berechnung3!P3</f>
        <v/>
      </c>
    </row>
    <row r="4" spans="1:4" x14ac:dyDescent="0.3">
      <c r="A4" s="358" t="str">
        <f ca="1">Berechnung3!L4</f>
        <v/>
      </c>
      <c r="B4" s="358" t="str">
        <f ca="1">Berechnung3!N4</f>
        <v/>
      </c>
      <c r="C4" s="353" t="str">
        <f ca="1">Berechnung3!O4</f>
        <v/>
      </c>
      <c r="D4" s="357" t="str">
        <f ca="1">Berechnung3!P4</f>
        <v/>
      </c>
    </row>
    <row r="5" spans="1:4" x14ac:dyDescent="0.3">
      <c r="A5" s="358" t="str">
        <f ca="1">Berechnung3!L5</f>
        <v/>
      </c>
      <c r="B5" s="358" t="str">
        <f ca="1">Berechnung3!N5</f>
        <v/>
      </c>
      <c r="C5" s="353" t="str">
        <f ca="1">Berechnung3!O5</f>
        <v/>
      </c>
      <c r="D5" s="357" t="str">
        <f ca="1">Berechnung3!P5</f>
        <v/>
      </c>
    </row>
    <row r="6" spans="1:4" x14ac:dyDescent="0.3">
      <c r="A6" s="358" t="str">
        <f ca="1">Berechnung3!L6</f>
        <v/>
      </c>
      <c r="B6" s="358" t="str">
        <f ca="1">Berechnung3!N6</f>
        <v/>
      </c>
      <c r="C6" s="353" t="str">
        <f ca="1">Berechnung3!O6</f>
        <v/>
      </c>
      <c r="D6" s="357" t="str">
        <f ca="1">Berechnung3!P6</f>
        <v/>
      </c>
    </row>
    <row r="7" spans="1:4" x14ac:dyDescent="0.3">
      <c r="A7" s="358" t="str">
        <f ca="1">Berechnung3!L7</f>
        <v/>
      </c>
      <c r="B7" s="358" t="str">
        <f ca="1">Berechnung3!N7</f>
        <v/>
      </c>
      <c r="C7" s="353" t="str">
        <f ca="1">Berechnung3!O7</f>
        <v/>
      </c>
      <c r="D7" s="357" t="str">
        <f ca="1">Berechnung3!P7</f>
        <v/>
      </c>
    </row>
    <row r="8" spans="1:4" x14ac:dyDescent="0.3">
      <c r="A8" s="358" t="str">
        <f ca="1">Berechnung3!L8</f>
        <v/>
      </c>
      <c r="B8" s="358" t="str">
        <f ca="1">Berechnung3!N8</f>
        <v/>
      </c>
      <c r="C8" s="353" t="str">
        <f ca="1">Berechnung3!O8</f>
        <v/>
      </c>
      <c r="D8" s="357" t="str">
        <f ca="1">Berechnung3!P8</f>
        <v/>
      </c>
    </row>
    <row r="9" spans="1:4" x14ac:dyDescent="0.3">
      <c r="A9" s="358" t="str">
        <f ca="1">Berechnung3!L9</f>
        <v/>
      </c>
      <c r="B9" s="358" t="str">
        <f ca="1">Berechnung3!N9</f>
        <v/>
      </c>
      <c r="C9" s="353" t="str">
        <f ca="1">Berechnung3!O9</f>
        <v/>
      </c>
      <c r="D9" s="357" t="str">
        <f ca="1">Berechnung3!P9</f>
        <v/>
      </c>
    </row>
    <row r="10" spans="1:4" x14ac:dyDescent="0.3">
      <c r="A10" s="358" t="str">
        <f ca="1">Berechnung3!L10</f>
        <v/>
      </c>
      <c r="B10" s="358" t="str">
        <f ca="1">Berechnung3!N10</f>
        <v/>
      </c>
      <c r="C10" s="353" t="str">
        <f ca="1">Berechnung3!O10</f>
        <v/>
      </c>
      <c r="D10" s="357" t="str">
        <f ca="1">Berechnung3!P10</f>
        <v/>
      </c>
    </row>
    <row r="11" spans="1:4" x14ac:dyDescent="0.3">
      <c r="A11" s="358" t="str">
        <f ca="1">Berechnung3!L11</f>
        <v/>
      </c>
      <c r="B11" s="358" t="str">
        <f ca="1">Berechnung3!N11</f>
        <v/>
      </c>
      <c r="C11" s="353" t="str">
        <f ca="1">Berechnung3!O11</f>
        <v/>
      </c>
      <c r="D11" s="357" t="str">
        <f ca="1">Berechnung3!P11</f>
        <v/>
      </c>
    </row>
    <row r="12" spans="1:4" x14ac:dyDescent="0.3">
      <c r="A12" s="358" t="str">
        <f ca="1">Berechnung3!L12</f>
        <v/>
      </c>
      <c r="B12" s="358" t="str">
        <f ca="1">Berechnung3!N12</f>
        <v/>
      </c>
      <c r="C12" s="353" t="str">
        <f ca="1">Berechnung3!O12</f>
        <v/>
      </c>
      <c r="D12" s="357" t="str">
        <f ca="1">Berechnung3!P12</f>
        <v/>
      </c>
    </row>
    <row r="13" spans="1:4" x14ac:dyDescent="0.3">
      <c r="A13" s="358" t="str">
        <f ca="1">Berechnung3!L13</f>
        <v/>
      </c>
      <c r="B13" s="358" t="str">
        <f ca="1">Berechnung3!N13</f>
        <v/>
      </c>
      <c r="C13" s="353" t="str">
        <f ca="1">Berechnung3!O13</f>
        <v/>
      </c>
      <c r="D13" s="357" t="str">
        <f ca="1">Berechnung3!P13</f>
        <v/>
      </c>
    </row>
    <row r="14" spans="1:4" x14ac:dyDescent="0.3">
      <c r="A14" s="358" t="str">
        <f ca="1">Berechnung3!L14</f>
        <v/>
      </c>
      <c r="B14" s="358" t="str">
        <f ca="1">Berechnung3!N14</f>
        <v/>
      </c>
      <c r="C14" s="353" t="str">
        <f ca="1">Berechnung3!O14</f>
        <v/>
      </c>
      <c r="D14" s="357" t="str">
        <f ca="1">Berechnung3!P14</f>
        <v/>
      </c>
    </row>
    <row r="15" spans="1:4" x14ac:dyDescent="0.3">
      <c r="A15" s="358" t="str">
        <f ca="1">Berechnung3!L15</f>
        <v/>
      </c>
      <c r="B15" s="358" t="str">
        <f ca="1">Berechnung3!N15</f>
        <v/>
      </c>
      <c r="C15" s="353" t="str">
        <f ca="1">Berechnung3!O15</f>
        <v/>
      </c>
      <c r="D15" s="357" t="str">
        <f ca="1">Berechnung3!P15</f>
        <v/>
      </c>
    </row>
    <row r="16" spans="1:4" x14ac:dyDescent="0.3">
      <c r="A16" s="358" t="str">
        <f ca="1">Berechnung3!L16</f>
        <v/>
      </c>
      <c r="B16" s="358" t="str">
        <f ca="1">Berechnung3!N16</f>
        <v/>
      </c>
      <c r="C16" s="353" t="str">
        <f ca="1">Berechnung3!O16</f>
        <v/>
      </c>
      <c r="D16" s="357" t="str">
        <f ca="1">Berechnung3!P16</f>
        <v/>
      </c>
    </row>
    <row r="17" spans="1:4" x14ac:dyDescent="0.3">
      <c r="A17" s="358" t="str">
        <f ca="1">Berechnung3!L17</f>
        <v/>
      </c>
      <c r="B17" s="358" t="str">
        <f ca="1">Berechnung3!N17</f>
        <v/>
      </c>
      <c r="C17" s="353" t="str">
        <f ca="1">Berechnung3!O17</f>
        <v/>
      </c>
      <c r="D17" s="357" t="str">
        <f ca="1">Berechnung3!P17</f>
        <v/>
      </c>
    </row>
    <row r="18" spans="1:4" x14ac:dyDescent="0.3">
      <c r="A18" s="358" t="str">
        <f ca="1">Berechnung3!L18</f>
        <v/>
      </c>
      <c r="B18" s="358" t="str">
        <f ca="1">Berechnung3!N18</f>
        <v/>
      </c>
      <c r="C18" s="353" t="str">
        <f ca="1">Berechnung3!O18</f>
        <v/>
      </c>
      <c r="D18" s="357" t="str">
        <f ca="1">Berechnung3!P18</f>
        <v/>
      </c>
    </row>
    <row r="19" spans="1:4" x14ac:dyDescent="0.3">
      <c r="A19" s="358" t="str">
        <f ca="1">Berechnung3!L19</f>
        <v/>
      </c>
      <c r="B19" s="358" t="str">
        <f ca="1">Berechnung3!N19</f>
        <v/>
      </c>
      <c r="C19" s="353" t="str">
        <f ca="1">Berechnung3!O19</f>
        <v/>
      </c>
      <c r="D19" s="357" t="str">
        <f ca="1">Berechnung3!P19</f>
        <v/>
      </c>
    </row>
    <row r="20" spans="1:4" x14ac:dyDescent="0.3">
      <c r="A20" s="358" t="str">
        <f ca="1">Berechnung3!L20</f>
        <v/>
      </c>
      <c r="B20" s="358" t="str">
        <f ca="1">Berechnung3!N20</f>
        <v/>
      </c>
      <c r="C20" s="353" t="str">
        <f ca="1">Berechnung3!O20</f>
        <v/>
      </c>
      <c r="D20" s="357" t="str">
        <f ca="1">Berechnung3!P20</f>
        <v/>
      </c>
    </row>
    <row r="21" spans="1:4" x14ac:dyDescent="0.3">
      <c r="A21" s="358" t="str">
        <f ca="1">Berechnung3!L21</f>
        <v/>
      </c>
      <c r="B21" s="358" t="str">
        <f ca="1">Berechnung3!N21</f>
        <v/>
      </c>
      <c r="C21" s="353" t="str">
        <f ca="1">Berechnung3!O21</f>
        <v/>
      </c>
      <c r="D21" s="357" t="str">
        <f ca="1">Berechnung3!P21</f>
        <v/>
      </c>
    </row>
    <row r="22" spans="1:4" x14ac:dyDescent="0.3">
      <c r="A22" s="358" t="str">
        <f ca="1">Berechnung3!L22</f>
        <v/>
      </c>
      <c r="B22" s="358" t="str">
        <f ca="1">Berechnung3!N22</f>
        <v/>
      </c>
      <c r="C22" s="353" t="str">
        <f ca="1">Berechnung3!O22</f>
        <v/>
      </c>
      <c r="D22" s="357" t="str">
        <f ca="1">Berechnung3!P22</f>
        <v/>
      </c>
    </row>
    <row r="23" spans="1:4" x14ac:dyDescent="0.3">
      <c r="A23" s="358" t="str">
        <f ca="1">Berechnung3!L23</f>
        <v/>
      </c>
      <c r="B23" s="358" t="str">
        <f ca="1">Berechnung3!N23</f>
        <v/>
      </c>
      <c r="C23" s="353" t="str">
        <f ca="1">Berechnung3!O23</f>
        <v/>
      </c>
      <c r="D23" s="357" t="str">
        <f ca="1">Berechnung3!P23</f>
        <v/>
      </c>
    </row>
    <row r="24" spans="1:4" x14ac:dyDescent="0.3">
      <c r="A24" s="358" t="str">
        <f ca="1">Berechnung3!L24</f>
        <v/>
      </c>
      <c r="B24" s="358" t="str">
        <f ca="1">Berechnung3!N24</f>
        <v/>
      </c>
      <c r="C24" s="353" t="str">
        <f ca="1">Berechnung3!O24</f>
        <v/>
      </c>
      <c r="D24" s="357" t="str">
        <f ca="1">Berechnung3!P24</f>
        <v/>
      </c>
    </row>
    <row r="25" spans="1:4" x14ac:dyDescent="0.3">
      <c r="A25" s="358" t="str">
        <f ca="1">Berechnung3!L25</f>
        <v/>
      </c>
      <c r="B25" s="358" t="str">
        <f ca="1">Berechnung3!N25</f>
        <v/>
      </c>
      <c r="C25" s="353" t="str">
        <f ca="1">Berechnung3!O25</f>
        <v/>
      </c>
      <c r="D25" s="357" t="str">
        <f ca="1">Berechnung3!P25</f>
        <v/>
      </c>
    </row>
    <row r="26" spans="1:4" x14ac:dyDescent="0.3">
      <c r="A26" s="358" t="str">
        <f ca="1">Berechnung3!L26</f>
        <v/>
      </c>
      <c r="B26" s="358" t="str">
        <f ca="1">Berechnung3!N26</f>
        <v/>
      </c>
      <c r="C26" s="353" t="str">
        <f ca="1">Berechnung3!O26</f>
        <v/>
      </c>
      <c r="D26" s="357" t="str">
        <f ca="1">Berechnung3!P26</f>
        <v/>
      </c>
    </row>
    <row r="27" spans="1:4" x14ac:dyDescent="0.3">
      <c r="A27" s="358" t="str">
        <f ca="1">Berechnung3!L27</f>
        <v/>
      </c>
      <c r="B27" s="358" t="str">
        <f ca="1">Berechnung3!N27</f>
        <v/>
      </c>
      <c r="C27" s="353" t="str">
        <f ca="1">Berechnung3!O27</f>
        <v/>
      </c>
      <c r="D27" s="357" t="str">
        <f ca="1">Berechnung3!P27</f>
        <v/>
      </c>
    </row>
    <row r="28" spans="1:4" x14ac:dyDescent="0.3">
      <c r="A28" s="358" t="str">
        <f ca="1">Berechnung3!L28</f>
        <v/>
      </c>
      <c r="B28" s="358" t="str">
        <f ca="1">Berechnung3!N28</f>
        <v/>
      </c>
      <c r="C28" s="353" t="str">
        <f ca="1">Berechnung3!O28</f>
        <v/>
      </c>
      <c r="D28" s="357" t="str">
        <f ca="1">Berechnung3!P28</f>
        <v/>
      </c>
    </row>
    <row r="29" spans="1:4" x14ac:dyDescent="0.3">
      <c r="A29" s="358" t="str">
        <f ca="1">Berechnung3!L29</f>
        <v/>
      </c>
      <c r="B29" s="358" t="str">
        <f ca="1">Berechnung3!N29</f>
        <v/>
      </c>
      <c r="C29" s="353" t="str">
        <f ca="1">Berechnung3!O29</f>
        <v/>
      </c>
      <c r="D29" s="357" t="str">
        <f ca="1">Berechnung3!P29</f>
        <v/>
      </c>
    </row>
    <row r="30" spans="1:4" x14ac:dyDescent="0.3">
      <c r="A30" s="358" t="str">
        <f ca="1">Berechnung3!L30</f>
        <v/>
      </c>
      <c r="B30" s="358" t="str">
        <f ca="1">Berechnung3!N30</f>
        <v/>
      </c>
      <c r="C30" s="353" t="str">
        <f ca="1">Berechnung3!O30</f>
        <v/>
      </c>
      <c r="D30" s="357" t="str">
        <f ca="1">Berechnung3!P30</f>
        <v/>
      </c>
    </row>
    <row r="31" spans="1:4" x14ac:dyDescent="0.3">
      <c r="A31" s="358" t="str">
        <f ca="1">Berechnung3!L31</f>
        <v/>
      </c>
      <c r="B31" s="358" t="str">
        <f ca="1">Berechnung3!N31</f>
        <v/>
      </c>
      <c r="C31" s="353" t="str">
        <f ca="1">Berechnung3!O31</f>
        <v/>
      </c>
      <c r="D31" s="357" t="str">
        <f ca="1">Berechnung3!P31</f>
        <v/>
      </c>
    </row>
    <row r="32" spans="1:4" x14ac:dyDescent="0.3">
      <c r="A32" s="358" t="str">
        <f ca="1">Berechnung3!L32</f>
        <v/>
      </c>
      <c r="B32" s="358" t="str">
        <f ca="1">Berechnung3!N32</f>
        <v/>
      </c>
      <c r="C32" s="353" t="str">
        <f ca="1">Berechnung3!O32</f>
        <v/>
      </c>
      <c r="D32" s="357" t="str">
        <f ca="1">Berechnung3!P32</f>
        <v/>
      </c>
    </row>
    <row r="33" spans="1:4" x14ac:dyDescent="0.3">
      <c r="A33" s="358" t="str">
        <f ca="1">Berechnung3!L33</f>
        <v/>
      </c>
      <c r="B33" s="358" t="str">
        <f ca="1">Berechnung3!N33</f>
        <v/>
      </c>
      <c r="C33" s="353" t="str">
        <f ca="1">Berechnung3!O33</f>
        <v/>
      </c>
      <c r="D33" s="357" t="str">
        <f ca="1">Berechnung3!P33</f>
        <v/>
      </c>
    </row>
    <row r="34" spans="1:4" x14ac:dyDescent="0.3">
      <c r="A34" s="358" t="str">
        <f ca="1">Berechnung3!L34</f>
        <v/>
      </c>
      <c r="B34" s="358" t="str">
        <f ca="1">Berechnung3!N34</f>
        <v/>
      </c>
      <c r="C34" s="353" t="str">
        <f ca="1">Berechnung3!O34</f>
        <v/>
      </c>
      <c r="D34" s="357" t="str">
        <f ca="1">Berechnung3!P34</f>
        <v/>
      </c>
    </row>
    <row r="35" spans="1:4" x14ac:dyDescent="0.3">
      <c r="A35" s="358" t="str">
        <f ca="1">Berechnung3!L35</f>
        <v/>
      </c>
      <c r="B35" s="358" t="str">
        <f ca="1">Berechnung3!N35</f>
        <v/>
      </c>
      <c r="C35" s="353" t="str">
        <f ca="1">Berechnung3!O35</f>
        <v/>
      </c>
      <c r="D35" s="357" t="str">
        <f ca="1">Berechnung3!P35</f>
        <v/>
      </c>
    </row>
    <row r="36" spans="1:4" x14ac:dyDescent="0.3">
      <c r="A36" s="358" t="str">
        <f ca="1">Berechnung3!L36</f>
        <v/>
      </c>
      <c r="B36" s="358" t="str">
        <f ca="1">Berechnung3!N36</f>
        <v/>
      </c>
      <c r="C36" s="353" t="str">
        <f ca="1">Berechnung3!O36</f>
        <v/>
      </c>
      <c r="D36" s="357" t="str">
        <f ca="1">Berechnung3!P36</f>
        <v/>
      </c>
    </row>
    <row r="37" spans="1:4" x14ac:dyDescent="0.3">
      <c r="A37" s="358" t="str">
        <f ca="1">Berechnung3!L37</f>
        <v/>
      </c>
      <c r="B37" s="358" t="str">
        <f ca="1">Berechnung3!N37</f>
        <v/>
      </c>
      <c r="C37" s="353" t="str">
        <f ca="1">Berechnung3!O37</f>
        <v/>
      </c>
      <c r="D37" s="357" t="str">
        <f ca="1">Berechnung3!P37</f>
        <v/>
      </c>
    </row>
    <row r="38" spans="1:4" x14ac:dyDescent="0.3">
      <c r="A38" s="358" t="str">
        <f ca="1">Berechnung3!L38</f>
        <v/>
      </c>
      <c r="B38" s="358" t="str">
        <f ca="1">Berechnung3!N38</f>
        <v/>
      </c>
      <c r="C38" s="353" t="str">
        <f ca="1">Berechnung3!O38</f>
        <v/>
      </c>
      <c r="D38" s="357" t="str">
        <f ca="1">Berechnung3!P38</f>
        <v/>
      </c>
    </row>
    <row r="39" spans="1:4" x14ac:dyDescent="0.3">
      <c r="A39" s="358" t="str">
        <f ca="1">Berechnung3!L39</f>
        <v/>
      </c>
      <c r="B39" s="358" t="str">
        <f ca="1">Berechnung3!N39</f>
        <v/>
      </c>
      <c r="C39" s="353" t="str">
        <f ca="1">Berechnung3!O39</f>
        <v/>
      </c>
      <c r="D39" s="357" t="str">
        <f ca="1">Berechnung3!P39</f>
        <v/>
      </c>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15</vt:i4>
      </vt:variant>
      <vt:variant>
        <vt:lpstr>Named Ranges</vt:lpstr>
      </vt:variant>
      <vt:variant>
        <vt:i4>14</vt:i4>
      </vt:variant>
    </vt:vector>
  </HeadingPairs>
  <TitlesOfParts>
    <vt:vector size="29" baseType="lpstr">
      <vt:lpstr>Basisdaten</vt:lpstr>
      <vt:lpstr>Datenquelle</vt:lpstr>
      <vt:lpstr>HilfstabelleSD</vt:lpstr>
      <vt:lpstr>HilfstabelleB</vt:lpstr>
      <vt:lpstr>Kennzahlenbogen_(KB)</vt:lpstr>
      <vt:lpstr>HilfstabelleKB</vt:lpstr>
      <vt:lpstr>Berechnung1</vt:lpstr>
      <vt:lpstr>Hilfstabelle Datendef KB</vt:lpstr>
      <vt:lpstr>Datendefizite_KB</vt:lpstr>
      <vt:lpstr>Matrix</vt:lpstr>
      <vt:lpstr>HilfstabelleM</vt:lpstr>
      <vt:lpstr>Berechnung2</vt:lpstr>
      <vt:lpstr>Berechnung3</vt:lpstr>
      <vt:lpstr>Datendefizite_Matrix</vt:lpstr>
      <vt:lpstr>HilfstabelleDM</vt:lpstr>
      <vt:lpstr>AngabeKKR</vt:lpstr>
      <vt:lpstr>KlinischesKrebsregister</vt:lpstr>
      <vt:lpstr>myCategory</vt:lpstr>
      <vt:lpstr>Basisdaten!Print_Area</vt:lpstr>
      <vt:lpstr>Datendefizite_KB!Print_Area</vt:lpstr>
      <vt:lpstr>'Kennzahlenbogen_(KB)'!Print_Area</vt:lpstr>
      <vt:lpstr>Matrix!Print_Area</vt:lpstr>
      <vt:lpstr>Datendefizite_KB!Print_Titles</vt:lpstr>
      <vt:lpstr>Datendefizite_Matrix!Print_Titles</vt:lpstr>
      <vt:lpstr>'Kennzahlenbogen_(KB)'!Print_Titles</vt:lpstr>
      <vt:lpstr>RedZyk</vt:lpstr>
      <vt:lpstr>Tumordokumentation</vt:lpstr>
      <vt:lpstr>Universitätsstatus</vt:lpstr>
      <vt:lpstr>ZentrumRegNr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DKG</dc:creator>
  <cp:lastModifiedBy>o.penzes</cp:lastModifiedBy>
  <cp:lastPrinted>2022-12-02T08:26:22Z</cp:lastPrinted>
  <dcterms:created xsi:type="dcterms:W3CDTF">2012-04-12T09:13:43Z</dcterms:created>
  <dcterms:modified xsi:type="dcterms:W3CDTF">2022-12-02T08:27:09Z</dcterms:modified>
</cp:coreProperties>
</file>