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7_excel-kb auditjahr 2023\organe\sarkome\"/>
    </mc:Choice>
  </mc:AlternateContent>
  <xr:revisionPtr revIDLastSave="0" documentId="13_ncr:1_{9A2BB4A3-9052-4D47-9A07-5BA5DBEC54F8}" xr6:coauthVersionLast="47" xr6:coauthVersionMax="47" xr10:uidLastSave="{00000000-0000-0000-0000-000000000000}"/>
  <workbookProtection workbookAlgorithmName="SHA-512" workbookHashValue="+zMZN/oMSJM+30gZfAJdOuhbI2QVyDkyKSa9PcwNGI45+S0XNflIvjZaQF1GJeAtfXDkk+uvVjnq2Rv+/WKETw==" workbookSaltValue="pmmAYgiVG42/lrUWCJ9i4Q==" workbookSpinCount="100000" lockStructure="1"/>
  <bookViews>
    <workbookView xWindow="-120" yWindow="-120" windowWidth="29040" windowHeight="15840" tabRatio="736" xr2:uid="{00000000-000D-0000-FFFF-FFFF00000000}"/>
  </bookViews>
  <sheets>
    <sheet name="Basisdaten" sheetId="54" r:id="rId1"/>
    <sheet name="HilfstabelleB" sheetId="78" state="hidden" r:id="rId2"/>
    <sheet name="Datenquelle" sheetId="53" state="hidden" r:id="rId3"/>
    <sheet name="HilfstabelleSD" sheetId="59" state="hidden" r:id="rId4"/>
    <sheet name="Erläuterungen" sheetId="81" r:id="rId5"/>
    <sheet name="ICD-O-Liste" sheetId="84" r:id="rId6"/>
    <sheet name="Kennzahlenbogen_(KB)" sheetId="63" r:id="rId7"/>
    <sheet name="HilfstabelleKB" sheetId="66" state="hidden" r:id="rId8"/>
    <sheet name="Berechnung1" sheetId="62" state="hidden" r:id="rId9"/>
    <sheet name="Datendefizite_KB" sheetId="75" r:id="rId10"/>
    <sheet name="Hilfstabelle DatendefKB" sheetId="73" state="hidden" r:id="rId11"/>
    <sheet name="Netzwerk Chirurgie" sheetId="82" r:id="rId12"/>
    <sheet name="HilfstabelleC" sheetId="83" state="hidden" r:id="rId13"/>
  </sheets>
  <externalReferences>
    <externalReference r:id="rId14"/>
  </externalReferences>
  <definedNames>
    <definedName name="_xlnm._FilterDatabase" localSheetId="2" hidden="1">Datenquelle!$F$5:$F$30</definedName>
    <definedName name="KrebsregisterZusammenarbeit">Datenquelle!$B$96:$B$100</definedName>
    <definedName name="myItem" localSheetId="12">OFFSET(myItemList,0,0,COUNTA(myItemList),1)</definedName>
    <definedName name="myItem" localSheetId="5">OFFSET('ICD-O-Liste'!myItemList,0,0,COUNTA('ICD-O-Liste'!myItemList),1)</definedName>
    <definedName name="myItem">OFFSET(myItemList,0,0,COUNTA(myItemList),1)</definedName>
    <definedName name="_xlnm.Print_Area" localSheetId="0">Basisdaten!$A$1:$M$55</definedName>
    <definedName name="_xlnm.Print_Area" localSheetId="9">Datendefizite_KB!$B$1:$L$26</definedName>
    <definedName name="_xlnm.Print_Area" localSheetId="4">Erläuterungen!$B$1:$D$13</definedName>
    <definedName name="_xlnm.Print_Area" localSheetId="5">'ICD-O-Liste'!$A$1:$F$160</definedName>
    <definedName name="_xlnm.Print_Area" localSheetId="6">'Kennzahlenbogen_(KB)'!$B$1:$R$63</definedName>
    <definedName name="_xlnm.Print_Area" localSheetId="11">'Netzwerk Chirurgie'!$B$1:$K$30</definedName>
    <definedName name="_xlnm.Print_Titles" localSheetId="9">Datendefizite_KB!$12:$13</definedName>
    <definedName name="_xlnm.Print_Titles" localSheetId="10">'Hilfstabelle DatendefKB'!$1:$1</definedName>
    <definedName name="_xlnm.Print_Titles" localSheetId="5">'ICD-O-Liste'!$5:$5</definedName>
    <definedName name="_xlnm.Print_Titles" localSheetId="6">'Kennzahlenbogen_(KB)'!$10:$11</definedName>
    <definedName name="td">[1]Datenquelle!$B$20:$B$64</definedName>
    <definedName name="Tumordoku">Datenquelle!$B$32:$B$74</definedName>
    <definedName name="Zentrum">Datenquelle!$A$6:$A$30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73" l="1"/>
  <c r="C7" i="73" s="1"/>
  <c r="E7" i="73"/>
  <c r="F7" i="73"/>
  <c r="I7" i="73"/>
  <c r="J7" i="73"/>
  <c r="M7" i="73"/>
  <c r="M42" i="62"/>
  <c r="R27" i="63"/>
  <c r="K28" i="54"/>
  <c r="K27" i="54"/>
  <c r="L7" i="73" l="1"/>
  <c r="H7" i="73"/>
  <c r="D7" i="73"/>
  <c r="K7" i="73"/>
  <c r="G7" i="73"/>
  <c r="K51" i="54" l="1"/>
  <c r="K50" i="54"/>
  <c r="K49" i="54"/>
  <c r="U49" i="63" l="1"/>
  <c r="Q15" i="63" l="1"/>
  <c r="B13" i="66" s="1"/>
  <c r="C6" i="59"/>
  <c r="B6" i="59"/>
  <c r="Q49" i="63" l="1"/>
  <c r="Q50" i="63" s="1"/>
  <c r="R48" i="63" s="1"/>
  <c r="Q43" i="63"/>
  <c r="Q26" i="63"/>
  <c r="B21" i="66"/>
  <c r="B20" i="66"/>
  <c r="B22" i="66"/>
  <c r="B19" i="66"/>
  <c r="B18" i="66"/>
  <c r="B17" i="66"/>
  <c r="B16" i="66"/>
  <c r="G24" i="66"/>
  <c r="G23" i="66"/>
  <c r="G22" i="66"/>
  <c r="G21" i="66"/>
  <c r="G20" i="66"/>
  <c r="G19" i="66"/>
  <c r="G18" i="66"/>
  <c r="G17" i="66"/>
  <c r="G16" i="66"/>
  <c r="F21" i="66"/>
  <c r="F20" i="66"/>
  <c r="F19" i="66"/>
  <c r="F18" i="66"/>
  <c r="F17" i="66"/>
  <c r="F16" i="66"/>
  <c r="Q47" i="63"/>
  <c r="R45" i="63" s="1"/>
  <c r="D16" i="66" l="1"/>
  <c r="R24" i="63"/>
  <c r="Q23" i="63"/>
  <c r="R21" i="63" s="1"/>
  <c r="L39" i="62"/>
  <c r="Q29" i="63"/>
  <c r="Q32" i="63"/>
  <c r="D18" i="66" s="1"/>
  <c r="Q35" i="63"/>
  <c r="D19" i="66" s="1"/>
  <c r="Q41" i="63"/>
  <c r="D21" i="66" s="1"/>
  <c r="Q44" i="63"/>
  <c r="O39" i="62"/>
  <c r="H16" i="66" s="1"/>
  <c r="G13" i="66"/>
  <c r="F13" i="66"/>
  <c r="O30" i="62"/>
  <c r="H13" i="66" s="1"/>
  <c r="A6" i="73" l="1"/>
  <c r="M39" i="62"/>
  <c r="D17" i="66"/>
  <c r="R30" i="63"/>
  <c r="G21" i="82"/>
  <c r="G9" i="82"/>
  <c r="G12" i="82"/>
  <c r="G15" i="82"/>
  <c r="G17" i="82"/>
  <c r="G19" i="82"/>
  <c r="G23" i="82"/>
  <c r="G25" i="82"/>
  <c r="J9" i="82"/>
  <c r="J6" i="73" l="1"/>
  <c r="C6" i="73"/>
  <c r="L6" i="73"/>
  <c r="M6" i="73"/>
  <c r="F6" i="73"/>
  <c r="E6" i="73"/>
  <c r="D6" i="73"/>
  <c r="I6" i="73"/>
  <c r="H6" i="73"/>
  <c r="K6" i="73"/>
  <c r="G6" i="73"/>
  <c r="N22" i="54"/>
  <c r="A19" i="83" l="1"/>
  <c r="A18" i="83"/>
  <c r="A17" i="83"/>
  <c r="A16" i="83"/>
  <c r="A15" i="83"/>
  <c r="A14" i="83"/>
  <c r="A13" i="83"/>
  <c r="A12" i="83"/>
  <c r="A11" i="83"/>
  <c r="A10" i="83"/>
  <c r="A9" i="83"/>
  <c r="A6" i="83"/>
  <c r="A8" i="83" l="1"/>
  <c r="A7" i="83"/>
  <c r="A5" i="83"/>
  <c r="A4" i="83"/>
  <c r="A3" i="83"/>
  <c r="A2" i="83"/>
  <c r="N16" i="78" l="1"/>
  <c r="O16" i="78"/>
  <c r="A16" i="78"/>
  <c r="O1" i="78"/>
  <c r="N1" i="78"/>
  <c r="K1" i="78"/>
  <c r="J1" i="78"/>
  <c r="I1" i="78"/>
  <c r="L1" i="78"/>
  <c r="H1" i="78"/>
  <c r="A12" i="78"/>
  <c r="A11" i="78"/>
  <c r="A5" i="78"/>
  <c r="A4" i="78"/>
  <c r="A3" i="78"/>
  <c r="A2" i="78"/>
  <c r="A1" i="78"/>
  <c r="J18" i="83"/>
  <c r="J16" i="83"/>
  <c r="H10" i="83"/>
  <c r="H8" i="83"/>
  <c r="J1" i="83"/>
  <c r="I1" i="83"/>
  <c r="H1" i="83"/>
  <c r="G1" i="83"/>
  <c r="F1" i="83"/>
  <c r="C1" i="83"/>
  <c r="B1" i="83"/>
  <c r="A1" i="83"/>
  <c r="B2" i="84" l="1"/>
  <c r="U16" i="63" l="1"/>
  <c r="Q25" i="63"/>
  <c r="M16" i="78"/>
  <c r="M37" i="54"/>
  <c r="L37" i="54"/>
  <c r="K36" i="54"/>
  <c r="K35" i="54"/>
  <c r="L45" i="54"/>
  <c r="N13" i="78" s="1"/>
  <c r="M45" i="54"/>
  <c r="O13" i="78" s="1"/>
  <c r="K44" i="54"/>
  <c r="M12" i="78" s="1"/>
  <c r="K43" i="54"/>
  <c r="M11" i="78" s="1"/>
  <c r="A13" i="78"/>
  <c r="N12" i="78"/>
  <c r="O12" i="78"/>
  <c r="O11" i="78"/>
  <c r="N11" i="78"/>
  <c r="N39" i="62" l="1"/>
  <c r="E16" i="66" s="1"/>
  <c r="C16" i="66"/>
  <c r="L30" i="62"/>
  <c r="R15" i="63"/>
  <c r="K45" i="54"/>
  <c r="M30" i="62" l="1"/>
  <c r="N30" i="62" s="1"/>
  <c r="E13" i="66" s="1"/>
  <c r="A3" i="73"/>
  <c r="L3" i="73" s="1"/>
  <c r="M13" i="78"/>
  <c r="C3" i="73" l="1"/>
  <c r="J3" i="73"/>
  <c r="K3" i="73"/>
  <c r="H3" i="73"/>
  <c r="G3" i="73"/>
  <c r="M3" i="73"/>
  <c r="F3" i="73"/>
  <c r="D3" i="73"/>
  <c r="I3" i="73"/>
  <c r="E3" i="73"/>
  <c r="L31" i="54" l="1"/>
  <c r="M31" i="54"/>
  <c r="N23" i="54" l="1"/>
  <c r="O23" i="54"/>
  <c r="N5" i="78"/>
  <c r="O5" i="78"/>
  <c r="J14" i="83" l="1"/>
  <c r="J12" i="83"/>
  <c r="J10" i="83"/>
  <c r="J8" i="83"/>
  <c r="J5" i="83"/>
  <c r="J2" i="83"/>
  <c r="F17" i="83"/>
  <c r="F18" i="83"/>
  <c r="F19" i="83"/>
  <c r="F16" i="83"/>
  <c r="C17" i="83"/>
  <c r="C18" i="83"/>
  <c r="C19" i="83"/>
  <c r="C16" i="83"/>
  <c r="C3" i="83"/>
  <c r="C4" i="83"/>
  <c r="C5" i="83"/>
  <c r="C6" i="83"/>
  <c r="C7" i="83"/>
  <c r="C8" i="83"/>
  <c r="C9" i="83"/>
  <c r="C10" i="83"/>
  <c r="C11" i="83"/>
  <c r="C12" i="83"/>
  <c r="C13" i="83"/>
  <c r="C14" i="83"/>
  <c r="C15" i="83"/>
  <c r="C2" i="83"/>
  <c r="B19" i="83"/>
  <c r="B18" i="83"/>
  <c r="B17" i="83"/>
  <c r="B16" i="83"/>
  <c r="B15" i="83"/>
  <c r="B14" i="83"/>
  <c r="B13" i="83"/>
  <c r="B12" i="83"/>
  <c r="B11" i="83"/>
  <c r="B10" i="83"/>
  <c r="B9" i="83"/>
  <c r="B8" i="83"/>
  <c r="B6" i="83"/>
  <c r="B7" i="83"/>
  <c r="B5" i="83"/>
  <c r="B3" i="83"/>
  <c r="B4" i="83"/>
  <c r="B2" i="83"/>
  <c r="M5" i="78" l="1"/>
  <c r="A6" i="78"/>
  <c r="M4" i="78"/>
  <c r="G18" i="83" l="1"/>
  <c r="B2" i="82" l="1"/>
  <c r="G16" i="83" l="1"/>
  <c r="F15" i="83"/>
  <c r="F13" i="83"/>
  <c r="F12" i="83"/>
  <c r="F11" i="83"/>
  <c r="F9" i="83"/>
  <c r="F8" i="83"/>
  <c r="F5" i="83"/>
  <c r="F4" i="83"/>
  <c r="F2" i="83"/>
  <c r="F6" i="83" l="1"/>
  <c r="I2" i="83"/>
  <c r="F3" i="83"/>
  <c r="G2" i="83"/>
  <c r="F7" i="83"/>
  <c r="G10" i="83"/>
  <c r="F10" i="83"/>
  <c r="G14" i="83"/>
  <c r="F14" i="83"/>
  <c r="G5" i="83"/>
  <c r="G12" i="83"/>
  <c r="G8" i="83"/>
  <c r="Q40" i="63" l="1"/>
  <c r="C21" i="66" s="1"/>
  <c r="C17" i="66"/>
  <c r="N20" i="54"/>
  <c r="B2" i="81" l="1"/>
  <c r="O8" i="78" l="1"/>
  <c r="O7" i="78"/>
  <c r="N8" i="78"/>
  <c r="N7" i="78"/>
  <c r="O4" i="78"/>
  <c r="N4" i="78"/>
  <c r="O3" i="78"/>
  <c r="N3" i="78"/>
  <c r="O2" i="78"/>
  <c r="N2" i="78"/>
  <c r="N14" i="78"/>
  <c r="O14" i="78"/>
  <c r="N15" i="78"/>
  <c r="O15" i="78"/>
  <c r="O9" i="78"/>
  <c r="N9" i="78"/>
  <c r="O6" i="78"/>
  <c r="N6" i="78"/>
  <c r="M39" i="54" l="1"/>
  <c r="M53" i="54" s="1"/>
  <c r="L39" i="54"/>
  <c r="L53" i="54" s="1"/>
  <c r="M15" i="78"/>
  <c r="M14" i="78"/>
  <c r="I7" i="78"/>
  <c r="J7" i="78"/>
  <c r="K7" i="78"/>
  <c r="L7" i="78"/>
  <c r="I8" i="78"/>
  <c r="J8" i="78"/>
  <c r="K8" i="78"/>
  <c r="L8" i="78"/>
  <c r="H8" i="78"/>
  <c r="H7" i="78"/>
  <c r="C2" i="78"/>
  <c r="D2" i="78"/>
  <c r="E2" i="78"/>
  <c r="F2" i="78"/>
  <c r="G2" i="78"/>
  <c r="C3" i="78"/>
  <c r="D3" i="78"/>
  <c r="E3" i="78"/>
  <c r="F3" i="78"/>
  <c r="G3" i="78"/>
  <c r="B3" i="78"/>
  <c r="B2" i="78"/>
  <c r="N17" i="78" l="1"/>
  <c r="N10" i="78"/>
  <c r="O17" i="78"/>
  <c r="O10" i="78"/>
  <c r="N28" i="54" l="1"/>
  <c r="O28" i="54"/>
  <c r="O29" i="54"/>
  <c r="N29" i="54"/>
  <c r="F37" i="54"/>
  <c r="G37" i="54"/>
  <c r="H37" i="54"/>
  <c r="I37" i="54"/>
  <c r="E37" i="54"/>
  <c r="N21" i="54" l="1"/>
  <c r="K37" i="54"/>
  <c r="K31" i="54"/>
  <c r="Q46" i="63" s="1"/>
  <c r="O22" i="54"/>
  <c r="O20" i="54"/>
  <c r="O21" i="54"/>
  <c r="K39" i="54" l="1"/>
  <c r="K53" i="54" s="1"/>
  <c r="A10" i="78"/>
  <c r="Q12" i="63" l="1"/>
  <c r="A9" i="78"/>
  <c r="C1" i="78"/>
  <c r="D1" i="78"/>
  <c r="E1" i="78"/>
  <c r="F1" i="78"/>
  <c r="G1" i="78"/>
  <c r="M1" i="78"/>
  <c r="B1" i="78"/>
  <c r="Q22" i="63" l="1"/>
  <c r="Q37" i="63"/>
  <c r="Q34" i="63"/>
  <c r="C19" i="66" s="1"/>
  <c r="Q31" i="63"/>
  <c r="C18" i="66" s="1"/>
  <c r="Q18" i="63"/>
  <c r="B14" i="66" s="1"/>
  <c r="I9" i="78"/>
  <c r="J9" i="78"/>
  <c r="L9" i="78"/>
  <c r="H9" i="78"/>
  <c r="C20" i="66" l="1"/>
  <c r="Q38" i="63"/>
  <c r="D20" i="66" s="1"/>
  <c r="M9" i="78"/>
  <c r="K9" i="78"/>
  <c r="M6" i="78" l="1"/>
  <c r="M3" i="78"/>
  <c r="M17" i="78" l="1"/>
  <c r="M10" i="78"/>
  <c r="F24" i="66" l="1"/>
  <c r="F23" i="66"/>
  <c r="F22" i="66"/>
  <c r="G12" i="66"/>
  <c r="F12" i="66"/>
  <c r="B24" i="66" l="1"/>
  <c r="B23" i="66"/>
  <c r="O63" i="62"/>
  <c r="H24" i="66" s="1"/>
  <c r="O60" i="62"/>
  <c r="H23" i="66" s="1"/>
  <c r="O57" i="62"/>
  <c r="H22" i="66" s="1"/>
  <c r="O54" i="62"/>
  <c r="H21" i="66" s="1"/>
  <c r="A15" i="78"/>
  <c r="A14" i="78"/>
  <c r="A8" i="78"/>
  <c r="A7" i="78"/>
  <c r="M8" i="78"/>
  <c r="M7" i="78"/>
  <c r="A17" i="78"/>
  <c r="B2" i="66" l="1"/>
  <c r="D23" i="66"/>
  <c r="M63" i="62" l="1"/>
  <c r="N63" i="62" s="1"/>
  <c r="L57" i="62"/>
  <c r="D22" i="66"/>
  <c r="L60" i="62"/>
  <c r="R42" i="63"/>
  <c r="R39" i="63"/>
  <c r="A11" i="73" s="1"/>
  <c r="G11" i="73" s="1"/>
  <c r="M11" i="73" l="1"/>
  <c r="D11" i="73"/>
  <c r="E11" i="73"/>
  <c r="C11" i="73"/>
  <c r="J11" i="73"/>
  <c r="K11" i="73"/>
  <c r="L11" i="73"/>
  <c r="F11" i="73"/>
  <c r="H11" i="73"/>
  <c r="I11" i="73"/>
  <c r="L54" i="62"/>
  <c r="A12" i="73"/>
  <c r="M57" i="62"/>
  <c r="A13" i="73"/>
  <c r="M60" i="62"/>
  <c r="M54" i="62"/>
  <c r="A14" i="73"/>
  <c r="E24" i="66"/>
  <c r="B2" i="63"/>
  <c r="M12" i="73" l="1"/>
  <c r="L12" i="73"/>
  <c r="L14" i="73"/>
  <c r="M14" i="73"/>
  <c r="M13" i="73"/>
  <c r="L13" i="73"/>
  <c r="H14" i="73"/>
  <c r="C14" i="73"/>
  <c r="E14" i="73"/>
  <c r="K14" i="73"/>
  <c r="G14" i="73"/>
  <c r="D14" i="73"/>
  <c r="F14" i="73"/>
  <c r="D13" i="73"/>
  <c r="G13" i="73"/>
  <c r="F13" i="73"/>
  <c r="H13" i="73"/>
  <c r="C13" i="73"/>
  <c r="E13" i="73"/>
  <c r="K13" i="73"/>
  <c r="J13" i="73"/>
  <c r="D12" i="73"/>
  <c r="C12" i="73"/>
  <c r="J12" i="73"/>
  <c r="K12" i="73"/>
  <c r="F12" i="73"/>
  <c r="G12" i="73"/>
  <c r="E12" i="73"/>
  <c r="H12" i="73"/>
  <c r="R12" i="63"/>
  <c r="R18" i="63" l="1"/>
  <c r="L33" i="62"/>
  <c r="R36" i="63"/>
  <c r="A10" i="73" s="1"/>
  <c r="M10" i="73" l="1"/>
  <c r="K10" i="73"/>
  <c r="C10" i="73"/>
  <c r="D10" i="73"/>
  <c r="H10" i="73"/>
  <c r="G10" i="73"/>
  <c r="I10" i="73"/>
  <c r="F10" i="73"/>
  <c r="L10" i="73"/>
  <c r="E10" i="73"/>
  <c r="J10" i="73"/>
  <c r="C22" i="66"/>
  <c r="A3" i="53"/>
  <c r="E3" i="53" s="1"/>
  <c r="B19" i="54" s="1"/>
  <c r="A6" i="59" s="1"/>
  <c r="F3" i="53" l="1"/>
  <c r="D3" i="53"/>
  <c r="C3" i="53"/>
  <c r="D10" i="54" s="1"/>
  <c r="B3" i="53"/>
  <c r="I12" i="73"/>
  <c r="C23" i="66"/>
  <c r="I13" i="73" l="1"/>
  <c r="I14" i="73"/>
  <c r="G14" i="66"/>
  <c r="F14" i="66"/>
  <c r="G15" i="66"/>
  <c r="F15" i="66"/>
  <c r="B15" i="66"/>
  <c r="O42" i="62"/>
  <c r="H17" i="66" s="1"/>
  <c r="O45" i="62"/>
  <c r="H18" i="66" s="1"/>
  <c r="O48" i="62"/>
  <c r="H19" i="66" s="1"/>
  <c r="O51" i="62"/>
  <c r="H20" i="66" s="1"/>
  <c r="O36" i="62"/>
  <c r="O33" i="62"/>
  <c r="O27" i="62"/>
  <c r="N54" i="62"/>
  <c r="E21" i="66" s="1"/>
  <c r="N57" i="62"/>
  <c r="E22" i="66" s="1"/>
  <c r="N60" i="62"/>
  <c r="E23" i="66" s="1"/>
  <c r="L66" i="62"/>
  <c r="M66" i="62"/>
  <c r="N66" i="62" s="1"/>
  <c r="O66" i="62"/>
  <c r="L67" i="62"/>
  <c r="M67" i="62"/>
  <c r="N67" i="62" s="1"/>
  <c r="O67" i="62"/>
  <c r="L68" i="62"/>
  <c r="M68" i="62"/>
  <c r="N68" i="62" s="1"/>
  <c r="O68" i="62"/>
  <c r="L69" i="62"/>
  <c r="M69" i="62"/>
  <c r="N69" i="62" s="1"/>
  <c r="O69" i="62"/>
  <c r="L70" i="62"/>
  <c r="M70" i="62"/>
  <c r="N70" i="62" s="1"/>
  <c r="O70" i="62"/>
  <c r="L71" i="62"/>
  <c r="M71" i="62"/>
  <c r="N71" i="62" s="1"/>
  <c r="O71" i="62"/>
  <c r="L72" i="62"/>
  <c r="M72" i="62"/>
  <c r="N72" i="62" s="1"/>
  <c r="O72" i="62"/>
  <c r="L73" i="62"/>
  <c r="M73" i="62"/>
  <c r="N73" i="62" s="1"/>
  <c r="O73" i="62"/>
  <c r="L74" i="62"/>
  <c r="M74" i="62"/>
  <c r="N74" i="62" s="1"/>
  <c r="O74" i="62"/>
  <c r="L75" i="62"/>
  <c r="M75" i="62"/>
  <c r="N75" i="62" s="1"/>
  <c r="O75" i="62"/>
  <c r="L76" i="62"/>
  <c r="M76" i="62"/>
  <c r="N76" i="62" s="1"/>
  <c r="O76" i="62"/>
  <c r="L77" i="62"/>
  <c r="M77" i="62"/>
  <c r="N77" i="62" s="1"/>
  <c r="O77" i="62"/>
  <c r="L78" i="62"/>
  <c r="M78" i="62"/>
  <c r="N78" i="62" s="1"/>
  <c r="O78" i="62"/>
  <c r="L79" i="62"/>
  <c r="M79" i="62"/>
  <c r="N79" i="62" s="1"/>
  <c r="O79" i="62"/>
  <c r="L80" i="62"/>
  <c r="M80" i="62"/>
  <c r="N80" i="62" s="1"/>
  <c r="O80" i="62"/>
  <c r="L81" i="62"/>
  <c r="M81" i="62"/>
  <c r="N81" i="62" s="1"/>
  <c r="O81" i="62"/>
  <c r="L82" i="62"/>
  <c r="M82" i="62"/>
  <c r="N82" i="62" s="1"/>
  <c r="O82" i="62"/>
  <c r="L83" i="62"/>
  <c r="M83" i="62"/>
  <c r="N83" i="62" s="1"/>
  <c r="O83" i="62"/>
  <c r="L84" i="62"/>
  <c r="M84" i="62"/>
  <c r="N84" i="62" s="1"/>
  <c r="O84" i="62"/>
  <c r="L85" i="62"/>
  <c r="M85" i="62"/>
  <c r="N85" i="62" s="1"/>
  <c r="O85" i="62"/>
  <c r="L86" i="62"/>
  <c r="M86" i="62"/>
  <c r="N86" i="62" s="1"/>
  <c r="O86" i="62"/>
  <c r="L87" i="62"/>
  <c r="M87" i="62"/>
  <c r="N87" i="62" s="1"/>
  <c r="O87" i="62"/>
  <c r="L88" i="62"/>
  <c r="M88" i="62"/>
  <c r="N88" i="62" s="1"/>
  <c r="O88" i="62"/>
  <c r="L89" i="62"/>
  <c r="M89" i="62"/>
  <c r="N89" i="62" s="1"/>
  <c r="O89" i="62"/>
  <c r="L90" i="62"/>
  <c r="M90" i="62"/>
  <c r="N90" i="62" s="1"/>
  <c r="O90" i="62"/>
  <c r="L91" i="62"/>
  <c r="M91" i="62"/>
  <c r="N91" i="62" s="1"/>
  <c r="O91" i="62"/>
  <c r="L92" i="62"/>
  <c r="M92" i="62"/>
  <c r="N92" i="62" s="1"/>
  <c r="O92" i="62"/>
  <c r="L93" i="62"/>
  <c r="M93" i="62"/>
  <c r="N93" i="62" s="1"/>
  <c r="O93" i="62"/>
  <c r="L94" i="62"/>
  <c r="M94" i="62"/>
  <c r="N94" i="62" s="1"/>
  <c r="O94" i="62"/>
  <c r="L95" i="62"/>
  <c r="M95" i="62"/>
  <c r="N95" i="62" s="1"/>
  <c r="O95" i="62"/>
  <c r="L96" i="62"/>
  <c r="M96" i="62"/>
  <c r="N96" i="62" s="1"/>
  <c r="O96" i="62"/>
  <c r="L97" i="62"/>
  <c r="M97" i="62"/>
  <c r="N97" i="62" s="1"/>
  <c r="O97" i="62"/>
  <c r="L98" i="62"/>
  <c r="M98" i="62"/>
  <c r="N98" i="62" s="1"/>
  <c r="O98" i="62"/>
  <c r="L99" i="62"/>
  <c r="M99" i="62"/>
  <c r="N99" i="62" s="1"/>
  <c r="O99" i="62"/>
  <c r="L100" i="62"/>
  <c r="M100" i="62"/>
  <c r="N100" i="62" s="1"/>
  <c r="O100" i="62"/>
  <c r="L101" i="62"/>
  <c r="M101" i="62"/>
  <c r="N101" i="62" s="1"/>
  <c r="O101" i="62"/>
  <c r="C24" i="66" l="1"/>
  <c r="M2" i="78" l="1"/>
  <c r="B12" i="66" l="1"/>
  <c r="C15" i="66" l="1"/>
  <c r="M33" i="62"/>
  <c r="N33" i="62" s="1"/>
  <c r="A4" i="73"/>
  <c r="L4" i="73" s="1"/>
  <c r="L27" i="62"/>
  <c r="F4" i="73" l="1"/>
  <c r="C4" i="73"/>
  <c r="H4" i="73"/>
  <c r="G4" i="73"/>
  <c r="I4" i="73"/>
  <c r="K4" i="73"/>
  <c r="J4" i="73"/>
  <c r="D4" i="73"/>
  <c r="E4" i="73"/>
  <c r="M4" i="73"/>
  <c r="M27" i="62"/>
  <c r="N27" i="62" s="1"/>
  <c r="A2" i="73"/>
  <c r="F2" i="73" s="1"/>
  <c r="L2" i="73" l="1"/>
  <c r="I2" i="73"/>
  <c r="G2" i="73"/>
  <c r="M2" i="73"/>
  <c r="H2" i="73"/>
  <c r="E2" i="73"/>
  <c r="C2" i="73"/>
  <c r="J2" i="73"/>
  <c r="K2" i="73"/>
  <c r="D2" i="73"/>
  <c r="L51" i="62"/>
  <c r="B3" i="66"/>
  <c r="D8" i="75"/>
  <c r="K8" i="75"/>
  <c r="H12" i="66"/>
  <c r="H14" i="66"/>
  <c r="H15" i="66"/>
  <c r="F8" i="63"/>
  <c r="M8" i="63"/>
  <c r="A8" i="73"/>
  <c r="R33" i="63"/>
  <c r="A9" i="73" s="1"/>
  <c r="B1" i="59"/>
  <c r="B2" i="59"/>
  <c r="M8" i="73" l="1"/>
  <c r="L8" i="73"/>
  <c r="I8" i="73"/>
  <c r="F8" i="73"/>
  <c r="E8" i="73"/>
  <c r="G8" i="73"/>
  <c r="H8" i="73"/>
  <c r="K8" i="73"/>
  <c r="J8" i="73"/>
  <c r="C8" i="73"/>
  <c r="D8" i="73"/>
  <c r="M9" i="73"/>
  <c r="I9" i="73"/>
  <c r="H9" i="73"/>
  <c r="E9" i="73"/>
  <c r="K9" i="73"/>
  <c r="J9" i="73"/>
  <c r="L9" i="73"/>
  <c r="F9" i="73"/>
  <c r="C9" i="73"/>
  <c r="G9" i="73"/>
  <c r="D9" i="73"/>
  <c r="M51" i="62"/>
  <c r="N51" i="62" s="1"/>
  <c r="E20" i="66" s="1"/>
  <c r="D15" i="66"/>
  <c r="M45" i="62"/>
  <c r="N45" i="62" s="1"/>
  <c r="E18" i="66" s="1"/>
  <c r="L45" i="62"/>
  <c r="L42" i="62"/>
  <c r="L48" i="62"/>
  <c r="L36" i="62"/>
  <c r="K14" i="54"/>
  <c r="D8" i="54"/>
  <c r="A5" i="73" l="1"/>
  <c r="M5" i="73" s="1"/>
  <c r="H6" i="62"/>
  <c r="H9" i="62" s="1"/>
  <c r="C6" i="62"/>
  <c r="G6" i="62"/>
  <c r="F6" i="62"/>
  <c r="E6" i="62"/>
  <c r="D6" i="62"/>
  <c r="M48" i="62"/>
  <c r="N48" i="62" s="1"/>
  <c r="E19" i="66" s="1"/>
  <c r="N42" i="62"/>
  <c r="E17" i="66" s="1"/>
  <c r="M36" i="62"/>
  <c r="N36" i="62" s="1"/>
  <c r="E15" i="66" s="1"/>
  <c r="E12" i="66"/>
  <c r="E14" i="66"/>
  <c r="F6" i="63"/>
  <c r="D6" i="75"/>
  <c r="B3" i="59"/>
  <c r="Y4" i="73" a="1"/>
  <c r="Y12" i="73" a="1"/>
  <c r="Y5" i="73" a="1"/>
  <c r="Y8" i="73" a="1"/>
  <c r="Y11" i="73" a="1"/>
  <c r="Y7" i="73" a="1"/>
  <c r="Y10" i="73" a="1"/>
  <c r="Y6" i="73" a="1"/>
  <c r="Y14" i="73" a="1"/>
  <c r="Y2" i="73" a="1"/>
  <c r="Y9" i="73" a="1"/>
  <c r="Y13" i="73" a="1"/>
  <c r="Y3" i="73" a="1"/>
  <c r="Y4" i="73" l="1"/>
  <c r="L16" i="75" s="1"/>
  <c r="Y14" i="73"/>
  <c r="L26" i="75" s="1"/>
  <c r="Y3" i="73"/>
  <c r="L15" i="75" s="1"/>
  <c r="Y6" i="73"/>
  <c r="L18" i="75" s="1"/>
  <c r="Y11" i="73"/>
  <c r="L23" i="75" s="1"/>
  <c r="Y10" i="73"/>
  <c r="L22" i="75" s="1"/>
  <c r="Y7" i="73"/>
  <c r="L19" i="75" s="1"/>
  <c r="Y5" i="73"/>
  <c r="L17" i="75" s="1"/>
  <c r="Y9" i="73"/>
  <c r="L21" i="75" s="1"/>
  <c r="Y8" i="73"/>
  <c r="L20" i="75" s="1"/>
  <c r="Y13" i="73"/>
  <c r="L25" i="75" s="1"/>
  <c r="Y12" i="73"/>
  <c r="L24" i="75" s="1"/>
  <c r="Y2" i="73"/>
  <c r="K6" i="62"/>
  <c r="D10" i="62"/>
  <c r="E11" i="62"/>
  <c r="D7" i="62"/>
  <c r="J5" i="73"/>
  <c r="L5" i="73"/>
  <c r="K5" i="73"/>
  <c r="C5" i="73"/>
  <c r="F5" i="73"/>
  <c r="D5" i="73"/>
  <c r="E5" i="73"/>
  <c r="I5" i="73"/>
  <c r="H5" i="73"/>
  <c r="G5" i="73"/>
  <c r="I6" i="62"/>
  <c r="H10" i="62"/>
  <c r="H7" i="62"/>
  <c r="D9" i="62"/>
  <c r="K9" i="62" s="1"/>
  <c r="E10" i="62"/>
  <c r="E9" i="62"/>
  <c r="G10" i="62"/>
  <c r="F9" i="62"/>
  <c r="G57" i="63" s="1"/>
  <c r="G9" i="62"/>
  <c r="G56" i="63" s="1"/>
  <c r="C9" i="62"/>
  <c r="G53" i="63" s="1"/>
  <c r="S11" i="73" a="1"/>
  <c r="W8" i="73" a="1"/>
  <c r="R13" i="73" a="1"/>
  <c r="R3" i="73" a="1"/>
  <c r="U10" i="73" a="1"/>
  <c r="P12" i="73" a="1"/>
  <c r="S4" i="73" a="1"/>
  <c r="W5" i="73" a="1"/>
  <c r="U8" i="73" a="1"/>
  <c r="R14" i="73" a="1"/>
  <c r="R2" i="73" a="1"/>
  <c r="O3" i="73" a="1"/>
  <c r="R7" i="73" a="1"/>
  <c r="T2" i="73" a="1"/>
  <c r="S7" i="73" a="1"/>
  <c r="Q12" i="73" a="1"/>
  <c r="Q9" i="73" a="1"/>
  <c r="X2" i="73" a="1"/>
  <c r="P9" i="73" a="1"/>
  <c r="O9" i="73" a="1"/>
  <c r="X6" i="73" a="1"/>
  <c r="Q13" i="73" a="1"/>
  <c r="R9" i="73" a="1"/>
  <c r="T8" i="73" a="1"/>
  <c r="W14" i="73" a="1"/>
  <c r="U11" i="73" a="1"/>
  <c r="S2" i="73" a="1"/>
  <c r="O6" i="73" a="1"/>
  <c r="X12" i="73" a="1"/>
  <c r="O7" i="73" a="1"/>
  <c r="W2" i="73" a="1"/>
  <c r="P6" i="73" a="1"/>
  <c r="X5" i="73" a="1"/>
  <c r="U4" i="73" a="1"/>
  <c r="T12" i="73" a="1"/>
  <c r="X13" i="73" a="1"/>
  <c r="U13" i="73" a="1"/>
  <c r="X3" i="73" a="1"/>
  <c r="R6" i="73" a="1"/>
  <c r="Q7" i="73" a="1"/>
  <c r="X11" i="73" a="1"/>
  <c r="Q5" i="73" a="1"/>
  <c r="S9" i="73" a="1"/>
  <c r="X14" i="73" a="1"/>
  <c r="Q10" i="73" a="1"/>
  <c r="P14" i="73" a="1"/>
  <c r="W6" i="73" a="1"/>
  <c r="O8" i="73" a="1"/>
  <c r="Q8" i="73" a="1"/>
  <c r="U12" i="73" a="1"/>
  <c r="U6" i="73" a="1"/>
  <c r="X9" i="73" a="1"/>
  <c r="T11" i="73" a="1"/>
  <c r="Q4" i="73" a="1"/>
  <c r="T4" i="73" a="1"/>
  <c r="S8" i="73" a="1"/>
  <c r="R10" i="73" a="1"/>
  <c r="O13" i="73" a="1"/>
  <c r="S10" i="73" a="1"/>
  <c r="S13" i="73" a="1"/>
  <c r="O11" i="73" a="1"/>
  <c r="X7" i="73" a="1"/>
  <c r="O14" i="73" a="1"/>
  <c r="P4" i="73" a="1"/>
  <c r="T13" i="73" a="1"/>
  <c r="X8" i="73" a="1"/>
  <c r="P8" i="73" a="1"/>
  <c r="R11" i="73" a="1"/>
  <c r="S14" i="73" a="1"/>
  <c r="T6" i="73" a="1"/>
  <c r="T14" i="73" a="1"/>
  <c r="W12" i="73" a="1"/>
  <c r="T3" i="73" a="1"/>
  <c r="S5" i="73" a="1"/>
  <c r="W3" i="73" a="1"/>
  <c r="T9" i="73" a="1"/>
  <c r="P2" i="73" a="1"/>
  <c r="O5" i="73" a="1"/>
  <c r="S3" i="73" a="1"/>
  <c r="O12" i="73" a="1"/>
  <c r="R12" i="73" a="1"/>
  <c r="W9" i="73" a="1"/>
  <c r="P10" i="73" a="1"/>
  <c r="P3" i="73" a="1"/>
  <c r="P7" i="73" a="1"/>
  <c r="T5" i="73" a="1"/>
  <c r="S6" i="73" a="1"/>
  <c r="O4" i="73" a="1"/>
  <c r="P11" i="73" a="1"/>
  <c r="T7" i="73" a="1"/>
  <c r="W13" i="73" a="1"/>
  <c r="R5" i="73" a="1"/>
  <c r="R8" i="73" a="1"/>
  <c r="W10" i="73" a="1"/>
  <c r="O10" i="73" a="1"/>
  <c r="P13" i="73" a="1"/>
  <c r="S12" i="73" a="1"/>
  <c r="P5" i="73" a="1"/>
  <c r="W7" i="73" a="1"/>
  <c r="U7" i="73" a="1"/>
  <c r="Q3" i="73" a="1"/>
  <c r="U3" i="73" a="1"/>
  <c r="X4" i="73" a="1"/>
  <c r="Q6" i="73" a="1"/>
  <c r="Q2" i="73" a="1"/>
  <c r="T10" i="73" a="1"/>
  <c r="R4" i="73" a="1"/>
  <c r="Q14" i="73" a="1"/>
  <c r="X10" i="73" a="1"/>
  <c r="U14" i="73" a="1"/>
  <c r="U9" i="73" a="1"/>
  <c r="U5" i="73" a="1"/>
  <c r="W4" i="73" a="1"/>
  <c r="Q11" i="73" a="1"/>
  <c r="W11" i="73" a="1"/>
  <c r="Q7" i="73" l="1"/>
  <c r="D19" i="75" s="1"/>
  <c r="Q4" i="73"/>
  <c r="D16" i="75" s="1"/>
  <c r="Q12" i="73"/>
  <c r="D24" i="75" s="1"/>
  <c r="Q14" i="73"/>
  <c r="D26" i="75" s="1"/>
  <c r="Q3" i="73"/>
  <c r="D15" i="75" s="1"/>
  <c r="Q6" i="73"/>
  <c r="D18" i="75" s="1"/>
  <c r="Q11" i="73"/>
  <c r="D23" i="75" s="1"/>
  <c r="Q9" i="73"/>
  <c r="D21" i="75" s="1"/>
  <c r="Q5" i="73"/>
  <c r="D17" i="75" s="1"/>
  <c r="Q10" i="73"/>
  <c r="D22" i="75" s="1"/>
  <c r="Q13" i="73"/>
  <c r="D25" i="75" s="1"/>
  <c r="Q8" i="73"/>
  <c r="D20" i="75" s="1"/>
  <c r="S8" i="73"/>
  <c r="F20" i="75" s="1"/>
  <c r="S12" i="73"/>
  <c r="F24" i="75" s="1"/>
  <c r="S14" i="73"/>
  <c r="F26" i="75" s="1"/>
  <c r="S3" i="73"/>
  <c r="F15" i="75" s="1"/>
  <c r="S4" i="73"/>
  <c r="F16" i="75" s="1"/>
  <c r="S9" i="73"/>
  <c r="F21" i="75" s="1"/>
  <c r="S5" i="73"/>
  <c r="F17" i="75" s="1"/>
  <c r="S13" i="73"/>
  <c r="F25" i="75" s="1"/>
  <c r="S10" i="73"/>
  <c r="F22" i="75" s="1"/>
  <c r="S6" i="73"/>
  <c r="F18" i="75" s="1"/>
  <c r="S7" i="73"/>
  <c r="F19" i="75" s="1"/>
  <c r="S11" i="73"/>
  <c r="F23" i="75" s="1"/>
  <c r="P11" i="73"/>
  <c r="C23" i="75" s="1"/>
  <c r="P4" i="73"/>
  <c r="C16" i="75" s="1"/>
  <c r="P3" i="73"/>
  <c r="C15" i="75" s="1"/>
  <c r="P13" i="73"/>
  <c r="C25" i="75" s="1"/>
  <c r="P10" i="73"/>
  <c r="C22" i="75" s="1"/>
  <c r="P8" i="73"/>
  <c r="C20" i="75" s="1"/>
  <c r="P7" i="73"/>
  <c r="C19" i="75" s="1"/>
  <c r="P9" i="73"/>
  <c r="C21" i="75" s="1"/>
  <c r="P6" i="73"/>
  <c r="C18" i="75" s="1"/>
  <c r="P5" i="73"/>
  <c r="C17" i="75" s="1"/>
  <c r="P12" i="73"/>
  <c r="C24" i="75" s="1"/>
  <c r="P14" i="73"/>
  <c r="C26" i="75" s="1"/>
  <c r="X9" i="73"/>
  <c r="K21" i="75" s="1"/>
  <c r="X10" i="73"/>
  <c r="K22" i="75" s="1"/>
  <c r="X12" i="73"/>
  <c r="K24" i="75" s="1"/>
  <c r="X4" i="73"/>
  <c r="K16" i="75" s="1"/>
  <c r="X5" i="73"/>
  <c r="K17" i="75" s="1"/>
  <c r="X13" i="73"/>
  <c r="K25" i="75" s="1"/>
  <c r="X7" i="73"/>
  <c r="K19" i="75" s="1"/>
  <c r="X8" i="73"/>
  <c r="K20" i="75" s="1"/>
  <c r="X6" i="73"/>
  <c r="K18" i="75" s="1"/>
  <c r="X14" i="73"/>
  <c r="K26" i="75" s="1"/>
  <c r="X3" i="73"/>
  <c r="K15" i="75" s="1"/>
  <c r="X11" i="73"/>
  <c r="K23" i="75" s="1"/>
  <c r="T8" i="73"/>
  <c r="G20" i="75" s="1"/>
  <c r="T4" i="73"/>
  <c r="G16" i="75" s="1"/>
  <c r="T5" i="73"/>
  <c r="G17" i="75" s="1"/>
  <c r="T10" i="73"/>
  <c r="G22" i="75" s="1"/>
  <c r="T7" i="73"/>
  <c r="G19" i="75" s="1"/>
  <c r="T14" i="73"/>
  <c r="G26" i="75" s="1"/>
  <c r="T11" i="73"/>
  <c r="G23" i="75" s="1"/>
  <c r="T9" i="73"/>
  <c r="G21" i="75" s="1"/>
  <c r="T6" i="73"/>
  <c r="G18" i="75" s="1"/>
  <c r="T3" i="73"/>
  <c r="G15" i="75" s="1"/>
  <c r="T12" i="73"/>
  <c r="G24" i="75" s="1"/>
  <c r="T13" i="73"/>
  <c r="G25" i="75" s="1"/>
  <c r="R3" i="73"/>
  <c r="E15" i="75" s="1"/>
  <c r="R13" i="73"/>
  <c r="E25" i="75" s="1"/>
  <c r="R10" i="73"/>
  <c r="E22" i="75" s="1"/>
  <c r="R4" i="73"/>
  <c r="E16" i="75" s="1"/>
  <c r="R5" i="73"/>
  <c r="E17" i="75" s="1"/>
  <c r="R9" i="73"/>
  <c r="E21" i="75" s="1"/>
  <c r="R11" i="73"/>
  <c r="E23" i="75" s="1"/>
  <c r="R6" i="73"/>
  <c r="E18" i="75" s="1"/>
  <c r="R7" i="73"/>
  <c r="E19" i="75" s="1"/>
  <c r="R12" i="73"/>
  <c r="E24" i="75" s="1"/>
  <c r="R8" i="73"/>
  <c r="E20" i="75" s="1"/>
  <c r="R14" i="73"/>
  <c r="E26" i="75" s="1"/>
  <c r="W8" i="73"/>
  <c r="J20" i="75" s="1"/>
  <c r="W10" i="73"/>
  <c r="J22" i="75" s="1"/>
  <c r="W11" i="73"/>
  <c r="J23" i="75" s="1"/>
  <c r="W3" i="73"/>
  <c r="J15" i="75" s="1"/>
  <c r="W12" i="73"/>
  <c r="J24" i="75" s="1"/>
  <c r="W9" i="73"/>
  <c r="J21" i="75" s="1"/>
  <c r="W13" i="73"/>
  <c r="J25" i="75" s="1"/>
  <c r="W7" i="73"/>
  <c r="J19" i="75" s="1"/>
  <c r="W14" i="73"/>
  <c r="J26" i="75" s="1"/>
  <c r="W5" i="73"/>
  <c r="J17" i="75" s="1"/>
  <c r="W4" i="73"/>
  <c r="J16" i="75" s="1"/>
  <c r="W6" i="73"/>
  <c r="J18" i="75" s="1"/>
  <c r="U13" i="73"/>
  <c r="H25" i="75" s="1"/>
  <c r="U9" i="73"/>
  <c r="H21" i="75" s="1"/>
  <c r="U10" i="73"/>
  <c r="H22" i="75" s="1"/>
  <c r="U5" i="73"/>
  <c r="H17" i="75" s="1"/>
  <c r="U7" i="73"/>
  <c r="H19" i="75" s="1"/>
  <c r="U11" i="73"/>
  <c r="H23" i="75" s="1"/>
  <c r="U6" i="73"/>
  <c r="H18" i="75" s="1"/>
  <c r="U3" i="73"/>
  <c r="H15" i="75" s="1"/>
  <c r="U12" i="73"/>
  <c r="H24" i="75" s="1"/>
  <c r="U14" i="73"/>
  <c r="H26" i="75" s="1"/>
  <c r="U8" i="73"/>
  <c r="H20" i="75" s="1"/>
  <c r="U4" i="73"/>
  <c r="H16" i="75" s="1"/>
  <c r="O11" i="73"/>
  <c r="B23" i="75" s="1"/>
  <c r="O3" i="73"/>
  <c r="B15" i="75" s="1"/>
  <c r="O12" i="73"/>
  <c r="B24" i="75" s="1"/>
  <c r="O9" i="73"/>
  <c r="B21" i="75" s="1"/>
  <c r="O5" i="73"/>
  <c r="B17" i="75" s="1"/>
  <c r="O14" i="73"/>
  <c r="B26" i="75" s="1"/>
  <c r="O8" i="73"/>
  <c r="B20" i="75" s="1"/>
  <c r="O4" i="73"/>
  <c r="B16" i="75" s="1"/>
  <c r="O7" i="73"/>
  <c r="B19" i="75" s="1"/>
  <c r="O6" i="73"/>
  <c r="B18" i="75" s="1"/>
  <c r="O13" i="73"/>
  <c r="B25" i="75" s="1"/>
  <c r="O10" i="73"/>
  <c r="B22" i="75" s="1"/>
  <c r="G54" i="63"/>
  <c r="T2" i="73"/>
  <c r="R2" i="73"/>
  <c r="Q2" i="73"/>
  <c r="W2" i="73"/>
  <c r="J14" i="75" s="1"/>
  <c r="S2" i="73"/>
  <c r="P2" i="73"/>
  <c r="X2" i="73"/>
  <c r="H53" i="63"/>
  <c r="I10" i="62"/>
  <c r="I9" i="62"/>
  <c r="U2" i="73" a="1"/>
  <c r="O2" i="73" a="1"/>
  <c r="U2" i="73" l="1"/>
  <c r="O2" i="73"/>
  <c r="E7" i="62"/>
  <c r="H55" i="63" s="1"/>
  <c r="G7" i="62"/>
  <c r="G8" i="62" s="1"/>
  <c r="H56" i="63" s="1"/>
  <c r="I7" i="62" l="1"/>
  <c r="G11" i="62"/>
  <c r="I11" i="62" s="1"/>
  <c r="E8" i="62"/>
  <c r="I55" i="63" s="1"/>
  <c r="I8" i="62" l="1"/>
  <c r="D14" i="75"/>
  <c r="F14" i="75"/>
  <c r="L14" i="75"/>
  <c r="B14" i="75"/>
  <c r="N11" i="75" s="1" a="1"/>
  <c r="N11" i="75" s="1"/>
  <c r="K14" i="75"/>
  <c r="E14" i="75"/>
  <c r="G14" i="75"/>
  <c r="H14" i="75"/>
  <c r="C14" i="75"/>
  <c r="J14" i="73" l="1"/>
  <c r="V7" i="73" a="1"/>
  <c r="V2" i="73" a="1"/>
  <c r="V11" i="73" a="1"/>
  <c r="V8" i="73" a="1"/>
  <c r="V4" i="73" a="1"/>
  <c r="V9" i="73" a="1"/>
  <c r="V14" i="73" a="1"/>
  <c r="V13" i="73" a="1"/>
  <c r="V12" i="73" a="1"/>
  <c r="V5" i="73" a="1"/>
  <c r="V10" i="73" a="1"/>
  <c r="V3" i="73" a="1"/>
  <c r="V6" i="73" a="1"/>
  <c r="V12" i="73" l="1"/>
  <c r="I24" i="75" s="1"/>
  <c r="V13" i="73"/>
  <c r="I25" i="75" s="1"/>
  <c r="V10" i="73"/>
  <c r="I22" i="75" s="1"/>
  <c r="V14" i="73"/>
  <c r="I26" i="75" s="1"/>
  <c r="V8" i="73"/>
  <c r="I20" i="75" s="1"/>
  <c r="V9" i="73"/>
  <c r="I21" i="75" s="1"/>
  <c r="V3" i="73"/>
  <c r="I15" i="75" s="1"/>
  <c r="V11" i="73"/>
  <c r="I23" i="75" s="1"/>
  <c r="V7" i="73"/>
  <c r="I19" i="75" s="1"/>
  <c r="V5" i="73"/>
  <c r="I17" i="75" s="1"/>
  <c r="V6" i="73"/>
  <c r="I18" i="75" s="1"/>
  <c r="V4" i="73"/>
  <c r="I16" i="75" s="1"/>
  <c r="V2" i="73"/>
  <c r="L63" i="62"/>
  <c r="D24" i="66"/>
  <c r="I14" i="75" l="1"/>
  <c r="B12" i="75" l="1"/>
  <c r="C1" i="75" s="1" a="1"/>
  <c r="C1" i="75" s="1"/>
  <c r="L13" i="75"/>
  <c r="F13" i="75"/>
  <c r="K12" i="75"/>
  <c r="C10" i="75"/>
  <c r="D12" i="75"/>
  <c r="I13" i="75"/>
  <c r="E13" i="75"/>
  <c r="D13" i="75"/>
  <c r="G13" i="75"/>
  <c r="K13" i="75"/>
  <c r="J12" i="75"/>
  <c r="H13" i="75"/>
  <c r="C11" i="75"/>
  <c r="C12" i="75"/>
  <c r="G12"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a.sandor</author>
    <author>Florina</author>
  </authors>
  <commentList>
    <comment ref="D6" authorId="0" shapeId="0" xr:uid="{00000000-0006-0000-0000-000001000000}">
      <text>
        <r>
          <rPr>
            <sz val="8"/>
            <color indexed="81"/>
            <rFont val="Arial"/>
            <family val="2"/>
          </rPr>
          <t>Bitte Reg.-Nr. auswählen, siehe 
Zertifikat Beispiel, und dann 
die grauen Felder ausfüllen.</t>
        </r>
      </text>
    </comment>
    <comment ref="M6" authorId="1" shapeId="0" xr:uid="{00000000-0006-0000-0000-000002000000}">
      <text/>
    </comment>
    <comment ref="D12" authorId="0" shapeId="0" xr:uid="{00000000-0006-0000-0000-000003000000}">
      <text>
        <r>
          <rPr>
            <sz val="9"/>
            <color indexed="81"/>
            <rFont val="Arial"/>
            <family val="2"/>
          </rPr>
          <t>Name, Vorname</t>
        </r>
      </text>
    </comment>
    <comment ref="K12" authorId="0" shapeId="0" xr:uid="{00000000-0006-0000-0000-000004000000}">
      <text>
        <r>
          <rPr>
            <sz val="9"/>
            <color indexed="81"/>
            <rFont val="Arial"/>
            <family val="2"/>
          </rPr>
          <t>tt.mm.jjjj
Übertrag in weitere Tabellenblätter erfolgt automatisch.</t>
        </r>
      </text>
    </comment>
    <comment ref="K14" authorId="0" shapeId="0" xr:uid="{00000000-0006-0000-0000-000005000000}">
      <text>
        <r>
          <rPr>
            <sz val="9"/>
            <color indexed="81"/>
            <rFont val="Arial"/>
            <family val="2"/>
          </rPr>
          <t>Auswahl erfolgt über Reg.-Nr.</t>
        </r>
      </text>
    </comment>
    <comment ref="H18" authorId="2" shapeId="0" xr:uid="{00000000-0006-0000-0000-000006000000}">
      <text>
        <r>
          <rPr>
            <sz val="9"/>
            <color indexed="81"/>
            <rFont val="Arial"/>
            <family val="2"/>
          </rPr>
          <t>Subjektive Bewertung der Zusammenarbeit hinsichtlich Darlegung der Zertifizierungsdaten und Rückmeldung der Follow-Up-Daten.</t>
        </r>
        <r>
          <rPr>
            <sz val="9"/>
            <color indexed="81"/>
            <rFont val="Tahoma"/>
            <family val="2"/>
          </rPr>
          <t xml:space="preserve">
</t>
        </r>
      </text>
    </comment>
    <comment ref="H21" authorId="2"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G27" authorId="2" shapeId="0" xr:uid="{00000000-0006-0000-0000-000008000000}">
      <text>
        <r>
          <rPr>
            <sz val="9"/>
            <color indexed="81"/>
            <rFont val="Tahoma"/>
            <family val="2"/>
          </rPr>
          <t xml:space="preserve">
</t>
        </r>
        <r>
          <rPr>
            <sz val="9"/>
            <color indexed="81"/>
            <rFont val="Arial"/>
            <family val="2"/>
          </rPr>
          <t>Teil von Nenner KN: 8</t>
        </r>
      </text>
    </comment>
    <comment ref="H27" authorId="0" shapeId="0" xr:uid="{00000000-0006-0000-0000-000009000000}">
      <text>
        <r>
          <rPr>
            <sz val="9"/>
            <color indexed="81"/>
            <rFont val="Arial"/>
            <family val="2"/>
          </rPr>
          <t>Teil von Nenner KN: 8</t>
        </r>
      </text>
    </comment>
    <comment ref="I27" authorId="0" shapeId="0" xr:uid="{00000000-0006-0000-0000-00000A000000}">
      <text>
        <r>
          <rPr>
            <sz val="9"/>
            <color indexed="81"/>
            <rFont val="Arial"/>
            <family val="2"/>
          </rPr>
          <t>Teil von Nenner KN: 8</t>
        </r>
      </text>
    </comment>
    <comment ref="K27" authorId="0" shapeId="0" xr:uid="{00000000-0006-0000-0000-00000C000000}">
      <text>
        <r>
          <rPr>
            <sz val="9"/>
            <color indexed="81"/>
            <rFont val="Arial"/>
            <family val="2"/>
          </rPr>
          <t>Teil von Nenner KN:  7</t>
        </r>
      </text>
    </comment>
    <comment ref="L27" authorId="0" shapeId="0" xr:uid="{00000000-0006-0000-0000-00000D000000}">
      <text>
        <r>
          <rPr>
            <sz val="9"/>
            <color indexed="81"/>
            <rFont val="Arial"/>
            <family val="2"/>
          </rPr>
          <t>Achtung:
L27 + M27 muss gleich mit K27 sein</t>
        </r>
      </text>
    </comment>
    <comment ref="M27" authorId="0" shapeId="0" xr:uid="{00000000-0006-0000-0000-00000E000000}">
      <text>
        <r>
          <rPr>
            <sz val="9"/>
            <color indexed="81"/>
            <rFont val="Arial"/>
            <family val="2"/>
          </rPr>
          <t>Achtung:
L27 + M27 muss gleich mit K27 sein</t>
        </r>
      </text>
    </comment>
    <comment ref="L28" authorId="0" shapeId="0" xr:uid="{00000000-0006-0000-0000-00000F000000}">
      <text>
        <r>
          <rPr>
            <sz val="9"/>
            <color indexed="81"/>
            <rFont val="Arial"/>
            <family val="2"/>
          </rPr>
          <t>Achtung:
L28 + M28 muss gleich mit K28 sein</t>
        </r>
      </text>
    </comment>
    <comment ref="M28" authorId="0" shapeId="0" xr:uid="{00000000-0006-0000-0000-000010000000}">
      <text>
        <r>
          <rPr>
            <sz val="9"/>
            <color indexed="81"/>
            <rFont val="Arial"/>
            <family val="2"/>
          </rPr>
          <t>Achtung:
L28 + M28 muss gleich mit K28 sein</t>
        </r>
      </text>
    </comment>
    <comment ref="K29" authorId="0" shapeId="0" xr:uid="{00000000-0006-0000-0000-000011000000}">
      <text>
        <r>
          <rPr>
            <sz val="9"/>
            <color indexed="81"/>
            <rFont val="Arial"/>
            <family val="2"/>
          </rPr>
          <t>Teil von Nenner KN: 7</t>
        </r>
      </text>
    </comment>
    <comment ref="L29" authorId="0" shapeId="0" xr:uid="{00000000-0006-0000-0000-000012000000}">
      <text>
        <r>
          <rPr>
            <sz val="9"/>
            <color indexed="81"/>
            <rFont val="Arial"/>
            <family val="2"/>
          </rPr>
          <t>Achtung:
L29 + M29 muss gleich mit K29 sein</t>
        </r>
      </text>
    </comment>
    <comment ref="M29" authorId="0" shapeId="0" xr:uid="{00000000-0006-0000-0000-000013000000}">
      <text>
        <r>
          <rPr>
            <sz val="9"/>
            <color indexed="81"/>
            <rFont val="Arial"/>
            <family val="2"/>
          </rPr>
          <t>Achtung:
L29 + M29 muss gleich mit K29 sein</t>
        </r>
      </text>
    </comment>
    <comment ref="L30" authorId="0" shapeId="0" xr:uid="{00000000-0006-0000-0000-000014000000}">
      <text>
        <r>
          <rPr>
            <sz val="9"/>
            <color indexed="81"/>
            <rFont val="Arial"/>
            <family val="2"/>
          </rPr>
          <t>Achtung:
L30 + M30 muss gleich mit K30 sein</t>
        </r>
      </text>
    </comment>
    <comment ref="M30" authorId="0" shapeId="0" xr:uid="{00000000-0006-0000-0000-000015000000}">
      <text>
        <r>
          <rPr>
            <sz val="9"/>
            <color indexed="81"/>
            <rFont val="Arial"/>
            <family val="2"/>
          </rPr>
          <t>Achtung:
L30 + M30 muss gleich mit K30 sein</t>
        </r>
      </text>
    </comment>
    <comment ref="K31" authorId="2" shapeId="0" xr:uid="{00000000-0006-0000-0000-000016000000}">
      <text>
        <r>
          <rPr>
            <sz val="9"/>
            <color indexed="81"/>
            <rFont val="Arial"/>
            <family val="2"/>
          </rPr>
          <t xml:space="preserve">
Teil von Nenner KN: 9</t>
        </r>
      </text>
    </comment>
    <comment ref="H35" authorId="0" shapeId="0" xr:uid="{00000000-0006-0000-0000-000017000000}">
      <text>
        <r>
          <rPr>
            <sz val="9"/>
            <color indexed="81"/>
            <rFont val="Arial"/>
            <family val="2"/>
          </rPr>
          <t>Nenner KN: 10</t>
        </r>
      </text>
    </comment>
    <comment ref="L35" authorId="0" shapeId="0" xr:uid="{00000000-0006-0000-0000-000018000000}">
      <text>
        <r>
          <rPr>
            <sz val="9"/>
            <color indexed="81"/>
            <rFont val="Arial"/>
            <family val="2"/>
          </rPr>
          <t>Achtung:
L35 + M35 muss gleich mit K35 sein</t>
        </r>
      </text>
    </comment>
    <comment ref="M35" authorId="0" shapeId="0" xr:uid="{00000000-0006-0000-0000-000019000000}">
      <text>
        <r>
          <rPr>
            <sz val="9"/>
            <color indexed="81"/>
            <rFont val="Arial"/>
            <family val="2"/>
          </rPr>
          <t>Achtung:
L35 + M35 muss gleich mit K35 sein</t>
        </r>
      </text>
    </comment>
    <comment ref="L36" authorId="0" shapeId="0" xr:uid="{00000000-0006-0000-0000-00001A000000}">
      <text>
        <r>
          <rPr>
            <sz val="9"/>
            <color indexed="81"/>
            <rFont val="Arial"/>
            <family val="2"/>
          </rPr>
          <t>Achtung:
L36 + M36 muss gleich mit K36 sein</t>
        </r>
      </text>
    </comment>
    <comment ref="M36" authorId="0" shapeId="0" xr:uid="{00000000-0006-0000-0000-00001B000000}">
      <text>
        <r>
          <rPr>
            <sz val="9"/>
            <color indexed="81"/>
            <rFont val="Arial"/>
            <family val="2"/>
          </rPr>
          <t>Achtung:
L36 + M36 muss gleich mit K36 sein</t>
        </r>
      </text>
    </comment>
    <comment ref="K39" authorId="0" shapeId="0" xr:uid="{00000000-0006-0000-0000-00001C000000}">
      <text>
        <r>
          <rPr>
            <sz val="9"/>
            <color indexed="81"/>
            <rFont val="Arial"/>
            <family val="2"/>
          </rPr>
          <t>Teil von Anzahl KN: 1a
Teil von Nenner KN: 6</t>
        </r>
      </text>
    </comment>
    <comment ref="K43" authorId="0" shapeId="0" xr:uid="{00000000-0006-0000-0000-00001D000000}">
      <text>
        <r>
          <rPr>
            <sz val="9"/>
            <color indexed="81"/>
            <rFont val="Arial"/>
            <family val="2"/>
          </rPr>
          <t>Teil von Nenner KN: 7</t>
        </r>
      </text>
    </comment>
    <comment ref="K45" authorId="0" shapeId="0" xr:uid="{00000000-0006-0000-0000-00001E000000}">
      <text>
        <r>
          <rPr>
            <sz val="9"/>
            <color indexed="81"/>
            <rFont val="Arial"/>
            <family val="2"/>
          </rPr>
          <t>Teil von Anzahl KN: 1a
Teil von Nenner KN: 6, 9</t>
        </r>
      </text>
    </comment>
    <comment ref="K49" authorId="3" shapeId="0" xr:uid="{00000000-0006-0000-0000-00001F000000}">
      <text>
        <r>
          <rPr>
            <sz val="9"/>
            <color indexed="81"/>
            <rFont val="Arial"/>
            <family val="2"/>
          </rPr>
          <t>Teil von Anzahl KN: 1b</t>
        </r>
      </text>
    </comment>
    <comment ref="K50" authorId="3" shapeId="0" xr:uid="{00000000-0006-0000-0000-000020000000}">
      <text>
        <r>
          <rPr>
            <sz val="9"/>
            <color indexed="81"/>
            <rFont val="Arial"/>
            <family val="2"/>
          </rPr>
          <t>Teil von Anzahl KN: 1b</t>
        </r>
      </text>
    </comment>
    <comment ref="K51" authorId="3" shapeId="0" xr:uid="{00000000-0006-0000-0000-000021000000}">
      <text>
        <r>
          <rPr>
            <sz val="9"/>
            <color indexed="81"/>
            <rFont val="Arial"/>
            <family val="2"/>
          </rPr>
          <t>Teil von Anzahl KN: 1b</t>
        </r>
      </text>
    </comment>
    <comment ref="K53" authorId="0" shapeId="0" xr:uid="{00000000-0006-0000-0000-000022000000}">
      <text>
        <r>
          <rPr>
            <sz val="9"/>
            <color indexed="81"/>
            <rFont val="Arial"/>
            <family val="2"/>
          </rPr>
          <t>Anzahl KN: 1c
Nenner KN: 4,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a.sandor</author>
  </authors>
  <commentList>
    <comment ref="F6" authorId="0" shapeId="0" xr:uid="{00000000-0006-0000-0600-000001000000}">
      <text>
        <r>
          <rPr>
            <sz val="9"/>
            <color indexed="81"/>
            <rFont val="Arial"/>
            <family val="2"/>
          </rPr>
          <t>Übertrag erfolgt aus Tabellenblatt Basisdaten</t>
        </r>
      </text>
    </comment>
    <comment ref="F8" authorId="0" shapeId="0" xr:uid="{00000000-0006-0000-0600-000002000000}">
      <text>
        <r>
          <rPr>
            <sz val="9"/>
            <color indexed="81"/>
            <rFont val="Arial"/>
            <family val="2"/>
          </rPr>
          <t>Übertrag erfolgt aus Tabellenblatt Basisdaten</t>
        </r>
      </text>
    </comment>
    <comment ref="M8" authorId="0" shapeId="0" xr:uid="{00000000-0006-0000-0600-000003000000}">
      <text>
        <r>
          <rPr>
            <sz val="9"/>
            <color indexed="81"/>
            <rFont val="Arial"/>
            <family val="2"/>
          </rPr>
          <t>Übertrag erfolgt aus Tabellenblatt Basisdaten</t>
        </r>
      </text>
    </comment>
    <comment ref="B10" authorId="0" shapeId="0" xr:uid="{00000000-0006-0000-0600-000004000000}">
      <text>
        <r>
          <rPr>
            <sz val="9"/>
            <color indexed="81"/>
            <rFont val="Arial"/>
            <family val="2"/>
          </rPr>
          <t>KN = Kennzahl</t>
        </r>
      </text>
    </comment>
    <comment ref="D10" authorId="0" shapeId="0" xr:uid="{00000000-0006-0000-0600-000005000000}">
      <text>
        <r>
          <rPr>
            <sz val="9"/>
            <color indexed="81"/>
            <rFont val="Arial"/>
            <family val="2"/>
          </rPr>
          <t>EB = Erhebungbogen 
LL = Leitlinie (www.leitlinienprogramm-onkologie.de)</t>
        </r>
      </text>
    </comment>
    <comment ref="P10" authorId="0" shapeId="0" xr:uid="{00000000-0006-0000-0600-000006000000}">
      <text>
        <r>
          <rPr>
            <sz val="9"/>
            <color indexed="81"/>
            <rFont val="Arial"/>
            <family val="2"/>
          </rPr>
          <t>Bitte zuerst graue Felder Ist-Werte ausfüllen.</t>
        </r>
      </text>
    </comment>
    <comment ref="S11" authorId="0" shapeId="0" xr:uid="{00000000-0006-0000-0600-000007000000}">
      <text>
        <r>
          <rPr>
            <sz val="9"/>
            <color indexed="81"/>
            <rFont val="Arial"/>
            <family val="2"/>
          </rPr>
          <t>Wenn Zelle grau, bitte Begründung angeben.</t>
        </r>
      </text>
    </comment>
    <comment ref="Q12" authorId="0" shapeId="0" xr:uid="{00000000-0006-0000-0600-000008000000}">
      <text>
        <r>
          <rPr>
            <sz val="9"/>
            <color indexed="81"/>
            <rFont val="Arial"/>
            <family val="2"/>
          </rPr>
          <t xml:space="preserve">Übertrag erfolgt aus Tabellenblatt Basisdaten 
Zellen K39 + K45
 </t>
        </r>
      </text>
    </comment>
    <comment ref="Q15" authorId="1" shapeId="0" xr:uid="{00000000-0006-0000-0600-000009000000}">
      <text>
        <r>
          <rPr>
            <sz val="9"/>
            <color indexed="81"/>
            <rFont val="Arial"/>
            <family val="2"/>
          </rPr>
          <t>Übertrag erfolgt aus Tabellenblatt Basisdaten
Zellen K49 + K50+ K51</t>
        </r>
      </text>
    </comment>
    <comment ref="Q18" authorId="0" shapeId="0" xr:uid="{00000000-0006-0000-0600-00000A000000}">
      <text>
        <r>
          <rPr>
            <sz val="9"/>
            <color indexed="81"/>
            <rFont val="Arial"/>
            <family val="2"/>
          </rPr>
          <t>Übertrag erfolgt aus Tabellenblatt Basisdaten
Zelle K53</t>
        </r>
      </text>
    </comment>
    <comment ref="Q22" authorId="0" shapeId="0" xr:uid="{00000000-0006-0000-0600-00000B000000}">
      <text>
        <r>
          <rPr>
            <sz val="9"/>
            <color indexed="81"/>
            <rFont val="Arial"/>
            <family val="2"/>
          </rPr>
          <t>Übertrag erfolgt aus 
Anzahl KN 1a)</t>
        </r>
      </text>
    </comment>
    <comment ref="Q25" authorId="2" shapeId="0" xr:uid="{00000000-0006-0000-0600-00000C000000}">
      <text>
        <r>
          <rPr>
            <sz val="9"/>
            <color indexed="81"/>
            <rFont val="Arial"/>
            <family val="2"/>
          </rPr>
          <t>Übertrag erfolgt aus Anzahl KN 1b)</t>
        </r>
      </text>
    </comment>
    <comment ref="Q31" authorId="0" shapeId="0" xr:uid="{00000000-0006-0000-0600-00000D000000}">
      <text>
        <r>
          <rPr>
            <sz val="9"/>
            <color indexed="81"/>
            <rFont val="Arial"/>
            <family val="2"/>
          </rPr>
          <t>Übertrag erfolgt aus Tabellenblatt Basisdaten Zelle K53</t>
        </r>
      </text>
    </comment>
    <comment ref="Q34" authorId="0" shapeId="0" xr:uid="{00000000-0006-0000-0600-00000E000000}">
      <text>
        <r>
          <rPr>
            <sz val="9"/>
            <color indexed="81"/>
            <rFont val="Arial"/>
            <family val="2"/>
          </rPr>
          <t>Übertrag erfolgt aus Tabellenblatt Basisdaten
Zelle K53</t>
        </r>
      </text>
    </comment>
    <comment ref="Q37" authorId="0" shapeId="0" xr:uid="{00000000-0006-0000-0600-00000F000000}">
      <text>
        <r>
          <rPr>
            <sz val="9"/>
            <color indexed="81"/>
            <rFont val="Arial"/>
            <family val="2"/>
          </rPr>
          <t>Übertrag erfolgt aus Anzahl KN 1a)</t>
        </r>
      </text>
    </comment>
    <comment ref="Q40" authorId="0" shapeId="0" xr:uid="{00000000-0006-0000-0600-000010000000}">
      <text>
        <r>
          <rPr>
            <sz val="9"/>
            <color indexed="81"/>
            <rFont val="Arial"/>
            <family val="2"/>
          </rPr>
          <t>Übertrag erfolgt aus Tabellenblatt Basisdaten Zellen K27 + K29 + K43</t>
        </r>
      </text>
    </comment>
    <comment ref="Q43" authorId="0" shapeId="0" xr:uid="{00000000-0006-0000-0600-000011000000}">
      <text>
        <r>
          <rPr>
            <sz val="9"/>
            <color indexed="81"/>
            <rFont val="Arial"/>
            <family val="2"/>
          </rPr>
          <t>Übertrag erfolgt aus Tabellenblatt Basisdaten
Zelle G27 bis I27</t>
        </r>
      </text>
    </comment>
    <comment ref="Q46" authorId="0" shapeId="0" xr:uid="{00000000-0006-0000-0600-000012000000}">
      <text>
        <r>
          <rPr>
            <sz val="9"/>
            <color indexed="81"/>
            <rFont val="Arial"/>
            <family val="2"/>
          </rPr>
          <t>Übertrag erfolgt aus Tabellenblatt Basisdaten
Zellen K31 + K45</t>
        </r>
      </text>
    </comment>
    <comment ref="Q49" authorId="0" shapeId="0" xr:uid="{00000000-0006-0000-0600-000013000000}">
      <text>
        <r>
          <rPr>
            <sz val="9"/>
            <color indexed="81"/>
            <rFont val="Arial"/>
            <family val="2"/>
          </rPr>
          <t>Übertrag erfolgt aus Tabellenblatt Basisdaten
Zelle H35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900-000001000000}">
      <text>
        <r>
          <rPr>
            <sz val="9"/>
            <color indexed="81"/>
            <rFont val="Arial"/>
            <family val="2"/>
          </rPr>
          <t>Übertrag erfolgt aus 
Tabellenblatt Basisdaten</t>
        </r>
      </text>
    </comment>
    <comment ref="D8" authorId="0" shapeId="0" xr:uid="{00000000-0006-0000-0900-000002000000}">
      <text>
        <r>
          <rPr>
            <sz val="9"/>
            <color indexed="81"/>
            <rFont val="Arial"/>
            <family val="2"/>
          </rPr>
          <t>Übertrag erfolgt aus Tabellenblatt Basisdaten</t>
        </r>
      </text>
    </comment>
    <comment ref="K8" authorId="0" shapeId="0" xr:uid="{00000000-0006-0000-0900-000003000000}">
      <text>
        <r>
          <rPr>
            <sz val="9"/>
            <color indexed="81"/>
            <rFont val="Arial"/>
            <family val="2"/>
          </rPr>
          <t>Übertrag erfolgt aus Tabellenblatt Basisdaten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9" authorId="0" shapeId="0" xr:uid="{00000000-0006-0000-0A00-000001000000}">
      <text>
        <r>
          <rPr>
            <sz val="9"/>
            <color indexed="81"/>
            <rFont val="Tahoma"/>
            <family val="2"/>
          </rPr>
          <t>Sollvorgabe nicht erfüllt wenn Gesamtzahl OPs pro Operateur &lt; 15</t>
        </r>
        <r>
          <rPr>
            <b/>
            <sz val="9"/>
            <color indexed="81"/>
            <rFont val="Tahoma"/>
            <family val="2"/>
          </rPr>
          <t xml:space="preserve"> </t>
        </r>
      </text>
    </comment>
    <comment ref="J9" authorId="0" shapeId="0" xr:uid="{00000000-0006-0000-0A00-000002000000}">
      <text>
        <r>
          <rPr>
            <sz val="9"/>
            <color indexed="81"/>
            <rFont val="Tahoma"/>
            <family val="2"/>
          </rPr>
          <t>Sollvorgabe nicht erfüllt wenn Gesamt Resektionen &lt; 50</t>
        </r>
      </text>
    </comment>
    <comment ref="F10" authorId="0" shapeId="0" xr:uid="{00000000-0006-0000-0A00-000003000000}">
      <text>
        <r>
          <rPr>
            <sz val="9"/>
            <color indexed="81"/>
            <rFont val="Tahoma"/>
            <family val="2"/>
          </rPr>
          <t>Sollvorgabe nicht erfüllt wenn Gesamtzahl OPs pro Operateur &lt; 15</t>
        </r>
        <r>
          <rPr>
            <b/>
            <sz val="9"/>
            <color indexed="81"/>
            <rFont val="Tahoma"/>
            <family val="2"/>
          </rPr>
          <t xml:space="preserve"> </t>
        </r>
      </text>
    </comment>
    <comment ref="F11" authorId="0" shapeId="0" xr:uid="{00000000-0006-0000-0A00-000004000000}">
      <text>
        <r>
          <rPr>
            <sz val="9"/>
            <color indexed="81"/>
            <rFont val="Tahoma"/>
            <family val="2"/>
          </rPr>
          <t>Sollvorgabe nicht erfüllt wenn Gesamtzahl OPs pro Operateur &lt; 15</t>
        </r>
        <r>
          <rPr>
            <b/>
            <sz val="9"/>
            <color indexed="81"/>
            <rFont val="Tahoma"/>
            <family val="2"/>
          </rPr>
          <t xml:space="preserve"> </t>
        </r>
      </text>
    </comment>
    <comment ref="F12" authorId="0" shapeId="0" xr:uid="{00000000-0006-0000-0A00-000005000000}">
      <text>
        <r>
          <rPr>
            <sz val="9"/>
            <color indexed="81"/>
            <rFont val="Tahoma"/>
            <family val="2"/>
          </rPr>
          <t>Sollvorgabe nicht erfüllt wenn Gesamtzahl OPs pro Operateur &lt; 15</t>
        </r>
        <r>
          <rPr>
            <b/>
            <sz val="9"/>
            <color indexed="81"/>
            <rFont val="Tahoma"/>
            <family val="2"/>
          </rPr>
          <t xml:space="preserve"> </t>
        </r>
      </text>
    </comment>
    <comment ref="F13" authorId="0" shapeId="0" xr:uid="{00000000-0006-0000-0A00-000006000000}">
      <text>
        <r>
          <rPr>
            <sz val="9"/>
            <color indexed="81"/>
            <rFont val="Tahoma"/>
            <family val="2"/>
          </rPr>
          <t>Sollvorgabe nicht erfüllt wenn Gesamtzahl OPs pro Operateur &lt; 15</t>
        </r>
        <r>
          <rPr>
            <b/>
            <sz val="9"/>
            <color indexed="81"/>
            <rFont val="Tahoma"/>
            <family val="2"/>
          </rPr>
          <t xml:space="preserve"> </t>
        </r>
      </text>
    </comment>
    <comment ref="F14" authorId="0" shapeId="0" xr:uid="{00000000-0006-0000-0A00-000007000000}">
      <text>
        <r>
          <rPr>
            <sz val="9"/>
            <color indexed="81"/>
            <rFont val="Tahoma"/>
            <family val="2"/>
          </rPr>
          <t>Sollvorgabe nicht erfüllt wenn Gesamtzahl OPs pro Operateur &lt; 15</t>
        </r>
        <r>
          <rPr>
            <b/>
            <sz val="9"/>
            <color indexed="81"/>
            <rFont val="Tahoma"/>
            <family val="2"/>
          </rPr>
          <t xml:space="preserve"> </t>
        </r>
      </text>
    </comment>
    <comment ref="F15" authorId="0" shapeId="0" xr:uid="{00000000-0006-0000-0A00-000008000000}">
      <text>
        <r>
          <rPr>
            <sz val="9"/>
            <color indexed="81"/>
            <rFont val="Tahoma"/>
            <family val="2"/>
          </rPr>
          <t>Sollvorgabe nicht erfüllt wenn Gesamtzahl OPs pro Operateur &lt; 15</t>
        </r>
        <r>
          <rPr>
            <b/>
            <sz val="9"/>
            <color indexed="81"/>
            <rFont val="Tahoma"/>
            <family val="2"/>
          </rPr>
          <t xml:space="preserve"> </t>
        </r>
      </text>
    </comment>
    <comment ref="I15" authorId="0" shapeId="0" xr:uid="{00000000-0006-0000-0A00-000009000000}">
      <text>
        <r>
          <rPr>
            <sz val="9"/>
            <color indexed="81"/>
            <rFont val="Tahoma"/>
            <family val="2"/>
          </rPr>
          <t>Falls Operationen bei Knochentumoren durchgeführt werden dann ist die Sollvorgabe nicht erfüllt wenn die Anzahl der OPs &lt;10 ist</t>
        </r>
      </text>
    </comment>
    <comment ref="F16" authorId="0" shapeId="0" xr:uid="{00000000-0006-0000-0A00-00000A000000}">
      <text>
        <r>
          <rPr>
            <sz val="9"/>
            <color indexed="81"/>
            <rFont val="Tahoma"/>
            <family val="2"/>
          </rPr>
          <t>Sollvorgabe nicht erfüllt wenn Gesamtzahl OPs pro Operateur &lt; 15</t>
        </r>
        <r>
          <rPr>
            <b/>
            <sz val="9"/>
            <color indexed="81"/>
            <rFont val="Tahoma"/>
            <family val="2"/>
          </rPr>
          <t xml:space="preserve"> </t>
        </r>
      </text>
    </comment>
    <comment ref="F17" authorId="0" shapeId="0" xr:uid="{00000000-0006-0000-0A00-00000B000000}">
      <text>
        <r>
          <rPr>
            <sz val="9"/>
            <color indexed="81"/>
            <rFont val="Tahoma"/>
            <family val="2"/>
          </rPr>
          <t>Sollvorgabe nicht erfüllt wenn Gesamtzahl OPs pro Operateur &lt; 15</t>
        </r>
        <r>
          <rPr>
            <b/>
            <sz val="9"/>
            <color indexed="81"/>
            <rFont val="Tahoma"/>
            <family val="2"/>
          </rPr>
          <t xml:space="preserve"> </t>
        </r>
      </text>
    </comment>
    <comment ref="I17" authorId="0" shapeId="0" xr:uid="{00000000-0006-0000-0A00-00000C000000}">
      <text>
        <r>
          <rPr>
            <sz val="9"/>
            <color indexed="81"/>
            <rFont val="Tahoma"/>
            <family val="2"/>
          </rPr>
          <t>Falls Operationen bei Knochentumoren durchgeführt werden dann ist die Sollvorgabe nicht erfüllt wenn die Anzahl der OPs &lt;10 ist</t>
        </r>
      </text>
    </comment>
    <comment ref="F18" authorId="0" shapeId="0" xr:uid="{00000000-0006-0000-0A00-00000D000000}">
      <text>
        <r>
          <rPr>
            <sz val="9"/>
            <color indexed="81"/>
            <rFont val="Tahoma"/>
            <family val="2"/>
          </rPr>
          <t>Sollvorgabe nicht erfüllt wenn Gesamtzahl OPs pro Operateur &lt; 15</t>
        </r>
        <r>
          <rPr>
            <b/>
            <sz val="9"/>
            <color indexed="81"/>
            <rFont val="Tahoma"/>
            <family val="2"/>
          </rPr>
          <t xml:space="preserve"> </t>
        </r>
      </text>
    </comment>
    <comment ref="F19" authorId="0" shapeId="0" xr:uid="{00000000-0006-0000-0A00-00000E000000}">
      <text>
        <r>
          <rPr>
            <sz val="9"/>
            <color indexed="81"/>
            <rFont val="Tahoma"/>
            <family val="2"/>
          </rPr>
          <t>Sollvorgabe nicht erfüllt wenn Gesamtzahl OPs pro Operateur &lt; 15</t>
        </r>
        <r>
          <rPr>
            <b/>
            <sz val="9"/>
            <color indexed="81"/>
            <rFont val="Tahoma"/>
            <family val="2"/>
          </rPr>
          <t xml:space="preserve"> </t>
        </r>
      </text>
    </comment>
    <comment ref="F20" authorId="0" shapeId="0" xr:uid="{00000000-0006-0000-0A00-00000F000000}">
      <text>
        <r>
          <rPr>
            <sz val="9"/>
            <color indexed="81"/>
            <rFont val="Tahoma"/>
            <family val="2"/>
          </rPr>
          <t>Sollvorgabe nicht erfüllt wenn Gesamtzahl OPs pro Operateur &lt; 15</t>
        </r>
        <r>
          <rPr>
            <b/>
            <sz val="9"/>
            <color indexed="81"/>
            <rFont val="Tahoma"/>
            <family val="2"/>
          </rPr>
          <t xml:space="preserve"> </t>
        </r>
      </text>
    </comment>
    <comment ref="F21" authorId="0" shapeId="0" xr:uid="{00000000-0006-0000-0A00-000010000000}">
      <text>
        <r>
          <rPr>
            <sz val="9"/>
            <color indexed="81"/>
            <rFont val="Tahoma"/>
            <family val="2"/>
          </rPr>
          <t>Sollvorgabe nicht erfüllt wenn Gesamtzahl OPs pro Operateur &lt; 15</t>
        </r>
        <r>
          <rPr>
            <b/>
            <sz val="9"/>
            <color indexed="81"/>
            <rFont val="Tahoma"/>
            <family val="2"/>
          </rPr>
          <t xml:space="preserve"> </t>
        </r>
      </text>
    </comment>
    <comment ref="F22" authorId="0" shapeId="0" xr:uid="{00000000-0006-0000-0A00-000011000000}">
      <text>
        <r>
          <rPr>
            <sz val="9"/>
            <color indexed="81"/>
            <rFont val="Tahoma"/>
            <family val="2"/>
          </rPr>
          <t>Sollvorgabe nicht erfüllt wenn Gesamtzahl OPs pro Operateur &lt; 15</t>
        </r>
        <r>
          <rPr>
            <b/>
            <sz val="9"/>
            <color indexed="81"/>
            <rFont val="Tahoma"/>
            <family val="2"/>
          </rPr>
          <t xml:space="preserve"> </t>
        </r>
      </text>
    </comment>
    <comment ref="F23" authorId="0" shapeId="0" xr:uid="{00000000-0006-0000-0A00-000012000000}">
      <text>
        <r>
          <rPr>
            <sz val="9"/>
            <color indexed="81"/>
            <rFont val="Tahoma"/>
            <family val="2"/>
          </rPr>
          <t>Sollvorgabe nicht erfüllt wenn Gesamtzahl OPs pro Operateur &lt; 15</t>
        </r>
        <r>
          <rPr>
            <b/>
            <sz val="9"/>
            <color indexed="81"/>
            <rFont val="Tahoma"/>
            <family val="2"/>
          </rPr>
          <t xml:space="preserve"> </t>
        </r>
      </text>
    </comment>
    <comment ref="G23" authorId="0" shapeId="0" xr:uid="{00000000-0006-0000-0A00-000013000000}">
      <text>
        <r>
          <rPr>
            <sz val="9"/>
            <color indexed="81"/>
            <rFont val="Tahoma"/>
            <family val="2"/>
          </rPr>
          <t>Sollvorgabe nicht erfüllt wenn Gesamtzahl OPs Plastische Chirurgie (Rekonstruktion) Kooperationspartner &lt; 30</t>
        </r>
      </text>
    </comment>
    <comment ref="F24" authorId="0" shapeId="0" xr:uid="{00000000-0006-0000-0A00-000014000000}">
      <text>
        <r>
          <rPr>
            <sz val="9"/>
            <color indexed="81"/>
            <rFont val="Tahoma"/>
            <family val="2"/>
          </rPr>
          <t>Sollvorgabe nicht erfüllt wenn Gesamtzahl OPs pro Operateur &lt; 15</t>
        </r>
        <r>
          <rPr>
            <b/>
            <sz val="9"/>
            <color indexed="81"/>
            <rFont val="Tahoma"/>
            <family val="2"/>
          </rPr>
          <t xml:space="preserve"> </t>
        </r>
      </text>
    </comment>
    <comment ref="F25" authorId="0" shapeId="0" xr:uid="{00000000-0006-0000-0A00-000015000000}">
      <text>
        <r>
          <rPr>
            <sz val="9"/>
            <color indexed="81"/>
            <rFont val="Tahoma"/>
            <family val="2"/>
          </rPr>
          <t>Sollvorgabe nicht erfüllt wenn Gesamtzahl OPs pro Operateur &lt; 15</t>
        </r>
        <r>
          <rPr>
            <b/>
            <sz val="9"/>
            <color indexed="81"/>
            <rFont val="Tahoma"/>
            <family val="2"/>
          </rPr>
          <t xml:space="preserve"> </t>
        </r>
      </text>
    </comment>
    <comment ref="G25" authorId="0" shapeId="0" xr:uid="{00000000-0006-0000-0A00-000016000000}">
      <text>
        <r>
          <rPr>
            <sz val="9"/>
            <color indexed="81"/>
            <rFont val="Tahoma"/>
            <family val="2"/>
          </rPr>
          <t>Sollvorgabe nicht erfüllt wenn Gesamtzahl OPs Plastische Chirurgie (Rekonstruktion) Kooperationspartner &lt; 30</t>
        </r>
      </text>
    </comment>
    <comment ref="F26" authorId="0" shapeId="0" xr:uid="{00000000-0006-0000-0A00-000017000000}">
      <text>
        <r>
          <rPr>
            <sz val="9"/>
            <color indexed="81"/>
            <rFont val="Tahoma"/>
            <family val="2"/>
          </rPr>
          <t>Sollvorgabe nicht erfüllt wenn Gesamtzahl OPs pro Operateur &lt; 15</t>
        </r>
        <r>
          <rPr>
            <b/>
            <sz val="9"/>
            <color indexed="81"/>
            <rFont val="Tahoma"/>
            <family val="2"/>
          </rPr>
          <t xml:space="preserve"> </t>
        </r>
      </text>
    </comment>
  </commentList>
</comments>
</file>

<file path=xl/sharedStrings.xml><?xml version="1.0" encoding="utf-8"?>
<sst xmlns="http://schemas.openxmlformats.org/spreadsheetml/2006/main" count="1055" uniqueCount="760">
  <si>
    <t>Nicht gelistet</t>
  </si>
  <si>
    <t>-----</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</si>
  <si>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</si>
  <si>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</si>
  <si>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</si>
  <si>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</si>
  <si>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</si>
  <si>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</si>
  <si>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</si>
  <si>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</si>
  <si>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</si>
  <si>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</si>
  <si>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</si>
  <si>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</si>
  <si>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</si>
  <si>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</si>
  <si>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</si>
  <si>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</si>
  <si>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</si>
  <si>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</si>
  <si>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</si>
  <si>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</si>
  <si>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</si>
  <si>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Anzahl</t>
  </si>
  <si>
    <t>Nenner</t>
  </si>
  <si>
    <t>Datenqualität Kennzahlen</t>
  </si>
  <si>
    <t>Plausibel</t>
  </si>
  <si>
    <t>Fehlerhaft</t>
  </si>
  <si>
    <t>Kennzahldefinition</t>
  </si>
  <si>
    <t>Kennzahlenziel</t>
  </si>
  <si>
    <t>Zähler</t>
  </si>
  <si>
    <t>Grundgesamtheit 
(= Nenner)</t>
  </si>
  <si>
    <t>Ist-Wert</t>
  </si>
  <si>
    <t>Verifizierung Zentrum</t>
  </si>
  <si>
    <t>%</t>
  </si>
  <si>
    <t>siehe Sollvorgabe</t>
  </si>
  <si>
    <t>Nr</t>
  </si>
  <si>
    <t>Zaehler</t>
  </si>
  <si>
    <t>Quote</t>
  </si>
  <si>
    <t>vID</t>
  </si>
  <si>
    <t>ErlaeuterungDatendefizit</t>
  </si>
  <si>
    <t>EingeleiteteAktionen</t>
  </si>
  <si>
    <t>Aktionen</t>
  </si>
  <si>
    <t>Zähler / Anzahl</t>
  </si>
  <si>
    <t>≥ 95%</t>
  </si>
  <si>
    <t>Begründung / Ursache</t>
  </si>
  <si>
    <t>Eingeleitete / geplante Aktionen</t>
  </si>
  <si>
    <t>Ansprechpartner</t>
  </si>
  <si>
    <t>Bundesland / Land</t>
  </si>
  <si>
    <t>Daten-qualität</t>
  </si>
  <si>
    <t>Soll-vorgabe</t>
  </si>
  <si>
    <t>Plausi unklar</t>
  </si>
  <si>
    <t>Allgemeine Feststellungen</t>
  </si>
  <si>
    <t>Allgemeine Hinweise</t>
  </si>
  <si>
    <t>Allgemeine Abweichungen</t>
  </si>
  <si>
    <t>Bewertung Ausschuss</t>
  </si>
  <si>
    <t>Anmerkung OnkoZert</t>
  </si>
  <si>
    <t>Feststellung</t>
  </si>
  <si>
    <t>Hinweis</t>
  </si>
  <si>
    <t>Abweichung</t>
  </si>
  <si>
    <t>Alle KN leer:</t>
  </si>
  <si>
    <t>Für Übertragung in Datendefizite_KB:</t>
  </si>
  <si>
    <t xml:space="preserve">Datenqualität
</t>
  </si>
  <si>
    <t>Sollvorgabe</t>
  </si>
  <si>
    <t>Sollvorgabe nicht erfüllt</t>
  </si>
  <si>
    <t>Gesamt</t>
  </si>
  <si>
    <t>Reg.-Nr.</t>
  </si>
  <si>
    <t>Bundesland</t>
  </si>
  <si>
    <t>Tumordokumentationssystem</t>
  </si>
  <si>
    <t>Datenqualität</t>
  </si>
  <si>
    <t>FormularID</t>
  </si>
  <si>
    <t>Erstelldatum</t>
  </si>
  <si>
    <t>Plausibilität unklar</t>
  </si>
  <si>
    <t xml:space="preserve">Reg.-Nr. </t>
  </si>
  <si>
    <t>Erstzertifizierung</t>
  </si>
  <si>
    <t>I.O.</t>
  </si>
  <si>
    <t>Inkorrekt</t>
  </si>
  <si>
    <t>Unvollständig</t>
  </si>
  <si>
    <t>Kennzahlenjahr</t>
  </si>
  <si>
    <t>&gt;</t>
  </si>
  <si>
    <t>&lt;</t>
  </si>
  <si>
    <t>Datum Erstzertifizierung</t>
  </si>
  <si>
    <t>Zentrum</t>
  </si>
  <si>
    <t>Standort</t>
  </si>
  <si>
    <t>a)</t>
  </si>
  <si>
    <t>b)</t>
  </si>
  <si>
    <t>Einrichtung 1</t>
  </si>
  <si>
    <t>KN</t>
  </si>
  <si>
    <t>Primärfälle</t>
  </si>
  <si>
    <t>1.2.1</t>
  </si>
  <si>
    <t>1.7.4</t>
  </si>
  <si>
    <t>Primärfall</t>
  </si>
  <si>
    <t>Definitionen</t>
  </si>
  <si>
    <t>Zentrumsfälle</t>
  </si>
  <si>
    <t>1a)</t>
  </si>
  <si>
    <t>1b)</t>
  </si>
  <si>
    <t>1 a)</t>
  </si>
  <si>
    <t>1 b)</t>
  </si>
  <si>
    <t>Derzeit keine Vorgaben</t>
  </si>
  <si>
    <t>1.4.3</t>
  </si>
  <si>
    <t>Zusammenarbeit mit KFRG-Krebsregister</t>
  </si>
  <si>
    <t>OncoBox</t>
  </si>
  <si>
    <t>Bearbeitungs-qualität</t>
  </si>
  <si>
    <t>Zentrumsfall</t>
  </si>
  <si>
    <t xml:space="preserve"> Zentrumsfälle</t>
  </si>
  <si>
    <t>IA</t>
  </si>
  <si>
    <t>IB</t>
  </si>
  <si>
    <t>IIIA</t>
  </si>
  <si>
    <t>IIIB</t>
  </si>
  <si>
    <t>IV</t>
  </si>
  <si>
    <t>M1</t>
  </si>
  <si>
    <t>operativ</t>
  </si>
  <si>
    <t>nicht operativ</t>
  </si>
  <si>
    <t>WGT ohne GIST</t>
  </si>
  <si>
    <t>GIST</t>
  </si>
  <si>
    <t>Zentrumsfälle gesamt</t>
  </si>
  <si>
    <t>Anzahl Primärfälle</t>
  </si>
  <si>
    <t>Anzahl Zentrumsfälle</t>
  </si>
  <si>
    <t>≥ 50</t>
  </si>
  <si>
    <t>1.2.2</t>
  </si>
  <si>
    <t>Prätherapeutische Tumorkonferenz</t>
  </si>
  <si>
    <t>Prätherapeutische* Vorstellung möglichst vieler Pat. in der Tumorkonferenz
*nach durchgeführtem Staging/Diagnostik</t>
  </si>
  <si>
    <t>Vorstellung postoperative Tumorkonferenz</t>
  </si>
  <si>
    <t>Psychoonkologische Betreuung</t>
  </si>
  <si>
    <t>Adäquate Rate an psychoonkologischer Betreuung</t>
  </si>
  <si>
    <t>&gt; 60%</t>
  </si>
  <si>
    <t>Beratung Sozialdienst</t>
  </si>
  <si>
    <t>1.5.3</t>
  </si>
  <si>
    <t>Adäquate Rate an Beratung durch Sozialdienst</t>
  </si>
  <si>
    <t>&lt; 40%</t>
  </si>
  <si>
    <t>Primärfälle 
(= Kennzahl 1a)</t>
  </si>
  <si>
    <t>&gt; 80%</t>
  </si>
  <si>
    <t>Möglichst häufig R0-Exzision bei resektabler Erkrankung</t>
  </si>
  <si>
    <t>≥ 90%</t>
  </si>
  <si>
    <t>Prätherapeutische histologische Sicherung</t>
  </si>
  <si>
    <t>Möglichst häufig prätherapeutische histologische Diagnosesicherung</t>
  </si>
  <si>
    <t>Risikogerechte adjuvante Therapie GIST</t>
  </si>
  <si>
    <t>Möglichst häufig adäquate risikogerechte adjuvante Therapie</t>
  </si>
  <si>
    <t>≥ 85%</t>
  </si>
  <si>
    <t>Gesamt Primärfälle GIST</t>
  </si>
  <si>
    <t xml:space="preserve">Primärfälle GIST </t>
  </si>
  <si>
    <t>Gesamt Primärfälle WGT</t>
  </si>
  <si>
    <t>Gesamt Primärfälle WGT und GIST</t>
  </si>
  <si>
    <t>ICD-O Morphologie</t>
  </si>
  <si>
    <t>Histologische Gruppe</t>
  </si>
  <si>
    <t>Untergruppen</t>
  </si>
  <si>
    <t>Adipozytäre Tumoren</t>
  </si>
  <si>
    <t>8851/3</t>
  </si>
  <si>
    <t>Dedifferenziertes Liposarkom</t>
  </si>
  <si>
    <t>8858/3</t>
  </si>
  <si>
    <t>Myxoides Liposarkom</t>
  </si>
  <si>
    <t>8852/3</t>
  </si>
  <si>
    <t>Rundzelliges Liposarkom</t>
  </si>
  <si>
    <t>8853/3</t>
  </si>
  <si>
    <t>Pleomorphes Liposarkom</t>
  </si>
  <si>
    <t>8854/3</t>
  </si>
  <si>
    <t>Liposarkom, NOS</t>
  </si>
  <si>
    <t>8850/3</t>
  </si>
  <si>
    <t>8815/3</t>
  </si>
  <si>
    <t>Low grade myofibroblastisches Sarkom</t>
  </si>
  <si>
    <t>8825/3</t>
  </si>
  <si>
    <t>Low grade fibromyxoides Sarkom</t>
  </si>
  <si>
    <t>8840/3</t>
  </si>
  <si>
    <t>Sklerosierendes epitheloides Fibrosarkom</t>
  </si>
  <si>
    <t>8811/1</t>
  </si>
  <si>
    <t>Infantiles Fibrosarkom</t>
  </si>
  <si>
    <t>8814/3</t>
  </si>
  <si>
    <t>8810/3</t>
  </si>
  <si>
    <t>Myxofibrosarkom</t>
  </si>
  <si>
    <t>8811/3</t>
  </si>
  <si>
    <t>Fibrohistiozytäre Tumoren</t>
  </si>
  <si>
    <t>Tenosynovialer Riesenzelltumor, maligne</t>
  </si>
  <si>
    <t>9252/3</t>
  </si>
  <si>
    <t>Glattmuskuläre Tumoren</t>
  </si>
  <si>
    <t>Leiomyosarkom</t>
  </si>
  <si>
    <t>8890/3</t>
  </si>
  <si>
    <t>Perizytäre Tumoren</t>
  </si>
  <si>
    <t>Maligner Glomustumor</t>
  </si>
  <si>
    <t>8711/3</t>
  </si>
  <si>
    <t>Skelettmuskuläre Tumoren</t>
  </si>
  <si>
    <t>8910/3</t>
  </si>
  <si>
    <t>8912/3</t>
  </si>
  <si>
    <t>8920/3</t>
  </si>
  <si>
    <t>Pleomorphes Rhabdomyosarkom</t>
  </si>
  <si>
    <t>8901/3</t>
  </si>
  <si>
    <t>Vaskuläre Tumoren</t>
  </si>
  <si>
    <t>9135/1</t>
  </si>
  <si>
    <t>Epitheloides Hämangioendotheliom</t>
  </si>
  <si>
    <t>9133/3</t>
  </si>
  <si>
    <t>Gastrointestinale Stromatumoren</t>
  </si>
  <si>
    <t>Angiosarkom</t>
  </si>
  <si>
    <t>9120/3</t>
  </si>
  <si>
    <t>Stromasarkom o.n.A.</t>
  </si>
  <si>
    <t>8931/3</t>
  </si>
  <si>
    <t>Gastrointestinaler Stromatumor mit unsicherem malignem Potential</t>
  </si>
  <si>
    <t>8936/1</t>
  </si>
  <si>
    <t>8936/3</t>
  </si>
  <si>
    <t>Tumoren mit unsicherer Differenzierung</t>
  </si>
  <si>
    <t>Synovialsarkom</t>
  </si>
  <si>
    <t>9040/3</t>
  </si>
  <si>
    <t>Epitheloides Sarkom</t>
  </si>
  <si>
    <t>8804/3</t>
  </si>
  <si>
    <t>Alveoläres Weichteilsarkom</t>
  </si>
  <si>
    <t>9581/3</t>
  </si>
  <si>
    <t>Klarzellsarkom</t>
  </si>
  <si>
    <t>9044/3</t>
  </si>
  <si>
    <t>Extraskelettales myxoides Chondrosarkom</t>
  </si>
  <si>
    <t>9231/3</t>
  </si>
  <si>
    <t>9364/3</t>
  </si>
  <si>
    <t>9260/3</t>
  </si>
  <si>
    <t>Desmoplastisches klein-rundzelliges Sarkom (DSRCT)</t>
  </si>
  <si>
    <t>8806/3</t>
  </si>
  <si>
    <t>Extrarenaler Rhabdoidtumor</t>
  </si>
  <si>
    <t>8963/3</t>
  </si>
  <si>
    <t>Malignes Mesenchymom</t>
  </si>
  <si>
    <t>8990/3</t>
  </si>
  <si>
    <t>Intimasarkom</t>
  </si>
  <si>
    <t>8800/3</t>
  </si>
  <si>
    <t>Extraskelettales Osteosarkom</t>
  </si>
  <si>
    <t>9180/3</t>
  </si>
  <si>
    <t>Extraskelettales mesenchymales Chondrosarkom</t>
  </si>
  <si>
    <t>9240/3</t>
  </si>
  <si>
    <t>9540/3</t>
  </si>
  <si>
    <t>9542/3</t>
  </si>
  <si>
    <t>Maligner Triton-Tumor</t>
  </si>
  <si>
    <t>9561/3</t>
  </si>
  <si>
    <t>Maligner Granularzelltumor</t>
  </si>
  <si>
    <t>9580/3</t>
  </si>
  <si>
    <t>Undifferenziertes Spindelzellsarkom</t>
  </si>
  <si>
    <t>8801/3</t>
  </si>
  <si>
    <t>Undifferenziertes pleomorphes Sarkom</t>
  </si>
  <si>
    <t>8802/3</t>
  </si>
  <si>
    <t>Undifferenziertes rundzelliges Sarkom</t>
  </si>
  <si>
    <t>8803/3</t>
  </si>
  <si>
    <t>Undifferenziertes epitheloidzelliges Sarkom</t>
  </si>
  <si>
    <t>Undifferenziertes Sarkom, NOS</t>
  </si>
  <si>
    <t>8805/3</t>
  </si>
  <si>
    <t>Uterine Sarkome</t>
  </si>
  <si>
    <t>Low grade endometriales Stromasarkom</t>
  </si>
  <si>
    <t>High grade endometriales Stromasarkom</t>
  </si>
  <si>
    <t>8930/3</t>
  </si>
  <si>
    <t>Uterines Leiomyosarkom</t>
  </si>
  <si>
    <t>Epitheloides Leiomyosarkom</t>
  </si>
  <si>
    <t>Myxoides Leiomyosarkom</t>
  </si>
  <si>
    <t>8891/3</t>
  </si>
  <si>
    <t>Uterines Rhabdomyosarkom</t>
  </si>
  <si>
    <t>8896/3</t>
  </si>
  <si>
    <t>Uterines malignes PECom</t>
  </si>
  <si>
    <t>8900/3</t>
  </si>
  <si>
    <t>8714/3</t>
  </si>
  <si>
    <t>&lt; 5%</t>
  </si>
  <si>
    <t>Prä-oder postoperative Strahlentherapie bei operierten hoch malignen WGT ohne GIST</t>
  </si>
  <si>
    <t>Bearbeitungshinweise:</t>
  </si>
  <si>
    <t>davon</t>
  </si>
  <si>
    <t>Erläuterungen zu den Basisdaten</t>
  </si>
  <si>
    <t>Erläuterungen</t>
  </si>
  <si>
    <t>Variante</t>
  </si>
  <si>
    <t>Maligner peripherer Nervenscheidentumor</t>
  </si>
  <si>
    <t>Epitheloider maligner peripherer Nervenscheidentumor</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</si>
  <si>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</si>
  <si>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</si>
  <si>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</si>
  <si>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</si>
  <si>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</si>
  <si>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</si>
  <si>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</si>
  <si>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</si>
  <si>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</si>
  <si>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</si>
  <si>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</si>
  <si>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</si>
  <si>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</si>
  <si>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</si>
  <si>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</si>
  <si>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</si>
  <si>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</si>
  <si>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KR7</t>
  </si>
  <si>
    <t>Medbrix</t>
  </si>
  <si>
    <t>MR-TU-DO</t>
  </si>
  <si>
    <t>NUK</t>
  </si>
  <si>
    <t>ORBIS-ODOK</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</si>
  <si>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</si>
  <si>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</si>
  <si>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</si>
  <si>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</si>
  <si>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</si>
  <si>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</si>
  <si>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</si>
  <si>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</si>
  <si>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</si>
  <si>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</si>
  <si>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</si>
  <si>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</si>
  <si>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</si>
  <si>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</si>
  <si>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Unbekannt</t>
  </si>
  <si>
    <t>II</t>
  </si>
  <si>
    <r>
      <t xml:space="preserve">Primärfälle Weichgewebetumoren (WGT) 
</t>
    </r>
    <r>
      <rPr>
        <sz val="9"/>
        <color theme="1"/>
        <rFont val="Arial"/>
        <family val="2"/>
      </rPr>
      <t>(</t>
    </r>
    <r>
      <rPr>
        <u/>
        <sz val="9"/>
        <color theme="1"/>
        <rFont val="Arial"/>
        <family val="2"/>
      </rPr>
      <t>ohne</t>
    </r>
    <r>
      <rPr>
        <sz val="9"/>
        <color theme="1"/>
        <rFont val="Arial"/>
        <family val="2"/>
      </rPr>
      <t xml:space="preserve"> Knochentumoren) 
Def. gemäß EB 1.2.1 </t>
    </r>
  </si>
  <si>
    <t>Abbildung des Netzwerkes chirurgischer Kooperationspartner</t>
  </si>
  <si>
    <t>Operateure</t>
  </si>
  <si>
    <t>Einheit</t>
  </si>
  <si>
    <t>Fachdisziplin</t>
  </si>
  <si>
    <t>Name Kooperationspartner</t>
  </si>
  <si>
    <t>Gesamtzahl OPs pro Operateur</t>
  </si>
  <si>
    <t>Gesamtzahl OPs pro Einheit</t>
  </si>
  <si>
    <t>Anmerkung des Zentrums</t>
  </si>
  <si>
    <t>Viszeralchirurgie</t>
  </si>
  <si>
    <t>Plastische Chirurgie</t>
  </si>
  <si>
    <t>nicht auszufüllen</t>
  </si>
  <si>
    <t>Benannte Operateure (Titel, Name, Vorname)</t>
  </si>
  <si>
    <t>Name Krankenhaus/ Name Abteilung</t>
  </si>
  <si>
    <r>
      <t xml:space="preserve">Begründung/Ursache
</t>
    </r>
    <r>
      <rPr>
        <sz val="8"/>
        <color theme="1"/>
        <rFont val="Arial"/>
        <family val="2"/>
      </rPr>
      <t>(min. 30 Zeichen / max. 500 Zeichen)</t>
    </r>
  </si>
  <si>
    <r>
      <t xml:space="preserve">Eingeleitete/geplante Aktionen
</t>
    </r>
    <r>
      <rPr>
        <sz val="8"/>
        <color theme="1"/>
        <rFont val="Arial"/>
        <family val="2"/>
      </rPr>
      <t>(bei plausibler Begründung keine Aktion erforderlich)</t>
    </r>
  </si>
  <si>
    <r>
      <t xml:space="preserve">WGT (ohne GIST) operativ </t>
    </r>
    <r>
      <rPr>
        <vertAlign val="superscript"/>
        <sz val="9"/>
        <color theme="1"/>
        <rFont val="Arial"/>
        <family val="2"/>
      </rPr>
      <t>1)</t>
    </r>
  </si>
  <si>
    <r>
      <t xml:space="preserve">WGT (ohne GIST) nicht operativ </t>
    </r>
    <r>
      <rPr>
        <vertAlign val="superscript"/>
        <sz val="9"/>
        <color theme="1"/>
        <rFont val="Arial"/>
        <family val="2"/>
      </rPr>
      <t>1)</t>
    </r>
  </si>
  <si>
    <r>
      <t xml:space="preserve">Sonstige WGT (ohne GIST) </t>
    </r>
    <r>
      <rPr>
        <vertAlign val="superscript"/>
        <sz val="9"/>
        <color theme="1"/>
        <rFont val="Arial"/>
        <family val="2"/>
      </rPr>
      <t xml:space="preserve">2) </t>
    </r>
    <r>
      <rPr>
        <sz val="9"/>
        <color theme="1"/>
        <rFont val="Arial"/>
        <family val="2"/>
      </rPr>
      <t>operativ</t>
    </r>
  </si>
  <si>
    <r>
      <t xml:space="preserve">Sonstige WGT (ohne GIST) </t>
    </r>
    <r>
      <rPr>
        <vertAlign val="superscript"/>
        <sz val="9"/>
        <color theme="1"/>
        <rFont val="Arial"/>
        <family val="2"/>
      </rPr>
      <t xml:space="preserve">2) </t>
    </r>
    <r>
      <rPr>
        <sz val="9"/>
        <color theme="1"/>
        <rFont val="Arial"/>
        <family val="2"/>
      </rPr>
      <t>nicht</t>
    </r>
    <r>
      <rPr>
        <vertAlign val="superscript"/>
        <sz val="9"/>
        <color theme="1"/>
        <rFont val="Arial"/>
        <family val="2"/>
      </rPr>
      <t xml:space="preserve"> </t>
    </r>
    <r>
      <rPr>
        <sz val="9"/>
        <color theme="1"/>
        <rFont val="Arial"/>
        <family val="2"/>
      </rPr>
      <t>operativ</t>
    </r>
  </si>
  <si>
    <r>
      <t xml:space="preserve">Ausschließlich im Sarkomzentrum gezählt </t>
    </r>
    <r>
      <rPr>
        <vertAlign val="superscript"/>
        <sz val="9"/>
        <color theme="1"/>
        <rFont val="Arial"/>
        <family val="2"/>
      </rPr>
      <t>4)</t>
    </r>
  </si>
  <si>
    <r>
      <t xml:space="preserve">Niedriges Risiko </t>
    </r>
    <r>
      <rPr>
        <vertAlign val="superscript"/>
        <sz val="9"/>
        <color theme="1"/>
        <rFont val="Arial"/>
        <family val="2"/>
      </rPr>
      <t>3)</t>
    </r>
  </si>
  <si>
    <r>
      <t xml:space="preserve">Hohes Risiko </t>
    </r>
    <r>
      <rPr>
        <vertAlign val="superscript"/>
        <sz val="9"/>
        <color theme="1"/>
        <rFont val="Arial"/>
        <family val="2"/>
      </rPr>
      <t>3)</t>
    </r>
  </si>
  <si>
    <r>
      <t xml:space="preserve">Primärfall und Primärfall </t>
    </r>
    <r>
      <rPr>
        <u/>
        <sz val="9"/>
        <color theme="1"/>
        <rFont val="Arial"/>
        <family val="2"/>
      </rPr>
      <t>im gleichen Kennzahlenjahr</t>
    </r>
  </si>
  <si>
    <r>
      <rPr>
        <b/>
        <sz val="9"/>
        <color rgb="FF0000CC"/>
        <rFont val="Arial"/>
        <family val="2"/>
      </rPr>
      <t>2 Zentrumsfälle</t>
    </r>
    <r>
      <rPr>
        <sz val="9"/>
        <color theme="1"/>
        <rFont val="Arial"/>
        <family val="2"/>
      </rPr>
      <t xml:space="preserve"> in dem Jahr mit Erstdiagnose des Primärfalls und des Rezidivs.</t>
    </r>
  </si>
  <si>
    <r>
      <rPr>
        <b/>
        <sz val="9"/>
        <color rgb="FF0000CC"/>
        <rFont val="Arial"/>
        <family val="2"/>
      </rPr>
      <t>2 Zentrumsfälle</t>
    </r>
    <r>
      <rPr>
        <sz val="9"/>
        <color theme="1"/>
        <rFont val="Arial"/>
        <family val="2"/>
      </rPr>
      <t xml:space="preserve"> in dem Jahr mit Erstdiagnose des Primärfalls und der sek. Fernmetastase.</t>
    </r>
  </si>
  <si>
    <r>
      <rPr>
        <b/>
        <sz val="9"/>
        <color rgb="FF0000CC"/>
        <rFont val="Arial"/>
        <family val="2"/>
      </rPr>
      <t>1 Zentrumsfall</t>
    </r>
    <r>
      <rPr>
        <sz val="9"/>
        <color theme="1"/>
        <rFont val="Arial"/>
        <family val="2"/>
      </rPr>
      <t xml:space="preserve"> in dem Jahr mit Erstdiagnose der Rezidive.</t>
    </r>
  </si>
  <si>
    <r>
      <rPr>
        <b/>
        <sz val="9"/>
        <color rgb="FF0000CC"/>
        <rFont val="Arial"/>
        <family val="2"/>
      </rPr>
      <t>2 Zentrumsfälle</t>
    </r>
    <r>
      <rPr>
        <sz val="9"/>
        <color theme="1"/>
        <rFont val="Arial"/>
        <family val="2"/>
      </rPr>
      <t xml:space="preserve"> in dem Jahr mit Erstdiagnose des Rezidivs und der Fernmetastase.</t>
    </r>
  </si>
  <si>
    <r>
      <rPr>
        <b/>
        <sz val="9"/>
        <color rgb="FF0000CC"/>
        <rFont val="Arial"/>
        <family val="2"/>
      </rPr>
      <t>1 Zentrumsfall</t>
    </r>
    <r>
      <rPr>
        <sz val="9"/>
        <color theme="1"/>
        <rFont val="Arial"/>
        <family val="2"/>
      </rPr>
      <t xml:space="preserve"> in dem Jahr mit Erstdiagnose der Fernmetastase.</t>
    </r>
  </si>
  <si>
    <r>
      <rPr>
        <b/>
        <sz val="9"/>
        <color rgb="FF0000CC"/>
        <rFont val="Arial"/>
        <family val="2"/>
      </rPr>
      <t>2 Zentrumsfälle</t>
    </r>
    <r>
      <rPr>
        <sz val="9"/>
        <color theme="1"/>
        <rFont val="Arial"/>
        <family val="2"/>
      </rPr>
      <t>, 1 Zentrumsfall in dem Jahr der Erstdiagnose der Fernmetastase und 1 Zentrumsfall in dem Jahr des Wiederauftretens.</t>
    </r>
  </si>
  <si>
    <r>
      <t>≥</t>
    </r>
    <r>
      <rPr>
        <sz val="8"/>
        <rFont val="Arial"/>
        <family val="2"/>
      </rPr>
      <t xml:space="preserve"> 5</t>
    </r>
    <r>
      <rPr>
        <sz val="8"/>
        <color theme="1"/>
        <rFont val="Arial"/>
        <family val="2"/>
      </rPr>
      <t>%</t>
    </r>
  </si>
  <si>
    <r>
      <t>Operative Einheit Viszeralchirurgie und Orthopädie/ Unfallchirurgie und Plastische Chirurgie (Resektion)</t>
    </r>
    <r>
      <rPr>
        <vertAlign val="superscript"/>
        <sz val="9"/>
        <color theme="1"/>
        <rFont val="Arial"/>
        <family val="2"/>
      </rPr>
      <t>1)</t>
    </r>
  </si>
  <si>
    <r>
      <t xml:space="preserve">Operative Einheit Plastische Chirurgie (Rekonstruktion) </t>
    </r>
    <r>
      <rPr>
        <vertAlign val="superscript"/>
        <sz val="9"/>
        <color theme="1"/>
        <rFont val="Arial"/>
        <family val="2"/>
      </rPr>
      <t>3)</t>
    </r>
  </si>
  <si>
    <t>Kennzahlenbogen Sarkome</t>
  </si>
  <si>
    <t>R0-Resektion</t>
  </si>
  <si>
    <t>&lt; 80%</t>
  </si>
  <si>
    <t>Operative Primärfälle GIST mit hohem Risiko</t>
  </si>
  <si>
    <t>Basisdaten Sarkome</t>
  </si>
  <si>
    <t>Kennzahlenbogen - Analyseprotokoll Datendefizite Sarkome</t>
  </si>
  <si>
    <t>Gesamt Resektionen</t>
  </si>
  <si>
    <r>
      <t xml:space="preserve">Primärfälle verschiedener Gruppen zählen als separater Zentrumsfall. Beispiele: </t>
    </r>
    <r>
      <rPr>
        <b/>
        <sz val="9"/>
        <color rgb="FF0000CC"/>
        <rFont val="Arial"/>
        <family val="2"/>
      </rPr>
      <t>2 Zentrumsfälle wenn 1 WGT und 1 GIST. 3 Zentrumsfälle wenn 1 WGT und 1 GIST und 1 Knochentumor.</t>
    </r>
    <r>
      <rPr>
        <sz val="9"/>
        <color theme="1"/>
        <rFont val="Arial"/>
        <family val="2"/>
      </rPr>
      <t xml:space="preserve"> Bei synchronem Auftreten ist das höchste Tumorstadium einzutragen. Mehrere Primärfälle der gleichen Gruppe (</t>
    </r>
    <r>
      <rPr>
        <sz val="9"/>
        <color rgb="FF0000CC"/>
        <rFont val="Arial"/>
        <family val="2"/>
      </rPr>
      <t>WGT und WGT</t>
    </r>
    <r>
      <rPr>
        <sz val="9"/>
        <color theme="1"/>
        <rFont val="Arial"/>
        <family val="2"/>
      </rPr>
      <t xml:space="preserve"> oder </t>
    </r>
    <r>
      <rPr>
        <sz val="9"/>
        <color rgb="FF0000CC"/>
        <rFont val="Arial"/>
        <family val="2"/>
      </rPr>
      <t xml:space="preserve">GIST und GIST </t>
    </r>
    <r>
      <rPr>
        <sz val="9"/>
        <rFont val="Arial"/>
        <family val="2"/>
      </rPr>
      <t>oder</t>
    </r>
    <r>
      <rPr>
        <sz val="9"/>
        <color rgb="FF0000CC"/>
        <rFont val="Arial"/>
        <family val="2"/>
      </rPr>
      <t xml:space="preserve"> Knochentumor und Knochentumor</t>
    </r>
    <r>
      <rPr>
        <sz val="9"/>
        <color theme="1"/>
        <rFont val="Arial"/>
        <family val="2"/>
      </rPr>
      <t xml:space="preserve">) im gleichen Kennzahlenjahr: </t>
    </r>
    <r>
      <rPr>
        <sz val="9"/>
        <color rgb="FF0000CC"/>
        <rFont val="Arial"/>
        <family val="2"/>
      </rPr>
      <t>1 Zentrumsfall</t>
    </r>
    <r>
      <rPr>
        <sz val="9"/>
        <color theme="1"/>
        <rFont val="Arial"/>
        <family val="2"/>
      </rPr>
      <t>.</t>
    </r>
  </si>
  <si>
    <t>Fälle innerhalb derselben Gruppe (WGT/GIST/Knochen)</t>
  </si>
  <si>
    <r>
      <t xml:space="preserve">Primärfall und Rezidiv </t>
    </r>
    <r>
      <rPr>
        <u/>
        <sz val="9"/>
        <color theme="1"/>
        <rFont val="Arial"/>
        <family val="2"/>
      </rPr>
      <t>im gleichen Kennzahlenjahr</t>
    </r>
  </si>
  <si>
    <r>
      <t xml:space="preserve">Primärfall und sek. Fernmetastase </t>
    </r>
    <r>
      <rPr>
        <u/>
        <sz val="9"/>
        <color theme="1"/>
        <rFont val="Arial"/>
        <family val="2"/>
      </rPr>
      <t>im gleichen Kennzahlenjahr</t>
    </r>
  </si>
  <si>
    <r>
      <t xml:space="preserve">Rezidiv und Rezidiv </t>
    </r>
    <r>
      <rPr>
        <u/>
        <sz val="9"/>
        <color theme="1"/>
        <rFont val="Arial"/>
        <family val="2"/>
      </rPr>
      <t>im gleichen Kennzahlenjahr</t>
    </r>
  </si>
  <si>
    <r>
      <t xml:space="preserve">Rezidiv und Fernmetastase </t>
    </r>
    <r>
      <rPr>
        <u/>
        <sz val="9"/>
        <color theme="1"/>
        <rFont val="Arial"/>
        <family val="2"/>
      </rPr>
      <t>im gleichen Kennzahlenjahr</t>
    </r>
  </si>
  <si>
    <r>
      <t xml:space="preserve">Fernmetastase und Fernmetastase </t>
    </r>
    <r>
      <rPr>
        <u/>
        <sz val="9"/>
        <color theme="1"/>
        <rFont val="Arial"/>
        <family val="2"/>
      </rPr>
      <t>im gleichen Kennzahlenjahr</t>
    </r>
  </si>
  <si>
    <r>
      <t xml:space="preserve">Fernmetastase mit Progress </t>
    </r>
    <r>
      <rPr>
        <u/>
        <sz val="9"/>
        <color theme="1"/>
        <rFont val="Arial"/>
        <family val="2"/>
      </rPr>
      <t>in verschiedenen Kennzahlenjahren</t>
    </r>
  </si>
  <si>
    <r>
      <t xml:space="preserve">Fernmetastase mit kompl. Remission und Wiederauftreten </t>
    </r>
    <r>
      <rPr>
        <u/>
        <sz val="9"/>
        <color theme="1"/>
        <rFont val="Arial"/>
        <family val="2"/>
      </rPr>
      <t>in verschiedenen Kennzahlenjahren</t>
    </r>
  </si>
  <si>
    <r>
      <t>Orthopädie/Unfallchirurgie</t>
    </r>
    <r>
      <rPr>
        <vertAlign val="superscript"/>
        <sz val="9"/>
        <rFont val="Arial"/>
        <family val="2"/>
      </rPr>
      <t>2)</t>
    </r>
  </si>
  <si>
    <t xml:space="preserve">   operativ</t>
  </si>
  <si>
    <t xml:space="preserve">   nicht operativ</t>
  </si>
  <si>
    <t xml:space="preserve">   Gesamt Primärfälle Knochentumoren</t>
  </si>
  <si>
    <r>
      <t xml:space="preserve">Primärfälle Knochentumoren </t>
    </r>
    <r>
      <rPr>
        <b/>
        <vertAlign val="superscript"/>
        <sz val="9"/>
        <rFont val="Arial"/>
        <family val="2"/>
      </rPr>
      <t>6)</t>
    </r>
  </si>
  <si>
    <r>
      <t xml:space="preserve">Ausschließlich im Sarkomzentrum gezählt </t>
    </r>
    <r>
      <rPr>
        <vertAlign val="superscript"/>
        <sz val="9"/>
        <rFont val="Arial"/>
        <family val="2"/>
      </rPr>
      <t>4)</t>
    </r>
  </si>
  <si>
    <r>
      <t xml:space="preserve">   Knochentumoren </t>
    </r>
    <r>
      <rPr>
        <vertAlign val="superscript"/>
        <sz val="9"/>
        <rFont val="Arial"/>
        <family val="2"/>
      </rPr>
      <t>7)</t>
    </r>
  </si>
  <si>
    <t>Atypischer lipomatöser Tumor/</t>
  </si>
  <si>
    <t>hoch differenziertes Liposarkom</t>
  </si>
  <si>
    <t>Entdifferenziertes Liposarkom</t>
  </si>
  <si>
    <t>Entzündliches Liposarkom</t>
  </si>
  <si>
    <t>Differenziertes Liposarkom</t>
  </si>
  <si>
    <t>Lipomartiges Liposarkom</t>
  </si>
  <si>
    <t>Liposarkom o.n.A./Fibrosarkom</t>
  </si>
  <si>
    <t>Fibroblastische/ myofibroblastische Tumoren</t>
  </si>
  <si>
    <t>maligne</t>
  </si>
  <si>
    <t>Myxosarkom</t>
  </si>
  <si>
    <t>Myxoinflammatorisches fibroblastisches Sarkom/atypischer</t>
  </si>
  <si>
    <t>Fibromyxosarkom</t>
  </si>
  <si>
    <t>myxoinflammatorischer fibroblastischer Tumor</t>
  </si>
  <si>
    <t xml:space="preserve">Adultes Fibrosarkom </t>
  </si>
  <si>
    <t>Fibrosarkom o.n.A.</t>
  </si>
  <si>
    <t>Maligner Riesenzelltumor der Sehnenscheide</t>
  </si>
  <si>
    <t>Maligner tendosynovialer Riesenzelltumor</t>
  </si>
  <si>
    <t>Riesenzelltumor der Weichteile o.n.A.</t>
  </si>
  <si>
    <t>Malignes fibröses Histiozytom</t>
  </si>
  <si>
    <t>8830/3</t>
  </si>
  <si>
    <t>Leiomyosarkom o.n.A.</t>
  </si>
  <si>
    <t>Embryonales Rhabdomyosarkom</t>
  </si>
  <si>
    <t>(inkl. botryoid, anaplastisch)</t>
  </si>
  <si>
    <t>Alveoläres Rhabdomyosarkom</t>
  </si>
  <si>
    <t>(auch solide, anaplastisch)</t>
  </si>
  <si>
    <t>Spindelzelliges/sklerosierendes Rhabdomyosarkom</t>
  </si>
  <si>
    <t>Adultes pleomorphes Rhabdomyosarkom/ Pleomorphes Rhabdomyosarkom o.n.A.</t>
  </si>
  <si>
    <t>Hämangiodotheliom o.n.A.</t>
  </si>
  <si>
    <t>Kaposiformes Hämangioendotheliom</t>
  </si>
  <si>
    <t>Angioendotheliom</t>
  </si>
  <si>
    <t>Endovaskuläres papilläres Angioendotheliom/Dabska-Tumor</t>
  </si>
  <si>
    <t xml:space="preserve">Maligner gastrointestinaler Stromatumor </t>
  </si>
  <si>
    <t>Myoepitheliales Karzinom</t>
  </si>
  <si>
    <t>8982/3</t>
  </si>
  <si>
    <t>Malignes Myoepitheliom</t>
  </si>
  <si>
    <t>8940/3</t>
  </si>
  <si>
    <t>Maligner Mischtumor vom Speicheldrüsentyp</t>
  </si>
  <si>
    <t>Gemischter Tumor maligne</t>
  </si>
  <si>
    <t>Maligner Mischtumor o.n.A.</t>
  </si>
  <si>
    <t>Spindelzellig</t>
  </si>
  <si>
    <t>9041/3</t>
  </si>
  <si>
    <t>biphasisch</t>
  </si>
  <si>
    <t>9043/3</t>
  </si>
  <si>
    <t>Epitheloidsarkom/Epitheloidzelliges Sarkom</t>
  </si>
  <si>
    <t>Klarzellsarkom o.n.A./</t>
  </si>
  <si>
    <t>Klarzellsarkom der Sehnen und Aponeurosen/</t>
  </si>
  <si>
    <t>Malignes Weichteilmelanom</t>
  </si>
  <si>
    <t>Myxoides Chondrosarkom</t>
  </si>
  <si>
    <t>extraskelettales Ewing-Sarkom</t>
  </si>
  <si>
    <t>Peripherer primitiver neuroektodermaler Tumor o.n.A.</t>
  </si>
  <si>
    <t>PPNET</t>
  </si>
  <si>
    <t>Neuroektodermaler Tumor o.n.A.</t>
  </si>
  <si>
    <t>Desmoplastischer kleinzelliger Tumor</t>
  </si>
  <si>
    <t>Maligner Rhabdoidtumor</t>
  </si>
  <si>
    <t>Rhabdoid-Sarkom</t>
  </si>
  <si>
    <t>Rhabdoidtumor o.n.A.</t>
  </si>
  <si>
    <t>[neuer WHO Code für maligne PECome]</t>
  </si>
  <si>
    <t>[8714/3]</t>
  </si>
  <si>
    <t>Sarkom o.n.A.</t>
  </si>
  <si>
    <t>Maligner mesenchymaler Tumor</t>
  </si>
  <si>
    <t>Maligner Weichteiltumor</t>
  </si>
  <si>
    <t>Weichteilsarkom</t>
  </si>
  <si>
    <t>[neuer WHO-Code]</t>
  </si>
  <si>
    <t>[9137/3]</t>
  </si>
  <si>
    <t>Mesenchymales Chondrosarkom</t>
  </si>
  <si>
    <t>Nervenscheidentu-moren</t>
  </si>
  <si>
    <t>Maligner peripherer Nervenscheidentumor mit rhabdomyoblastischer Differenzierung</t>
  </si>
  <si>
    <t>Malignes Schwannom mit rhabdomyoblastischer Differenzierung/</t>
  </si>
  <si>
    <t>MPNST mit rhabdomyoblastischer Differenzierung</t>
  </si>
  <si>
    <t>Undifferenzierte/ unklassifizierbare Sarkome</t>
  </si>
  <si>
    <t>Spindelzellsarkom</t>
  </si>
  <si>
    <t>Riesenzellsarkom/Pleomorphzelliges Sarkom</t>
  </si>
  <si>
    <t>Kleinzelliges Sarkom/Rundzellsarkom</t>
  </si>
  <si>
    <t>Undifferenziertes Sarkom</t>
  </si>
  <si>
    <t>Adamantinom</t>
  </si>
  <si>
    <t>9261/3</t>
  </si>
  <si>
    <t>Hochmalignes Stromasarkom des Endometriums</t>
  </si>
  <si>
    <t>Stromasarkom des Endometriums o.n.A.</t>
  </si>
  <si>
    <t>Niedrig malignes Stromasarkom des Endometriums</t>
  </si>
  <si>
    <t>Undifferenziertes uterines Sarkom</t>
  </si>
  <si>
    <t>Endometriumsarkom o.n.A.</t>
  </si>
  <si>
    <t>Tumor der glatten Muskulatur mit fraglichem malignen Potential/Tumor der glatten Muskulatur o.n.A.</t>
  </si>
  <si>
    <t>Rhabdomyosarkom o.n.A. /Rhabdomyosarkom</t>
  </si>
  <si>
    <t>Knochentumoren</t>
  </si>
  <si>
    <t>Chondrogene Tumoren</t>
  </si>
  <si>
    <t>Atypischer kartilaginärer Tumor/Chondrosarkom Grad 1</t>
  </si>
  <si>
    <t>9220/3</t>
  </si>
  <si>
    <t>Dedifferenziertes Chondrosarkom</t>
  </si>
  <si>
    <t>9243/3</t>
  </si>
  <si>
    <t>Klarzellchondrosarkom</t>
  </si>
  <si>
    <t>9242/3</t>
  </si>
  <si>
    <t>Osteogene Tumoren</t>
  </si>
  <si>
    <t>Osteosarkom</t>
  </si>
  <si>
    <t>Osteosarkom o.n.A</t>
  </si>
  <si>
    <t>Osteogenes Sarkom o.n.A.</t>
  </si>
  <si>
    <t>Konventionell</t>
  </si>
  <si>
    <t>Osteoblastisches Sarkom o.n.A</t>
  </si>
  <si>
    <t>chondroblastisch</t>
  </si>
  <si>
    <t>9181/3</t>
  </si>
  <si>
    <t>Osteoblastisches Sarkom</t>
  </si>
  <si>
    <t>osteoblastisch</t>
  </si>
  <si>
    <t>Low grade zentral</t>
  </si>
  <si>
    <t>9187/3</t>
  </si>
  <si>
    <t>Sekundär</t>
  </si>
  <si>
    <t>9184/3</t>
  </si>
  <si>
    <t>Parostal</t>
  </si>
  <si>
    <t>9192/3</t>
  </si>
  <si>
    <t>Periostal</t>
  </si>
  <si>
    <t>9193/3</t>
  </si>
  <si>
    <t>High grade oberflächlich</t>
  </si>
  <si>
    <t>9194/3</t>
  </si>
  <si>
    <t>Fibrogene Tumoren</t>
  </si>
  <si>
    <t>Fibrosarkom des Knochens</t>
  </si>
  <si>
    <t>Riesenzelltumoren</t>
  </si>
  <si>
    <t>Riesenzelltumor des Knochens</t>
  </si>
  <si>
    <t>9250/1</t>
  </si>
  <si>
    <t>Maligner Riesenzelltumor</t>
  </si>
  <si>
    <t>9250/3</t>
  </si>
  <si>
    <t>Notochordale Tumoren</t>
  </si>
  <si>
    <t>Chordom</t>
  </si>
  <si>
    <t>9370/3</t>
  </si>
  <si>
    <t>Malignes Chordom</t>
  </si>
  <si>
    <t>Epitheloides malignes Hämangioendotheliom/</t>
  </si>
  <si>
    <t>Intravaskulärer alveolärer Bronchialtumor</t>
  </si>
  <si>
    <t>Myogene Tumoren</t>
  </si>
  <si>
    <t>Lipogene Tumoren</t>
  </si>
  <si>
    <t>Liposarkom des Knochens</t>
  </si>
  <si>
    <t>Sonstige Tumoren</t>
  </si>
  <si>
    <t>Undifferenziertes high-grade pleomorphes Sarkom</t>
  </si>
  <si>
    <t>8850/1</t>
  </si>
  <si>
    <t>PNET (peripherer neuroektodermaler Tumor)</t>
  </si>
  <si>
    <t>keine spezifische Ziffer</t>
  </si>
  <si>
    <t>Sklerosiertes Liposarkom</t>
  </si>
  <si>
    <t>Ewing-Sarkom/PNET</t>
  </si>
  <si>
    <t>Chondrosarkom Grad 1</t>
  </si>
  <si>
    <r>
      <rPr>
        <sz val="9"/>
        <rFont val="Arial"/>
        <family val="2"/>
      </rPr>
      <t>Chondrosarkom</t>
    </r>
    <r>
      <rPr>
        <sz val="9"/>
        <color rgb="FFFF0000"/>
        <rFont val="Arial"/>
        <family val="2"/>
      </rPr>
      <t xml:space="preserve"> </t>
    </r>
    <r>
      <rPr>
        <sz val="9"/>
        <rFont val="Arial"/>
        <family val="2"/>
      </rPr>
      <t>Grad 2 und 3</t>
    </r>
  </si>
  <si>
    <t>Berlin</t>
  </si>
  <si>
    <t>Bayern</t>
  </si>
  <si>
    <t>Land</t>
  </si>
  <si>
    <t>Deutschland</t>
  </si>
  <si>
    <t>Davon Knochen-tumoren</t>
  </si>
  <si>
    <r>
      <t xml:space="preserve">Auch im kooperierenden Organkrebszentrum gezählt </t>
    </r>
    <r>
      <rPr>
        <vertAlign val="superscript"/>
        <sz val="9"/>
        <color theme="1"/>
        <rFont val="Arial"/>
        <family val="2"/>
      </rPr>
      <t>5)</t>
    </r>
  </si>
  <si>
    <r>
      <t xml:space="preserve">Auch im kooperierenden Organkrebszentrum gezählt </t>
    </r>
    <r>
      <rPr>
        <vertAlign val="superscript"/>
        <sz val="9"/>
        <rFont val="Arial"/>
        <family val="2"/>
      </rPr>
      <t>5)</t>
    </r>
  </si>
  <si>
    <t xml:space="preserve">Sarkomzentrum der Universitätsklinik Erlangen </t>
  </si>
  <si>
    <t>Universitätsklinikum Erlangen</t>
  </si>
  <si>
    <t>Nordrhein-Westfalen</t>
  </si>
  <si>
    <t>Sarkomzentrum am Westdeutschen Tumorzentrum – Universitätsmedizin Essen</t>
  </si>
  <si>
    <t>Universitätsklinikum Essen</t>
  </si>
  <si>
    <t>Klinikum rechts der Isar der Technischen Universität München</t>
  </si>
  <si>
    <t>Sarkomzentrum Klinikum Frankfurt Höchst</t>
  </si>
  <si>
    <t>Klinikum Frankfurt Höchst</t>
  </si>
  <si>
    <t>Hessen</t>
  </si>
  <si>
    <t>Adjumed</t>
  </si>
  <si>
    <t>CaOnkoDok (Eigenentwicklung)</t>
  </si>
  <si>
    <t>Clinic WinData</t>
  </si>
  <si>
    <t>Eigenentwicklung auf Basis medico (Cerner)</t>
  </si>
  <si>
    <t>nur Darm</t>
  </si>
  <si>
    <t>nur Prostata</t>
  </si>
  <si>
    <t>MADOS 4</t>
  </si>
  <si>
    <t>Kolorekt</t>
  </si>
  <si>
    <t>KoReDos</t>
  </si>
  <si>
    <t>MaDoS</t>
  </si>
  <si>
    <t>ODSeasy / ODSeasyNet</t>
  </si>
  <si>
    <t>Martini-Data</t>
  </si>
  <si>
    <t>MIQ-KRCA</t>
  </si>
  <si>
    <t>Oncodossier (Eigenentwicklung auf Basis ORBIS)</t>
  </si>
  <si>
    <t>Tumorregister München (TRM)</t>
  </si>
  <si>
    <t>ProDos</t>
  </si>
  <si>
    <t>Prostata-Ca Register</t>
  </si>
  <si>
    <t>Qualitätssicherung Kolorektalkarzinom</t>
  </si>
  <si>
    <t>StuDoQ</t>
  </si>
  <si>
    <t>UroCloud</t>
  </si>
  <si>
    <t>Uro-Link</t>
  </si>
  <si>
    <t>WDC-Kolonakte</t>
  </si>
  <si>
    <t>nur Brust / Gyn</t>
  </si>
  <si>
    <t>Darm, Leber, Magen , Pankreas</t>
  </si>
  <si>
    <t>Sarkom Zentrum Mannheim</t>
  </si>
  <si>
    <t>Universitätsmedizin Mannheim (UMM)</t>
  </si>
  <si>
    <t>Baden-Württemberg</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</si>
  <si>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</si>
  <si>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Weichgewebetumoren</t>
  </si>
  <si>
    <r>
      <t>Zentrumsfäl</t>
    </r>
    <r>
      <rPr>
        <b/>
        <sz val="13"/>
        <rFont val="Arial"/>
        <family val="2"/>
      </rPr>
      <t>le Sarkome</t>
    </r>
  </si>
  <si>
    <t>Zentrales Osteosarkom</t>
  </si>
  <si>
    <t>9186/3</t>
  </si>
  <si>
    <t>Zentrumsfälle des Nenners, die stationär oder ambulant psychoonkologisch betreut wurden 
(Gesprächsdauer ≥ 25 Min.)</t>
  </si>
  <si>
    <t>Zentrumsfälle des Nenners, die stationär oder ambulant durch den Sozialdienst beraten wurden</t>
  </si>
  <si>
    <t>Primärfalle des Nenners mit R0 nach Tumorresektion</t>
  </si>
  <si>
    <t>Primärfälle des Nenners, die eine Bestrahlung erhalten haben</t>
  </si>
  <si>
    <t>Primärfälle des Nenners mit prätherapeutischer histologischer Sicherung (Stanzbiopsie oder CT-gesteuerte Biopsie oder Inzisionsbiopsie)</t>
  </si>
  <si>
    <t>Primärfälle des Nenners, bei denen eine risikogerechte adjuvante Therapie mit Imatinib eingeleitet wurde</t>
  </si>
  <si>
    <t>Clinical Information Catalogue (CIC) (Eigenentwicklung)</t>
  </si>
  <si>
    <t>SHGHoncoDoc</t>
  </si>
  <si>
    <t>TD System KEM (Eigenentwicklung)</t>
  </si>
  <si>
    <t>FAO-Z037 MSAR W</t>
  </si>
  <si>
    <t>FAO-Z044 MSAR WK</t>
  </si>
  <si>
    <t>UKM Sarkomzentrum</t>
  </si>
  <si>
    <t>Universitätsklinikum Münster</t>
  </si>
  <si>
    <t>FAO-Z054 MSAR WK</t>
  </si>
  <si>
    <t>Sarkomzentrum im CIO Köln</t>
  </si>
  <si>
    <t>Centrum für Integrierte Onkologie Aachen Bonn Köln Düsseldorf im Universitätsklinikum Köln</t>
  </si>
  <si>
    <t>FAO-Z060 MSAR WK</t>
  </si>
  <si>
    <t>FAO-Z077 MSAR WK</t>
  </si>
  <si>
    <t>FAO-Z089 MSAR WK</t>
  </si>
  <si>
    <t>FAO-Z129 MSAR W</t>
  </si>
  <si>
    <t>Anmerkung:</t>
  </si>
  <si>
    <t>(Muster Zertifikat)</t>
  </si>
  <si>
    <t>Ausnahme (Plausibilität unklar)</t>
  </si>
  <si>
    <t>Ausnahme</t>
  </si>
  <si>
    <t>FAO-Z028 MSAR WK</t>
  </si>
  <si>
    <t>Filtername EMAC: "Liste Reg.Nr DS" - &gt; Bitte Datum bei Gültigkeit aktualisieren</t>
  </si>
  <si>
    <t>Operateure - OPs pro Operateur nach Körperregion - Extremitäten</t>
  </si>
  <si>
    <t>Operateure - OPs pro Operateur nach Körperregion - Stamm</t>
  </si>
  <si>
    <r>
      <t xml:space="preserve">Kein/ sehr niedriges Risiko </t>
    </r>
    <r>
      <rPr>
        <vertAlign val="superscript"/>
        <sz val="9"/>
        <color theme="1"/>
        <rFont val="Arial"/>
        <family val="2"/>
      </rPr>
      <t>3)</t>
    </r>
  </si>
  <si>
    <r>
      <t xml:space="preserve">Mittleres Risiko </t>
    </r>
    <r>
      <rPr>
        <vertAlign val="superscript"/>
        <sz val="9"/>
        <color theme="1"/>
        <rFont val="Arial"/>
        <family val="2"/>
      </rPr>
      <t>3)</t>
    </r>
  </si>
  <si>
    <r>
      <t xml:space="preserve">Morphologie-Code </t>
    </r>
    <r>
      <rPr>
        <b/>
        <vertAlign val="superscript"/>
        <sz val="10"/>
        <rFont val="Arial"/>
        <family val="2"/>
      </rPr>
      <t>1)</t>
    </r>
  </si>
  <si>
    <r>
      <t xml:space="preserve">Alternative Bezeichnung </t>
    </r>
    <r>
      <rPr>
        <b/>
        <vertAlign val="superscript"/>
        <sz val="10"/>
        <rFont val="Arial"/>
        <family val="2"/>
      </rPr>
      <t>2)</t>
    </r>
  </si>
  <si>
    <r>
      <t xml:space="preserve">Alternativer Code </t>
    </r>
    <r>
      <rPr>
        <b/>
        <vertAlign val="superscript"/>
        <sz val="10"/>
        <rFont val="Arial"/>
        <family val="2"/>
      </rPr>
      <t>2)</t>
    </r>
  </si>
  <si>
    <t>Myxoides pleomorphes Liposarkom</t>
  </si>
  <si>
    <t>8859/3</t>
  </si>
  <si>
    <t>Leiomyosarkom/Uterines Leiomyosarkom
Inflammatorisches Leiomyosarkom</t>
  </si>
  <si>
    <t>9222/1
9222/3</t>
  </si>
  <si>
    <t>Periostales Chondrosarkom</t>
  </si>
  <si>
    <t>9221/3</t>
  </si>
  <si>
    <t>Juxtakortikales Chondrosarkom    Periostales Chondrosarkom</t>
  </si>
  <si>
    <t>Rundzell-Sarkom mit EWSR1-non-ETS Fusionen</t>
  </si>
  <si>
    <t>CIC-rearrangiertes Sarkom</t>
  </si>
  <si>
    <t>Sarkom mit BCOR-Genveränderung</t>
  </si>
  <si>
    <t>9366/3</t>
  </si>
  <si>
    <t>9367/3</t>
  </si>
  <si>
    <t>9368/3</t>
  </si>
  <si>
    <t>EB/
LL</t>
  </si>
  <si>
    <t>c)</t>
  </si>
  <si>
    <t>LL GISG</t>
  </si>
  <si>
    <t>1 c)</t>
  </si>
  <si>
    <t>1c)</t>
  </si>
  <si>
    <r>
      <t xml:space="preserve">Gut differenziertes Liposarkom </t>
    </r>
    <r>
      <rPr>
        <vertAlign val="superscript"/>
        <sz val="9"/>
        <rFont val="Arial"/>
        <family val="2"/>
      </rPr>
      <t>3)</t>
    </r>
  </si>
  <si>
    <t>Sarkomzentrum im University Cancer Center-Regensburg</t>
  </si>
  <si>
    <t>Universitätsklinikum Regensburg</t>
  </si>
  <si>
    <t>Sachsen</t>
  </si>
  <si>
    <t>Ewing-Sarkom</t>
  </si>
  <si>
    <t>2a</t>
  </si>
  <si>
    <t>Zentrumsfälle des Nenners, die postoperativ in der Tumorkonferenz vorgestellt wurden</t>
  </si>
  <si>
    <t>Zentrumsfälle mit Operation</t>
  </si>
  <si>
    <t>LL QI</t>
  </si>
  <si>
    <t>Operative Primärfalle WGT (ohne GIST) und operative Primärfälle Knochentumoren</t>
  </si>
  <si>
    <t>Primärfälle 
WGT ohne GIST und Primärfälle Knochentumore</t>
  </si>
  <si>
    <t>≥ 80%</t>
  </si>
  <si>
    <t>XML-OncoBox</t>
  </si>
  <si>
    <t>Noch nicht vorhanden</t>
  </si>
  <si>
    <t>Keine Zusammenarbeit</t>
  </si>
  <si>
    <t>Geringe / punktuelle Zusammenarbeit</t>
  </si>
  <si>
    <t>Intensive / regelmäßige Zusammenarbeit</t>
  </si>
  <si>
    <t>Tumordoku. liegt größtenteils beim Krebsregister</t>
  </si>
  <si>
    <t>2) Wenn Operationen bei primären malignen Knochentumoren durchgeführt werden, müssen mind. 10 Tumorresektionen/Standort/Jahr durchgeführt werden. Diese können Teilmenge der 50 Tumorresektionen sein.</t>
  </si>
  <si>
    <t>Summe Plausibilität unklar</t>
  </si>
  <si>
    <t>Desmoid-Fibromatose*</t>
  </si>
  <si>
    <t>Riesenzellfibroblastom*</t>
  </si>
  <si>
    <t>8821/1*</t>
  </si>
  <si>
    <t>8834/1*</t>
  </si>
  <si>
    <t>Extraabdominaler Desmoidtumor*</t>
  </si>
  <si>
    <t>8813/3*</t>
  </si>
  <si>
    <t>Dermatofibrosarcoma protuberans*</t>
  </si>
  <si>
    <t>Fibrosarkomatöses DFSP*</t>
  </si>
  <si>
    <t>Pigmentiertes DFSP*</t>
  </si>
  <si>
    <t>8832/1*</t>
  </si>
  <si>
    <t>8832/3*</t>
  </si>
  <si>
    <t>8833/1*</t>
  </si>
  <si>
    <t>Dermatofibrosarcoma protuberans o.n.A*</t>
  </si>
  <si>
    <t>Dermatofibrosarkom o.n.A.*</t>
  </si>
  <si>
    <t>Bednar-Tumor*</t>
  </si>
  <si>
    <t>Pigmentiertes Dermatofibrosarcoma protuberans*</t>
  </si>
  <si>
    <t>8815/1*</t>
  </si>
  <si>
    <t>Plexiformer fibrohistiozytärer Tumor*</t>
  </si>
  <si>
    <t>tenosynovialer Riesenzelltumor, diffuser Typ*</t>
  </si>
  <si>
    <t>8835/1*</t>
  </si>
  <si>
    <t>9252/1*</t>
  </si>
  <si>
    <t>Riesenzelltumor des Weichgewebes*</t>
  </si>
  <si>
    <t>9251/1*</t>
  </si>
  <si>
    <t>Kaposiformes und composite Hämangioendotheliom*</t>
  </si>
  <si>
    <t>9130/1*</t>
  </si>
  <si>
    <t>Malignes Hämangioendotheliom*</t>
  </si>
  <si>
    <t>Hämangioendotheliales Sarkom*</t>
  </si>
  <si>
    <t>9130/3*</t>
  </si>
  <si>
    <t>Retiformes Hämangioendotheliom*</t>
  </si>
  <si>
    <t>9136/1*</t>
  </si>
  <si>
    <t>Papilläres intralymphatisches Angioendotheliom*</t>
  </si>
  <si>
    <t>9135/1*</t>
  </si>
  <si>
    <t>Pseudomyogenes (Epitheloides Sarkom-artiges) Hämangioendotheliom*</t>
  </si>
  <si>
    <t>Spindelzelliges Hämangioendotheliom*</t>
  </si>
  <si>
    <t>Spindelzelliges Angioendotheliom*</t>
  </si>
  <si>
    <t>Kaposi-Sarkom*</t>
  </si>
  <si>
    <t>9140/3*</t>
  </si>
  <si>
    <t>Epitheloides Hämangioendotheliom*</t>
  </si>
  <si>
    <t>9133/3*</t>
  </si>
  <si>
    <t>Epitheloides malignes Hämangioendotheliom*</t>
  </si>
  <si>
    <t>Angiosarkom*</t>
  </si>
  <si>
    <t>9120/3*</t>
  </si>
  <si>
    <t>Angiomatoides fibröses Histiozytom*</t>
  </si>
  <si>
    <t>8836/1*</t>
  </si>
  <si>
    <t>Parachordom*</t>
  </si>
  <si>
    <t>Myoepitheliom*</t>
  </si>
  <si>
    <t>9373/1*</t>
  </si>
  <si>
    <t>8982/0*</t>
  </si>
  <si>
    <t>8940/0*</t>
  </si>
  <si>
    <t>Malignes chondroides Syringom*</t>
  </si>
  <si>
    <t>8940/3*</t>
  </si>
  <si>
    <t>Gemischter Tumor*</t>
  </si>
  <si>
    <t>PECom (myomelanozytäre Tumoren)*</t>
  </si>
  <si>
    <t>8714/0*</t>
  </si>
  <si>
    <t>Glattmuskulärer Tumor von unsicherem malignen Potential (STUMP)*</t>
  </si>
  <si>
    <t>Diffuse/intravenöse Leiomyomatose*</t>
  </si>
  <si>
    <t>Metatasierendes Leiomyom*</t>
  </si>
  <si>
    <t>8897/1*</t>
  </si>
  <si>
    <t>8890/1*</t>
  </si>
  <si>
    <t>8898/1*</t>
  </si>
  <si>
    <t>Pat. des Nenners, die in der prätherapeutischen Tumorkonferenz vorgestellt wurden</t>
  </si>
  <si>
    <t xml:space="preserve">LL QI </t>
  </si>
  <si>
    <t xml:space="preserve"> In Ordnung</t>
  </si>
  <si>
    <t>Im Sinne einer gendergerechten Sprache verwenden wir für die Begriffe „Patientinnen“, „Patienten“, „Patient*innen“ die Bezeichnung „Pat.“, die ausdrücklich jede Geschlechtszuschreibung (weiblich, männlich, divers) einschließt.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</si>
  <si>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„Unterschreitung Sollvorgabe“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</si>
  <si>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FAO-Z023 MSAR WK</t>
  </si>
  <si>
    <t>Sarkomzentrum Barmherzige Brüder Regensburg</t>
  </si>
  <si>
    <t>Krankenhaus Barmherzige Brüder Regensburg</t>
  </si>
  <si>
    <t>FAO-Z049 MSAR WK</t>
  </si>
  <si>
    <t>Sarkomzentrum Universitätsklinikum Ulm</t>
  </si>
  <si>
    <t>Universitätsklinikum Ulm</t>
  </si>
  <si>
    <t>FAO-Z070 MSAR WK</t>
  </si>
  <si>
    <t xml:space="preserve">Sarkomzentrum am Nationalen Centrum für Tumorerkrankungen Dresden (NCT/UCC) </t>
  </si>
  <si>
    <t>Universitätsklinikum „Carl Gustav Carus“ Dresden</t>
  </si>
  <si>
    <t>Nicht relevant – Zentrum nicht in Deutschland</t>
  </si>
  <si>
    <t>Alle Pat. mit Erstdiagnose Weichgewebetumor inkl. GIST und/ oder Knochentumoren einschließlich primär metastasierter Pat.</t>
  </si>
  <si>
    <t>Primärfälle + Zentrumspat. mit Rezidiv und/oder sekundären Fernmetastasen im Kalendarjahr.</t>
  </si>
  <si>
    <t>Zentrumspat. mit neuaufgetretenem (Lokal-)Rezidiv und/oder Fernmetastasen</t>
  </si>
  <si>
    <t>Anteil 
Studienpat.</t>
  </si>
  <si>
    <t>Pat., die in eine Studie mit Ethikvotum eingebracht wurden</t>
  </si>
  <si>
    <t>Zentrumspat. mit neuaufgetretenem (Lokal-) Rezidiv und/oder Fernmetastasen</t>
  </si>
  <si>
    <t>Die jeweilige Eingabe oder Änderung  "Anzahl / Zähler / Nenner" (gepunktete Felder) ist nur im Tabellenblatt "Basisdaten" möglich, die Übertragung erfolgt automatisch. 
Der Zähler ist immer eine Teilmenge des Nenners (Ausnahme: Kennzahl 6 - Anteil Studienpat.).</t>
  </si>
  <si>
    <t>2 a)</t>
  </si>
  <si>
    <t>2 b)</t>
  </si>
  <si>
    <t>2a)</t>
  </si>
  <si>
    <t>2b)</t>
  </si>
  <si>
    <t xml:space="preserve">                     Sollvorgabe nicht erfüllt</t>
  </si>
  <si>
    <t>1) Für die Sarkomchirurgie (kooperierende viszeralchirurgische und orthopädische/unfallchirurgische und ggf. plastisch-chirurgische Abteilungen an 1 Standort) gilt: Es müssen gemeinsam mind. 50 Tumorresektionen/Standort Jahr bei Pat. mit Sarkomen (Primärfälle/ Rezidive; Biopsien werden nicht gezählt) nachgewiesen werden.</t>
  </si>
  <si>
    <t>3) Für Plastische Chirurgie-Einheiten gilt: es müssen mind. 30 plastisch-rekonstruktive Eingriffe/Jahr durchgeführt werden. Definition operative Therapie (OPS-Ziffern): siehe EB 5.2.4. Resektion und Rekonstruktion beim gleichen Pat. können jeweils gezählt werden.</t>
  </si>
  <si>
    <t>optional - Ausnahme (Plausibilität unklar)</t>
  </si>
  <si>
    <t>Solitärer fibröser Tumor*</t>
  </si>
  <si>
    <t>Postoperative Vorstellung möglichst vieler Zentrumsfälle in der Tumorkonferenz</t>
  </si>
  <si>
    <r>
      <rPr>
        <u/>
        <sz val="10"/>
        <color theme="1"/>
        <rFont val="Arial"/>
        <family val="2"/>
      </rPr>
      <t>Fälle in Sarkomzentren (Positivliste)</t>
    </r>
    <r>
      <rPr>
        <sz val="10"/>
        <color theme="1"/>
        <rFont val="Arial"/>
        <family val="2"/>
      </rPr>
      <t xml:space="preserve">
Als Primärfälle können die Tm des Erwachsenenalters (= ≥ 18.Lj) gezählt werden, die einem ICD-O-Morphologie-Code aus der beigefügten Liste entsprechen. 
Zu den mit „*“ markierten Untergruppen bzw. Morphologie-Codes existiert kein TNM-Stadium.
Nutzungshinweise:
</t>
    </r>
    <r>
      <rPr>
        <vertAlign val="superscript"/>
        <sz val="10"/>
        <color theme="1"/>
        <rFont val="Arial"/>
        <family val="2"/>
      </rPr>
      <t>1)</t>
    </r>
    <r>
      <rPr>
        <sz val="10"/>
        <color theme="1"/>
        <rFont val="Arial"/>
        <family val="2"/>
      </rPr>
      <t xml:space="preserve"> gemäß WHO Blue Book 2020
</t>
    </r>
    <r>
      <rPr>
        <vertAlign val="superscript"/>
        <sz val="10"/>
        <color theme="1"/>
        <rFont val="Arial"/>
        <family val="2"/>
      </rPr>
      <t>2)</t>
    </r>
    <r>
      <rPr>
        <sz val="10"/>
        <color theme="1"/>
        <rFont val="Arial"/>
        <family val="2"/>
      </rPr>
      <t xml:space="preserve"> gemäß DIMDI ICD-O3
Diese Bezeichnungen und Codes werden nicht zur Tumorklassifikation empfohlen, da sie nicht der aktuellen WHO-Klassifikation entsprechen. Sofern die verwendeten Tumordokumentationssysteme noch nicht dem aktuellen WHO-Standard entsprechen, können diese alternativen Bezeichnungen in den Dokumentationssystemen zur einheitlichen Erfassung der Zentrumsfälle verwendet werden.
</t>
    </r>
    <r>
      <rPr>
        <vertAlign val="superscript"/>
        <sz val="10"/>
        <color theme="1"/>
        <rFont val="Arial"/>
        <family val="2"/>
      </rPr>
      <t>3)</t>
    </r>
    <r>
      <rPr>
        <sz val="10"/>
        <color theme="1"/>
        <rFont val="Arial"/>
        <family val="2"/>
      </rPr>
      <t xml:space="preserve"> Beispiel: „Gut differenziertes Liposarkom“ - zu verwendender Morphologiecode 8850/3. Falls Dokumentation gemäß aktueller WHO-Klassifikation nicht möglich, Verwendung des Morphologiecodes 8851/3.</t>
    </r>
  </si>
  <si>
    <t xml:space="preserve">        Datum Erstzertifizierung</t>
  </si>
  <si>
    <t xml:space="preserve">        Erstelldatum</t>
  </si>
  <si>
    <t xml:space="preserve">        Kennzahlenjahr</t>
  </si>
  <si>
    <t>Anlage EB Version D2.1 (Auditjahr 2023 / Kennzahlenjahr 2022)</t>
  </si>
  <si>
    <t>Stand: 26.09.2022</t>
  </si>
  <si>
    <t>Dem Auditjahr vorgegangenes Kalenderjahr; Bsp.: Auditjahr 2023 =&gt; Kennzahlenjahr 2022.</t>
  </si>
  <si>
    <r>
      <t xml:space="preserve">Grundlage des Erhebungsbogens stellt die TNM – Klassifikation maligner Tumoren, 8. Auflage 2017 sowie die ICD-Klassifikation ICD-O-3 (DIMDI) (Morphologie) 2020 und die OPS-Klassifikation OPS 2022 (DIMDI) dar.
</t>
    </r>
    <r>
      <rPr>
        <b/>
        <u/>
        <sz val="8"/>
        <rFont val="Arial"/>
        <family val="2"/>
      </rPr>
      <t xml:space="preserve">Bearbeitungshinweise:
</t>
    </r>
    <r>
      <rPr>
        <sz val="8"/>
        <rFont val="Arial"/>
        <family val="2"/>
      </rPr>
      <t xml:space="preserve">
1) Einschließlich ICD-O-3 Topographie-Codes C38.1-3 (vorderes/hinteres Mediastinum, Mediastinum o.n.A.), C47 (periphere Nerven), C48 (Retroperitoneum), C49 (Bindegewebe, subkutanes und andere Weichgewebe). Ohne Knochentumoren (ICD-O-3 Topographie-Codes C40-41).
2) Alle Untergruppen bzw. Morphologie-Codes, für die kein TNM-Stadium existiert. Diese sind im Tabellenblatt ICD-O-Liste mit „*" markiert. 
3) Gemäß Risikoklassifikation nach Miettinen et al. 2006.
4) Anzugeben sind Fälle, die ausschließlich im Sarkomzentrum gezählt wurden (siehe auch Erhebungsbogen Kap. 1.1.2).
5) Anzugeben sind in Kooperation mit einem Organkrebszentrum behandelte Fälle, die auch dort als Fall gezählt wurden (siehe auch Erhebungsbogen Kap. 1.1.2).
6) Anzugeben sind Fälle mit primären Knochentumoren gemäß anhängender ICD-O-3-Morphologie-Liste (ICD-O-3 Topographie-Codes C40-41). Ohne sekundäre Knochentumoren. 
7) Anzugeben sind Fälle mit (Lokal-)Rezidiv und/oder sek. Fernmetastasen eines primären Knochentumors gemäß anhängender ICD-O-3-Morphologie-Liste. Ohne sekundäre ossäre Tumoren eines nicht in der Liste genannten Primarius.</t>
    </r>
  </si>
  <si>
    <t>2b</t>
  </si>
  <si>
    <t>Einschluss von möglichst vielen Pat. in Studien</t>
  </si>
  <si>
    <t>Möglichst häufig zusätzliche Radiatio bei WGT Stadium II-IIIB ohne GIST</t>
  </si>
  <si>
    <t>Operative Primärfälle WGT Stadium II-IIIB ohne GIST</t>
  </si>
  <si>
    <t>Auditjahr 2023 / Kennzahlenjahr 2022</t>
  </si>
  <si>
    <t>Primärfälle (=Kennzahl 1a)</t>
  </si>
  <si>
    <t>Zentrumspat. mit neuaufgetretenem (Lokal-) Rezidiv und/oder Fernmetastasen 
(=Kennzahl  1b)</t>
  </si>
  <si>
    <t>Stand 03.11.2022</t>
  </si>
  <si>
    <t>FAO-Z001 MSAR W</t>
  </si>
  <si>
    <t>Sarkomzentrum im Charité Comprehensive Cancer Center</t>
  </si>
  <si>
    <t>Charité - Campus Virchow-Klinikum</t>
  </si>
  <si>
    <t>FAO-Z014 MSAR WK</t>
  </si>
  <si>
    <t>Sarkomzentrum des Onkologischen Zentrums am Universitätsklinikum Würzburg</t>
  </si>
  <si>
    <t>Universitätsklinikum Würzburg</t>
  </si>
  <si>
    <t>FAO-Z045 MSAR W</t>
  </si>
  <si>
    <t>FAO-Z047 T-MSAR</t>
  </si>
  <si>
    <t>Sarkomzentrum im UnversitätsTumorCentrum Jena (Transit/in Vorbereitung)</t>
  </si>
  <si>
    <t>Universitätsklinikum Jena</t>
  </si>
  <si>
    <t>Thüringen</t>
  </si>
  <si>
    <t>FAO-Z056 T-MSAR</t>
  </si>
  <si>
    <t>Sarkomzentrum am Cancer Center UniversitätsSpital Zürich (Transit/in Vorbereitung)</t>
  </si>
  <si>
    <t>UniversitätsSpital Zürich</t>
  </si>
  <si>
    <t>Schweiz</t>
  </si>
  <si>
    <t>SarKUM Zentrum für Knochen-und Weichteiltumore am LMU Klinikum</t>
  </si>
  <si>
    <t>LMU Klinikum</t>
  </si>
  <si>
    <t>FAO-Z064 T-MSAR</t>
  </si>
  <si>
    <t>Sarkomzentrum UKSH Campus Kiel</t>
  </si>
  <si>
    <t>Universitätsklinikum Schleswig-Holstein Campus Kiel</t>
  </si>
  <si>
    <t>Schleswig-Holstein</t>
  </si>
  <si>
    <t>FAO-Z080 T-MSAR</t>
  </si>
  <si>
    <t>Onkologisches Zentrum im Tumorzentrum Freiburg - CCCF</t>
  </si>
  <si>
    <t>Universitätsklinikum Freiburg</t>
  </si>
  <si>
    <t>Sarkomzentrum am Klinikum rechts der Isar der Technischen Universität München</t>
  </si>
  <si>
    <t>FAO-Z093 MSAR W</t>
  </si>
  <si>
    <t>Sarkom-Zentrum Rhein-Main am UCT-Mainz</t>
  </si>
  <si>
    <t>Universitätsmedizin der Johannes Gutenberg - Universität Mainz</t>
  </si>
  <si>
    <t>Rheinland-Pfalz</t>
  </si>
  <si>
    <t>FAO-Z101 MSAR WK</t>
  </si>
  <si>
    <t>Sarkomzentrum Hannover</t>
  </si>
  <si>
    <t>Medizinische Hochschule Hannover</t>
  </si>
  <si>
    <t>Niedersachsen</t>
  </si>
  <si>
    <t>FAO-Z101 T-MSAR</t>
  </si>
  <si>
    <t>Onkologisches Zentrum Medizinische Hochschule Hannover</t>
  </si>
  <si>
    <t>FAO-Z102 T-MSAR</t>
  </si>
  <si>
    <t>Sarkomzentrum Inselspital Bern (Transit/in Vorbereitung)</t>
  </si>
  <si>
    <t>Inselspital Bern</t>
  </si>
  <si>
    <t>FAO-Z109 MSAR W</t>
  </si>
  <si>
    <t>Sarkomzentrum der Universitätsmedizin Göttingen</t>
  </si>
  <si>
    <t>Universitätsmedizin Göttingen</t>
  </si>
  <si>
    <t>FAO-Z139 T-MSAR</t>
  </si>
  <si>
    <t>Sarkomzentrum Klinikum Nürnberg (Transit/in Vorbereitung)</t>
  </si>
  <si>
    <t>Klinikum Nürnberg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</si>
</sst>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8"/>
      <color indexed="8"/>
      <name val="Arial"/>
      <family val="2"/>
    </font>
    <font>
      <sz val="11"/>
      <color indexed="8"/>
      <name val="Calibri"/>
      <family val="2"/>
    </font>
    <font>
      <b/>
      <sz val="9"/>
      <color indexed="8"/>
      <name val="Arial"/>
      <family val="2"/>
    </font>
    <font>
      <b/>
      <sz val="12"/>
      <color indexed="8"/>
      <name val="Arial"/>
      <family val="2"/>
    </font>
    <font>
      <sz val="9"/>
      <color indexed="81"/>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8"/>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indexed="8"/>
      <name val="Arial"/>
      <family val="2"/>
    </font>
    <font>
      <b/>
      <sz val="8"/>
      <color indexed="8"/>
      <name val="Arial"/>
      <family val="2"/>
    </font>
    <font>
      <b/>
      <sz val="10"/>
      <color indexed="8"/>
      <name val="Arial"/>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9"/>
      <color theme="1"/>
      <name val="Arial"/>
      <family val="2"/>
    </font>
    <font>
      <b/>
      <sz val="10"/>
      <color theme="1"/>
      <name val="Arial"/>
      <family val="2"/>
    </font>
    <font>
      <b/>
      <sz val="9"/>
      <color theme="1"/>
      <name val="Arial"/>
      <family val="2"/>
    </font>
    <font>
      <sz val="11"/>
      <color theme="1"/>
      <name val="Arial"/>
      <family val="2"/>
    </font>
    <font>
      <b/>
      <sz val="10"/>
      <color rgb="FF000000"/>
      <name val="Arial"/>
      <family val="2"/>
    </font>
    <font>
      <b/>
      <sz val="12"/>
      <name val="Arial"/>
      <family val="2"/>
    </font>
    <font>
      <sz val="11"/>
      <color theme="0"/>
      <name val="Arial"/>
      <family val="2"/>
    </font>
    <font>
      <sz val="11"/>
      <color rgb="FFFF0000"/>
      <name val="Arial"/>
      <family val="2"/>
    </font>
    <font>
      <b/>
      <sz val="13"/>
      <color indexed="8"/>
      <name val="Arial"/>
      <family val="2"/>
    </font>
    <font>
      <sz val="10"/>
      <color rgb="FFFF0000"/>
      <name val="Arial"/>
      <family val="2"/>
    </font>
    <font>
      <sz val="9"/>
      <color rgb="FFFF0000"/>
      <name val="Arial"/>
      <family val="2"/>
    </font>
    <font>
      <sz val="6"/>
      <color indexed="8"/>
      <name val="Arial"/>
      <family val="2"/>
    </font>
    <font>
      <strike/>
      <sz val="8"/>
      <name val="Arial"/>
      <family val="2"/>
    </font>
    <font>
      <b/>
      <u/>
      <sz val="8"/>
      <color indexed="8"/>
      <name val="Arial"/>
      <family val="2"/>
    </font>
    <font>
      <b/>
      <sz val="10"/>
      <color indexed="53"/>
      <name val="Arial"/>
      <family val="2"/>
    </font>
    <font>
      <sz val="8"/>
      <color indexed="23"/>
      <name val="Arial"/>
      <family val="2"/>
    </font>
    <font>
      <b/>
      <sz val="9"/>
      <color rgb="FF000000"/>
      <name val="Arial"/>
      <family val="2"/>
    </font>
    <font>
      <sz val="10"/>
      <color rgb="FF0000CC"/>
      <name val="Arial"/>
      <family val="2"/>
    </font>
    <font>
      <u/>
      <sz val="9"/>
      <color theme="1"/>
      <name val="Arial"/>
      <family val="2"/>
    </font>
    <font>
      <vertAlign val="superscript"/>
      <sz val="9"/>
      <color theme="1"/>
      <name val="Arial"/>
      <family val="2"/>
    </font>
    <font>
      <sz val="9"/>
      <color indexed="81"/>
      <name val="Tahoma"/>
      <family val="2"/>
    </font>
    <font>
      <b/>
      <sz val="9"/>
      <color indexed="81"/>
      <name val="Tahoma"/>
      <family val="2"/>
    </font>
    <font>
      <b/>
      <u/>
      <sz val="8"/>
      <name val="Arial"/>
      <family val="2"/>
    </font>
    <font>
      <sz val="11"/>
      <name val="Arial"/>
      <family val="2"/>
    </font>
    <font>
      <sz val="8"/>
      <color theme="1"/>
      <name val="Arial"/>
      <family val="2"/>
    </font>
    <font>
      <sz val="10"/>
      <color theme="1"/>
      <name val="Arial"/>
      <family val="2"/>
    </font>
    <font>
      <b/>
      <sz val="11"/>
      <color theme="1"/>
      <name val="Arial"/>
      <family val="2"/>
    </font>
    <font>
      <b/>
      <sz val="10"/>
      <name val="Arial"/>
      <family val="2"/>
    </font>
    <font>
      <sz val="10"/>
      <name val="Arial"/>
      <family val="2"/>
    </font>
    <font>
      <b/>
      <sz val="9"/>
      <color theme="1"/>
      <name val="Arial"/>
      <family val="2"/>
    </font>
    <font>
      <b/>
      <sz val="9"/>
      <name val="Arial"/>
      <family val="2"/>
    </font>
    <font>
      <sz val="9"/>
      <name val="Arial"/>
      <family val="2"/>
    </font>
    <font>
      <b/>
      <sz val="9"/>
      <color theme="0" tint="-0.499984740745262"/>
      <name val="Arial"/>
      <family val="2"/>
    </font>
    <font>
      <sz val="8"/>
      <name val="Arial"/>
      <family val="2"/>
    </font>
    <font>
      <b/>
      <sz val="9"/>
      <color rgb="FF0000CC"/>
      <name val="Arial"/>
      <family val="2"/>
    </font>
    <font>
      <sz val="9"/>
      <color rgb="FF0000CC"/>
      <name val="Arial"/>
      <family val="2"/>
    </font>
    <font>
      <b/>
      <sz val="13"/>
      <name val="Arial"/>
      <family val="2"/>
    </font>
    <font>
      <vertAlign val="superscript"/>
      <sz val="9"/>
      <name val="Arial"/>
      <family val="2"/>
    </font>
    <font>
      <b/>
      <vertAlign val="superscript"/>
      <sz val="9"/>
      <name val="Arial"/>
      <family val="2"/>
    </font>
    <font>
      <strike/>
      <sz val="9"/>
      <color rgb="FFFF0000"/>
      <name val="Arial"/>
      <family val="2"/>
    </font>
    <font>
      <sz val="10"/>
      <name val="Calibri"/>
      <family val="2"/>
      <scheme val="minor"/>
    </font>
    <font>
      <sz val="11"/>
      <name val="Calibri"/>
      <family val="2"/>
      <scheme val="minor"/>
    </font>
    <font>
      <b/>
      <vertAlign val="superscript"/>
      <sz val="10"/>
      <name val="Arial"/>
      <family val="2"/>
    </font>
    <font>
      <strike/>
      <sz val="9"/>
      <name val="Arial"/>
      <family val="2"/>
    </font>
    <font>
      <b/>
      <sz val="11"/>
      <name val="Arial"/>
      <family val="2"/>
    </font>
    <font>
      <b/>
      <sz val="10"/>
      <color rgb="FFFF0000"/>
      <name val="Arial"/>
      <family val="2"/>
    </font>
    <font>
      <b/>
      <sz val="13"/>
      <color theme="1"/>
      <name val="Arial"/>
      <family val="2"/>
    </font>
    <font>
      <u/>
      <sz val="10"/>
      <color theme="1"/>
      <name val="Arial"/>
      <family val="2"/>
    </font>
    <font>
      <vertAlign val="superscript"/>
      <sz val="10"/>
      <color theme="1"/>
      <name val="Arial"/>
      <family val="2"/>
    </font>
    <font>
      <sz val="6"/>
      <name val="Arial"/>
      <family val="2"/>
    </font>
  </fonts>
  <fills count="87">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indexed="44"/>
        <bgColor indexed="9"/>
      </patternFill>
    </fill>
    <fill>
      <patternFill patternType="solid">
        <fgColor indexed="13"/>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4" tint="0.79998168889431442"/>
        <bgColor indexed="23"/>
      </patternFill>
    </fill>
    <fill>
      <patternFill patternType="solid">
        <fgColor theme="0"/>
        <bgColor indexed="64"/>
      </patternFill>
    </fill>
    <fill>
      <patternFill patternType="solid">
        <fgColor rgb="FFC0C0C0"/>
        <bgColor indexed="64"/>
      </patternFill>
    </fill>
    <fill>
      <patternFill patternType="solid">
        <fgColor rgb="FFDCE6F1"/>
        <bgColor indexed="64"/>
      </patternFill>
    </fill>
    <fill>
      <patternFill patternType="solid">
        <fgColor rgb="FFFFC000"/>
        <bgColor indexed="64"/>
      </patternFill>
    </fill>
    <fill>
      <patternFill patternType="solid">
        <fgColor rgb="FFFFFF00"/>
        <bgColor indexed="64"/>
      </patternFill>
    </fill>
    <fill>
      <patternFill patternType="solid">
        <fgColor rgb="FFBFBFBF"/>
        <bgColor indexed="64"/>
      </patternFill>
    </fill>
    <fill>
      <patternFill patternType="solid">
        <fgColor rgb="FFE8E8E8"/>
        <bgColor indexed="64"/>
      </patternFill>
    </fill>
    <fill>
      <patternFill patternType="solid">
        <fgColor rgb="FFFF0000"/>
        <bgColor indexed="64"/>
      </patternFill>
    </fill>
    <fill>
      <patternFill patternType="solid">
        <fgColor rgb="FFDCE6F1"/>
        <bgColor indexed="23"/>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79998168889431442"/>
        <bgColor theme="0"/>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34998626667073579"/>
        <bgColor indexed="64"/>
      </patternFill>
    </fill>
  </fills>
  <borders count="108">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s>
  <cellStyleXfs count="546">
    <xf numFmtId="0" fontId="0" fillId="0" borderId="0"/>
    <xf numFmtId="0" fontId="58" fillId="3" borderId="0" applyNumberFormat="0" applyBorder="0" applyAlignment="0" applyProtection="0"/>
    <xf numFmtId="0" fontId="58" fillId="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2"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2" borderId="0" applyNumberFormat="0" applyBorder="0" applyAlignment="0" applyProtection="0"/>
    <xf numFmtId="0" fontId="58"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8" fillId="38"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8" fillId="4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2" borderId="0" applyNumberFormat="0" applyBorder="0" applyAlignment="0" applyProtection="0"/>
    <xf numFmtId="0" fontId="59" fillId="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59" fillId="46"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59" fillId="47"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2" borderId="0" applyNumberFormat="0" applyBorder="0" applyAlignment="0" applyProtection="0"/>
    <xf numFmtId="0" fontId="59" fillId="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9" fillId="51"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34" fillId="23" borderId="0" applyNumberFormat="0" applyBorder="0" applyAlignment="0" applyProtection="0"/>
    <xf numFmtId="0" fontId="59" fillId="22" borderId="0" applyNumberFormat="0" applyBorder="0" applyAlignment="0" applyProtection="0"/>
    <xf numFmtId="0" fontId="34" fillId="24" borderId="0" applyNumberFormat="0" applyBorder="0" applyAlignment="0" applyProtection="0"/>
    <xf numFmtId="0" fontId="34" fillId="18" borderId="0" applyNumberFormat="0" applyBorder="0" applyAlignment="0" applyProtection="0"/>
    <xf numFmtId="0" fontId="59" fillId="53"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60" fillId="15" borderId="35" applyNumberFormat="0" applyAlignment="0" applyProtection="0"/>
    <xf numFmtId="0" fontId="60" fillId="15" borderId="35" applyNumberFormat="0" applyAlignment="0" applyProtection="0"/>
    <xf numFmtId="0" fontId="60" fillId="15" borderId="35" applyNumberFormat="0" applyAlignment="0" applyProtection="0"/>
    <xf numFmtId="0" fontId="44" fillId="15" borderId="2" applyNumberFormat="0" applyAlignment="0" applyProtection="0"/>
    <xf numFmtId="0" fontId="60" fillId="56" borderId="35" applyNumberFormat="0" applyAlignment="0" applyProtection="0"/>
    <xf numFmtId="0" fontId="60" fillId="56" borderId="35" applyNumberFormat="0" applyAlignment="0" applyProtection="0"/>
    <xf numFmtId="0" fontId="60" fillId="9" borderId="35" applyNumberFormat="0" applyAlignment="0" applyProtection="0"/>
    <xf numFmtId="0" fontId="44" fillId="9" borderId="2" applyNumberFormat="0" applyAlignment="0" applyProtection="0"/>
    <xf numFmtId="0" fontId="60" fillId="15" borderId="35" applyNumberFormat="0" applyAlignment="0" applyProtection="0"/>
    <xf numFmtId="0" fontId="44" fillId="9" borderId="2" applyNumberFormat="0" applyAlignment="0" applyProtection="0"/>
    <xf numFmtId="0" fontId="60" fillId="15" borderId="35" applyNumberFormat="0" applyAlignment="0" applyProtection="0"/>
    <xf numFmtId="0" fontId="60" fillId="15" borderId="35" applyNumberFormat="0" applyAlignment="0" applyProtection="0"/>
    <xf numFmtId="0" fontId="44" fillId="15" borderId="2" applyNumberFormat="0" applyAlignment="0" applyProtection="0"/>
    <xf numFmtId="0" fontId="35" fillId="15" borderId="1" applyNumberFormat="0" applyAlignment="0" applyProtection="0"/>
    <xf numFmtId="0" fontId="35" fillId="15" borderId="1" applyNumberFormat="0" applyAlignment="0" applyProtection="0"/>
    <xf numFmtId="0" fontId="35" fillId="15" borderId="1" applyNumberFormat="0" applyAlignment="0" applyProtection="0"/>
    <xf numFmtId="0" fontId="60" fillId="15" borderId="35" applyNumberFormat="0" applyAlignment="0" applyProtection="0"/>
    <xf numFmtId="0" fontId="35" fillId="15" borderId="1" applyNumberFormat="0" applyAlignment="0" applyProtection="0"/>
    <xf numFmtId="0" fontId="44" fillId="15" borderId="2" applyNumberFormat="0" applyAlignment="0" applyProtection="0"/>
    <xf numFmtId="0" fontId="60" fillId="15" borderId="35" applyNumberFormat="0" applyAlignment="0" applyProtection="0"/>
    <xf numFmtId="0" fontId="60" fillId="15" borderId="35" applyNumberFormat="0" applyAlignment="0" applyProtection="0"/>
    <xf numFmtId="0" fontId="60" fillId="15" borderId="35" applyNumberFormat="0" applyAlignment="0" applyProtection="0"/>
    <xf numFmtId="0" fontId="35" fillId="15" borderId="1" applyNumberFormat="0" applyAlignment="0" applyProtection="0"/>
    <xf numFmtId="0" fontId="40" fillId="6" borderId="0" applyNumberFormat="0" applyBorder="0" applyAlignment="0" applyProtection="0"/>
    <xf numFmtId="0" fontId="62" fillId="15" borderId="36" applyNumberFormat="0" applyAlignment="0" applyProtection="0"/>
    <xf numFmtId="0" fontId="62" fillId="15" borderId="36" applyNumberFormat="0" applyAlignment="0" applyProtection="0"/>
    <xf numFmtId="0" fontId="62" fillId="56" borderId="36" applyNumberFormat="0" applyAlignment="0" applyProtection="0"/>
    <xf numFmtId="0" fontId="62" fillId="56" borderId="36" applyNumberFormat="0" applyAlignment="0" applyProtection="0"/>
    <xf numFmtId="0" fontId="62" fillId="9" borderId="36" applyNumberFormat="0" applyAlignment="0" applyProtection="0"/>
    <xf numFmtId="0" fontId="62" fillId="9" borderId="36" applyNumberFormat="0" applyAlignment="0" applyProtection="0"/>
    <xf numFmtId="0" fontId="62" fillId="9" borderId="36" applyNumberFormat="0" applyAlignment="0" applyProtection="0"/>
    <xf numFmtId="0" fontId="62" fillId="15" borderId="36"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62" fillId="15" borderId="36" applyNumberFormat="0" applyAlignment="0" applyProtection="0"/>
    <xf numFmtId="0" fontId="36" fillId="15" borderId="3" applyNumberFormat="0" applyAlignment="0" applyProtection="0"/>
    <xf numFmtId="0" fontId="62" fillId="15" borderId="36" applyNumberFormat="0" applyAlignment="0" applyProtection="0"/>
    <xf numFmtId="0" fontId="36" fillId="15" borderId="3" applyNumberFormat="0" applyAlignment="0" applyProtection="0"/>
    <xf numFmtId="0" fontId="36" fillId="15" borderId="3" applyNumberFormat="0" applyAlignment="0" applyProtection="0"/>
    <xf numFmtId="0" fontId="42" fillId="26" borderId="4" applyNumberFormat="0" applyAlignment="0" applyProtection="0"/>
    <xf numFmtId="0" fontId="63" fillId="58" borderId="37" applyNumberFormat="0" applyAlignment="0" applyProtection="0"/>
    <xf numFmtId="0" fontId="63" fillId="58" borderId="5" applyNumberFormat="0" applyAlignment="0" applyProtection="0"/>
    <xf numFmtId="0" fontId="64" fillId="59" borderId="36"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7" applyNumberFormat="0" applyFill="0" applyAlignment="0" applyProtection="0"/>
    <xf numFmtId="0" fontId="65" fillId="0" borderId="7" applyNumberFormat="0" applyFill="0" applyAlignment="0" applyProtection="0"/>
    <xf numFmtId="0" fontId="65" fillId="0" borderId="7"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65"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65" fillId="0" borderId="6" applyNumberFormat="0" applyFill="0" applyAlignment="0" applyProtection="0"/>
    <xf numFmtId="0" fontId="13" fillId="0" borderId="6" applyNumberFormat="0" applyFill="0" applyAlignment="0" applyProtection="0"/>
    <xf numFmtId="0" fontId="65" fillId="0" borderId="6" applyNumberFormat="0" applyFill="0" applyAlignment="0" applyProtection="0"/>
    <xf numFmtId="0" fontId="13" fillId="0" borderId="6" applyNumberFormat="0" applyFill="0" applyAlignment="0" applyProtection="0"/>
    <xf numFmtId="0" fontId="66"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8" fillId="0" borderId="39"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69" fillId="0" borderId="40" applyNumberFormat="0" applyFill="0" applyAlignment="0" applyProtection="0"/>
    <xf numFmtId="0" fontId="46" fillId="0" borderId="9" applyNumberFormat="0" applyFill="0" applyAlignment="0" applyProtection="0"/>
    <xf numFmtId="0" fontId="46" fillId="0" borderId="10" applyNumberFormat="0" applyFill="0" applyAlignment="0" applyProtection="0"/>
    <xf numFmtId="0" fontId="70" fillId="0" borderId="41" applyNumberFormat="0" applyFill="0" applyAlignment="0" applyProtection="0"/>
    <xf numFmtId="0" fontId="47" fillId="0" borderId="11" applyNumberFormat="0" applyFill="0" applyAlignment="0" applyProtection="0"/>
    <xf numFmtId="0" fontId="47" fillId="0" borderId="12" applyNumberFormat="0" applyFill="0" applyAlignment="0" applyProtection="0"/>
    <xf numFmtId="0" fontId="70"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7" fillId="5" borderId="3" applyNumberFormat="0" applyAlignment="0" applyProtection="0"/>
    <xf numFmtId="0" fontId="41" fillId="0" borderId="13" applyNumberFormat="0" applyFill="0" applyAlignment="0" applyProtection="0"/>
    <xf numFmtId="0" fontId="72" fillId="61" borderId="0" applyNumberFormat="0" applyBorder="0" applyAlignment="0" applyProtection="0"/>
    <xf numFmtId="0" fontId="58" fillId="0" borderId="0"/>
    <xf numFmtId="0" fontId="7" fillId="7" borderId="14" applyNumberFormat="0" applyFont="0" applyAlignment="0" applyProtection="0"/>
    <xf numFmtId="0" fontId="7" fillId="7" borderId="14"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3" fillId="62" borderId="43" applyNumberFormat="0" applyFont="0" applyAlignment="0" applyProtection="0"/>
    <xf numFmtId="0" fontId="12" fillId="62" borderId="43" applyNumberFormat="0" applyFont="0" applyAlignment="0" applyProtection="0"/>
    <xf numFmtId="0" fontId="12" fillId="62" borderId="43" applyNumberFormat="0" applyFont="0" applyAlignment="0" applyProtection="0"/>
    <xf numFmtId="0" fontId="27"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3"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3" fillId="62" borderId="43" applyNumberFormat="0" applyFont="0" applyAlignment="0" applyProtection="0"/>
    <xf numFmtId="0" fontId="43"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3"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27"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35" fillId="15" borderId="1" applyNumberFormat="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7" fillId="0" borderId="0"/>
    <xf numFmtId="0" fontId="58" fillId="0" borderId="0"/>
    <xf numFmtId="0" fontId="58" fillId="0" borderId="0"/>
    <xf numFmtId="0" fontId="73" fillId="0" borderId="0"/>
    <xf numFmtId="0" fontId="7" fillId="0" borderId="0"/>
    <xf numFmtId="0" fontId="58" fillId="0" borderId="0"/>
    <xf numFmtId="0" fontId="58" fillId="0" borderId="0"/>
    <xf numFmtId="0" fontId="73" fillId="0" borderId="0"/>
    <xf numFmtId="0" fontId="23"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xf numFmtId="0" fontId="58" fillId="0" borderId="0"/>
    <xf numFmtId="0" fontId="7" fillId="0" borderId="0"/>
    <xf numFmtId="0" fontId="7" fillId="0" borderId="0"/>
    <xf numFmtId="0" fontId="74"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3" fillId="0" borderId="6" applyNumberFormat="0" applyFill="0" applyAlignment="0" applyProtection="0"/>
    <xf numFmtId="0" fontId="28" fillId="0" borderId="0" applyNumberFormat="0" applyFill="0" applyBorder="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3" fillId="58" borderId="37" applyNumberFormat="0" applyAlignment="0" applyProtection="0"/>
    <xf numFmtId="0" fontId="63" fillId="58" borderId="5" applyNumberFormat="0" applyAlignment="0" applyProtection="0"/>
    <xf numFmtId="0" fontId="63" fillId="58" borderId="37" applyNumberFormat="0" applyAlignment="0" applyProtection="0"/>
    <xf numFmtId="0" fontId="63" fillId="58" borderId="37" applyNumberFormat="0" applyAlignment="0" applyProtection="0"/>
    <xf numFmtId="0" fontId="63" fillId="58" borderId="5" applyNumberFormat="0" applyAlignment="0" applyProtection="0"/>
    <xf numFmtId="0" fontId="7" fillId="0" borderId="0"/>
    <xf numFmtId="0" fontId="2" fillId="0" borderId="0"/>
    <xf numFmtId="9" fontId="5" fillId="0" borderId="0" applyFont="0" applyFill="0" applyBorder="0" applyAlignment="0" applyProtection="0"/>
  </cellStyleXfs>
  <cellXfs count="719">
    <xf numFmtId="0" fontId="0" fillId="0" borderId="0" xfId="0"/>
    <xf numFmtId="0" fontId="18" fillId="0" borderId="0" xfId="0" applyFont="1"/>
    <xf numFmtId="0" fontId="14" fillId="0" borderId="0" xfId="0" applyFont="1"/>
    <xf numFmtId="0" fontId="18" fillId="0" borderId="0" xfId="0" applyFont="1" applyAlignment="1">
      <alignment horizontal="center"/>
    </xf>
    <xf numFmtId="0" fontId="18" fillId="0" borderId="0" xfId="0" applyFont="1" applyAlignment="1">
      <alignment horizontal="center" vertical="center"/>
    </xf>
    <xf numFmtId="0" fontId="15" fillId="0" borderId="0" xfId="0" applyFont="1"/>
    <xf numFmtId="0" fontId="16" fillId="0" borderId="0" xfId="0" applyFont="1"/>
    <xf numFmtId="0" fontId="21" fillId="0" borderId="0" xfId="0" applyFont="1"/>
    <xf numFmtId="0" fontId="22" fillId="0" borderId="0" xfId="0" applyFont="1"/>
    <xf numFmtId="14" fontId="24" fillId="28" borderId="19" xfId="0" applyNumberFormat="1" applyFont="1" applyFill="1" applyBorder="1" applyAlignment="1">
      <alignment horizontal="center" vertical="center"/>
    </xf>
    <xf numFmtId="0" fontId="17" fillId="0" borderId="0" xfId="476" applyFont="1" applyAlignment="1">
      <alignment vertical="center"/>
    </xf>
    <xf numFmtId="0" fontId="7" fillId="0" borderId="0" xfId="0" applyFont="1"/>
    <xf numFmtId="0" fontId="0" fillId="0" borderId="0" xfId="0" applyAlignment="1">
      <alignment horizontal="center" vertical="center"/>
    </xf>
    <xf numFmtId="0" fontId="52" fillId="0" borderId="0" xfId="0" applyFont="1"/>
    <xf numFmtId="1" fontId="52" fillId="0" borderId="0" xfId="0" applyNumberFormat="1" applyFont="1"/>
    <xf numFmtId="14" fontId="52" fillId="0" borderId="0" xfId="0" applyNumberFormat="1" applyFont="1"/>
    <xf numFmtId="0" fontId="8" fillId="0" borderId="0" xfId="476" applyFont="1"/>
    <xf numFmtId="49" fontId="14" fillId="0" borderId="19" xfId="0" applyNumberFormat="1"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51" fillId="0" borderId="19" xfId="0" applyFont="1" applyBorder="1" applyAlignment="1">
      <alignment horizontal="left" vertical="center"/>
    </xf>
    <xf numFmtId="0" fontId="51" fillId="0" borderId="0" xfId="0" applyFont="1" applyAlignment="1">
      <alignment vertical="center"/>
    </xf>
    <xf numFmtId="0" fontId="8" fillId="0" borderId="0" xfId="476" applyFont="1" applyAlignment="1">
      <alignment vertical="center"/>
    </xf>
    <xf numFmtId="14" fontId="51" fillId="0" borderId="19" xfId="0" applyNumberFormat="1" applyFont="1" applyBorder="1" applyAlignment="1">
      <alignment horizontal="left" vertical="center"/>
    </xf>
    <xf numFmtId="0" fontId="52" fillId="0" borderId="0" xfId="0" applyFont="1" applyAlignment="1">
      <alignment horizontal="left" vertical="center"/>
    </xf>
    <xf numFmtId="1" fontId="51" fillId="0" borderId="19" xfId="0" applyNumberFormat="1" applyFont="1" applyBorder="1" applyAlignment="1">
      <alignment horizontal="center" vertical="center"/>
    </xf>
    <xf numFmtId="0" fontId="21" fillId="0" borderId="19" xfId="0" applyFont="1" applyBorder="1" applyAlignment="1">
      <alignment horizontal="left" vertical="center"/>
    </xf>
    <xf numFmtId="0" fontId="15" fillId="0" borderId="19" xfId="0" applyFont="1" applyBorder="1" applyAlignment="1">
      <alignment horizontal="center" vertical="center"/>
    </xf>
    <xf numFmtId="0" fontId="51" fillId="0" borderId="19" xfId="0" applyFont="1" applyBorder="1" applyAlignment="1">
      <alignment horizontal="center" vertical="center"/>
    </xf>
    <xf numFmtId="0" fontId="52" fillId="0" borderId="0" xfId="0" applyFont="1" applyAlignment="1">
      <alignment vertical="center"/>
    </xf>
    <xf numFmtId="0" fontId="55" fillId="0" borderId="19" xfId="0" applyFont="1" applyBorder="1" applyAlignment="1">
      <alignment horizontal="center" vertical="center"/>
    </xf>
    <xf numFmtId="0" fontId="5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left" vertical="center" wrapText="1"/>
    </xf>
    <xf numFmtId="1" fontId="14"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52" fillId="0" borderId="0" xfId="0" applyFont="1" applyAlignment="1">
      <alignment vertical="top"/>
    </xf>
    <xf numFmtId="1" fontId="52" fillId="0" borderId="0" xfId="0" applyNumberFormat="1" applyFont="1" applyAlignment="1">
      <alignment horizontal="center" vertical="center" wrapText="1"/>
    </xf>
    <xf numFmtId="0" fontId="48" fillId="0" borderId="0" xfId="0" applyFont="1" applyAlignment="1">
      <alignment vertical="center"/>
    </xf>
    <xf numFmtId="0" fontId="22" fillId="0" borderId="19" xfId="0" applyFont="1" applyBorder="1" applyAlignment="1">
      <alignment horizontal="center" vertical="center" wrapText="1"/>
    </xf>
    <xf numFmtId="0" fontId="54" fillId="0" borderId="0" xfId="0" applyFont="1" applyAlignment="1">
      <alignment vertical="center"/>
    </xf>
    <xf numFmtId="0" fontId="52" fillId="0" borderId="19" xfId="0" applyFont="1" applyBorder="1" applyAlignment="1">
      <alignment vertical="center" wrapText="1"/>
    </xf>
    <xf numFmtId="0" fontId="14" fillId="0" borderId="19" xfId="0" applyFont="1" applyBorder="1" applyAlignment="1">
      <alignment horizontal="center" vertical="center" wrapText="1"/>
    </xf>
    <xf numFmtId="0" fontId="14" fillId="0" borderId="19" xfId="0" applyFont="1" applyBorder="1" applyAlignment="1">
      <alignment horizontal="left" vertical="center" wrapText="1"/>
    </xf>
    <xf numFmtId="10" fontId="14" fillId="0" borderId="19"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xf>
    <xf numFmtId="0" fontId="52" fillId="0" borderId="19" xfId="0" applyFont="1" applyBorder="1" applyAlignment="1">
      <alignment horizontal="center" vertical="center"/>
    </xf>
    <xf numFmtId="0" fontId="52" fillId="0" borderId="19" xfId="0" applyFont="1" applyBorder="1" applyAlignment="1">
      <alignment horizontal="left" vertical="center" wrapText="1"/>
    </xf>
    <xf numFmtId="10" fontId="52" fillId="0" borderId="19" xfId="0" applyNumberFormat="1" applyFont="1" applyBorder="1" applyAlignment="1">
      <alignment horizontal="center" vertical="center" wrapText="1"/>
    </xf>
    <xf numFmtId="0" fontId="52" fillId="0" borderId="19" xfId="0" applyFont="1" applyBorder="1" applyAlignment="1">
      <alignment horizontal="center" vertical="center" wrapText="1"/>
    </xf>
    <xf numFmtId="0" fontId="16" fillId="0" borderId="0" xfId="0" applyFont="1" applyAlignment="1">
      <alignment horizontal="center" vertical="center"/>
    </xf>
    <xf numFmtId="0" fontId="0" fillId="31" borderId="19" xfId="0" applyFill="1" applyBorder="1" applyAlignment="1">
      <alignment horizontal="center" vertical="center"/>
    </xf>
    <xf numFmtId="0" fontId="48" fillId="0" borderId="0" xfId="0" applyFont="1" applyAlignment="1">
      <alignment horizontal="center" vertical="center"/>
    </xf>
    <xf numFmtId="0" fontId="48" fillId="0" borderId="0" xfId="0" applyFont="1" applyAlignment="1">
      <alignment vertical="center" wrapText="1"/>
    </xf>
    <xf numFmtId="0" fontId="52" fillId="0" borderId="19" xfId="0" applyFont="1" applyBorder="1"/>
    <xf numFmtId="10" fontId="14" fillId="0" borderId="0" xfId="398" applyNumberFormat="1" applyFont="1" applyBorder="1" applyAlignment="1">
      <alignment horizontal="center" vertical="center" wrapText="1"/>
    </xf>
    <xf numFmtId="9" fontId="52" fillId="0" borderId="0" xfId="0" applyNumberFormat="1" applyFont="1" applyAlignment="1">
      <alignment horizontal="center" vertical="center" wrapText="1"/>
    </xf>
    <xf numFmtId="1" fontId="52" fillId="0" borderId="19" xfId="0" applyNumberFormat="1" applyFont="1" applyBorder="1" applyAlignment="1">
      <alignment horizontal="center" vertical="center" wrapText="1"/>
    </xf>
    <xf numFmtId="9" fontId="52" fillId="0" borderId="19" xfId="0" applyNumberFormat="1" applyFont="1" applyBorder="1" applyAlignment="1">
      <alignment horizontal="center" vertical="center" wrapText="1"/>
    </xf>
    <xf numFmtId="2" fontId="51" fillId="0" borderId="19" xfId="0" applyNumberFormat="1" applyFont="1" applyBorder="1" applyAlignment="1">
      <alignment horizontal="center" vertical="center"/>
    </xf>
    <xf numFmtId="0" fontId="57" fillId="0" borderId="0" xfId="0" applyFont="1" applyAlignment="1">
      <alignment vertical="top"/>
    </xf>
    <xf numFmtId="0" fontId="16" fillId="0" borderId="0" xfId="0" applyFont="1" applyAlignment="1">
      <alignment horizontal="left" vertical="center"/>
    </xf>
    <xf numFmtId="0" fontId="16" fillId="0" borderId="0" xfId="0" applyFont="1" applyAlignment="1">
      <alignment vertical="center"/>
    </xf>
    <xf numFmtId="0" fontId="16" fillId="0" borderId="0" xfId="486" applyFont="1" applyAlignment="1">
      <alignment horizontal="left" vertical="center"/>
    </xf>
    <xf numFmtId="0" fontId="52" fillId="0" borderId="0" xfId="0" applyFont="1" applyAlignment="1">
      <alignment horizontal="center" vertical="center" wrapText="1"/>
    </xf>
    <xf numFmtId="0" fontId="22" fillId="0" borderId="19" xfId="0" applyFont="1" applyBorder="1" applyAlignment="1">
      <alignment horizontal="center" vertical="center"/>
    </xf>
    <xf numFmtId="0" fontId="20"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164" fontId="9" fillId="0" borderId="0" xfId="398" applyNumberFormat="1" applyFont="1" applyFill="1" applyBorder="1" applyAlignment="1" applyProtection="1">
      <alignment horizontal="center" vertical="center" wrapText="1"/>
    </xf>
    <xf numFmtId="0" fontId="9" fillId="0" borderId="0" xfId="0" applyFont="1" applyAlignment="1">
      <alignment vertical="center" wrapText="1"/>
    </xf>
    <xf numFmtId="0" fontId="25" fillId="0" borderId="0" xfId="0" applyFont="1" applyAlignment="1">
      <alignment vertical="center"/>
    </xf>
    <xf numFmtId="1" fontId="22" fillId="0" borderId="19" xfId="0" applyNumberFormat="1" applyFont="1" applyBorder="1" applyAlignment="1">
      <alignment horizontal="center" vertical="center"/>
    </xf>
    <xf numFmtId="49" fontId="14" fillId="32" borderId="19" xfId="0" applyNumberFormat="1" applyFont="1" applyFill="1" applyBorder="1" applyAlignment="1">
      <alignment horizontal="center" vertical="center"/>
    </xf>
    <xf numFmtId="0" fontId="14" fillId="32" borderId="19" xfId="0" applyFont="1" applyFill="1" applyBorder="1" applyAlignment="1">
      <alignment horizontal="center" vertical="center"/>
    </xf>
    <xf numFmtId="9" fontId="14" fillId="32" borderId="19" xfId="417" applyFont="1" applyFill="1" applyBorder="1" applyAlignment="1" applyProtection="1">
      <alignment horizontal="center" vertical="center"/>
    </xf>
    <xf numFmtId="1" fontId="14" fillId="32" borderId="19" xfId="417" applyNumberFormat="1" applyFont="1" applyFill="1" applyBorder="1" applyAlignment="1" applyProtection="1">
      <alignment horizontal="center" vertical="center"/>
    </xf>
    <xf numFmtId="9" fontId="14" fillId="0" borderId="19" xfId="417" applyFont="1" applyBorder="1" applyAlignment="1" applyProtection="1">
      <alignment horizontal="center" vertical="center"/>
    </xf>
    <xf numFmtId="1" fontId="14" fillId="0" borderId="19" xfId="417" applyNumberFormat="1" applyFont="1" applyBorder="1" applyAlignment="1" applyProtection="1">
      <alignment horizontal="center" vertical="center"/>
    </xf>
    <xf numFmtId="0" fontId="18" fillId="0" borderId="19" xfId="0" applyFont="1" applyBorder="1" applyAlignment="1">
      <alignment vertical="center"/>
    </xf>
    <xf numFmtId="1" fontId="14" fillId="0" borderId="19" xfId="417" applyNumberFormat="1" applyFont="1" applyFill="1" applyBorder="1" applyAlignment="1" applyProtection="1">
      <alignment horizontal="center" vertical="center"/>
    </xf>
    <xf numFmtId="0" fontId="53" fillId="0" borderId="0" xfId="0" applyFont="1" applyAlignment="1">
      <alignment vertical="center"/>
    </xf>
    <xf numFmtId="0" fontId="14" fillId="0" borderId="0" xfId="0" applyFont="1" applyAlignment="1">
      <alignment horizontal="left" vertical="center"/>
    </xf>
    <xf numFmtId="0" fontId="53" fillId="0" borderId="0" xfId="0" applyFont="1" applyAlignment="1">
      <alignment horizontal="left" vertical="center"/>
    </xf>
    <xf numFmtId="0" fontId="20" fillId="64" borderId="0" xfId="0" applyFont="1" applyFill="1" applyAlignment="1">
      <alignment vertical="center"/>
    </xf>
    <xf numFmtId="0" fontId="18" fillId="64" borderId="0" xfId="0" applyFont="1" applyFill="1" applyAlignment="1">
      <alignment vertical="center"/>
    </xf>
    <xf numFmtId="0" fontId="9" fillId="64" borderId="0" xfId="0" applyFont="1" applyFill="1" applyAlignment="1">
      <alignment vertical="center" wrapText="1"/>
    </xf>
    <xf numFmtId="0" fontId="77" fillId="0" borderId="0" xfId="0" applyFont="1"/>
    <xf numFmtId="2" fontId="14" fillId="32" borderId="19" xfId="417" applyNumberFormat="1" applyFont="1" applyFill="1" applyBorder="1" applyAlignment="1" applyProtection="1">
      <alignment horizontal="center" vertical="center"/>
    </xf>
    <xf numFmtId="0" fontId="14" fillId="32" borderId="19" xfId="417" applyNumberFormat="1" applyFont="1" applyFill="1" applyBorder="1" applyAlignment="1" applyProtection="1">
      <alignment horizontal="center" vertical="center"/>
    </xf>
    <xf numFmtId="2" fontId="14" fillId="0" borderId="19" xfId="417" applyNumberFormat="1" applyFont="1" applyFill="1" applyBorder="1" applyAlignment="1" applyProtection="1">
      <alignment horizontal="center" vertical="center"/>
    </xf>
    <xf numFmtId="9" fontId="14" fillId="0" borderId="19" xfId="417" applyFont="1" applyFill="1" applyBorder="1" applyAlignment="1" applyProtection="1">
      <alignment horizontal="center" vertical="center"/>
    </xf>
    <xf numFmtId="0" fontId="16" fillId="0" borderId="19" xfId="0" applyFont="1" applyBorder="1" applyAlignment="1">
      <alignment horizontal="center" vertical="center"/>
    </xf>
    <xf numFmtId="1" fontId="51" fillId="63" borderId="19" xfId="0" applyNumberFormat="1" applyFont="1" applyFill="1" applyBorder="1" applyAlignment="1">
      <alignment horizontal="center" vertical="center"/>
    </xf>
    <xf numFmtId="2" fontId="51" fillId="63" borderId="19" xfId="0" applyNumberFormat="1" applyFont="1" applyFill="1" applyBorder="1" applyAlignment="1">
      <alignment horizontal="center" vertical="center"/>
    </xf>
    <xf numFmtId="0" fontId="10" fillId="0" borderId="19" xfId="0" applyFont="1" applyBorder="1" applyAlignment="1">
      <alignment horizontal="center" vertical="center" wrapText="1"/>
    </xf>
    <xf numFmtId="9" fontId="9" fillId="0" borderId="19" xfId="0" quotePrefix="1" applyNumberFormat="1" applyFont="1" applyBorder="1" applyAlignment="1">
      <alignment horizontal="center" vertical="center" wrapText="1"/>
    </xf>
    <xf numFmtId="9" fontId="9" fillId="0" borderId="19" xfId="0" applyNumberFormat="1" applyFont="1" applyBorder="1" applyAlignment="1">
      <alignment horizontal="center" vertical="center" wrapText="1"/>
    </xf>
    <xf numFmtId="1" fontId="9" fillId="0" borderId="19" xfId="0" applyNumberFormat="1" applyFont="1" applyBorder="1" applyAlignment="1">
      <alignment horizontal="center" vertical="center" wrapText="1"/>
    </xf>
    <xf numFmtId="0" fontId="22" fillId="0" borderId="19" xfId="0" applyFont="1" applyBorder="1"/>
    <xf numFmtId="0" fontId="22" fillId="0" borderId="19" xfId="0" applyFont="1" applyBorder="1" applyAlignment="1">
      <alignment horizontal="center"/>
    </xf>
    <xf numFmtId="0" fontId="52" fillId="0" borderId="19" xfId="0" applyFont="1" applyBorder="1" applyAlignment="1">
      <alignment horizontal="center"/>
    </xf>
    <xf numFmtId="0" fontId="14" fillId="31" borderId="19" xfId="0" applyFont="1" applyFill="1" applyBorder="1" applyAlignment="1">
      <alignment horizontal="center"/>
    </xf>
    <xf numFmtId="10" fontId="9" fillId="0" borderId="19" xfId="398" applyNumberFormat="1" applyFont="1" applyFill="1" applyBorder="1" applyAlignment="1" applyProtection="1">
      <alignment horizontal="center" vertical="center" wrapText="1"/>
    </xf>
    <xf numFmtId="164" fontId="9" fillId="0" borderId="19" xfId="398" applyNumberFormat="1" applyFont="1" applyFill="1" applyBorder="1" applyAlignment="1" applyProtection="1">
      <alignment horizontal="center" vertical="center" wrapText="1"/>
    </xf>
    <xf numFmtId="10" fontId="18" fillId="0" borderId="19" xfId="0" applyNumberFormat="1" applyFont="1" applyBorder="1" applyAlignment="1">
      <alignment vertical="center"/>
    </xf>
    <xf numFmtId="0" fontId="52" fillId="0" borderId="19" xfId="0" applyFont="1" applyBorder="1" applyAlignment="1">
      <alignment vertical="center"/>
    </xf>
    <xf numFmtId="0" fontId="79" fillId="0" borderId="19" xfId="0" applyFont="1" applyBorder="1" applyAlignment="1">
      <alignment vertical="center"/>
    </xf>
    <xf numFmtId="0" fontId="79" fillId="0" borderId="0" xfId="0" applyFont="1" applyAlignment="1">
      <alignment vertical="center"/>
    </xf>
    <xf numFmtId="1" fontId="79" fillId="0" borderId="19" xfId="0" applyNumberFormat="1" applyFont="1" applyBorder="1" applyAlignment="1">
      <alignment vertical="center"/>
    </xf>
    <xf numFmtId="0" fontId="79" fillId="0" borderId="19" xfId="0" applyFont="1" applyBorder="1" applyAlignment="1">
      <alignment vertical="center" wrapText="1"/>
    </xf>
    <xf numFmtId="0" fontId="79" fillId="69" borderId="19" xfId="0" applyFont="1" applyFill="1" applyBorder="1" applyAlignment="1">
      <alignment vertical="center"/>
    </xf>
    <xf numFmtId="0" fontId="79" fillId="0" borderId="0" xfId="0" applyFont="1"/>
    <xf numFmtId="0" fontId="81" fillId="0" borderId="0" xfId="0" applyFont="1"/>
    <xf numFmtId="0" fontId="4" fillId="0" borderId="0" xfId="0" applyFont="1"/>
    <xf numFmtId="0" fontId="79" fillId="0" borderId="0" xfId="0" applyFont="1" applyAlignment="1">
      <alignment vertical="top"/>
    </xf>
    <xf numFmtId="0" fontId="4" fillId="0" borderId="0" xfId="0" applyFont="1" applyAlignment="1">
      <alignment vertical="top"/>
    </xf>
    <xf numFmtId="0" fontId="82" fillId="0" borderId="0" xfId="0" applyFont="1"/>
    <xf numFmtId="0" fontId="3" fillId="0" borderId="0" xfId="0" applyFont="1"/>
    <xf numFmtId="0" fontId="10" fillId="0" borderId="26" xfId="543" applyFont="1" applyBorder="1" applyAlignment="1">
      <alignment vertical="center"/>
    </xf>
    <xf numFmtId="0" fontId="10" fillId="72" borderId="0" xfId="543" applyFont="1" applyFill="1" applyAlignment="1">
      <alignment vertical="center"/>
    </xf>
    <xf numFmtId="0" fontId="10" fillId="0" borderId="0" xfId="543" applyFont="1" applyAlignment="1">
      <alignment vertical="center"/>
    </xf>
    <xf numFmtId="0" fontId="9" fillId="0" borderId="0" xfId="543" applyFont="1" applyAlignment="1">
      <alignment vertical="center"/>
    </xf>
    <xf numFmtId="0" fontId="83" fillId="0" borderId="0" xfId="0" applyFont="1"/>
    <xf numFmtId="0" fontId="84" fillId="0" borderId="0" xfId="0" applyFont="1"/>
    <xf numFmtId="0" fontId="85" fillId="0" borderId="0" xfId="0" applyFont="1"/>
    <xf numFmtId="0" fontId="86" fillId="0" borderId="0" xfId="0" applyFont="1" applyAlignment="1">
      <alignment vertical="center"/>
    </xf>
    <xf numFmtId="0" fontId="92" fillId="0" borderId="64"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19" xfId="0" applyFont="1" applyBorder="1" applyAlignment="1">
      <alignment horizontal="center" vertical="center" wrapText="1"/>
    </xf>
    <xf numFmtId="0" fontId="92" fillId="0" borderId="49" xfId="0" applyFont="1" applyBorder="1" applyAlignment="1">
      <alignment horizontal="center" vertical="center" wrapText="1"/>
    </xf>
    <xf numFmtId="0" fontId="93" fillId="0" borderId="44" xfId="0" applyFont="1" applyBorder="1" applyAlignment="1">
      <alignment horizontal="center" vertical="center"/>
    </xf>
    <xf numFmtId="0" fontId="20" fillId="0" borderId="0" xfId="0" applyFont="1" applyAlignment="1">
      <alignment horizontal="left" vertical="center"/>
    </xf>
    <xf numFmtId="0" fontId="16" fillId="0" borderId="0" xfId="0" applyFont="1" applyAlignment="1">
      <alignment horizontal="center"/>
    </xf>
    <xf numFmtId="0" fontId="7" fillId="0" borderId="0" xfId="476" applyAlignment="1">
      <alignment vertical="center"/>
    </xf>
    <xf numFmtId="0" fontId="7" fillId="0" borderId="0" xfId="476"/>
    <xf numFmtId="14" fontId="7" fillId="0" borderId="0" xfId="476" applyNumberFormat="1" applyAlignment="1">
      <alignment vertical="center"/>
    </xf>
    <xf numFmtId="0" fontId="7" fillId="0" borderId="0" xfId="476" applyAlignment="1">
      <alignment horizontal="left" indent="3"/>
    </xf>
    <xf numFmtId="14" fontId="7" fillId="0" borderId="0" xfId="476" applyNumberFormat="1" applyAlignment="1">
      <alignment horizontal="left" vertical="center"/>
    </xf>
    <xf numFmtId="0" fontId="16" fillId="0" borderId="0" xfId="0" applyFont="1" applyAlignment="1">
      <alignment horizontal="left"/>
    </xf>
    <xf numFmtId="0" fontId="16" fillId="27" borderId="0" xfId="0" applyFont="1" applyFill="1" applyAlignment="1">
      <alignment horizontal="center" vertical="center" wrapText="1"/>
    </xf>
    <xf numFmtId="0" fontId="21" fillId="0" borderId="45" xfId="0" applyFont="1" applyBorder="1" applyAlignment="1">
      <alignment horizontal="left" vertical="center" indent="1"/>
    </xf>
    <xf numFmtId="0" fontId="21" fillId="0" borderId="62" xfId="0" applyFont="1" applyBorder="1" applyAlignment="1">
      <alignment horizontal="left" vertical="center" indent="1"/>
    </xf>
    <xf numFmtId="1" fontId="17" fillId="67" borderId="47" xfId="0" applyNumberFormat="1" applyFont="1" applyFill="1" applyBorder="1" applyAlignment="1" applyProtection="1">
      <alignment horizontal="center" vertical="center" wrapText="1"/>
      <protection locked="0"/>
    </xf>
    <xf numFmtId="1" fontId="17" fillId="0" borderId="47" xfId="0" applyNumberFormat="1" applyFont="1" applyBorder="1" applyAlignment="1">
      <alignment horizontal="center" vertical="center" wrapText="1"/>
    </xf>
    <xf numFmtId="1" fontId="17" fillId="67" borderId="68" xfId="0" applyNumberFormat="1" applyFont="1" applyFill="1" applyBorder="1" applyAlignment="1" applyProtection="1">
      <alignment horizontal="center" vertical="center" wrapText="1"/>
      <protection locked="0"/>
    </xf>
    <xf numFmtId="1" fontId="17" fillId="67" borderId="48" xfId="0" applyNumberFormat="1" applyFont="1" applyFill="1" applyBorder="1" applyAlignment="1" applyProtection="1">
      <alignment horizontal="center" vertical="center" wrapText="1"/>
      <protection locked="0"/>
    </xf>
    <xf numFmtId="1" fontId="17" fillId="67" borderId="19" xfId="0" applyNumberFormat="1" applyFont="1" applyFill="1" applyBorder="1" applyAlignment="1" applyProtection="1">
      <alignment horizontal="center" vertical="center" wrapText="1"/>
      <protection locked="0"/>
    </xf>
    <xf numFmtId="1" fontId="17" fillId="0" borderId="19" xfId="0" applyNumberFormat="1" applyFont="1" applyBorder="1" applyAlignment="1">
      <alignment horizontal="center" vertical="center" wrapText="1"/>
    </xf>
    <xf numFmtId="1" fontId="17" fillId="67" borderId="28" xfId="0" applyNumberFormat="1" applyFont="1" applyFill="1" applyBorder="1" applyAlignment="1" applyProtection="1">
      <alignment horizontal="center" vertical="center" wrapText="1"/>
      <protection locked="0"/>
    </xf>
    <xf numFmtId="1" fontId="17" fillId="67" borderId="49" xfId="0" applyNumberFormat="1" applyFont="1" applyFill="1" applyBorder="1" applyAlignment="1" applyProtection="1">
      <alignment horizontal="center" vertical="center" wrapText="1"/>
      <protection locked="0"/>
    </xf>
    <xf numFmtId="1" fontId="17" fillId="67" borderId="69" xfId="0" applyNumberFormat="1" applyFont="1" applyFill="1" applyBorder="1" applyAlignment="1" applyProtection="1">
      <alignment horizontal="center" vertical="center" wrapText="1"/>
      <protection locked="0"/>
    </xf>
    <xf numFmtId="1" fontId="17" fillId="67" borderId="50" xfId="0" applyNumberFormat="1" applyFont="1" applyFill="1" applyBorder="1" applyAlignment="1" applyProtection="1">
      <alignment horizontal="center" vertical="center" wrapText="1"/>
      <protection locked="0"/>
    </xf>
    <xf numFmtId="1" fontId="17" fillId="0" borderId="28" xfId="0" applyNumberFormat="1" applyFont="1" applyBorder="1" applyAlignment="1">
      <alignment horizontal="center" vertical="center" wrapText="1"/>
    </xf>
    <xf numFmtId="1" fontId="17" fillId="0" borderId="49" xfId="0" applyNumberFormat="1" applyFont="1" applyBorder="1" applyAlignment="1">
      <alignment horizontal="center" vertical="center" wrapText="1"/>
    </xf>
    <xf numFmtId="0" fontId="21" fillId="0" borderId="55" xfId="0" applyFont="1" applyBorder="1" applyAlignment="1">
      <alignment horizontal="left" vertical="center" indent="1"/>
    </xf>
    <xf numFmtId="0" fontId="21" fillId="0" borderId="60" xfId="0" applyFont="1" applyBorder="1" applyAlignment="1">
      <alignment horizontal="left" vertical="center" indent="1"/>
    </xf>
    <xf numFmtId="0" fontId="79" fillId="0" borderId="27" xfId="0" applyFont="1" applyBorder="1"/>
    <xf numFmtId="0" fontId="79" fillId="0" borderId="59" xfId="0" applyFont="1" applyBorder="1"/>
    <xf numFmtId="0" fontId="79" fillId="0" borderId="46" xfId="0" applyFont="1" applyBorder="1"/>
    <xf numFmtId="0" fontId="79" fillId="0" borderId="57" xfId="0" applyFont="1" applyBorder="1"/>
    <xf numFmtId="0" fontId="21" fillId="0" borderId="54" xfId="0" applyFont="1" applyBorder="1" applyAlignment="1">
      <alignment horizontal="left" vertical="center" indent="1"/>
    </xf>
    <xf numFmtId="0" fontId="21" fillId="0" borderId="59" xfId="0" applyFont="1" applyBorder="1" applyAlignment="1">
      <alignment horizontal="left" vertical="center" indent="1"/>
    </xf>
    <xf numFmtId="1" fontId="17" fillId="67" borderId="20" xfId="0" applyNumberFormat="1" applyFont="1" applyFill="1" applyBorder="1" applyAlignment="1" applyProtection="1">
      <alignment horizontal="center" vertical="center" wrapText="1"/>
      <protection locked="0"/>
    </xf>
    <xf numFmtId="1" fontId="17" fillId="0" borderId="20" xfId="0" applyNumberFormat="1" applyFont="1" applyBorder="1" applyAlignment="1">
      <alignment horizontal="center" vertical="center" wrapText="1"/>
    </xf>
    <xf numFmtId="1" fontId="17" fillId="67" borderId="72" xfId="0" applyNumberFormat="1" applyFont="1" applyFill="1" applyBorder="1" applyAlignment="1" applyProtection="1">
      <alignment horizontal="center" vertical="center" wrapText="1"/>
      <protection locked="0"/>
    </xf>
    <xf numFmtId="0" fontId="79" fillId="0" borderId="52" xfId="0" applyFont="1" applyBorder="1"/>
    <xf numFmtId="0" fontId="79" fillId="0" borderId="60" xfId="0" applyFont="1" applyBorder="1"/>
    <xf numFmtId="0" fontId="79" fillId="0" borderId="22" xfId="0" applyFont="1" applyBorder="1"/>
    <xf numFmtId="1" fontId="17" fillId="0" borderId="64" xfId="0" quotePrefix="1" applyNumberFormat="1" applyFont="1" applyBorder="1" applyAlignment="1">
      <alignment horizontal="center" vertical="center" wrapText="1"/>
    </xf>
    <xf numFmtId="1" fontId="17" fillId="0" borderId="63" xfId="0" quotePrefix="1" applyNumberFormat="1" applyFont="1" applyBorder="1" applyAlignment="1">
      <alignment horizontal="center" vertical="center" wrapText="1"/>
    </xf>
    <xf numFmtId="0" fontId="79" fillId="0" borderId="44" xfId="0" applyFont="1" applyBorder="1"/>
    <xf numFmtId="0" fontId="16" fillId="0" borderId="44" xfId="0" applyFont="1" applyBorder="1" applyAlignment="1">
      <alignment horizontal="center" vertical="center"/>
    </xf>
    <xf numFmtId="0" fontId="89" fillId="0" borderId="0" xfId="0" applyFont="1" applyAlignment="1">
      <alignment horizontal="left" vertical="center"/>
    </xf>
    <xf numFmtId="0" fontId="14" fillId="0" borderId="19" xfId="0" applyFont="1" applyBorder="1" applyAlignment="1">
      <alignment horizontal="left" vertical="center" indent="1"/>
    </xf>
    <xf numFmtId="0" fontId="14" fillId="0" borderId="26" xfId="0" applyFont="1" applyBorder="1" applyAlignment="1">
      <alignment horizontal="left" vertical="center" indent="1"/>
    </xf>
    <xf numFmtId="0" fontId="2" fillId="0" borderId="0" xfId="0" applyFont="1" applyAlignment="1">
      <alignment vertical="center" wrapText="1"/>
    </xf>
    <xf numFmtId="0" fontId="14" fillId="0" borderId="27" xfId="0" applyFont="1" applyBorder="1" applyAlignment="1">
      <alignment horizontal="left" vertical="center" indent="1"/>
    </xf>
    <xf numFmtId="0" fontId="14" fillId="0" borderId="0" xfId="0" applyFont="1" applyAlignment="1">
      <alignment horizontal="left" vertical="center" indent="1"/>
    </xf>
    <xf numFmtId="0" fontId="14" fillId="0" borderId="0" xfId="0" applyFont="1" applyAlignment="1">
      <alignment horizontal="left" vertical="center" wrapText="1" indent="1"/>
    </xf>
    <xf numFmtId="0" fontId="16" fillId="0" borderId="0" xfId="0" applyFont="1" applyAlignment="1">
      <alignment vertical="center" wrapText="1"/>
    </xf>
    <xf numFmtId="0" fontId="79" fillId="0" borderId="0" xfId="0" applyFont="1" applyAlignment="1">
      <alignment vertical="center" wrapText="1"/>
    </xf>
    <xf numFmtId="0" fontId="98" fillId="0" borderId="0" xfId="0" applyFont="1"/>
    <xf numFmtId="0" fontId="7" fillId="0" borderId="0" xfId="0" applyFont="1" applyAlignment="1">
      <alignment vertical="center"/>
    </xf>
    <xf numFmtId="0" fontId="7" fillId="0" borderId="0" xfId="476" applyAlignment="1">
      <alignment horizontal="left"/>
    </xf>
    <xf numFmtId="0" fontId="8" fillId="0" borderId="0" xfId="476" applyFont="1" applyAlignment="1">
      <alignment horizontal="left"/>
    </xf>
    <xf numFmtId="0" fontId="21" fillId="0" borderId="0" xfId="0" applyFont="1" applyAlignment="1">
      <alignment vertical="center"/>
    </xf>
    <xf numFmtId="0" fontId="22" fillId="0" borderId="23" xfId="0" applyFont="1" applyBorder="1" applyAlignment="1">
      <alignment horizontal="center" vertical="center" wrapText="1"/>
    </xf>
    <xf numFmtId="0" fontId="14" fillId="0" borderId="23" xfId="0" applyFont="1" applyBorder="1" applyAlignment="1">
      <alignment vertical="center" wrapText="1"/>
    </xf>
    <xf numFmtId="1" fontId="10" fillId="66" borderId="23" xfId="0" applyNumberFormat="1" applyFont="1" applyFill="1" applyBorder="1" applyAlignment="1" applyProtection="1">
      <alignment horizontal="center" vertical="center"/>
      <protection locked="0"/>
    </xf>
    <xf numFmtId="1" fontId="10" fillId="28" borderId="23" xfId="0" applyNumberFormat="1" applyFont="1" applyFill="1" applyBorder="1" applyAlignment="1">
      <alignment horizontal="center" vertical="center" wrapText="1"/>
    </xf>
    <xf numFmtId="10" fontId="10" fillId="27" borderId="23" xfId="398" applyNumberFormat="1" applyFont="1" applyFill="1" applyBorder="1" applyAlignment="1" applyProtection="1">
      <alignment horizontal="center" vertical="center" wrapText="1"/>
    </xf>
    <xf numFmtId="1" fontId="79" fillId="0" borderId="0" xfId="0" applyNumberFormat="1" applyFont="1"/>
    <xf numFmtId="0" fontId="14" fillId="0" borderId="29" xfId="0" applyFont="1" applyBorder="1" applyAlignment="1">
      <alignment vertical="center" wrapText="1"/>
    </xf>
    <xf numFmtId="0" fontId="99" fillId="0" borderId="0" xfId="0" applyFont="1"/>
    <xf numFmtId="0" fontId="99" fillId="0" borderId="0" xfId="0" applyFont="1" applyAlignment="1">
      <alignment horizontal="center"/>
    </xf>
    <xf numFmtId="0" fontId="101" fillId="0" borderId="0" xfId="544" applyFont="1"/>
    <xf numFmtId="0" fontId="102" fillId="0" borderId="0" xfId="544" applyFont="1"/>
    <xf numFmtId="1" fontId="107" fillId="73" borderId="47" xfId="544" applyNumberFormat="1" applyFont="1" applyFill="1" applyBorder="1" applyAlignment="1" applyProtection="1">
      <alignment horizontal="center" vertical="center" wrapText="1"/>
      <protection locked="0"/>
    </xf>
    <xf numFmtId="1" fontId="107" fillId="73" borderId="19" xfId="544" applyNumberFormat="1" applyFont="1" applyFill="1" applyBorder="1" applyAlignment="1" applyProtection="1">
      <alignment horizontal="center" vertical="center" wrapText="1"/>
      <protection locked="0"/>
    </xf>
    <xf numFmtId="1" fontId="107" fillId="73" borderId="64" xfId="544" applyNumberFormat="1" applyFont="1" applyFill="1" applyBorder="1" applyAlignment="1" applyProtection="1">
      <alignment horizontal="center" vertical="center" wrapText="1"/>
      <protection locked="0"/>
    </xf>
    <xf numFmtId="0" fontId="76" fillId="0" borderId="19" xfId="0" applyFont="1" applyBorder="1" applyAlignment="1">
      <alignment vertical="top" wrapText="1"/>
    </xf>
    <xf numFmtId="0" fontId="24" fillId="0" borderId="52" xfId="0" applyFont="1" applyBorder="1" applyAlignment="1">
      <alignment horizontal="left" vertical="center" wrapText="1" indent="1"/>
    </xf>
    <xf numFmtId="0" fontId="21" fillId="0" borderId="52" xfId="0" applyFont="1" applyBorder="1" applyAlignment="1">
      <alignment horizontal="left" vertical="center" indent="1"/>
    </xf>
    <xf numFmtId="0" fontId="21" fillId="0" borderId="27" xfId="0" applyFont="1" applyBorder="1" applyAlignment="1">
      <alignment horizontal="left" vertical="center" indent="1"/>
    </xf>
    <xf numFmtId="0" fontId="18" fillId="71" borderId="0" xfId="0" applyFont="1" applyFill="1" applyAlignment="1">
      <alignment vertical="center"/>
    </xf>
    <xf numFmtId="0" fontId="112" fillId="0" borderId="0" xfId="0" applyFont="1"/>
    <xf numFmtId="0" fontId="84" fillId="0" borderId="0" xfId="0" applyFont="1" applyAlignment="1">
      <alignment horizontal="left" vertical="center"/>
    </xf>
    <xf numFmtId="0" fontId="112" fillId="0" borderId="0" xfId="544" applyFont="1"/>
    <xf numFmtId="1" fontId="17" fillId="73" borderId="19" xfId="544" applyNumberFormat="1" applyFont="1" applyFill="1" applyBorder="1" applyAlignment="1" applyProtection="1">
      <alignment horizontal="left" vertical="center" wrapText="1"/>
      <protection locked="0"/>
    </xf>
    <xf numFmtId="1" fontId="17" fillId="73" borderId="47" xfId="544" applyNumberFormat="1" applyFont="1" applyFill="1" applyBorder="1" applyAlignment="1" applyProtection="1">
      <alignment horizontal="left" vertical="center" wrapText="1"/>
      <protection locked="0"/>
    </xf>
    <xf numFmtId="1" fontId="17" fillId="73" borderId="64" xfId="544" applyNumberFormat="1" applyFont="1" applyFill="1" applyBorder="1" applyAlignment="1" applyProtection="1">
      <alignment horizontal="left" vertical="center" wrapText="1"/>
      <protection locked="0"/>
    </xf>
    <xf numFmtId="0" fontId="9" fillId="0" borderId="29" xfId="0" applyFont="1" applyBorder="1" applyAlignment="1">
      <alignment vertical="center" wrapText="1"/>
    </xf>
    <xf numFmtId="0" fontId="103" fillId="0" borderId="0" xfId="544" applyFont="1" applyAlignment="1">
      <alignment horizontal="center" vertical="center"/>
    </xf>
    <xf numFmtId="0" fontId="9" fillId="0" borderId="23" xfId="0" applyFont="1" applyBorder="1" applyAlignment="1">
      <alignment vertical="center" wrapText="1"/>
    </xf>
    <xf numFmtId="0" fontId="79" fillId="0" borderId="54" xfId="0" applyFont="1" applyBorder="1"/>
    <xf numFmtId="0" fontId="76" fillId="0" borderId="19" xfId="0" applyFont="1" applyBorder="1" applyAlignment="1">
      <alignment horizontal="center" vertical="center"/>
    </xf>
    <xf numFmtId="0" fontId="11" fillId="0" borderId="19" xfId="0" applyFont="1" applyBorder="1" applyAlignment="1">
      <alignment horizontal="center" vertical="center" wrapText="1"/>
    </xf>
    <xf numFmtId="0" fontId="11" fillId="0" borderId="50" xfId="0" applyFont="1" applyBorder="1" applyAlignment="1">
      <alignment horizontal="center" vertical="center" wrapText="1"/>
    </xf>
    <xf numFmtId="1" fontId="17" fillId="76" borderId="20" xfId="0" applyNumberFormat="1" applyFont="1" applyFill="1" applyBorder="1" applyAlignment="1" applyProtection="1">
      <alignment horizontal="center" vertical="center" wrapText="1"/>
      <protection locked="0"/>
    </xf>
    <xf numFmtId="1" fontId="17" fillId="76" borderId="50" xfId="0" applyNumberFormat="1" applyFont="1" applyFill="1" applyBorder="1" applyAlignment="1" applyProtection="1">
      <alignment horizontal="center" vertical="center" wrapText="1"/>
      <protection locked="0"/>
    </xf>
    <xf numFmtId="1" fontId="17" fillId="76" borderId="19" xfId="0" applyNumberFormat="1" applyFont="1" applyFill="1" applyBorder="1" applyAlignment="1" applyProtection="1">
      <alignment horizontal="center" vertical="center" wrapText="1"/>
      <protection locked="0"/>
    </xf>
    <xf numFmtId="1" fontId="17" fillId="76" borderId="49" xfId="0" applyNumberFormat="1" applyFont="1" applyFill="1" applyBorder="1" applyAlignment="1" applyProtection="1">
      <alignment horizontal="center" vertical="center" wrapText="1"/>
      <protection locked="0"/>
    </xf>
    <xf numFmtId="0" fontId="76" fillId="0" borderId="49" xfId="0" applyFont="1" applyBorder="1" applyAlignment="1">
      <alignment horizontal="center" vertical="center"/>
    </xf>
    <xf numFmtId="0" fontId="1" fillId="0" borderId="0" xfId="0" applyFont="1"/>
    <xf numFmtId="0" fontId="1" fillId="0" borderId="0" xfId="0" applyFont="1" applyAlignment="1">
      <alignment vertical="center"/>
    </xf>
    <xf numFmtId="1" fontId="16" fillId="0" borderId="0" xfId="0" applyNumberFormat="1" applyFont="1"/>
    <xf numFmtId="0" fontId="76" fillId="64" borderId="48" xfId="0" applyFont="1" applyFill="1" applyBorder="1" applyAlignment="1">
      <alignment horizontal="center" vertical="center"/>
    </xf>
    <xf numFmtId="0" fontId="76" fillId="0" borderId="49" xfId="0" applyFont="1" applyBorder="1" applyAlignment="1">
      <alignment vertical="top" wrapText="1"/>
    </xf>
    <xf numFmtId="0" fontId="76" fillId="0" borderId="49" xfId="0" applyFont="1" applyBorder="1" applyAlignment="1">
      <alignment vertical="top"/>
    </xf>
    <xf numFmtId="0" fontId="76" fillId="0" borderId="64" xfId="0" applyFont="1" applyBorder="1" applyAlignment="1">
      <alignment vertical="top" wrapText="1"/>
    </xf>
    <xf numFmtId="0" fontId="76" fillId="0" borderId="63" xfId="0" applyFont="1" applyBorder="1" applyAlignment="1">
      <alignment vertical="top" wrapText="1"/>
    </xf>
    <xf numFmtId="14" fontId="9" fillId="0" borderId="19" xfId="0" applyNumberFormat="1" applyFont="1" applyBorder="1" applyAlignment="1">
      <alignment horizontal="left"/>
    </xf>
    <xf numFmtId="0" fontId="9" fillId="0" borderId="19" xfId="0" applyFont="1" applyBorder="1" applyAlignment="1">
      <alignment vertical="center"/>
    </xf>
    <xf numFmtId="1" fontId="14" fillId="0" borderId="0" xfId="0" applyNumberFormat="1" applyFont="1" applyAlignment="1">
      <alignment vertical="center"/>
    </xf>
    <xf numFmtId="0" fontId="9" fillId="0" borderId="28" xfId="0" applyFont="1" applyBorder="1" applyAlignment="1">
      <alignment vertical="center"/>
    </xf>
    <xf numFmtId="0" fontId="9" fillId="0" borderId="72" xfId="0" applyFont="1" applyBorder="1" applyAlignment="1">
      <alignment vertical="center"/>
    </xf>
    <xf numFmtId="0" fontId="14" fillId="0" borderId="19" xfId="0" applyFont="1" applyBorder="1"/>
    <xf numFmtId="0" fontId="8" fillId="65" borderId="100" xfId="0" applyFont="1" applyFill="1" applyBorder="1" applyAlignment="1" applyProtection="1">
      <alignment horizontal="center" vertical="center" wrapText="1"/>
      <protection locked="0"/>
    </xf>
    <xf numFmtId="0" fontId="8" fillId="65" borderId="101" xfId="0" applyFont="1" applyFill="1" applyBorder="1" applyAlignment="1" applyProtection="1">
      <alignment horizontal="center" vertical="center" wrapText="1"/>
      <protection locked="0"/>
    </xf>
    <xf numFmtId="0" fontId="8" fillId="65" borderId="102" xfId="0" applyFont="1" applyFill="1" applyBorder="1" applyAlignment="1" applyProtection="1">
      <alignment horizontal="center" vertical="center" wrapText="1"/>
      <protection locked="0"/>
    </xf>
    <xf numFmtId="0" fontId="0" fillId="0" borderId="0" xfId="0" applyProtection="1">
      <protection locked="0"/>
    </xf>
    <xf numFmtId="0" fontId="1" fillId="0" borderId="19" xfId="0" applyFont="1" applyBorder="1" applyAlignment="1">
      <alignment vertical="center" wrapText="1"/>
    </xf>
    <xf numFmtId="1" fontId="1" fillId="0" borderId="19" xfId="0" applyNumberFormat="1" applyFont="1" applyBorder="1" applyAlignment="1">
      <alignment vertical="center"/>
    </xf>
    <xf numFmtId="0" fontId="1" fillId="69" borderId="19" xfId="0" applyFont="1" applyFill="1" applyBorder="1" applyAlignment="1">
      <alignment vertical="center"/>
    </xf>
    <xf numFmtId="0" fontId="1" fillId="0" borderId="0" xfId="0" applyFont="1" applyAlignment="1">
      <alignment vertical="center" wrapText="1"/>
    </xf>
    <xf numFmtId="1" fontId="1" fillId="0" borderId="19" xfId="0" applyNumberFormat="1" applyFont="1" applyBorder="1" applyAlignment="1">
      <alignment vertical="center" wrapText="1"/>
    </xf>
    <xf numFmtId="0" fontId="122" fillId="0" borderId="0" xfId="0" applyFont="1"/>
    <xf numFmtId="0" fontId="100" fillId="0" borderId="0" xfId="0" applyFont="1"/>
    <xf numFmtId="0" fontId="9" fillId="77" borderId="19" xfId="0" applyFont="1" applyFill="1" applyBorder="1" applyAlignment="1">
      <alignment vertical="center"/>
    </xf>
    <xf numFmtId="0" fontId="9" fillId="78" borderId="19" xfId="0" applyFont="1" applyFill="1" applyBorder="1" applyAlignment="1">
      <alignment vertical="center"/>
    </xf>
    <xf numFmtId="0" fontId="9" fillId="79" borderId="19" xfId="0" applyFont="1" applyFill="1" applyBorder="1" applyAlignment="1">
      <alignment vertical="center"/>
    </xf>
    <xf numFmtId="0" fontId="91" fillId="0" borderId="0" xfId="0" applyFont="1" applyAlignment="1">
      <alignment horizontal="center" vertical="center"/>
    </xf>
    <xf numFmtId="0" fontId="91" fillId="0" borderId="0" xfId="0" applyFont="1" applyAlignment="1">
      <alignment vertical="center"/>
    </xf>
    <xf numFmtId="0" fontId="14" fillId="78" borderId="19" xfId="0" applyFont="1" applyFill="1" applyBorder="1" applyAlignment="1">
      <alignment horizontal="center" vertical="center"/>
    </xf>
    <xf numFmtId="9" fontId="14" fillId="78" borderId="19" xfId="417" applyFont="1" applyFill="1" applyBorder="1" applyAlignment="1" applyProtection="1">
      <alignment horizontal="center" vertical="center"/>
    </xf>
    <xf numFmtId="1" fontId="14" fillId="78" borderId="19" xfId="417" applyNumberFormat="1" applyFont="1" applyFill="1" applyBorder="1" applyAlignment="1" applyProtection="1">
      <alignment horizontal="center" vertical="center"/>
    </xf>
    <xf numFmtId="2" fontId="51" fillId="78" borderId="19" xfId="0" applyNumberFormat="1" applyFont="1" applyFill="1" applyBorder="1" applyAlignment="1">
      <alignment horizontal="center" vertical="center"/>
    </xf>
    <xf numFmtId="0" fontId="14" fillId="72" borderId="0" xfId="0" applyFont="1" applyFill="1"/>
    <xf numFmtId="1" fontId="1" fillId="80" borderId="19" xfId="0" applyNumberFormat="1" applyFont="1" applyFill="1" applyBorder="1" applyAlignment="1">
      <alignment vertical="center"/>
    </xf>
    <xf numFmtId="1" fontId="107" fillId="80" borderId="58" xfId="544" applyNumberFormat="1" applyFont="1" applyFill="1" applyBorder="1" applyAlignment="1" applyProtection="1">
      <alignment horizontal="center" vertical="center" wrapText="1"/>
      <protection locked="0"/>
    </xf>
    <xf numFmtId="1" fontId="107" fillId="80" borderId="19" xfId="544" applyNumberFormat="1" applyFont="1" applyFill="1" applyBorder="1" applyAlignment="1" applyProtection="1">
      <alignment horizontal="center" vertical="center" wrapText="1"/>
      <protection locked="0"/>
    </xf>
    <xf numFmtId="1" fontId="107" fillId="80" borderId="20" xfId="544" applyNumberFormat="1" applyFont="1" applyFill="1" applyBorder="1" applyAlignment="1" applyProtection="1">
      <alignment horizontal="center" vertical="center" wrapText="1"/>
      <protection locked="0"/>
    </xf>
    <xf numFmtId="1" fontId="107" fillId="80" borderId="72" xfId="544" applyNumberFormat="1" applyFont="1" applyFill="1" applyBorder="1" applyAlignment="1" applyProtection="1">
      <alignment horizontal="center" vertical="center" wrapText="1"/>
      <protection locked="0"/>
    </xf>
    <xf numFmtId="1" fontId="107" fillId="80" borderId="75" xfId="544" applyNumberFormat="1" applyFont="1" applyFill="1" applyBorder="1" applyAlignment="1" applyProtection="1">
      <alignment horizontal="center" vertical="center" wrapText="1"/>
      <protection locked="0"/>
    </xf>
    <xf numFmtId="0" fontId="14" fillId="0" borderId="19" xfId="417" applyNumberFormat="1" applyFont="1" applyFill="1" applyBorder="1" applyAlignment="1" applyProtection="1">
      <alignment horizontal="center" vertical="center"/>
    </xf>
    <xf numFmtId="1" fontId="85" fillId="0" borderId="0" xfId="0" applyNumberFormat="1" applyFont="1"/>
    <xf numFmtId="1" fontId="51" fillId="78" borderId="19" xfId="0" applyNumberFormat="1" applyFont="1" applyFill="1" applyBorder="1" applyAlignment="1">
      <alignment horizontal="center" vertical="center"/>
    </xf>
    <xf numFmtId="14" fontId="52" fillId="0" borderId="19" xfId="0" applyNumberFormat="1" applyFont="1" applyBorder="1"/>
    <xf numFmtId="0" fontId="7" fillId="0" borderId="0" xfId="476" applyAlignment="1">
      <alignment horizontal="left" vertical="center"/>
    </xf>
    <xf numFmtId="49" fontId="14" fillId="78" borderId="19" xfId="0" applyNumberFormat="1" applyFont="1" applyFill="1" applyBorder="1" applyAlignment="1">
      <alignment horizontal="center" vertical="center"/>
    </xf>
    <xf numFmtId="0" fontId="14" fillId="78" borderId="19" xfId="417" applyNumberFormat="1" applyFont="1" applyFill="1" applyBorder="1" applyAlignment="1" applyProtection="1">
      <alignment horizontal="center" vertical="center"/>
    </xf>
    <xf numFmtId="2" fontId="14" fillId="78" borderId="19" xfId="417" applyNumberFormat="1" applyFont="1" applyFill="1" applyBorder="1" applyAlignment="1" applyProtection="1">
      <alignment horizontal="center" vertical="center"/>
    </xf>
    <xf numFmtId="0" fontId="87" fillId="0" borderId="0" xfId="0" applyFont="1" applyAlignment="1">
      <alignment horizontal="center" vertical="center" wrapText="1"/>
    </xf>
    <xf numFmtId="0" fontId="14" fillId="0" borderId="0" xfId="0" applyFont="1" applyAlignment="1">
      <alignment vertical="center" wrapText="1"/>
    </xf>
    <xf numFmtId="10" fontId="10" fillId="27" borderId="0" xfId="398" applyNumberFormat="1" applyFont="1" applyFill="1" applyBorder="1" applyAlignment="1" applyProtection="1">
      <alignment horizontal="center" vertical="center" wrapText="1"/>
    </xf>
    <xf numFmtId="0" fontId="102" fillId="0" borderId="0" xfId="0" applyFont="1"/>
    <xf numFmtId="164" fontId="9" fillId="82" borderId="18" xfId="545" applyNumberFormat="1" applyFont="1" applyFill="1" applyBorder="1" applyAlignment="1" applyProtection="1">
      <alignment horizontal="center" vertical="center"/>
    </xf>
    <xf numFmtId="9" fontId="9" fillId="82" borderId="23" xfId="545" applyFont="1" applyFill="1" applyBorder="1" applyAlignment="1" applyProtection="1">
      <alignment horizontal="center" vertical="center"/>
    </xf>
    <xf numFmtId="164" fontId="9" fillId="83" borderId="24" xfId="545" applyNumberFormat="1" applyFont="1" applyFill="1" applyBorder="1" applyAlignment="1" applyProtection="1">
      <alignment horizontal="center" vertical="center"/>
    </xf>
    <xf numFmtId="164" fontId="9" fillId="83" borderId="25" xfId="545" applyNumberFormat="1" applyFont="1" applyFill="1" applyBorder="1" applyAlignment="1" applyProtection="1">
      <alignment horizontal="center" vertical="center"/>
    </xf>
    <xf numFmtId="164" fontId="9" fillId="0" borderId="18" xfId="545" applyNumberFormat="1" applyFont="1" applyFill="1" applyBorder="1" applyAlignment="1" applyProtection="1">
      <alignment horizontal="center" vertical="center"/>
    </xf>
    <xf numFmtId="164" fontId="9" fillId="0" borderId="33" xfId="545" applyNumberFormat="1" applyFont="1" applyFill="1" applyBorder="1" applyAlignment="1" applyProtection="1">
      <alignment horizontal="center" vertical="top"/>
    </xf>
    <xf numFmtId="164" fontId="9" fillId="85" borderId="21" xfId="545" applyNumberFormat="1" applyFont="1" applyFill="1" applyBorder="1" applyAlignment="1" applyProtection="1">
      <alignment horizontal="center" vertical="center"/>
    </xf>
    <xf numFmtId="164" fontId="9" fillId="85" borderId="33" xfId="545" applyNumberFormat="1" applyFont="1" applyFill="1" applyBorder="1" applyAlignment="1" applyProtection="1">
      <alignment horizontal="center" vertical="center"/>
    </xf>
    <xf numFmtId="164" fontId="9" fillId="85" borderId="18" xfId="545" applyNumberFormat="1" applyFont="1" applyFill="1" applyBorder="1" applyAlignment="1" applyProtection="1">
      <alignment horizontal="center" vertical="center"/>
    </xf>
    <xf numFmtId="164" fontId="9" fillId="85" borderId="23" xfId="545" applyNumberFormat="1" applyFont="1" applyFill="1" applyBorder="1" applyAlignment="1" applyProtection="1">
      <alignment horizontal="center" vertical="center"/>
    </xf>
    <xf numFmtId="49" fontId="100" fillId="0" borderId="19" xfId="0" applyNumberFormat="1" applyFont="1" applyBorder="1"/>
    <xf numFmtId="0" fontId="100" fillId="0" borderId="19" xfId="0" applyFont="1" applyBorder="1"/>
    <xf numFmtId="14" fontId="100" fillId="0" borderId="19" xfId="0" applyNumberFormat="1" applyFont="1" applyBorder="1"/>
    <xf numFmtId="0" fontId="17" fillId="0" borderId="0" xfId="0" applyFont="1" applyAlignment="1">
      <alignment vertical="center" wrapText="1"/>
    </xf>
    <xf numFmtId="0" fontId="21" fillId="0" borderId="0" xfId="0" applyFont="1" applyAlignment="1">
      <alignment vertical="center" wrapText="1"/>
    </xf>
    <xf numFmtId="0" fontId="14" fillId="78" borderId="19" xfId="0" applyFont="1" applyFill="1" applyBorder="1" applyAlignment="1">
      <alignment horizontal="center" vertical="center" wrapText="1"/>
    </xf>
    <xf numFmtId="0" fontId="9" fillId="0" borderId="34" xfId="0" applyFont="1" applyBorder="1" applyAlignment="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6" applyFont="1" applyBorder="1" applyAlignment="1">
      <alignment horizontal="left" vertical="center"/>
    </xf>
    <xf numFmtId="0" fontId="16" fillId="0" borderId="19" xfId="0" applyFont="1" applyBorder="1" applyAlignment="1">
      <alignment horizontal="left" vertical="center"/>
    </xf>
    <xf numFmtId="0" fontId="15" fillId="86" borderId="19" xfId="486" applyFont="1" applyFill="1" applyBorder="1" applyAlignment="1">
      <alignment horizontal="left" vertical="center"/>
    </xf>
    <xf numFmtId="0" fontId="16" fillId="86" borderId="19" xfId="0" applyFont="1" applyFill="1" applyBorder="1" applyAlignment="1">
      <alignment horizontal="left" vertical="center"/>
    </xf>
    <xf numFmtId="0" fontId="14" fillId="0" borderId="26" xfId="0" applyFont="1" applyBorder="1" applyAlignment="1">
      <alignment horizontal="left" vertical="center" indent="1"/>
    </xf>
    <xf numFmtId="0" fontId="14" fillId="0" borderId="27" xfId="0" applyFont="1" applyBorder="1" applyAlignment="1">
      <alignment horizontal="left" vertical="center" indent="1"/>
    </xf>
    <xf numFmtId="0" fontId="14" fillId="0" borderId="28" xfId="0" applyFont="1" applyBorder="1" applyAlignment="1">
      <alignment horizontal="left" vertical="center" indent="1"/>
    </xf>
    <xf numFmtId="0" fontId="24" fillId="0" borderId="53" xfId="0" applyFont="1" applyBorder="1" applyAlignment="1">
      <alignment horizontal="left" vertical="center" wrapText="1"/>
    </xf>
    <xf numFmtId="0" fontId="24" fillId="0" borderId="56" xfId="0" applyFont="1" applyBorder="1" applyAlignment="1">
      <alignment horizontal="left" vertical="center" wrapText="1"/>
    </xf>
    <xf numFmtId="0" fontId="24" fillId="0" borderId="51" xfId="0" applyFont="1" applyBorder="1" applyAlignment="1">
      <alignment horizontal="left" vertical="center" wrapText="1"/>
    </xf>
    <xf numFmtId="0" fontId="121" fillId="0" borderId="0" xfId="0" applyFont="1" applyAlignment="1">
      <alignment horizontal="justify" vertical="top" wrapText="1"/>
    </xf>
    <xf numFmtId="0" fontId="83" fillId="0" borderId="0" xfId="0" applyFont="1" applyAlignment="1">
      <alignment horizontal="justify" vertical="top" wrapText="1"/>
    </xf>
    <xf numFmtId="0" fontId="90" fillId="0" borderId="0" xfId="0" applyFont="1" applyAlignment="1">
      <alignment horizontal="justify" vertical="top" wrapText="1"/>
    </xf>
    <xf numFmtId="0" fontId="79" fillId="0" borderId="0" xfId="0" applyFont="1" applyAlignment="1">
      <alignment horizontal="justify" vertical="top" wrapText="1"/>
    </xf>
    <xf numFmtId="0" fontId="24" fillId="0" borderId="52" xfId="0" applyFont="1" applyBorder="1" applyAlignment="1">
      <alignment horizontal="left" vertical="center" wrapText="1" indent="1"/>
    </xf>
    <xf numFmtId="0" fontId="24" fillId="0" borderId="27" xfId="0" applyFont="1" applyBorder="1" applyAlignment="1">
      <alignment horizontal="left" vertical="center" wrapText="1" indent="1"/>
    </xf>
    <xf numFmtId="0" fontId="24" fillId="0" borderId="28" xfId="0" applyFont="1" applyBorder="1" applyAlignment="1">
      <alignment horizontal="left" vertical="center" wrapText="1" indent="1"/>
    </xf>
    <xf numFmtId="0" fontId="7" fillId="0" borderId="0" xfId="476" applyAlignment="1">
      <alignment horizontal="left" vertical="center"/>
    </xf>
    <xf numFmtId="0" fontId="7" fillId="0" borderId="26" xfId="476" applyBorder="1" applyAlignment="1">
      <alignment horizontal="left" vertical="center"/>
    </xf>
    <xf numFmtId="0" fontId="7" fillId="0" borderId="27" xfId="476" applyBorder="1" applyAlignment="1">
      <alignment horizontal="left" vertical="center"/>
    </xf>
    <xf numFmtId="0" fontId="7" fillId="0" borderId="28" xfId="476" applyBorder="1" applyAlignment="1">
      <alignment horizontal="left" vertical="center"/>
    </xf>
    <xf numFmtId="0" fontId="24" fillId="0" borderId="58" xfId="0" applyFont="1" applyBorder="1" applyAlignment="1">
      <alignment horizontal="center" vertical="center"/>
    </xf>
    <xf numFmtId="0" fontId="24" fillId="0" borderId="73" xfId="0" applyFont="1" applyBorder="1" applyAlignment="1">
      <alignment horizontal="center" vertical="center"/>
    </xf>
    <xf numFmtId="0" fontId="7" fillId="30" borderId="26" xfId="476" applyFill="1" applyBorder="1" applyAlignment="1" applyProtection="1">
      <alignment horizontal="left" vertical="center"/>
      <protection locked="0"/>
    </xf>
    <xf numFmtId="0" fontId="7" fillId="30" borderId="27" xfId="476" applyFill="1" applyBorder="1" applyAlignment="1" applyProtection="1">
      <alignment horizontal="left" vertical="center"/>
      <protection locked="0"/>
    </xf>
    <xf numFmtId="0" fontId="7" fillId="30" borderId="28" xfId="476" applyFill="1" applyBorder="1" applyAlignment="1" applyProtection="1">
      <alignment horizontal="left" vertical="center"/>
      <protection locked="0"/>
    </xf>
    <xf numFmtId="0" fontId="92" fillId="0" borderId="62" xfId="0" applyFont="1" applyBorder="1" applyAlignment="1">
      <alignment horizontal="center" vertical="center" wrapText="1"/>
    </xf>
    <xf numFmtId="0" fontId="92" fillId="0" borderId="79" xfId="0" applyFont="1" applyBorder="1" applyAlignment="1">
      <alignment horizontal="center" vertical="center" wrapText="1"/>
    </xf>
    <xf numFmtId="0" fontId="24" fillId="0" borderId="25" xfId="0" applyFont="1" applyBorder="1" applyAlignment="1">
      <alignment horizontal="center" vertical="center" textRotation="90" wrapText="1"/>
    </xf>
    <xf numFmtId="0" fontId="24" fillId="0" borderId="34" xfId="0" applyFont="1" applyBorder="1" applyAlignment="1">
      <alignment horizontal="center" vertical="center" textRotation="90" wrapText="1"/>
    </xf>
    <xf numFmtId="0" fontId="24" fillId="0" borderId="33" xfId="0" applyFont="1" applyBorder="1" applyAlignment="1">
      <alignment horizontal="center" vertical="center" textRotation="90" wrapText="1"/>
    </xf>
    <xf numFmtId="0" fontId="14" fillId="0" borderId="26" xfId="0" applyFont="1" applyBorder="1" applyAlignment="1">
      <alignment horizontal="left" vertical="center" wrapText="1" indent="1"/>
    </xf>
    <xf numFmtId="0" fontId="14" fillId="0" borderId="27" xfId="0" applyFont="1" applyBorder="1" applyAlignment="1">
      <alignment horizontal="left" vertical="center" wrapText="1" indent="1"/>
    </xf>
    <xf numFmtId="0" fontId="14" fillId="0" borderId="28" xfId="0" applyFont="1" applyBorder="1" applyAlignment="1">
      <alignment horizontal="left" vertical="center" wrapText="1" indent="1"/>
    </xf>
    <xf numFmtId="0" fontId="9" fillId="0" borderId="0" xfId="0" applyFont="1" applyAlignment="1">
      <alignment horizontal="justify" wrapText="1"/>
    </xf>
    <xf numFmtId="0" fontId="99" fillId="0" borderId="0" xfId="0" applyFont="1" applyAlignment="1">
      <alignment horizontal="justify" wrapText="1"/>
    </xf>
    <xf numFmtId="0" fontId="24" fillId="0" borderId="76" xfId="0" applyFont="1" applyBorder="1" applyAlignment="1">
      <alignment horizontal="center" vertical="center"/>
    </xf>
    <xf numFmtId="0" fontId="24" fillId="0" borderId="71" xfId="0" applyFont="1" applyBorder="1" applyAlignment="1">
      <alignment horizontal="center" vertical="center"/>
    </xf>
    <xf numFmtId="0" fontId="21" fillId="0" borderId="52" xfId="0" applyFont="1" applyBorder="1" applyAlignment="1">
      <alignment horizontal="left" vertical="center" wrapText="1" indent="1"/>
    </xf>
    <xf numFmtId="0" fontId="21" fillId="0" borderId="27" xfId="0" applyFont="1" applyBorder="1" applyAlignment="1">
      <alignment horizontal="left" vertical="center" wrapText="1" indent="1"/>
    </xf>
    <xf numFmtId="0" fontId="21" fillId="0" borderId="28" xfId="0" applyFont="1" applyBorder="1" applyAlignment="1">
      <alignment horizontal="left" vertical="center" wrapText="1" indent="1"/>
    </xf>
    <xf numFmtId="0" fontId="24" fillId="0" borderId="31" xfId="0" applyFont="1" applyBorder="1" applyAlignment="1">
      <alignment horizontal="left" vertical="center" wrapText="1"/>
    </xf>
    <xf numFmtId="0" fontId="24" fillId="0" borderId="77" xfId="0" applyFont="1" applyBorder="1" applyAlignment="1">
      <alignment horizontal="left" vertical="center" wrapText="1"/>
    </xf>
    <xf numFmtId="0" fontId="24" fillId="0" borderId="30" xfId="0" applyFont="1" applyBorder="1" applyAlignment="1">
      <alignment horizontal="left" vertical="center" wrapText="1"/>
    </xf>
    <xf numFmtId="0" fontId="24" fillId="0" borderId="78" xfId="0" applyFont="1" applyBorder="1" applyAlignment="1">
      <alignment horizontal="left" vertical="center" wrapText="1"/>
    </xf>
    <xf numFmtId="0" fontId="24" fillId="0" borderId="54" xfId="0" applyFont="1" applyBorder="1" applyAlignment="1">
      <alignment horizontal="left" vertical="center" wrapText="1"/>
    </xf>
    <xf numFmtId="0" fontId="24" fillId="0" borderId="69" xfId="0" applyFont="1" applyBorder="1" applyAlignment="1">
      <alignment horizontal="left" vertical="center" wrapText="1"/>
    </xf>
    <xf numFmtId="0" fontId="24" fillId="0" borderId="55" xfId="0" applyFont="1" applyBorder="1" applyAlignment="1">
      <alignment horizontal="left" vertical="center" wrapText="1"/>
    </xf>
    <xf numFmtId="0" fontId="24" fillId="0" borderId="74" xfId="0" applyFont="1" applyBorder="1" applyAlignment="1">
      <alignment horizontal="left" vertical="center" wrapText="1"/>
    </xf>
    <xf numFmtId="0" fontId="78" fillId="0" borderId="20" xfId="0" applyFont="1" applyBorder="1" applyAlignment="1">
      <alignment horizontal="center" vertical="center" wrapText="1"/>
    </xf>
    <xf numFmtId="0" fontId="78" fillId="0" borderId="75" xfId="0" applyFont="1" applyBorder="1" applyAlignment="1">
      <alignment horizontal="center" vertical="center" wrapText="1"/>
    </xf>
    <xf numFmtId="0" fontId="78" fillId="0" borderId="20" xfId="0" applyFont="1" applyBorder="1" applyAlignment="1">
      <alignment horizontal="center" vertical="center"/>
    </xf>
    <xf numFmtId="0" fontId="78" fillId="0" borderId="75" xfId="0" applyFont="1" applyBorder="1" applyAlignment="1">
      <alignment horizontal="center" vertical="center"/>
    </xf>
    <xf numFmtId="0" fontId="24" fillId="0" borderId="52" xfId="0" applyFont="1" applyBorder="1" applyAlignment="1">
      <alignment horizontal="left" vertical="center" indent="1"/>
    </xf>
    <xf numFmtId="0" fontId="24" fillId="0" borderId="27" xfId="0" applyFont="1" applyBorder="1" applyAlignment="1">
      <alignment horizontal="left" vertical="center" indent="1"/>
    </xf>
    <xf numFmtId="0" fontId="24" fillId="0" borderId="28" xfId="0" applyFont="1" applyBorder="1" applyAlignment="1">
      <alignment horizontal="left" vertical="center" indent="1"/>
    </xf>
    <xf numFmtId="0" fontId="21" fillId="0" borderId="52" xfId="0" applyFont="1" applyBorder="1" applyAlignment="1">
      <alignment horizontal="left" vertical="center" indent="1"/>
    </xf>
    <xf numFmtId="0" fontId="21" fillId="0" borderId="27" xfId="0" applyFont="1" applyBorder="1" applyAlignment="1">
      <alignment horizontal="left" vertical="center" indent="1"/>
    </xf>
    <xf numFmtId="0" fontId="21" fillId="0" borderId="28" xfId="0" applyFont="1" applyBorder="1" applyAlignment="1">
      <alignment horizontal="left" vertical="center" indent="1"/>
    </xf>
    <xf numFmtId="49" fontId="7" fillId="30" borderId="26" xfId="476" applyNumberFormat="1" applyFill="1" applyBorder="1" applyAlignment="1" applyProtection="1">
      <alignment horizontal="left" vertical="center"/>
      <protection locked="0"/>
    </xf>
    <xf numFmtId="49" fontId="7" fillId="30" borderId="27" xfId="476" applyNumberFormat="1" applyFill="1" applyBorder="1" applyAlignment="1" applyProtection="1">
      <alignment horizontal="left" vertical="center"/>
      <protection locked="0"/>
    </xf>
    <xf numFmtId="49" fontId="7" fillId="30" borderId="28" xfId="476" applyNumberFormat="1" applyFill="1" applyBorder="1" applyAlignment="1" applyProtection="1">
      <alignment horizontal="left" vertical="center"/>
      <protection locked="0"/>
    </xf>
    <xf numFmtId="0" fontId="9" fillId="0" borderId="0" xfId="0" applyFont="1" applyAlignment="1">
      <alignment horizontal="left" vertical="top" wrapText="1"/>
    </xf>
    <xf numFmtId="0" fontId="24" fillId="0" borderId="59" xfId="0" applyFont="1" applyBorder="1" applyAlignment="1">
      <alignment horizontal="left" vertical="center"/>
    </xf>
    <xf numFmtId="0" fontId="24" fillId="0" borderId="69" xfId="0" applyFont="1" applyBorder="1" applyAlignment="1">
      <alignment horizontal="left" vertical="center"/>
    </xf>
    <xf numFmtId="0" fontId="24" fillId="0" borderId="55" xfId="0" applyFont="1" applyBorder="1" applyAlignment="1">
      <alignment horizontal="left" vertical="center"/>
    </xf>
    <xf numFmtId="0" fontId="24" fillId="0" borderId="60" xfId="0" applyFont="1" applyBorder="1" applyAlignment="1">
      <alignment horizontal="left" vertical="center"/>
    </xf>
    <xf numFmtId="0" fontId="24" fillId="0" borderId="74" xfId="0" applyFont="1" applyBorder="1" applyAlignment="1">
      <alignment horizontal="left" vertical="center"/>
    </xf>
    <xf numFmtId="1" fontId="11" fillId="0" borderId="70" xfId="0" applyNumberFormat="1" applyFont="1" applyBorder="1" applyAlignment="1">
      <alignment horizontal="center" vertical="center" wrapText="1"/>
    </xf>
    <xf numFmtId="1" fontId="11" fillId="0" borderId="80" xfId="0" applyNumberFormat="1" applyFont="1" applyBorder="1" applyAlignment="1">
      <alignment horizontal="center" vertical="center" wrapText="1"/>
    </xf>
    <xf numFmtId="0" fontId="92" fillId="0" borderId="27" xfId="0" applyFont="1" applyBorder="1" applyAlignment="1">
      <alignment horizontal="center" vertical="center" wrapText="1"/>
    </xf>
    <xf numFmtId="0" fontId="92" fillId="0" borderId="46" xfId="0" applyFont="1" applyBorder="1" applyAlignment="1">
      <alignment horizontal="center" vertical="center" wrapText="1"/>
    </xf>
    <xf numFmtId="0" fontId="11" fillId="0" borderId="54" xfId="0" applyFont="1" applyBorder="1" applyAlignment="1">
      <alignment horizontal="left" vertical="center"/>
    </xf>
    <xf numFmtId="0" fontId="11" fillId="0" borderId="59" xfId="0" applyFont="1" applyBorder="1" applyAlignment="1">
      <alignment horizontal="left" vertical="center"/>
    </xf>
    <xf numFmtId="0" fontId="11" fillId="0" borderId="69" xfId="0" applyFont="1" applyBorder="1" applyAlignment="1">
      <alignment horizontal="left" vertical="center"/>
    </xf>
    <xf numFmtId="0" fontId="11" fillId="0" borderId="55" xfId="0" applyFont="1" applyBorder="1" applyAlignment="1">
      <alignment horizontal="left" vertical="center"/>
    </xf>
    <xf numFmtId="0" fontId="11" fillId="0" borderId="60" xfId="0" applyFont="1" applyBorder="1" applyAlignment="1">
      <alignment horizontal="left" vertical="center"/>
    </xf>
    <xf numFmtId="0" fontId="11" fillId="0" borderId="74" xfId="0" applyFont="1" applyBorder="1" applyAlignment="1">
      <alignment horizontal="left" vertical="center"/>
    </xf>
    <xf numFmtId="0" fontId="17" fillId="0" borderId="52" xfId="0" applyFont="1" applyBorder="1" applyAlignment="1">
      <alignment horizontal="lef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1" fillId="0" borderId="52"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1" fontId="11" fillId="0" borderId="70" xfId="0" applyNumberFormat="1" applyFont="1" applyBorder="1" applyAlignment="1">
      <alignment horizontal="left" vertical="center" wrapText="1"/>
    </xf>
    <xf numFmtId="1" fontId="11" fillId="0" borderId="61" xfId="0" applyNumberFormat="1" applyFont="1" applyBorder="1" applyAlignment="1">
      <alignment horizontal="left" vertical="center" wrapText="1"/>
    </xf>
    <xf numFmtId="0" fontId="11" fillId="0" borderId="27" xfId="0" applyFont="1" applyBorder="1" applyAlignment="1">
      <alignment horizontal="center" vertical="center" wrapText="1"/>
    </xf>
    <xf numFmtId="0" fontId="11" fillId="0" borderId="46" xfId="0" applyFont="1" applyBorder="1" applyAlignment="1">
      <alignment horizontal="center" vertical="center" wrapText="1"/>
    </xf>
    <xf numFmtId="0" fontId="16" fillId="0" borderId="26" xfId="0" applyFont="1" applyBorder="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14" fontId="7" fillId="30" borderId="26" xfId="476" applyNumberFormat="1" applyFill="1" applyBorder="1" applyAlignment="1" applyProtection="1">
      <alignment horizontal="center" vertical="center"/>
      <protection locked="0"/>
    </xf>
    <xf numFmtId="14" fontId="7" fillId="30" borderId="27" xfId="476" applyNumberFormat="1" applyFill="1" applyBorder="1" applyAlignment="1" applyProtection="1">
      <alignment horizontal="center" vertical="center"/>
      <protection locked="0"/>
    </xf>
    <xf numFmtId="14" fontId="7" fillId="30" borderId="28" xfId="476" applyNumberFormat="1" applyFill="1" applyBorder="1" applyAlignment="1" applyProtection="1">
      <alignment horizontal="center" vertical="center"/>
      <protection locked="0"/>
    </xf>
    <xf numFmtId="14" fontId="7" fillId="0" borderId="26" xfId="476" applyNumberFormat="1" applyBorder="1" applyAlignment="1">
      <alignment horizontal="center" vertical="center"/>
    </xf>
    <xf numFmtId="14" fontId="7" fillId="0" borderId="27" xfId="476" applyNumberFormat="1" applyBorder="1" applyAlignment="1">
      <alignment horizontal="center" vertical="center"/>
    </xf>
    <xf numFmtId="14" fontId="7" fillId="0" borderId="28" xfId="476" applyNumberFormat="1" applyBorder="1" applyAlignment="1">
      <alignment horizontal="center" vertical="center"/>
    </xf>
    <xf numFmtId="0" fontId="16" fillId="27" borderId="0" xfId="0" applyFont="1" applyFill="1" applyAlignment="1">
      <alignment horizontal="center" vertical="center" wrapText="1"/>
    </xf>
    <xf numFmtId="1" fontId="11" fillId="0" borderId="75" xfId="0" applyNumberFormat="1" applyFont="1" applyBorder="1" applyAlignment="1">
      <alignment horizontal="center" vertical="center" wrapText="1"/>
    </xf>
    <xf numFmtId="0" fontId="16" fillId="27" borderId="26" xfId="0" applyFont="1" applyFill="1" applyBorder="1" applyAlignment="1">
      <alignment horizontal="center" vertical="center" wrapText="1"/>
    </xf>
    <xf numFmtId="0" fontId="16" fillId="27" borderId="27" xfId="0" applyFont="1" applyFill="1" applyBorder="1" applyAlignment="1">
      <alignment horizontal="center" vertical="center" wrapText="1"/>
    </xf>
    <xf numFmtId="0" fontId="16" fillId="27" borderId="28" xfId="0" applyFont="1" applyFill="1" applyBorder="1" applyAlignment="1">
      <alignment horizontal="center" vertical="center" wrapText="1"/>
    </xf>
    <xf numFmtId="0" fontId="7" fillId="0" borderId="26" xfId="476" applyBorder="1" applyAlignment="1">
      <alignment horizontal="center"/>
    </xf>
    <xf numFmtId="0" fontId="7" fillId="0" borderId="27" xfId="476" applyBorder="1" applyAlignment="1">
      <alignment horizontal="center"/>
    </xf>
    <xf numFmtId="0" fontId="7" fillId="0" borderId="28" xfId="476" applyBorder="1" applyAlignment="1">
      <alignment horizontal="center"/>
    </xf>
    <xf numFmtId="49" fontId="16" fillId="81" borderId="19" xfId="0" applyNumberFormat="1" applyFont="1" applyFill="1" applyBorder="1" applyAlignment="1" applyProtection="1">
      <alignment horizontal="center"/>
      <protection locked="0"/>
    </xf>
    <xf numFmtId="0" fontId="7" fillId="0" borderId="26" xfId="476" applyBorder="1" applyAlignment="1">
      <alignment horizontal="center" vertical="center"/>
    </xf>
    <xf numFmtId="0" fontId="7" fillId="0" borderId="27" xfId="476" applyBorder="1" applyAlignment="1">
      <alignment horizontal="center" vertical="center"/>
    </xf>
    <xf numFmtId="0" fontId="7" fillId="0" borderId="28" xfId="476"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6" fillId="80" borderId="26" xfId="0" applyFont="1" applyFill="1" applyBorder="1" applyAlignment="1" applyProtection="1">
      <alignment horizontal="center"/>
      <protection locked="0"/>
    </xf>
    <xf numFmtId="0" fontId="16" fillId="80" borderId="27" xfId="0" applyFont="1" applyFill="1" applyBorder="1" applyAlignment="1" applyProtection="1">
      <alignment horizontal="center"/>
      <protection locked="0"/>
    </xf>
    <xf numFmtId="0" fontId="16" fillId="80" borderId="28" xfId="0" applyFont="1" applyFill="1" applyBorder="1" applyAlignment="1" applyProtection="1">
      <alignment horizontal="center"/>
      <protection locked="0"/>
    </xf>
    <xf numFmtId="0" fontId="76" fillId="64" borderId="45" xfId="0" applyFont="1" applyFill="1" applyBorder="1" applyAlignment="1">
      <alignment horizontal="center" vertical="center"/>
    </xf>
    <xf numFmtId="0" fontId="76" fillId="64" borderId="68" xfId="0" applyFont="1" applyFill="1" applyBorder="1" applyAlignment="1">
      <alignment horizontal="center" vertical="center"/>
    </xf>
    <xf numFmtId="0" fontId="76" fillId="0" borderId="52" xfId="0" applyFont="1" applyBorder="1" applyAlignment="1">
      <alignment horizontal="left" vertical="top"/>
    </xf>
    <xf numFmtId="0" fontId="76" fillId="0" borderId="28" xfId="0" applyFont="1" applyBorder="1" applyAlignment="1">
      <alignment horizontal="left" vertical="top"/>
    </xf>
    <xf numFmtId="0" fontId="76" fillId="0" borderId="94" xfId="0" applyFont="1" applyBorder="1" applyAlignment="1">
      <alignment horizontal="center" vertical="center" textRotation="90"/>
    </xf>
    <xf numFmtId="0" fontId="76" fillId="0" borderId="90" xfId="0" applyFont="1" applyBorder="1" applyAlignment="1">
      <alignment horizontal="center" vertical="center" textRotation="90"/>
    </xf>
    <xf numFmtId="0" fontId="76" fillId="0" borderId="86" xfId="0" applyFont="1" applyBorder="1" applyAlignment="1">
      <alignment horizontal="center" vertical="center" textRotation="90"/>
    </xf>
    <xf numFmtId="0" fontId="120" fillId="65" borderId="65" xfId="0" applyFont="1" applyFill="1" applyBorder="1" applyAlignment="1" applyProtection="1">
      <alignment horizontal="left" vertical="center" wrapText="1"/>
      <protection locked="0"/>
    </xf>
    <xf numFmtId="0" fontId="120" fillId="65" borderId="66" xfId="0" applyFont="1" applyFill="1" applyBorder="1" applyAlignment="1" applyProtection="1">
      <alignment horizontal="left" vertical="center" wrapText="1"/>
      <protection locked="0"/>
    </xf>
    <xf numFmtId="0" fontId="120" fillId="65" borderId="67" xfId="0" applyFont="1" applyFill="1" applyBorder="1" applyAlignment="1" applyProtection="1">
      <alignment horizontal="left" vertical="center" wrapText="1"/>
      <protection locked="0"/>
    </xf>
    <xf numFmtId="0" fontId="1" fillId="0" borderId="0" xfId="0" applyFont="1" applyAlignment="1">
      <alignment horizontal="justify" vertical="top" wrapText="1"/>
    </xf>
    <xf numFmtId="0" fontId="1" fillId="0" borderId="0" xfId="0" applyFont="1" applyAlignment="1">
      <alignment horizontal="justify" vertical="top"/>
    </xf>
    <xf numFmtId="0" fontId="9" fillId="0" borderId="0" xfId="0" applyFont="1" applyAlignment="1">
      <alignment horizontal="left" vertical="center" wrapText="1"/>
    </xf>
    <xf numFmtId="0" fontId="87" fillId="29" borderId="25" xfId="0" applyFont="1" applyFill="1" applyBorder="1" applyAlignment="1">
      <alignment horizontal="center" vertical="center" wrapText="1"/>
    </xf>
    <xf numFmtId="0" fontId="87" fillId="29" borderId="34" xfId="0" applyFont="1" applyFill="1" applyBorder="1" applyAlignment="1">
      <alignment horizontal="center" vertical="center" wrapText="1"/>
    </xf>
    <xf numFmtId="0" fontId="87" fillId="29" borderId="33" xfId="0" applyFont="1" applyFill="1" applyBorder="1" applyAlignment="1">
      <alignment horizontal="center" vertical="center" wrapText="1"/>
    </xf>
    <xf numFmtId="0" fontId="21" fillId="70" borderId="25" xfId="0" applyFont="1" applyFill="1" applyBorder="1" applyAlignment="1" applyProtection="1">
      <alignment vertical="center" wrapText="1"/>
      <protection locked="0"/>
    </xf>
    <xf numFmtId="0" fontId="21" fillId="70" borderId="34" xfId="0" applyFont="1" applyFill="1" applyBorder="1" applyAlignment="1" applyProtection="1">
      <alignment vertical="center" wrapText="1"/>
      <protection locked="0"/>
    </xf>
    <xf numFmtId="0" fontId="21" fillId="70" borderId="33" xfId="0" applyFont="1" applyFill="1" applyBorder="1" applyAlignment="1" applyProtection="1">
      <alignment vertical="center" wrapText="1"/>
      <protection locked="0"/>
    </xf>
    <xf numFmtId="0" fontId="14" fillId="0" borderId="3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1" xfId="0" applyFont="1" applyBorder="1" applyAlignment="1">
      <alignment horizontal="center" vertical="center" wrapText="1"/>
    </xf>
    <xf numFmtId="0" fontId="87" fillId="0" borderId="25" xfId="0" quotePrefix="1" applyFont="1" applyBorder="1" applyAlignment="1">
      <alignment horizontal="center" vertical="center" wrapText="1"/>
    </xf>
    <xf numFmtId="0" fontId="87" fillId="0" borderId="34" xfId="0" applyFont="1" applyBorder="1" applyAlignment="1">
      <alignment horizontal="center" vertical="center" wrapText="1"/>
    </xf>
    <xf numFmtId="0" fontId="87" fillId="0" borderId="33" xfId="0" applyFont="1" applyBorder="1" applyAlignment="1">
      <alignment horizontal="center" vertical="center" wrapText="1"/>
    </xf>
    <xf numFmtId="0" fontId="9" fillId="0" borderId="25" xfId="0" applyFont="1" applyBorder="1" applyAlignment="1">
      <alignment vertical="center" wrapText="1"/>
    </xf>
    <xf numFmtId="0" fontId="9" fillId="0" borderId="34" xfId="0" applyFont="1" applyBorder="1" applyAlignment="1">
      <alignment vertical="center" wrapText="1"/>
    </xf>
    <xf numFmtId="0" fontId="9" fillId="0" borderId="33" xfId="0" applyFont="1" applyBorder="1" applyAlignment="1">
      <alignment vertical="center" wrapText="1"/>
    </xf>
    <xf numFmtId="0" fontId="9" fillId="0" borderId="31" xfId="0" applyFont="1" applyBorder="1" applyAlignment="1">
      <alignment vertical="center" wrapText="1"/>
    </xf>
    <xf numFmtId="0" fontId="9" fillId="0" borderId="24" xfId="0" applyFont="1" applyBorder="1" applyAlignment="1">
      <alignment vertical="center" wrapText="1"/>
    </xf>
    <xf numFmtId="0" fontId="9" fillId="0" borderId="32" xfId="0" applyFont="1" applyBorder="1" applyAlignment="1">
      <alignment vertical="center" wrapText="1"/>
    </xf>
    <xf numFmtId="0" fontId="9" fillId="0" borderId="22" xfId="0" applyFont="1" applyBorder="1" applyAlignment="1">
      <alignment vertical="center" wrapText="1"/>
    </xf>
    <xf numFmtId="0" fontId="9" fillId="0" borderId="30" xfId="0" applyFont="1" applyBorder="1" applyAlignment="1">
      <alignment vertical="center" wrapText="1"/>
    </xf>
    <xf numFmtId="0" fontId="9" fillId="0" borderId="21" xfId="0" applyFont="1" applyBorder="1" applyAlignment="1">
      <alignment vertical="center" wrapText="1"/>
    </xf>
    <xf numFmtId="0" fontId="14" fillId="0" borderId="25"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3" xfId="0" applyFont="1" applyBorder="1" applyAlignment="1">
      <alignment horizontal="center" vertical="center" wrapText="1"/>
    </xf>
    <xf numFmtId="9" fontId="14" fillId="0" borderId="25" xfId="0" applyNumberFormat="1" applyFont="1" applyBorder="1" applyAlignment="1">
      <alignment horizontal="center" vertical="center" wrapText="1"/>
    </xf>
    <xf numFmtId="164" fontId="9" fillId="82" borderId="31" xfId="545" applyNumberFormat="1" applyFont="1" applyFill="1" applyBorder="1" applyAlignment="1" applyProtection="1">
      <alignment horizontal="center" vertical="center"/>
    </xf>
    <xf numFmtId="164" fontId="9" fillId="82" borderId="24" xfId="545" applyNumberFormat="1" applyFont="1" applyFill="1" applyBorder="1" applyAlignment="1" applyProtection="1">
      <alignment horizontal="center" vertical="center"/>
    </xf>
    <xf numFmtId="164" fontId="9" fillId="82" borderId="32" xfId="545" applyNumberFormat="1" applyFont="1" applyFill="1" applyBorder="1" applyAlignment="1" applyProtection="1">
      <alignment horizontal="center" vertical="center"/>
    </xf>
    <xf numFmtId="164" fontId="9" fillId="82" borderId="22" xfId="545" applyNumberFormat="1" applyFont="1" applyFill="1" applyBorder="1" applyAlignment="1" applyProtection="1">
      <alignment horizontal="center" vertical="center"/>
    </xf>
    <xf numFmtId="164" fontId="9" fillId="0" borderId="23" xfId="545" applyNumberFormat="1" applyFont="1" applyFill="1" applyBorder="1" applyAlignment="1" applyProtection="1">
      <alignment horizontal="center" vertical="center"/>
    </xf>
    <xf numFmtId="164" fontId="9" fillId="0" borderId="25" xfId="545" applyNumberFormat="1" applyFont="1" applyFill="1" applyBorder="1" applyAlignment="1" applyProtection="1">
      <alignment horizontal="center" wrapText="1"/>
    </xf>
    <xf numFmtId="164" fontId="9" fillId="0" borderId="34" xfId="545" applyNumberFormat="1" applyFont="1" applyFill="1" applyBorder="1" applyAlignment="1" applyProtection="1">
      <alignment horizontal="center" wrapText="1"/>
    </xf>
    <xf numFmtId="164" fontId="9" fillId="84" borderId="29" xfId="545" applyNumberFormat="1" applyFont="1" applyFill="1" applyBorder="1" applyAlignment="1" applyProtection="1">
      <alignment horizontal="left" vertical="center" wrapText="1"/>
    </xf>
    <xf numFmtId="164" fontId="9" fillId="84" borderId="107" xfId="545" applyNumberFormat="1" applyFont="1" applyFill="1" applyBorder="1" applyAlignment="1" applyProtection="1">
      <alignment horizontal="left" vertical="center" wrapText="1"/>
    </xf>
    <xf numFmtId="164" fontId="9" fillId="84" borderId="18" xfId="545" applyNumberFormat="1" applyFont="1" applyFill="1" applyBorder="1" applyAlignment="1" applyProtection="1">
      <alignment horizontal="left" vertical="center" wrapText="1"/>
    </xf>
    <xf numFmtId="164" fontId="9" fillId="85" borderId="31" xfId="545" applyNumberFormat="1" applyFont="1" applyFill="1" applyBorder="1" applyAlignment="1" applyProtection="1">
      <alignment horizontal="center" vertical="center"/>
    </xf>
    <xf numFmtId="164" fontId="9" fillId="85" borderId="24" xfId="545" applyNumberFormat="1" applyFont="1" applyFill="1" applyBorder="1" applyAlignment="1" applyProtection="1">
      <alignment horizontal="center" vertical="center"/>
    </xf>
    <xf numFmtId="164" fontId="9" fillId="85" borderId="30" xfId="545" applyNumberFormat="1" applyFont="1" applyFill="1" applyBorder="1" applyAlignment="1" applyProtection="1">
      <alignment horizontal="center" vertical="center"/>
    </xf>
    <xf numFmtId="164" fontId="9" fillId="85" borderId="21" xfId="545" applyNumberFormat="1" applyFont="1" applyFill="1" applyBorder="1" applyAlignment="1" applyProtection="1">
      <alignment horizontal="center" vertical="center"/>
    </xf>
    <xf numFmtId="0" fontId="14" fillId="0" borderId="25" xfId="0" applyFont="1" applyBorder="1" applyAlignment="1">
      <alignment vertical="center" wrapText="1"/>
    </xf>
    <xf numFmtId="0" fontId="14" fillId="0" borderId="34" xfId="0" applyFont="1" applyBorder="1" applyAlignment="1">
      <alignment vertical="center" wrapText="1"/>
    </xf>
    <xf numFmtId="0" fontId="14" fillId="0" borderId="33" xfId="0" applyFont="1" applyBorder="1" applyAlignment="1">
      <alignment vertical="center" wrapText="1"/>
    </xf>
    <xf numFmtId="0" fontId="125" fillId="0" borderId="25" xfId="0" quotePrefix="1" applyFont="1" applyBorder="1" applyAlignment="1">
      <alignment horizontal="center" vertical="center" wrapText="1"/>
    </xf>
    <xf numFmtId="0" fontId="125" fillId="0" borderId="34" xfId="0" applyFont="1" applyBorder="1" applyAlignment="1">
      <alignment horizontal="center" vertical="center" wrapText="1"/>
    </xf>
    <xf numFmtId="0" fontId="125" fillId="0" borderId="3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3" xfId="0" applyFont="1" applyBorder="1" applyAlignment="1">
      <alignment horizontal="center" vertical="center" wrapText="1"/>
    </xf>
    <xf numFmtId="0" fontId="88" fillId="0" borderId="31" xfId="0" quotePrefix="1" applyFont="1" applyBorder="1" applyAlignment="1">
      <alignment vertical="center" wrapText="1"/>
    </xf>
    <xf numFmtId="0" fontId="14" fillId="0" borderId="31" xfId="0" applyFont="1" applyBorder="1" applyAlignment="1">
      <alignment vertical="center" wrapText="1"/>
    </xf>
    <xf numFmtId="0" fontId="14" fillId="0" borderId="24" xfId="0" applyFont="1" applyBorder="1" applyAlignment="1">
      <alignment vertical="center" wrapText="1"/>
    </xf>
    <xf numFmtId="0" fontId="14" fillId="0" borderId="32" xfId="0" applyFont="1" applyBorder="1" applyAlignment="1">
      <alignment vertical="center" wrapText="1"/>
    </xf>
    <xf numFmtId="0" fontId="14" fillId="0" borderId="22" xfId="0" applyFont="1" applyBorder="1" applyAlignment="1">
      <alignment vertical="center" wrapText="1"/>
    </xf>
    <xf numFmtId="0" fontId="14" fillId="0" borderId="30" xfId="0" applyFont="1" applyBorder="1" applyAlignment="1">
      <alignment vertical="center" wrapText="1"/>
    </xf>
    <xf numFmtId="0" fontId="14" fillId="0" borderId="21" xfId="0" applyFont="1" applyBorder="1" applyAlignment="1">
      <alignment vertical="center" wrapText="1"/>
    </xf>
    <xf numFmtId="0" fontId="87" fillId="0" borderId="25" xfId="0" applyFont="1" applyBorder="1" applyAlignment="1">
      <alignment horizontal="center" vertical="center" wrapText="1"/>
    </xf>
    <xf numFmtId="0" fontId="9" fillId="0" borderId="25" xfId="0" applyFont="1" applyBorder="1" applyAlignment="1">
      <alignment horizontal="left" vertical="center" wrapText="1"/>
    </xf>
    <xf numFmtId="0" fontId="9" fillId="0" borderId="34" xfId="0" applyFont="1" applyBorder="1" applyAlignment="1">
      <alignment horizontal="left" vertical="center" wrapText="1"/>
    </xf>
    <xf numFmtId="0" fontId="9" fillId="0" borderId="33" xfId="0" applyFont="1" applyBorder="1" applyAlignment="1">
      <alignment horizontal="left" vertical="center" wrapText="1"/>
    </xf>
    <xf numFmtId="0" fontId="9" fillId="68" borderId="31" xfId="0" quotePrefix="1" applyFont="1" applyFill="1" applyBorder="1" applyAlignment="1">
      <alignment horizontal="left" vertical="center" wrapText="1"/>
    </xf>
    <xf numFmtId="0" fontId="9" fillId="68" borderId="24" xfId="0" applyFont="1" applyFill="1" applyBorder="1" applyAlignment="1">
      <alignment horizontal="left" vertical="center" wrapText="1"/>
    </xf>
    <xf numFmtId="0" fontId="9" fillId="68" borderId="32" xfId="0" applyFont="1" applyFill="1" applyBorder="1" applyAlignment="1">
      <alignment horizontal="left" vertical="center" wrapText="1"/>
    </xf>
    <xf numFmtId="0" fontId="9" fillId="68" borderId="22" xfId="0" applyFont="1" applyFill="1" applyBorder="1" applyAlignment="1">
      <alignment horizontal="left" vertical="center" wrapText="1"/>
    </xf>
    <xf numFmtId="0" fontId="9" fillId="68" borderId="30" xfId="0" applyFont="1" applyFill="1" applyBorder="1" applyAlignment="1">
      <alignment horizontal="left" vertical="center" wrapText="1"/>
    </xf>
    <xf numFmtId="0" fontId="9" fillId="68" borderId="21" xfId="0" applyFont="1" applyFill="1" applyBorder="1" applyAlignment="1">
      <alignment horizontal="left" vertical="center" wrapText="1"/>
    </xf>
    <xf numFmtId="0" fontId="9" fillId="0" borderId="31" xfId="0" applyFont="1" applyBorder="1" applyAlignment="1">
      <alignment horizontal="left" vertical="center" wrapText="1"/>
    </xf>
    <xf numFmtId="0" fontId="9" fillId="0" borderId="24" xfId="0" applyFont="1" applyBorder="1" applyAlignment="1">
      <alignment horizontal="left" vertical="center" wrapText="1"/>
    </xf>
    <xf numFmtId="0" fontId="9" fillId="0" borderId="32" xfId="0" applyFont="1" applyBorder="1" applyAlignment="1">
      <alignment horizontal="left" vertical="center" wrapText="1"/>
    </xf>
    <xf numFmtId="0" fontId="9" fillId="0" borderId="22" xfId="0" applyFont="1" applyBorder="1" applyAlignment="1">
      <alignment horizontal="left" vertical="center" wrapText="1"/>
    </xf>
    <xf numFmtId="0" fontId="9" fillId="0" borderId="30" xfId="0" applyFont="1" applyBorder="1" applyAlignment="1">
      <alignment horizontal="left" vertical="center" wrapText="1"/>
    </xf>
    <xf numFmtId="0" fontId="9" fillId="0" borderId="21" xfId="0" applyFont="1" applyBorder="1" applyAlignment="1">
      <alignment horizontal="left" vertical="center" wrapText="1"/>
    </xf>
    <xf numFmtId="0" fontId="9" fillId="0" borderId="3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1" xfId="0" applyFont="1" applyBorder="1" applyAlignment="1">
      <alignment horizontal="center" vertical="center" wrapText="1"/>
    </xf>
    <xf numFmtId="0" fontId="11" fillId="28" borderId="26" xfId="476" applyFont="1" applyFill="1" applyBorder="1" applyAlignment="1">
      <alignment vertical="center"/>
    </xf>
    <xf numFmtId="0" fontId="11" fillId="28" borderId="27" xfId="476" applyFont="1" applyFill="1" applyBorder="1" applyAlignment="1">
      <alignment vertical="center"/>
    </xf>
    <xf numFmtId="0" fontId="24" fillId="28" borderId="27" xfId="0" applyFont="1" applyFill="1" applyBorder="1"/>
    <xf numFmtId="0" fontId="79" fillId="0" borderId="27" xfId="0" applyFont="1" applyBorder="1"/>
    <xf numFmtId="0" fontId="79" fillId="0" borderId="28" xfId="0" applyFont="1" applyBorder="1"/>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79" fillId="0" borderId="28" xfId="0" applyFont="1" applyBorder="1" applyAlignment="1">
      <alignment vertical="center"/>
    </xf>
    <xf numFmtId="14" fontId="24" fillId="28" borderId="26" xfId="0" applyNumberFormat="1" applyFont="1" applyFill="1" applyBorder="1" applyAlignment="1">
      <alignment horizontal="center" vertical="center"/>
    </xf>
    <xf numFmtId="0" fontId="79" fillId="0" borderId="27" xfId="0" applyFont="1" applyBorder="1" applyAlignment="1">
      <alignment horizontal="center" vertical="center"/>
    </xf>
    <xf numFmtId="0" fontId="24" fillId="0" borderId="31"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1" xfId="0" applyFont="1" applyBorder="1" applyAlignment="1">
      <alignment horizontal="center" vertical="center" wrapText="1"/>
    </xf>
    <xf numFmtId="0" fontId="21" fillId="0" borderId="33" xfId="0" applyFont="1" applyBorder="1" applyAlignment="1">
      <alignment horizontal="center" vertical="center" wrapText="1"/>
    </xf>
    <xf numFmtId="0" fontId="9" fillId="68" borderId="31" xfId="0" applyFont="1" applyFill="1" applyBorder="1" applyAlignment="1">
      <alignment vertical="center" wrapText="1"/>
    </xf>
    <xf numFmtId="0" fontId="9" fillId="68" borderId="24" xfId="0" applyFont="1" applyFill="1" applyBorder="1" applyAlignment="1">
      <alignment vertical="center" wrapText="1"/>
    </xf>
    <xf numFmtId="0" fontId="9" fillId="68" borderId="32" xfId="0" applyFont="1" applyFill="1" applyBorder="1" applyAlignment="1">
      <alignment vertical="center" wrapText="1"/>
    </xf>
    <xf numFmtId="0" fontId="9" fillId="68" borderId="22" xfId="0" applyFont="1" applyFill="1" applyBorder="1" applyAlignment="1">
      <alignment vertical="center" wrapText="1"/>
    </xf>
    <xf numFmtId="0" fontId="9" fillId="68" borderId="30" xfId="0" applyFont="1" applyFill="1" applyBorder="1" applyAlignment="1">
      <alignment vertical="center" wrapText="1"/>
    </xf>
    <xf numFmtId="0" fontId="9" fillId="68" borderId="21" xfId="0" applyFont="1" applyFill="1" applyBorder="1" applyAlignment="1">
      <alignment vertical="center" wrapText="1"/>
    </xf>
    <xf numFmtId="0" fontId="14" fillId="0" borderId="23" xfId="0" applyFont="1" applyBorder="1" applyAlignment="1">
      <alignment vertical="center" wrapText="1"/>
    </xf>
    <xf numFmtId="1" fontId="22" fillId="28" borderId="25" xfId="0" applyNumberFormat="1" applyFont="1" applyFill="1" applyBorder="1" applyAlignment="1">
      <alignment horizontal="center" vertical="center" wrapText="1"/>
    </xf>
    <xf numFmtId="1" fontId="22" fillId="28" borderId="34" xfId="0" applyNumberFormat="1" applyFont="1" applyFill="1" applyBorder="1" applyAlignment="1">
      <alignment horizontal="center" vertical="center" wrapText="1"/>
    </xf>
    <xf numFmtId="1" fontId="22" fillId="28" borderId="33" xfId="0" applyNumberFormat="1" applyFont="1" applyFill="1" applyBorder="1" applyAlignment="1">
      <alignment horizontal="center" vertical="center" wrapText="1"/>
    </xf>
    <xf numFmtId="0" fontId="24" fillId="0" borderId="23" xfId="0" applyFont="1" applyBorder="1" applyAlignment="1">
      <alignment horizontal="center" vertical="center" wrapText="1"/>
    </xf>
    <xf numFmtId="0" fontId="79"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22"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1" xfId="0" applyFont="1" applyBorder="1" applyAlignment="1">
      <alignment horizontal="center" vertical="center" wrapText="1"/>
    </xf>
    <xf numFmtId="9" fontId="9" fillId="0" borderId="25" xfId="0" applyNumberFormat="1" applyFont="1" applyBorder="1" applyAlignment="1">
      <alignment horizontal="center" vertical="center" wrapText="1"/>
    </xf>
    <xf numFmtId="0" fontId="17" fillId="70" borderId="25" xfId="0" applyFont="1" applyFill="1" applyBorder="1" applyAlignment="1" applyProtection="1">
      <alignment vertical="center" wrapText="1"/>
      <protection locked="0"/>
    </xf>
    <xf numFmtId="0" fontId="17" fillId="70" borderId="34" xfId="0" applyFont="1" applyFill="1" applyBorder="1" applyAlignment="1" applyProtection="1">
      <alignment vertical="center" wrapText="1"/>
      <protection locked="0"/>
    </xf>
    <xf numFmtId="0" fontId="17" fillId="70" borderId="33" xfId="0" applyFont="1" applyFill="1" applyBorder="1" applyAlignment="1" applyProtection="1">
      <alignment vertical="center" wrapText="1"/>
      <protection locked="0"/>
    </xf>
    <xf numFmtId="0" fontId="21" fillId="70" borderId="25" xfId="0" quotePrefix="1" applyFont="1" applyFill="1" applyBorder="1" applyAlignment="1" applyProtection="1">
      <alignment vertical="center" wrapText="1"/>
      <protection locked="0"/>
    </xf>
    <xf numFmtId="0" fontId="21" fillId="70" borderId="34" xfId="0" quotePrefix="1" applyFont="1" applyFill="1" applyBorder="1" applyAlignment="1" applyProtection="1">
      <alignment vertical="center" wrapText="1"/>
      <protection locked="0"/>
    </xf>
    <xf numFmtId="0" fontId="21" fillId="70" borderId="33" xfId="0" quotePrefix="1" applyFont="1" applyFill="1" applyBorder="1" applyAlignment="1" applyProtection="1">
      <alignment vertical="center" wrapText="1"/>
      <protection locked="0"/>
    </xf>
    <xf numFmtId="0" fontId="24" fillId="0" borderId="29" xfId="0" applyFont="1" applyBorder="1" applyAlignment="1">
      <alignment horizontal="center" vertical="center"/>
    </xf>
    <xf numFmtId="0" fontId="24" fillId="0" borderId="18" xfId="0" applyFont="1" applyBorder="1" applyAlignment="1">
      <alignment horizontal="center" vertical="center"/>
    </xf>
    <xf numFmtId="0" fontId="100" fillId="0" borderId="0" xfId="0" applyFont="1" applyAlignment="1">
      <alignment horizontal="left" vertical="center" wrapText="1"/>
    </xf>
    <xf numFmtId="0" fontId="125" fillId="0" borderId="25" xfId="0" applyFont="1" applyBorder="1" applyAlignment="1">
      <alignment horizontal="center" vertical="center" wrapText="1"/>
    </xf>
    <xf numFmtId="0" fontId="9" fillId="0" borderId="31" xfId="0" quotePrefix="1" applyFont="1" applyBorder="1" applyAlignment="1">
      <alignment horizontal="left" vertical="center" wrapText="1"/>
    </xf>
    <xf numFmtId="0" fontId="87" fillId="29" borderId="25" xfId="0" quotePrefix="1" applyFont="1" applyFill="1" applyBorder="1" applyAlignment="1">
      <alignment horizontal="center" vertical="center" wrapText="1"/>
    </xf>
    <xf numFmtId="0" fontId="17" fillId="70" borderId="23" xfId="0" applyFont="1" applyFill="1" applyBorder="1" applyAlignment="1" applyProtection="1">
      <alignment vertical="center" wrapText="1"/>
      <protection locked="0"/>
    </xf>
    <xf numFmtId="0" fontId="0" fillId="0" borderId="27" xfId="0" applyBorder="1"/>
    <xf numFmtId="0" fontId="0" fillId="0" borderId="28" xfId="0" applyBorder="1"/>
    <xf numFmtId="0" fontId="0" fillId="0" borderId="27" xfId="0" applyBorder="1" applyAlignment="1">
      <alignment vertical="center"/>
    </xf>
    <xf numFmtId="0" fontId="22"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9" fillId="0" borderId="0" xfId="544" applyFont="1" applyAlignment="1">
      <alignment horizontal="left" vertical="top" wrapText="1"/>
    </xf>
    <xf numFmtId="0" fontId="109" fillId="0" borderId="0" xfId="544" applyFont="1" applyAlignment="1">
      <alignment horizontal="left" vertical="top" wrapText="1"/>
    </xf>
    <xf numFmtId="1" fontId="17" fillId="73" borderId="20" xfId="544" applyNumberFormat="1" applyFont="1" applyFill="1" applyBorder="1" applyAlignment="1" applyProtection="1">
      <alignment horizontal="left" vertical="center" wrapText="1"/>
      <protection locked="0"/>
    </xf>
    <xf numFmtId="1" fontId="107" fillId="73" borderId="73" xfId="544" applyNumberFormat="1" applyFont="1" applyFill="1" applyBorder="1" applyAlignment="1" applyProtection="1">
      <alignment horizontal="left" vertical="center" wrapText="1"/>
      <protection locked="0"/>
    </xf>
    <xf numFmtId="1" fontId="107" fillId="0" borderId="70" xfId="544" applyNumberFormat="1" applyFont="1" applyBorder="1" applyAlignment="1">
      <alignment horizontal="center" vertical="center" wrapText="1"/>
    </xf>
    <xf numFmtId="1" fontId="107" fillId="0" borderId="69" xfId="544" applyNumberFormat="1" applyFont="1" applyBorder="1" applyAlignment="1">
      <alignment horizontal="center" vertical="center" wrapText="1"/>
    </xf>
    <xf numFmtId="1" fontId="107" fillId="0" borderId="71" xfId="544" applyNumberFormat="1" applyFont="1" applyBorder="1" applyAlignment="1">
      <alignment horizontal="center" vertical="center" wrapText="1"/>
    </xf>
    <xf numFmtId="1" fontId="107" fillId="0" borderId="78" xfId="544" applyNumberFormat="1" applyFont="1" applyBorder="1" applyAlignment="1">
      <alignment horizontal="center" vertical="center" wrapText="1"/>
    </xf>
    <xf numFmtId="0" fontId="76" fillId="0" borderId="88" xfId="544" applyFont="1" applyBorder="1" applyAlignment="1">
      <alignment horizontal="center" textRotation="90" wrapText="1"/>
    </xf>
    <xf numFmtId="0" fontId="76" fillId="0" borderId="89" xfId="544" applyFont="1" applyBorder="1" applyAlignment="1">
      <alignment horizontal="center" textRotation="90" wrapText="1"/>
    </xf>
    <xf numFmtId="0" fontId="76" fillId="0" borderId="95" xfId="544" applyFont="1" applyBorder="1" applyAlignment="1">
      <alignment horizontal="center" textRotation="90" wrapText="1"/>
    </xf>
    <xf numFmtId="1" fontId="107" fillId="73" borderId="84" xfId="544" applyNumberFormat="1" applyFont="1" applyFill="1" applyBorder="1" applyAlignment="1">
      <alignment horizontal="left" vertical="center" wrapText="1"/>
    </xf>
    <xf numFmtId="1" fontId="107" fillId="73" borderId="90" xfId="544" applyNumberFormat="1" applyFont="1" applyFill="1" applyBorder="1" applyAlignment="1">
      <alignment horizontal="left" vertical="center" wrapText="1"/>
    </xf>
    <xf numFmtId="1" fontId="107" fillId="73" borderId="86" xfId="544" applyNumberFormat="1" applyFont="1" applyFill="1" applyBorder="1" applyAlignment="1">
      <alignment horizontal="left" vertical="center" wrapText="1"/>
    </xf>
    <xf numFmtId="1" fontId="17" fillId="73" borderId="58" xfId="544" applyNumberFormat="1" applyFont="1" applyFill="1" applyBorder="1" applyAlignment="1" applyProtection="1">
      <alignment horizontal="left" vertical="center" wrapText="1"/>
      <protection locked="0"/>
    </xf>
    <xf numFmtId="1" fontId="107" fillId="73" borderId="75" xfId="544" applyNumberFormat="1" applyFont="1" applyFill="1" applyBorder="1" applyAlignment="1" applyProtection="1">
      <alignment horizontal="left" vertical="center" wrapText="1"/>
      <protection locked="0"/>
    </xf>
    <xf numFmtId="1" fontId="107" fillId="0" borderId="76" xfId="544" applyNumberFormat="1" applyFont="1" applyBorder="1" applyAlignment="1">
      <alignment horizontal="center" vertical="center" wrapText="1"/>
    </xf>
    <xf numFmtId="1" fontId="107" fillId="0" borderId="77" xfId="544" applyNumberFormat="1" applyFont="1" applyBorder="1" applyAlignment="1">
      <alignment horizontal="center" vertical="center" wrapText="1"/>
    </xf>
    <xf numFmtId="1" fontId="107" fillId="0" borderId="80" xfId="544" applyNumberFormat="1" applyFont="1" applyBorder="1" applyAlignment="1">
      <alignment horizontal="center" vertical="center" wrapText="1"/>
    </xf>
    <xf numFmtId="1" fontId="107" fillId="0" borderId="74" xfId="544" applyNumberFormat="1" applyFont="1" applyBorder="1" applyAlignment="1">
      <alignment horizontal="center" vertical="center" wrapText="1"/>
    </xf>
    <xf numFmtId="0" fontId="17" fillId="73" borderId="76" xfId="544" applyFont="1" applyFill="1" applyBorder="1" applyAlignment="1" applyProtection="1">
      <alignment horizontal="left" vertical="center" wrapText="1"/>
      <protection locked="0"/>
    </xf>
    <xf numFmtId="0" fontId="17" fillId="73" borderId="44" xfId="544" applyFont="1" applyFill="1" applyBorder="1" applyAlignment="1" applyProtection="1">
      <alignment horizontal="left" vertical="center" wrapText="1"/>
      <protection locked="0"/>
    </xf>
    <xf numFmtId="0" fontId="17" fillId="73" borderId="24" xfId="544" applyFont="1" applyFill="1" applyBorder="1" applyAlignment="1" applyProtection="1">
      <alignment horizontal="left" vertical="center" wrapText="1"/>
      <protection locked="0"/>
    </xf>
    <xf numFmtId="0" fontId="17" fillId="73" borderId="80" xfId="544" applyFont="1" applyFill="1" applyBorder="1" applyAlignment="1" applyProtection="1">
      <alignment horizontal="left" vertical="center" wrapText="1"/>
      <protection locked="0"/>
    </xf>
    <xf numFmtId="0" fontId="17" fillId="73" borderId="60" xfId="544" applyFont="1" applyFill="1" applyBorder="1" applyAlignment="1" applyProtection="1">
      <alignment horizontal="left" vertical="center" wrapText="1"/>
      <protection locked="0"/>
    </xf>
    <xf numFmtId="0" fontId="17" fillId="73" borderId="96" xfId="544" applyFont="1" applyFill="1" applyBorder="1" applyAlignment="1" applyProtection="1">
      <alignment horizontal="left" vertical="center" wrapText="1"/>
      <protection locked="0"/>
    </xf>
    <xf numFmtId="0" fontId="17" fillId="73" borderId="70" xfId="544" applyFont="1" applyFill="1" applyBorder="1" applyAlignment="1" applyProtection="1">
      <alignment horizontal="left" vertical="center" wrapText="1"/>
      <protection locked="0"/>
    </xf>
    <xf numFmtId="0" fontId="17" fillId="73" borderId="59" xfId="544" applyFont="1" applyFill="1" applyBorder="1" applyAlignment="1" applyProtection="1">
      <alignment horizontal="left" vertical="center" wrapText="1"/>
      <protection locked="0"/>
    </xf>
    <xf numFmtId="0" fontId="17" fillId="73" borderId="106" xfId="544" applyFont="1" applyFill="1" applyBorder="1" applyAlignment="1" applyProtection="1">
      <alignment horizontal="left" vertical="center" wrapText="1"/>
      <protection locked="0"/>
    </xf>
    <xf numFmtId="0" fontId="17" fillId="73" borderId="71" xfId="544" applyFont="1" applyFill="1" applyBorder="1" applyAlignment="1" applyProtection="1">
      <alignment horizontal="left" vertical="center" wrapText="1"/>
      <protection locked="0"/>
    </xf>
    <xf numFmtId="0" fontId="17" fillId="73" borderId="105" xfId="544" applyFont="1" applyFill="1" applyBorder="1" applyAlignment="1" applyProtection="1">
      <alignment horizontal="left" vertical="center" wrapText="1"/>
      <protection locked="0"/>
    </xf>
    <xf numFmtId="0" fontId="17" fillId="73" borderId="21" xfId="544" applyFont="1" applyFill="1" applyBorder="1" applyAlignment="1" applyProtection="1">
      <alignment horizontal="left" vertical="center" wrapText="1"/>
      <protection locked="0"/>
    </xf>
    <xf numFmtId="0" fontId="17" fillId="0" borderId="88" xfId="544" applyFont="1" applyBorder="1" applyAlignment="1">
      <alignment horizontal="center" textRotation="90" wrapText="1"/>
    </xf>
    <xf numFmtId="0" fontId="17" fillId="0" borderId="89" xfId="544" applyFont="1" applyBorder="1" applyAlignment="1">
      <alignment horizontal="center" textRotation="90" wrapText="1"/>
    </xf>
    <xf numFmtId="0" fontId="17" fillId="0" borderId="95" xfId="544" applyFont="1" applyBorder="1" applyAlignment="1">
      <alignment horizontal="center" textRotation="90" wrapText="1"/>
    </xf>
    <xf numFmtId="1" fontId="107" fillId="73" borderId="93" xfId="544" applyNumberFormat="1" applyFont="1" applyFill="1" applyBorder="1" applyAlignment="1">
      <alignment horizontal="left" vertical="center" wrapText="1"/>
    </xf>
    <xf numFmtId="1" fontId="107" fillId="73" borderId="72" xfId="544" applyNumberFormat="1" applyFont="1" applyFill="1" applyBorder="1" applyAlignment="1" applyProtection="1">
      <alignment horizontal="left" vertical="center" wrapText="1"/>
      <protection locked="0"/>
    </xf>
    <xf numFmtId="1" fontId="107" fillId="0" borderId="61" xfId="544" applyNumberFormat="1" applyFont="1" applyBorder="1" applyAlignment="1">
      <alignment horizontal="center" vertical="center" wrapText="1"/>
    </xf>
    <xf numFmtId="1" fontId="107" fillId="0" borderId="57" xfId="544" applyNumberFormat="1" applyFont="1" applyBorder="1" applyAlignment="1">
      <alignment horizontal="center" vertical="center" wrapText="1"/>
    </xf>
    <xf numFmtId="0" fontId="17" fillId="69" borderId="85" xfId="544" applyFont="1" applyFill="1" applyBorder="1" applyAlignment="1" applyProtection="1">
      <alignment vertical="center" wrapText="1"/>
      <protection locked="0"/>
    </xf>
    <xf numFmtId="0" fontId="17" fillId="69" borderId="91" xfId="544" applyFont="1" applyFill="1" applyBorder="1" applyAlignment="1" applyProtection="1">
      <alignment vertical="center" wrapText="1"/>
      <protection locked="0"/>
    </xf>
    <xf numFmtId="0" fontId="17" fillId="69" borderId="92" xfId="544" applyFont="1" applyFill="1" applyBorder="1" applyAlignment="1" applyProtection="1">
      <alignment vertical="center" wrapText="1"/>
      <protection locked="0"/>
    </xf>
    <xf numFmtId="0" fontId="17" fillId="69" borderId="50" xfId="544" applyFont="1" applyFill="1" applyBorder="1" applyAlignment="1" applyProtection="1">
      <alignment vertical="center" wrapText="1"/>
      <protection locked="0"/>
    </xf>
    <xf numFmtId="1" fontId="17" fillId="75" borderId="94" xfId="544" applyNumberFormat="1" applyFont="1" applyFill="1" applyBorder="1" applyAlignment="1">
      <alignment horizontal="left" vertical="center" wrapText="1"/>
    </xf>
    <xf numFmtId="1" fontId="17" fillId="75" borderId="90" xfId="544" applyNumberFormat="1" applyFont="1" applyFill="1" applyBorder="1" applyAlignment="1">
      <alignment horizontal="left" vertical="center" wrapText="1"/>
    </xf>
    <xf numFmtId="1" fontId="17" fillId="75" borderId="93" xfId="544" applyNumberFormat="1" applyFont="1" applyFill="1" applyBorder="1" applyAlignment="1">
      <alignment horizontal="left" vertical="center" wrapText="1"/>
    </xf>
    <xf numFmtId="1" fontId="107" fillId="0" borderId="19" xfId="544" applyNumberFormat="1" applyFont="1" applyBorder="1" applyAlignment="1">
      <alignment horizontal="center" vertical="center" wrapText="1"/>
    </xf>
    <xf numFmtId="0" fontId="107" fillId="69" borderId="92" xfId="544" applyFont="1" applyFill="1" applyBorder="1" applyAlignment="1" applyProtection="1">
      <alignment vertical="center" wrapText="1"/>
      <protection locked="0"/>
    </xf>
    <xf numFmtId="1" fontId="17" fillId="73" borderId="94" xfId="544" applyNumberFormat="1" applyFont="1" applyFill="1" applyBorder="1" applyAlignment="1">
      <alignment horizontal="left" vertical="center" wrapText="1"/>
    </xf>
    <xf numFmtId="1" fontId="107" fillId="0" borderId="20" xfId="544" applyNumberFormat="1" applyFont="1" applyBorder="1" applyAlignment="1">
      <alignment horizontal="center" vertical="center" wrapText="1"/>
    </xf>
    <xf numFmtId="0" fontId="107" fillId="69" borderId="87" xfId="544" applyFont="1" applyFill="1" applyBorder="1" applyAlignment="1" applyProtection="1">
      <alignment vertical="center" wrapText="1"/>
      <protection locked="0"/>
    </xf>
    <xf numFmtId="1" fontId="108" fillId="74" borderId="20" xfId="544" applyNumberFormat="1" applyFont="1" applyFill="1" applyBorder="1" applyAlignment="1">
      <alignment horizontal="center" vertical="center" wrapText="1"/>
    </xf>
    <xf numFmtId="1" fontId="108" fillId="74" borderId="72" xfId="544" applyNumberFormat="1" applyFont="1" applyFill="1" applyBorder="1" applyAlignment="1">
      <alignment horizontal="center" vertical="center" wrapText="1"/>
    </xf>
    <xf numFmtId="1" fontId="108" fillId="74" borderId="73" xfId="544" applyNumberFormat="1" applyFont="1" applyFill="1" applyBorder="1" applyAlignment="1">
      <alignment horizontal="center" vertical="center" wrapText="1"/>
    </xf>
    <xf numFmtId="1" fontId="107" fillId="0" borderId="58" xfId="544" applyNumberFormat="1" applyFont="1" applyBorder="1" applyAlignment="1">
      <alignment horizontal="center" vertical="center" wrapText="1"/>
    </xf>
    <xf numFmtId="1" fontId="107" fillId="0" borderId="72" xfId="544" applyNumberFormat="1" applyFont="1" applyBorder="1" applyAlignment="1">
      <alignment horizontal="center" vertical="center" wrapText="1"/>
    </xf>
    <xf numFmtId="1" fontId="107" fillId="0" borderId="73" xfId="544" applyNumberFormat="1" applyFont="1" applyBorder="1" applyAlignment="1">
      <alignment horizontal="center" vertical="center" wrapText="1"/>
    </xf>
    <xf numFmtId="0" fontId="105" fillId="0" borderId="84" xfId="544" applyFont="1" applyBorder="1" applyAlignment="1">
      <alignment horizontal="center" vertical="center" wrapText="1"/>
    </xf>
    <xf numFmtId="0" fontId="105" fillId="0" borderId="86" xfId="544" applyFont="1" applyBorder="1" applyAlignment="1">
      <alignment horizontal="center" vertical="center" wrapText="1"/>
    </xf>
    <xf numFmtId="0" fontId="105" fillId="0" borderId="58" xfId="544" applyFont="1" applyBorder="1" applyAlignment="1">
      <alignment horizontal="center" vertical="center" wrapText="1"/>
    </xf>
    <xf numFmtId="0" fontId="105" fillId="0" borderId="73" xfId="544" applyFont="1" applyBorder="1" applyAlignment="1">
      <alignment horizontal="center" vertical="center" wrapText="1"/>
    </xf>
    <xf numFmtId="0" fontId="106" fillId="0" borderId="73" xfId="544" applyFont="1" applyBorder="1" applyAlignment="1">
      <alignment horizontal="center" vertical="center" wrapText="1"/>
    </xf>
    <xf numFmtId="1" fontId="11" fillId="0" borderId="58" xfId="544" applyNumberFormat="1" applyFont="1" applyBorder="1" applyAlignment="1">
      <alignment horizontal="center" vertical="center" wrapText="1"/>
    </xf>
    <xf numFmtId="1" fontId="106" fillId="0" borderId="73" xfId="544" applyNumberFormat="1" applyFont="1" applyBorder="1" applyAlignment="1">
      <alignment horizontal="center" vertical="center" wrapText="1"/>
    </xf>
    <xf numFmtId="1" fontId="17" fillId="69" borderId="20" xfId="544" applyNumberFormat="1" applyFont="1" applyFill="1" applyBorder="1" applyAlignment="1" applyProtection="1">
      <alignment horizontal="center" vertical="center" wrapText="1"/>
      <protection locked="0"/>
    </xf>
    <xf numFmtId="1" fontId="17" fillId="69" borderId="75" xfId="544" applyNumberFormat="1" applyFont="1" applyFill="1" applyBorder="1" applyAlignment="1" applyProtection="1">
      <alignment horizontal="center" vertical="center" wrapText="1"/>
      <protection locked="0"/>
    </xf>
    <xf numFmtId="1" fontId="108" fillId="74" borderId="58" xfId="544" applyNumberFormat="1" applyFont="1" applyFill="1" applyBorder="1" applyAlignment="1">
      <alignment horizontal="center" vertical="center" wrapText="1"/>
    </xf>
    <xf numFmtId="1" fontId="108" fillId="74" borderId="75" xfId="544" applyNumberFormat="1" applyFont="1" applyFill="1" applyBorder="1" applyAlignment="1">
      <alignment horizontal="center" vertical="center" wrapText="1"/>
    </xf>
    <xf numFmtId="0" fontId="105" fillId="0" borderId="85" xfId="544" applyFont="1" applyBorder="1" applyAlignment="1">
      <alignment horizontal="center" vertical="center" wrapText="1"/>
    </xf>
    <xf numFmtId="0" fontId="105" fillId="0" borderId="87" xfId="544" applyFont="1" applyBorder="1" applyAlignment="1">
      <alignment horizontal="center" vertical="center" wrapText="1"/>
    </xf>
    <xf numFmtId="1" fontId="11" fillId="0" borderId="73" xfId="544" applyNumberFormat="1" applyFont="1" applyBorder="1" applyAlignment="1">
      <alignment horizontal="center" vertical="center" wrapText="1"/>
    </xf>
    <xf numFmtId="0" fontId="103" fillId="0" borderId="29" xfId="544" applyFont="1" applyBorder="1" applyAlignment="1">
      <alignment horizontal="center"/>
    </xf>
    <xf numFmtId="0" fontId="104" fillId="0" borderId="81" xfId="544" applyFont="1" applyBorder="1" applyAlignment="1">
      <alignment horizontal="center"/>
    </xf>
    <xf numFmtId="0" fontId="103" fillId="0" borderId="82" xfId="544" applyFont="1" applyBorder="1" applyAlignment="1">
      <alignment horizontal="center" vertical="center"/>
    </xf>
    <xf numFmtId="0" fontId="103" fillId="0" borderId="83" xfId="544" applyFont="1" applyBorder="1" applyAlignment="1">
      <alignment horizontal="center" vertical="center"/>
    </xf>
    <xf numFmtId="1" fontId="106" fillId="0" borderId="76" xfId="544" applyNumberFormat="1" applyFont="1" applyBorder="1" applyAlignment="1">
      <alignment horizontal="center" vertical="center" wrapText="1"/>
    </xf>
    <xf numFmtId="1" fontId="106" fillId="0" borderId="77" xfId="544" applyNumberFormat="1" applyFont="1" applyBorder="1" applyAlignment="1">
      <alignment horizontal="center" vertical="center" wrapText="1"/>
    </xf>
    <xf numFmtId="1" fontId="106" fillId="0" borderId="71" xfId="544" applyNumberFormat="1" applyFont="1" applyBorder="1" applyAlignment="1">
      <alignment horizontal="center" vertical="center" wrapText="1"/>
    </xf>
    <xf numFmtId="1" fontId="106" fillId="0" borderId="78" xfId="544" applyNumberFormat="1" applyFont="1" applyBorder="1" applyAlignment="1">
      <alignment horizontal="center" vertical="center" wrapText="1"/>
    </xf>
    <xf numFmtId="0" fontId="8" fillId="0" borderId="94" xfId="0" applyFont="1" applyBorder="1" applyAlignment="1" applyProtection="1">
      <alignment horizontal="left" vertical="top" wrapText="1"/>
      <protection locked="0"/>
    </xf>
    <xf numFmtId="0" fontId="17" fillId="0" borderId="20" xfId="0" applyFont="1" applyBorder="1" applyAlignment="1" applyProtection="1">
      <alignment vertical="top" wrapText="1"/>
      <protection locked="0"/>
    </xf>
    <xf numFmtId="0" fontId="17" fillId="0" borderId="20" xfId="0" applyFont="1" applyBorder="1" applyAlignment="1" applyProtection="1">
      <alignment horizontal="left" vertical="center" wrapText="1"/>
      <protection locked="0"/>
    </xf>
    <xf numFmtId="0" fontId="17" fillId="0" borderId="50" xfId="0" applyFont="1" applyBorder="1" applyAlignment="1" applyProtection="1">
      <alignment horizontal="left" vertical="center" wrapText="1"/>
      <protection locked="0"/>
    </xf>
    <xf numFmtId="0" fontId="8" fillId="0" borderId="90" xfId="0" applyFont="1" applyBorder="1" applyAlignment="1" applyProtection="1">
      <alignment horizontal="left" vertical="top" wrapText="1"/>
      <protection locked="0"/>
    </xf>
    <xf numFmtId="0" fontId="17" fillId="0" borderId="75" xfId="0" applyFont="1" applyBorder="1" applyAlignment="1" applyProtection="1">
      <alignment vertical="top" wrapText="1"/>
      <protection locked="0"/>
    </xf>
    <xf numFmtId="0" fontId="17" fillId="0" borderId="75" xfId="0" applyFont="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0" fontId="17" fillId="0" borderId="20" xfId="0" applyFont="1" applyBorder="1" applyAlignment="1" applyProtection="1">
      <alignment vertical="top" wrapText="1"/>
      <protection locked="0"/>
    </xf>
    <xf numFmtId="0" fontId="17" fillId="0" borderId="50" xfId="0" applyFont="1" applyBorder="1" applyAlignment="1" applyProtection="1">
      <alignment vertical="top" wrapText="1"/>
      <protection locked="0"/>
    </xf>
    <xf numFmtId="0" fontId="17" fillId="0" borderId="72" xfId="0" applyFont="1" applyBorder="1" applyAlignment="1" applyProtection="1">
      <alignment vertical="top" wrapText="1"/>
      <protection locked="0"/>
    </xf>
    <xf numFmtId="0" fontId="17" fillId="0" borderId="72" xfId="0" applyFont="1" applyBorder="1" applyAlignment="1" applyProtection="1">
      <alignment vertical="top" wrapText="1"/>
      <protection locked="0"/>
    </xf>
    <xf numFmtId="0" fontId="17" fillId="0" borderId="91" xfId="0" applyFont="1" applyBorder="1" applyAlignment="1" applyProtection="1">
      <alignment vertical="top" wrapText="1"/>
      <protection locked="0"/>
    </xf>
    <xf numFmtId="0" fontId="17" fillId="0" borderId="92"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86" fillId="0" borderId="75" xfId="0" applyFont="1" applyBorder="1" applyAlignment="1" applyProtection="1">
      <alignment vertical="top" wrapText="1"/>
      <protection locked="0"/>
    </xf>
    <xf numFmtId="0" fontId="86" fillId="0" borderId="92" xfId="0" applyFont="1" applyBorder="1" applyAlignment="1" applyProtection="1">
      <alignment vertical="top" wrapText="1"/>
      <protection locked="0"/>
    </xf>
    <xf numFmtId="0" fontId="8" fillId="0" borderId="93" xfId="0" applyFont="1" applyBorder="1" applyAlignment="1" applyProtection="1">
      <alignment horizontal="left" vertical="top" wrapText="1"/>
      <protection locked="0"/>
    </xf>
    <xf numFmtId="0" fontId="86" fillId="0" borderId="19" xfId="0" applyFont="1" applyBorder="1" applyAlignment="1" applyProtection="1">
      <alignment vertical="top" wrapText="1"/>
      <protection locked="0"/>
    </xf>
    <xf numFmtId="0" fontId="86" fillId="0" borderId="49" xfId="0" applyFont="1" applyBorder="1" applyAlignment="1" applyProtection="1">
      <alignment vertical="top" wrapText="1"/>
      <protection locked="0"/>
    </xf>
    <xf numFmtId="0" fontId="86" fillId="0" borderId="20" xfId="0" applyFont="1" applyBorder="1" applyAlignment="1" applyProtection="1">
      <alignment vertical="top" wrapText="1"/>
      <protection locked="0"/>
    </xf>
    <xf numFmtId="0" fontId="86" fillId="0" borderId="50" xfId="0" applyFont="1" applyBorder="1" applyAlignment="1" applyProtection="1">
      <alignment vertical="top" wrapText="1"/>
      <protection locked="0"/>
    </xf>
    <xf numFmtId="0" fontId="17" fillId="0" borderId="49" xfId="0" applyFont="1" applyBorder="1" applyAlignment="1" applyProtection="1">
      <alignment vertical="top" wrapText="1"/>
      <protection locked="0"/>
    </xf>
    <xf numFmtId="0" fontId="8" fillId="0" borderId="103" xfId="0" applyFont="1" applyBorder="1" applyAlignment="1" applyProtection="1">
      <alignment horizontal="left" vertical="top" wrapText="1"/>
      <protection locked="0"/>
    </xf>
    <xf numFmtId="0" fontId="116" fillId="0" borderId="103" xfId="0" applyFont="1" applyBorder="1" applyAlignment="1" applyProtection="1">
      <alignment horizontal="left" vertical="top" wrapText="1"/>
      <protection locked="0"/>
    </xf>
    <xf numFmtId="0" fontId="8" fillId="0" borderId="103" xfId="0" applyFont="1" applyBorder="1" applyAlignment="1" applyProtection="1">
      <alignment horizontal="left" vertical="top" wrapText="1"/>
      <protection locked="0"/>
    </xf>
    <xf numFmtId="0" fontId="8" fillId="0" borderId="103" xfId="0" applyFont="1" applyBorder="1" applyAlignment="1" applyProtection="1">
      <alignment vertical="top" wrapText="1"/>
      <protection locked="0"/>
    </xf>
    <xf numFmtId="0" fontId="117" fillId="0" borderId="103" xfId="0" applyFont="1" applyBorder="1" applyAlignment="1" applyProtection="1">
      <alignment horizontal="left" vertical="top" wrapText="1"/>
      <protection locked="0"/>
    </xf>
    <xf numFmtId="0" fontId="115" fillId="0" borderId="75" xfId="0" applyFont="1" applyBorder="1" applyAlignment="1" applyProtection="1">
      <alignment vertical="top" wrapText="1"/>
      <protection locked="0"/>
    </xf>
    <xf numFmtId="0" fontId="8" fillId="0" borderId="103"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117" fillId="0" borderId="92" xfId="0" applyFont="1" applyBorder="1" applyAlignment="1" applyProtection="1">
      <alignment vertical="top" wrapText="1"/>
      <protection locked="0"/>
    </xf>
    <xf numFmtId="0" fontId="17" fillId="0" borderId="49" xfId="0" applyFont="1" applyBorder="1" applyAlignment="1" applyProtection="1">
      <alignment vertical="top" wrapText="1"/>
      <protection locked="0"/>
    </xf>
    <xf numFmtId="0" fontId="86" fillId="0" borderId="19" xfId="0" applyFont="1" applyBorder="1" applyAlignment="1" applyProtection="1">
      <alignment vertical="top" wrapText="1"/>
      <protection locked="0"/>
    </xf>
    <xf numFmtId="0" fontId="86" fillId="0" borderId="49" xfId="0" applyFont="1" applyBorder="1" applyAlignment="1" applyProtection="1">
      <alignment vertical="top" wrapText="1"/>
      <protection locked="0"/>
    </xf>
    <xf numFmtId="0" fontId="119" fillId="0" borderId="20" xfId="0" applyFont="1" applyBorder="1" applyAlignment="1" applyProtection="1">
      <alignment vertical="top" wrapText="1"/>
      <protection locked="0"/>
    </xf>
    <xf numFmtId="0" fontId="117" fillId="0" borderId="75" xfId="0" applyFont="1" applyBorder="1" applyAlignment="1" applyProtection="1">
      <alignment vertical="top" wrapText="1"/>
      <protection locked="0"/>
    </xf>
    <xf numFmtId="0" fontId="119" fillId="0" borderId="72" xfId="0" applyFont="1" applyBorder="1" applyAlignment="1" applyProtection="1">
      <alignment horizontal="left" vertical="center" wrapText="1"/>
      <protection locked="0"/>
    </xf>
    <xf numFmtId="0" fontId="17" fillId="0" borderId="75" xfId="0" applyFont="1" applyBorder="1" applyAlignment="1" applyProtection="1">
      <alignment vertical="top" wrapText="1"/>
      <protection locked="0"/>
    </xf>
    <xf numFmtId="0" fontId="86" fillId="0" borderId="50" xfId="0" applyFont="1" applyBorder="1" applyAlignment="1" applyProtection="1">
      <alignment horizontal="center" vertical="top" wrapText="1"/>
      <protection locked="0"/>
    </xf>
    <xf numFmtId="0" fontId="86" fillId="0" borderId="91" xfId="0" applyFont="1" applyBorder="1" applyAlignment="1" applyProtection="1">
      <alignment horizontal="center" vertical="top" wrapText="1"/>
      <protection locked="0"/>
    </xf>
    <xf numFmtId="0" fontId="86" fillId="0" borderId="92" xfId="0" applyFont="1" applyBorder="1" applyAlignment="1" applyProtection="1">
      <alignment horizontal="center" vertical="top" wrapText="1"/>
      <protection locked="0"/>
    </xf>
    <xf numFmtId="0" fontId="117" fillId="0" borderId="72" xfId="0" applyFont="1" applyBorder="1" applyAlignment="1" applyProtection="1">
      <alignment vertical="top" wrapText="1"/>
      <protection locked="0"/>
    </xf>
    <xf numFmtId="0" fontId="8" fillId="0" borderId="104" xfId="0" applyFont="1" applyBorder="1" applyAlignment="1" applyProtection="1">
      <alignment vertical="top" wrapText="1"/>
      <protection locked="0"/>
    </xf>
    <xf numFmtId="0" fontId="17" fillId="0" borderId="64" xfId="0" applyFont="1" applyBorder="1" applyAlignment="1" applyProtection="1">
      <alignment vertical="top" wrapText="1"/>
      <protection locked="0"/>
    </xf>
    <xf numFmtId="0" fontId="86" fillId="0" borderId="64" xfId="0" applyFont="1" applyBorder="1" applyAlignment="1" applyProtection="1">
      <alignment vertical="top" wrapText="1"/>
      <protection locked="0"/>
    </xf>
    <xf numFmtId="0" fontId="86" fillId="0" borderId="63" xfId="0" applyFont="1" applyBorder="1" applyAlignment="1" applyProtection="1">
      <alignment vertical="top" wrapText="1"/>
      <protection locked="0"/>
    </xf>
    <xf numFmtId="0" fontId="17" fillId="0" borderId="72" xfId="0" applyFont="1" applyBorder="1" applyAlignment="1" applyProtection="1">
      <alignment horizontal="left" vertical="top" wrapText="1" indent="1"/>
      <protection locked="0"/>
    </xf>
    <xf numFmtId="0" fontId="86" fillId="0" borderId="72" xfId="0" applyFont="1" applyBorder="1" applyAlignment="1" applyProtection="1">
      <alignment vertical="top" wrapText="1"/>
      <protection locked="0"/>
    </xf>
    <xf numFmtId="0" fontId="86" fillId="0" borderId="72" xfId="0" applyFont="1" applyBorder="1" applyAlignment="1" applyProtection="1">
      <alignment horizontal="left" vertical="top" wrapText="1" indent="1"/>
      <protection locked="0"/>
    </xf>
    <xf numFmtId="0" fontId="17" fillId="0" borderId="72" xfId="0" applyFont="1" applyBorder="1" applyAlignment="1" applyProtection="1">
      <alignment horizontal="right" vertical="top" wrapText="1"/>
      <protection locked="0"/>
    </xf>
    <xf numFmtId="0" fontId="17" fillId="0" borderId="75" xfId="0" applyFont="1" applyBorder="1" applyAlignment="1" applyProtection="1">
      <alignment horizontal="left" vertical="top" wrapText="1" indent="1"/>
      <protection locked="0"/>
    </xf>
    <xf numFmtId="0" fontId="86" fillId="0" borderId="50" xfId="0" applyFont="1" applyBorder="1" applyAlignment="1" applyProtection="1">
      <alignment vertical="top" wrapText="1"/>
      <protection locked="0"/>
    </xf>
    <xf numFmtId="0" fontId="17" fillId="0" borderId="70" xfId="0" applyFont="1" applyBorder="1" applyAlignment="1" applyProtection="1">
      <alignment vertical="top" wrapText="1"/>
      <protection locked="0"/>
    </xf>
    <xf numFmtId="0" fontId="17" fillId="0" borderId="61" xfId="0" applyFont="1" applyBorder="1" applyAlignment="1" applyProtection="1">
      <alignment vertical="top" wrapText="1"/>
      <protection locked="0"/>
    </xf>
    <xf numFmtId="0" fontId="86" fillId="0" borderId="91" xfId="0" applyFont="1" applyBorder="1" applyAlignment="1" applyProtection="1">
      <alignment vertical="top" wrapText="1"/>
      <protection locked="0"/>
    </xf>
    <xf numFmtId="0" fontId="17" fillId="0" borderId="72" xfId="0" applyFont="1" applyBorder="1" applyAlignment="1" applyProtection="1">
      <alignment horizontal="left" vertical="top" wrapText="1" indent="3"/>
      <protection locked="0"/>
    </xf>
    <xf numFmtId="0" fontId="117" fillId="0" borderId="61" xfId="0" applyFont="1" applyBorder="1" applyAlignment="1" applyProtection="1">
      <alignment vertical="top" wrapText="1"/>
      <protection locked="0"/>
    </xf>
    <xf numFmtId="0" fontId="75" fillId="0" borderId="61" xfId="0" applyFont="1" applyBorder="1" applyAlignment="1" applyProtection="1">
      <alignment vertical="top" wrapText="1"/>
      <protection locked="0"/>
    </xf>
    <xf numFmtId="0" fontId="75" fillId="0" borderId="80" xfId="0" applyFont="1" applyBorder="1" applyAlignment="1" applyProtection="1">
      <alignment vertical="top" wrapText="1"/>
      <protection locked="0"/>
    </xf>
    <xf numFmtId="0" fontId="17" fillId="0" borderId="73" xfId="0" applyFont="1" applyBorder="1" applyAlignment="1" applyProtection="1">
      <alignment vertical="top" wrapText="1"/>
      <protection locked="0"/>
    </xf>
    <xf numFmtId="0" fontId="17" fillId="0" borderId="64" xfId="0" applyFont="1" applyBorder="1" applyAlignment="1" applyProtection="1">
      <alignment vertical="top" wrapText="1"/>
      <protection locked="0"/>
    </xf>
    <xf numFmtId="0" fontId="17" fillId="0" borderId="63" xfId="0" applyFont="1" applyBorder="1" applyAlignment="1" applyProtection="1">
      <alignment vertical="top" wrapText="1"/>
      <protection locked="0"/>
    </xf>
    <xf numFmtId="0" fontId="80" fillId="65" borderId="65" xfId="0" applyFont="1" applyFill="1" applyBorder="1" applyAlignment="1" applyProtection="1">
      <alignment horizontal="center" vertical="center" wrapText="1"/>
    </xf>
    <xf numFmtId="0" fontId="80" fillId="65" borderId="66" xfId="0" applyFont="1" applyFill="1" applyBorder="1" applyAlignment="1" applyProtection="1">
      <alignment horizontal="center" vertical="center" wrapText="1"/>
    </xf>
    <xf numFmtId="0" fontId="80" fillId="65" borderId="67" xfId="0" applyFont="1" applyFill="1" applyBorder="1" applyAlignment="1" applyProtection="1">
      <alignment horizontal="center" vertical="center" wrapText="1"/>
    </xf>
    <xf numFmtId="0" fontId="80" fillId="65" borderId="97" xfId="0" applyFont="1" applyFill="1" applyBorder="1" applyAlignment="1" applyProtection="1">
      <alignment horizontal="left" vertical="center" wrapText="1"/>
    </xf>
    <xf numFmtId="0" fontId="80" fillId="65" borderId="98" xfId="0" applyFont="1" applyFill="1" applyBorder="1" applyAlignment="1" applyProtection="1">
      <alignment horizontal="left" vertical="center" wrapText="1"/>
    </xf>
    <xf numFmtId="0" fontId="80" fillId="65" borderId="99" xfId="0" applyFont="1" applyFill="1" applyBorder="1" applyAlignment="1" applyProtection="1">
      <alignment horizontal="left" vertical="center" wrapText="1"/>
    </xf>
    <xf numFmtId="0" fontId="8" fillId="65" borderId="100" xfId="0" applyFont="1" applyFill="1" applyBorder="1" applyAlignment="1" applyProtection="1">
      <alignment horizontal="center" vertical="center" wrapText="1"/>
    </xf>
    <xf numFmtId="0" fontId="8" fillId="65" borderId="101" xfId="0" applyFont="1" applyFill="1" applyBorder="1" applyAlignment="1" applyProtection="1">
      <alignment horizontal="center" vertical="center" wrapText="1"/>
    </xf>
    <xf numFmtId="0" fontId="8" fillId="65" borderId="102" xfId="0" applyFont="1" applyFill="1" applyBorder="1" applyAlignment="1" applyProtection="1">
      <alignment horizontal="center" vertical="center" wrapText="1"/>
    </xf>
  </cellXfs>
  <cellStyles count="546">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2" xfId="228" xr:uid="{00000000-0005-0000-0000-0000D8000000}"/>
    <cellStyle name="Accent2 2" xfId="216" xr:uid="{00000000-0005-0000-0000-0000D9000000}"/>
    <cellStyle name="Accent2 3" xfId="217" xr:uid="{00000000-0005-0000-0000-0000DA000000}"/>
    <cellStyle name="Accent3" xfId="231" xr:uid="{00000000-0005-0000-0000-0000DB000000}"/>
    <cellStyle name="Accent3 2" xfId="218" xr:uid="{00000000-0005-0000-0000-0000DC000000}"/>
    <cellStyle name="Accent4" xfId="234" xr:uid="{00000000-0005-0000-0000-0000DD000000}"/>
    <cellStyle name="Accent4 2" xfId="219" xr:uid="{00000000-0005-0000-0000-0000DE000000}"/>
    <cellStyle name="Accent4 3" xfId="220" xr:uid="{00000000-0005-0000-0000-0000DF000000}"/>
    <cellStyle name="Accent4 3 2" xfId="221" xr:uid="{00000000-0005-0000-0000-0000E0000000}"/>
    <cellStyle name="Accent4 4" xfId="222" xr:uid="{00000000-0005-0000-0000-0000E1000000}"/>
    <cellStyle name="Accent5" xfId="237" xr:uid="{00000000-0005-0000-0000-0000E2000000}"/>
    <cellStyle name="Accent5 2" xfId="223" xr:uid="{00000000-0005-0000-0000-0000E3000000}"/>
    <cellStyle name="Accent6" xfId="240" xr:uid="{00000000-0005-0000-0000-0000E4000000}"/>
    <cellStyle name="Accent6 2" xfId="224" xr:uid="{00000000-0005-0000-0000-0000E5000000}"/>
    <cellStyle name="Akzent1 2" xfId="226" xr:uid="{00000000-0005-0000-0000-0000E6000000}"/>
    <cellStyle name="Akzent1 3" xfId="227" xr:uid="{00000000-0005-0000-0000-0000E7000000}"/>
    <cellStyle name="Akzent2 2" xfId="229" xr:uid="{00000000-0005-0000-0000-0000E8000000}"/>
    <cellStyle name="Akzent2 3" xfId="230" xr:uid="{00000000-0005-0000-0000-0000E9000000}"/>
    <cellStyle name="Akzent3 2" xfId="232" xr:uid="{00000000-0005-0000-0000-0000EA000000}"/>
    <cellStyle name="Akzent3 3" xfId="233" xr:uid="{00000000-0005-0000-0000-0000EB000000}"/>
    <cellStyle name="Akzent4 2" xfId="235" xr:uid="{00000000-0005-0000-0000-0000EC000000}"/>
    <cellStyle name="Akzent4 3" xfId="236" xr:uid="{00000000-0005-0000-0000-0000ED000000}"/>
    <cellStyle name="Akzent5 2" xfId="238" xr:uid="{00000000-0005-0000-0000-0000EE000000}"/>
    <cellStyle name="Akzent5 3" xfId="239" xr:uid="{00000000-0005-0000-0000-0000EF000000}"/>
    <cellStyle name="Akzent6 2" xfId="241" xr:uid="{00000000-0005-0000-0000-0000F0000000}"/>
    <cellStyle name="Akzent6 3" xfId="242" xr:uid="{00000000-0005-0000-0000-0000F1000000}"/>
    <cellStyle name="Ausgabe 2" xfId="243" xr:uid="{00000000-0005-0000-0000-0000F2000000}"/>
    <cellStyle name="Ausgabe 2 2" xfId="244" xr:uid="{00000000-0005-0000-0000-0000F3000000}"/>
    <cellStyle name="Ausgabe 2 2 2" xfId="245" xr:uid="{00000000-0005-0000-0000-0000F4000000}"/>
    <cellStyle name="Ausgabe 2 2 3" xfId="246" xr:uid="{00000000-0005-0000-0000-0000F5000000}"/>
    <cellStyle name="Ausgabe 2 3" xfId="247" xr:uid="{00000000-0005-0000-0000-0000F6000000}"/>
    <cellStyle name="Ausgabe 2 3 2" xfId="248" xr:uid="{00000000-0005-0000-0000-0000F7000000}"/>
    <cellStyle name="Ausgabe 2 3 2 2" xfId="249" xr:uid="{00000000-0005-0000-0000-0000F8000000}"/>
    <cellStyle name="Ausgabe 2 3 3" xfId="250" xr:uid="{00000000-0005-0000-0000-0000F9000000}"/>
    <cellStyle name="Ausgabe 2 4" xfId="251" xr:uid="{00000000-0005-0000-0000-0000FA000000}"/>
    <cellStyle name="Ausgabe 2 5" xfId="252" xr:uid="{00000000-0005-0000-0000-0000FB000000}"/>
    <cellStyle name="Ausgabe 3" xfId="253" xr:uid="{00000000-0005-0000-0000-0000FC000000}"/>
    <cellStyle name="Ausgabe 3 2" xfId="254" xr:uid="{00000000-0005-0000-0000-0000FD000000}"/>
    <cellStyle name="Ausgabe 3 3" xfId="255" xr:uid="{00000000-0005-0000-0000-0000FE000000}"/>
    <cellStyle name="Ausgabe 4" xfId="256" xr:uid="{00000000-0005-0000-0000-0000FF000000}"/>
    <cellStyle name="Ausgabe 5" xfId="257" xr:uid="{00000000-0005-0000-0000-000000010000}"/>
    <cellStyle name="Ausgabe 6" xfId="258" xr:uid="{00000000-0005-0000-0000-000001010000}"/>
    <cellStyle name="Ausgabe 7" xfId="259" xr:uid="{00000000-0005-0000-0000-000002010000}"/>
    <cellStyle name="Ausgabe 7 2" xfId="260" xr:uid="{00000000-0005-0000-0000-000003010000}"/>
    <cellStyle name="Ausgabe 7 3" xfId="261" xr:uid="{00000000-0005-0000-0000-000004010000}"/>
    <cellStyle name="Ausgabe 7 3 2" xfId="262" xr:uid="{00000000-0005-0000-0000-000005010000}"/>
    <cellStyle name="Ausgabe 7 4" xfId="263" xr:uid="{00000000-0005-0000-0000-000006010000}"/>
    <cellStyle name="Ausgabe 8" xfId="264" xr:uid="{00000000-0005-0000-0000-000007010000}"/>
    <cellStyle name="Ausgabe 8 2" xfId="265" xr:uid="{00000000-0005-0000-0000-000008010000}"/>
    <cellStyle name="Bad" xfId="473" xr:uid="{00000000-0005-0000-0000-000009010000}"/>
    <cellStyle name="Bad 2" xfId="266" xr:uid="{00000000-0005-0000-0000-00000A010000}"/>
    <cellStyle name="Berechnung 2" xfId="267" xr:uid="{00000000-0005-0000-0000-00000B010000}"/>
    <cellStyle name="Berechnung 2 2" xfId="268" xr:uid="{00000000-0005-0000-0000-00000C010000}"/>
    <cellStyle name="Berechnung 2 3" xfId="269" xr:uid="{00000000-0005-0000-0000-00000D010000}"/>
    <cellStyle name="Berechnung 2 3 2" xfId="270" xr:uid="{00000000-0005-0000-0000-00000E010000}"/>
    <cellStyle name="Berechnung 2 3 2 2" xfId="271" xr:uid="{00000000-0005-0000-0000-00000F010000}"/>
    <cellStyle name="Berechnung 2 3 3" xfId="272" xr:uid="{00000000-0005-0000-0000-000010010000}"/>
    <cellStyle name="Berechnung 2 4" xfId="273" xr:uid="{00000000-0005-0000-0000-000011010000}"/>
    <cellStyle name="Berechnung 3" xfId="274" xr:uid="{00000000-0005-0000-0000-000012010000}"/>
    <cellStyle name="Berechnung 4" xfId="275" xr:uid="{00000000-0005-0000-0000-000013010000}"/>
    <cellStyle name="Berechnung 5" xfId="276" xr:uid="{00000000-0005-0000-0000-000014010000}"/>
    <cellStyle name="Berechnung 6" xfId="277" xr:uid="{00000000-0005-0000-0000-000015010000}"/>
    <cellStyle name="Berechnung 7" xfId="278" xr:uid="{00000000-0005-0000-0000-000016010000}"/>
    <cellStyle name="Berechnung 7 2" xfId="279" xr:uid="{00000000-0005-0000-0000-000017010000}"/>
    <cellStyle name="Berechnung 7 3" xfId="280" xr:uid="{00000000-0005-0000-0000-000018010000}"/>
    <cellStyle name="Berechnung 8" xfId="281" xr:uid="{00000000-0005-0000-0000-000019010000}"/>
    <cellStyle name="Calculation 2" xfId="282" xr:uid="{00000000-0005-0000-0000-00001A010000}"/>
    <cellStyle name="Check Cell" xfId="538" xr:uid="{00000000-0005-0000-0000-00001B010000}"/>
    <cellStyle name="Check Cell 2" xfId="283" xr:uid="{00000000-0005-0000-0000-00001C010000}"/>
    <cellStyle name="Check Cell 3" xfId="284" xr:uid="{00000000-0005-0000-0000-00001D010000}"/>
    <cellStyle name="Check Cell 4" xfId="285" xr:uid="{00000000-0005-0000-0000-00001E010000}"/>
    <cellStyle name="Eingabe 2" xfId="286" xr:uid="{00000000-0005-0000-0000-00001F010000}"/>
    <cellStyle name="Eingabe 3" xfId="287" xr:uid="{00000000-0005-0000-0000-000020010000}"/>
    <cellStyle name="Eingabe 4" xfId="288" xr:uid="{00000000-0005-0000-0000-000021010000}"/>
    <cellStyle name="Eingabe 5" xfId="289" xr:uid="{00000000-0005-0000-0000-000022010000}"/>
    <cellStyle name="Eingabe 6" xfId="290" xr:uid="{00000000-0005-0000-0000-000023010000}"/>
    <cellStyle name="Eingabe 7" xfId="291" xr:uid="{00000000-0005-0000-0000-000024010000}"/>
    <cellStyle name="Ergebnis 2" xfId="292" xr:uid="{00000000-0005-0000-0000-000025010000}"/>
    <cellStyle name="Ergebnis 2 2" xfId="293" xr:uid="{00000000-0005-0000-0000-000026010000}"/>
    <cellStyle name="Ergebnis 2 2 2" xfId="294" xr:uid="{00000000-0005-0000-0000-000027010000}"/>
    <cellStyle name="Ergebnis 2 3" xfId="295" xr:uid="{00000000-0005-0000-0000-000028010000}"/>
    <cellStyle name="Ergebnis 2 4" xfId="296" xr:uid="{00000000-0005-0000-0000-000029010000}"/>
    <cellStyle name="Ergebnis 2 4 2" xfId="297" xr:uid="{00000000-0005-0000-0000-00002A010000}"/>
    <cellStyle name="Ergebnis 2 4 2 2" xfId="298" xr:uid="{00000000-0005-0000-0000-00002B010000}"/>
    <cellStyle name="Ergebnis 2 4 3" xfId="299" xr:uid="{00000000-0005-0000-0000-00002C010000}"/>
    <cellStyle name="Ergebnis 2 5" xfId="300" xr:uid="{00000000-0005-0000-0000-00002D010000}"/>
    <cellStyle name="Ergebnis 3" xfId="301" xr:uid="{00000000-0005-0000-0000-00002E010000}"/>
    <cellStyle name="Ergebnis 3 2" xfId="302" xr:uid="{00000000-0005-0000-0000-00002F010000}"/>
    <cellStyle name="Ergebnis 4" xfId="303" xr:uid="{00000000-0005-0000-0000-000030010000}"/>
    <cellStyle name="Ergebnis 4 2" xfId="304" xr:uid="{00000000-0005-0000-0000-000031010000}"/>
    <cellStyle name="Ergebnis 5" xfId="305" xr:uid="{00000000-0005-0000-0000-000032010000}"/>
    <cellStyle name="Ergebnis 6" xfId="306" xr:uid="{00000000-0005-0000-0000-000033010000}"/>
    <cellStyle name="Ergebnis 7" xfId="307" xr:uid="{00000000-0005-0000-0000-000034010000}"/>
    <cellStyle name="Ergebnis 8" xfId="308" xr:uid="{00000000-0005-0000-0000-000035010000}"/>
    <cellStyle name="Ergebnis 8 2" xfId="309" xr:uid="{00000000-0005-0000-0000-000036010000}"/>
    <cellStyle name="Ergebnis 8 3" xfId="310" xr:uid="{00000000-0005-0000-0000-000037010000}"/>
    <cellStyle name="Ergebnis 9" xfId="311" xr:uid="{00000000-0005-0000-0000-000038010000}"/>
    <cellStyle name="Erklärender Text 2" xfId="312" xr:uid="{00000000-0005-0000-0000-000039010000}"/>
    <cellStyle name="Erklärender Text 3" xfId="313" xr:uid="{00000000-0005-0000-0000-00003A010000}"/>
    <cellStyle name="Erklärender Text 4" xfId="314" xr:uid="{00000000-0005-0000-0000-00003B010000}"/>
    <cellStyle name="Erklärender Text 5" xfId="315" xr:uid="{00000000-0005-0000-0000-00003C010000}"/>
    <cellStyle name="Erklärender Text 6" xfId="316" xr:uid="{00000000-0005-0000-0000-00003D010000}"/>
    <cellStyle name="Good" xfId="318" xr:uid="{00000000-0005-0000-0000-00003E010000}"/>
    <cellStyle name="Good 2" xfId="317" xr:uid="{00000000-0005-0000-0000-00003F010000}"/>
    <cellStyle name="Gut 2" xfId="319" xr:uid="{00000000-0005-0000-0000-000040010000}"/>
    <cellStyle name="Gut 3" xfId="320" xr:uid="{00000000-0005-0000-0000-000041010000}"/>
    <cellStyle name="Heading 1" xfId="513" xr:uid="{00000000-0005-0000-0000-000042010000}"/>
    <cellStyle name="Heading 1 2" xfId="321" xr:uid="{00000000-0005-0000-0000-000043010000}"/>
    <cellStyle name="Heading 1 2 2" xfId="322" xr:uid="{00000000-0005-0000-0000-000044010000}"/>
    <cellStyle name="Heading 1 3" xfId="323" xr:uid="{00000000-0005-0000-0000-000045010000}"/>
    <cellStyle name="Heading 2" xfId="516" xr:uid="{00000000-0005-0000-0000-000046010000}"/>
    <cellStyle name="Heading 2 2" xfId="324" xr:uid="{00000000-0005-0000-0000-000047010000}"/>
    <cellStyle name="Heading 2 2 2" xfId="325" xr:uid="{00000000-0005-0000-0000-000048010000}"/>
    <cellStyle name="Heading 2 3" xfId="326" xr:uid="{00000000-0005-0000-0000-000049010000}"/>
    <cellStyle name="Heading 3" xfId="519" xr:uid="{00000000-0005-0000-0000-00004A010000}"/>
    <cellStyle name="Heading 3 2" xfId="327" xr:uid="{00000000-0005-0000-0000-00004B010000}"/>
    <cellStyle name="Heading 3 2 2" xfId="328" xr:uid="{00000000-0005-0000-0000-00004C010000}"/>
    <cellStyle name="Heading 3 3" xfId="329" xr:uid="{00000000-0005-0000-0000-00004D010000}"/>
    <cellStyle name="Heading 4" xfId="522" xr:uid="{00000000-0005-0000-0000-00004E010000}"/>
    <cellStyle name="Heading 4 2" xfId="330" xr:uid="{00000000-0005-0000-0000-00004F010000}"/>
    <cellStyle name="Heading 4 2 2" xfId="331" xr:uid="{00000000-0005-0000-0000-000050010000}"/>
    <cellStyle name="Heading 4 3" xfId="332" xr:uid="{00000000-0005-0000-0000-000051010000}"/>
    <cellStyle name="Input 2" xfId="333" xr:uid="{00000000-0005-0000-0000-000052010000}"/>
    <cellStyle name="Linked Cell" xfId="527" xr:uid="{00000000-0005-0000-0000-000053010000}"/>
    <cellStyle name="Linked Cell 2" xfId="334" xr:uid="{00000000-0005-0000-0000-000054010000}"/>
    <cellStyle name="Neutral" xfId="335" builtinId="28" customBuiltin="1"/>
    <cellStyle name="Normal" xfId="0" builtinId="0"/>
    <cellStyle name="Normal 2" xfId="336" xr:uid="{00000000-0005-0000-0000-000056010000}"/>
    <cellStyle name="Note" xfId="342" xr:uid="{00000000-0005-0000-0000-000057010000}"/>
    <cellStyle name="Note 2" xfId="337" xr:uid="{00000000-0005-0000-0000-000058010000}"/>
    <cellStyle name="Note 2 2" xfId="338" xr:uid="{00000000-0005-0000-0000-000059010000}"/>
    <cellStyle name="Note 3" xfId="339" xr:uid="{00000000-0005-0000-0000-00005A010000}"/>
    <cellStyle name="Note 4" xfId="340" xr:uid="{00000000-0005-0000-0000-00005B010000}"/>
    <cellStyle name="Note 5" xfId="341" xr:uid="{00000000-0005-0000-0000-00005C010000}"/>
    <cellStyle name="Notiz 2" xfId="343" xr:uid="{00000000-0005-0000-0000-00005D010000}"/>
    <cellStyle name="Notiz 2 2" xfId="344" xr:uid="{00000000-0005-0000-0000-00005E010000}"/>
    <cellStyle name="Notiz 2 2 2" xfId="345" xr:uid="{00000000-0005-0000-0000-00005F010000}"/>
    <cellStyle name="Notiz 2 2 2 2" xfId="346" xr:uid="{00000000-0005-0000-0000-000060010000}"/>
    <cellStyle name="Notiz 2 2 2 2 2" xfId="347" xr:uid="{00000000-0005-0000-0000-000061010000}"/>
    <cellStyle name="Notiz 2 2 2 3" xfId="348" xr:uid="{00000000-0005-0000-0000-000062010000}"/>
    <cellStyle name="Notiz 2 2 3" xfId="349" xr:uid="{00000000-0005-0000-0000-000063010000}"/>
    <cellStyle name="Notiz 2 2 3 2" xfId="350" xr:uid="{00000000-0005-0000-0000-000064010000}"/>
    <cellStyle name="Notiz 2 2 4" xfId="351" xr:uid="{00000000-0005-0000-0000-000065010000}"/>
    <cellStyle name="Notiz 2 2 4 2" xfId="352" xr:uid="{00000000-0005-0000-0000-000066010000}"/>
    <cellStyle name="Notiz 2 2 4 3" xfId="353" xr:uid="{00000000-0005-0000-0000-000067010000}"/>
    <cellStyle name="Notiz 2 2 4 3 2" xfId="354" xr:uid="{00000000-0005-0000-0000-000068010000}"/>
    <cellStyle name="Notiz 2 2 4 3 3" xfId="355" xr:uid="{00000000-0005-0000-0000-000069010000}"/>
    <cellStyle name="Notiz 2 2 4 4" xfId="356" xr:uid="{00000000-0005-0000-0000-00006A010000}"/>
    <cellStyle name="Notiz 2 2 5" xfId="357" xr:uid="{00000000-0005-0000-0000-00006B010000}"/>
    <cellStyle name="Notiz 2 2 5 2" xfId="358" xr:uid="{00000000-0005-0000-0000-00006C010000}"/>
    <cellStyle name="Notiz 2 2 5 3" xfId="359" xr:uid="{00000000-0005-0000-0000-00006D010000}"/>
    <cellStyle name="Notiz 2 2 5 4" xfId="360" xr:uid="{00000000-0005-0000-0000-00006E010000}"/>
    <cellStyle name="Notiz 2 3" xfId="361" xr:uid="{00000000-0005-0000-0000-00006F010000}"/>
    <cellStyle name="Notiz 2 3 2" xfId="362" xr:uid="{00000000-0005-0000-0000-000070010000}"/>
    <cellStyle name="Notiz 2 3 2 2" xfId="363" xr:uid="{00000000-0005-0000-0000-000071010000}"/>
    <cellStyle name="Notiz 2 3 3" xfId="364" xr:uid="{00000000-0005-0000-0000-000072010000}"/>
    <cellStyle name="Notiz 2 4" xfId="365" xr:uid="{00000000-0005-0000-0000-000073010000}"/>
    <cellStyle name="Notiz 2 4 2" xfId="366" xr:uid="{00000000-0005-0000-0000-000074010000}"/>
    <cellStyle name="Notiz 2 5" xfId="367" xr:uid="{00000000-0005-0000-0000-000075010000}"/>
    <cellStyle name="Notiz 3" xfId="368" xr:uid="{00000000-0005-0000-0000-000076010000}"/>
    <cellStyle name="Notiz 3 2" xfId="369" xr:uid="{00000000-0005-0000-0000-000077010000}"/>
    <cellStyle name="Notiz 3 2 2" xfId="370" xr:uid="{00000000-0005-0000-0000-000078010000}"/>
    <cellStyle name="Notiz 3 2 2 2" xfId="371" xr:uid="{00000000-0005-0000-0000-000079010000}"/>
    <cellStyle name="Notiz 3 2 3" xfId="372" xr:uid="{00000000-0005-0000-0000-00007A010000}"/>
    <cellStyle name="Notiz 3 3" xfId="373" xr:uid="{00000000-0005-0000-0000-00007B010000}"/>
    <cellStyle name="Notiz 3 3 2" xfId="374" xr:uid="{00000000-0005-0000-0000-00007C010000}"/>
    <cellStyle name="Notiz 3 4" xfId="375" xr:uid="{00000000-0005-0000-0000-00007D010000}"/>
    <cellStyle name="Notiz 4" xfId="376" xr:uid="{00000000-0005-0000-0000-00007E010000}"/>
    <cellStyle name="Notiz 4 2" xfId="377" xr:uid="{00000000-0005-0000-0000-00007F010000}"/>
    <cellStyle name="Notiz 4 2 2" xfId="378" xr:uid="{00000000-0005-0000-0000-000080010000}"/>
    <cellStyle name="Notiz 4 3" xfId="379" xr:uid="{00000000-0005-0000-0000-000081010000}"/>
    <cellStyle name="Notiz 5" xfId="380" xr:uid="{00000000-0005-0000-0000-000082010000}"/>
    <cellStyle name="Notiz 5 2" xfId="381" xr:uid="{00000000-0005-0000-0000-000083010000}"/>
    <cellStyle name="Notiz 5 2 2" xfId="382" xr:uid="{00000000-0005-0000-0000-000084010000}"/>
    <cellStyle name="Notiz 5 3" xfId="383" xr:uid="{00000000-0005-0000-0000-000085010000}"/>
    <cellStyle name="Notiz 6" xfId="384" xr:uid="{00000000-0005-0000-0000-000086010000}"/>
    <cellStyle name="Notiz 6 2" xfId="385" xr:uid="{00000000-0005-0000-0000-000087010000}"/>
    <cellStyle name="Notiz 7" xfId="386" xr:uid="{00000000-0005-0000-0000-000088010000}"/>
    <cellStyle name="Notiz 8" xfId="387" xr:uid="{00000000-0005-0000-0000-000089010000}"/>
    <cellStyle name="Output 2" xfId="388" xr:uid="{00000000-0005-0000-0000-00008A010000}"/>
    <cellStyle name="Percent 2" xfId="545" xr:uid="{00000000-0005-0000-0000-00008B010000}"/>
    <cellStyle name="Prozent 10" xfId="389" xr:uid="{00000000-0005-0000-0000-00008C010000}"/>
    <cellStyle name="Prozent 10 2" xfId="390" xr:uid="{00000000-0005-0000-0000-00008D010000}"/>
    <cellStyle name="Prozent 10 3" xfId="391" xr:uid="{00000000-0005-0000-0000-00008E010000}"/>
    <cellStyle name="Prozent 10 4" xfId="392" xr:uid="{00000000-0005-0000-0000-00008F010000}"/>
    <cellStyle name="Prozent 11" xfId="393" xr:uid="{00000000-0005-0000-0000-000090010000}"/>
    <cellStyle name="Prozent 12" xfId="394" xr:uid="{00000000-0005-0000-0000-000091010000}"/>
    <cellStyle name="Prozent 2" xfId="395" xr:uid="{00000000-0005-0000-0000-000092010000}"/>
    <cellStyle name="Prozent 3" xfId="396" xr:uid="{00000000-0005-0000-0000-000093010000}"/>
    <cellStyle name="Prozent 3 2" xfId="397" xr:uid="{00000000-0005-0000-0000-000094010000}"/>
    <cellStyle name="Prozent 3 2 2" xfId="398" xr:uid="{00000000-0005-0000-0000-000095010000}"/>
    <cellStyle name="Prozent 3 2 2 2" xfId="399" xr:uid="{00000000-0005-0000-0000-000096010000}"/>
    <cellStyle name="Prozent 3 2 2 2 2" xfId="400" xr:uid="{00000000-0005-0000-0000-000097010000}"/>
    <cellStyle name="Prozent 3 2 2 3" xfId="401" xr:uid="{00000000-0005-0000-0000-000098010000}"/>
    <cellStyle name="Prozent 3 2 3" xfId="402" xr:uid="{00000000-0005-0000-0000-000099010000}"/>
    <cellStyle name="Prozent 3 2 3 2" xfId="403" xr:uid="{00000000-0005-0000-0000-00009A010000}"/>
    <cellStyle name="Prozent 3 2 4" xfId="404" xr:uid="{00000000-0005-0000-0000-00009B010000}"/>
    <cellStyle name="Prozent 3 2 4 2" xfId="405" xr:uid="{00000000-0005-0000-0000-00009C010000}"/>
    <cellStyle name="Prozent 3 2 4 3" xfId="406" xr:uid="{00000000-0005-0000-0000-00009D010000}"/>
    <cellStyle name="Prozent 3 2 5" xfId="407" xr:uid="{00000000-0005-0000-0000-00009E010000}"/>
    <cellStyle name="Prozent 3 3" xfId="408" xr:uid="{00000000-0005-0000-0000-00009F010000}"/>
    <cellStyle name="Prozent 3 3 2" xfId="409" xr:uid="{00000000-0005-0000-0000-0000A0010000}"/>
    <cellStyle name="Prozent 3 3 2 2" xfId="410" xr:uid="{00000000-0005-0000-0000-0000A1010000}"/>
    <cellStyle name="Prozent 3 3 3" xfId="411" xr:uid="{00000000-0005-0000-0000-0000A2010000}"/>
    <cellStyle name="Prozent 3 4" xfId="412" xr:uid="{00000000-0005-0000-0000-0000A3010000}"/>
    <cellStyle name="Prozent 3 4 2" xfId="413" xr:uid="{00000000-0005-0000-0000-0000A4010000}"/>
    <cellStyle name="Prozent 3 5" xfId="414" xr:uid="{00000000-0005-0000-0000-0000A5010000}"/>
    <cellStyle name="Prozent 4" xfId="415" xr:uid="{00000000-0005-0000-0000-0000A6010000}"/>
    <cellStyle name="Prozent 4 2" xfId="416" xr:uid="{00000000-0005-0000-0000-0000A7010000}"/>
    <cellStyle name="Prozent 4 2 2" xfId="417" xr:uid="{00000000-0005-0000-0000-0000A8010000}"/>
    <cellStyle name="Prozent 4 2 2 2" xfId="418" xr:uid="{00000000-0005-0000-0000-0000A9010000}"/>
    <cellStyle name="Prozent 4 2 2 2 2" xfId="419" xr:uid="{00000000-0005-0000-0000-0000AA010000}"/>
    <cellStyle name="Prozent 4 2 2 3" xfId="420" xr:uid="{00000000-0005-0000-0000-0000AB010000}"/>
    <cellStyle name="Prozent 4 2 3" xfId="421" xr:uid="{00000000-0005-0000-0000-0000AC010000}"/>
    <cellStyle name="Prozent 4 2 3 2" xfId="422" xr:uid="{00000000-0005-0000-0000-0000AD010000}"/>
    <cellStyle name="Prozent 4 2 4" xfId="423" xr:uid="{00000000-0005-0000-0000-0000AE010000}"/>
    <cellStyle name="Prozent 4 3" xfId="424" xr:uid="{00000000-0005-0000-0000-0000AF010000}"/>
    <cellStyle name="Prozent 4 3 2" xfId="425" xr:uid="{00000000-0005-0000-0000-0000B0010000}"/>
    <cellStyle name="Prozent 4 3 2 2" xfId="426" xr:uid="{00000000-0005-0000-0000-0000B1010000}"/>
    <cellStyle name="Prozent 4 3 3" xfId="427" xr:uid="{00000000-0005-0000-0000-0000B2010000}"/>
    <cellStyle name="Prozent 4 3 3 2" xfId="428" xr:uid="{00000000-0005-0000-0000-0000B3010000}"/>
    <cellStyle name="Prozent 4 3 4" xfId="429" xr:uid="{00000000-0005-0000-0000-0000B4010000}"/>
    <cellStyle name="Prozent 4 3 4 2" xfId="430" xr:uid="{00000000-0005-0000-0000-0000B5010000}"/>
    <cellStyle name="Prozent 4 3 4 3" xfId="431" xr:uid="{00000000-0005-0000-0000-0000B6010000}"/>
    <cellStyle name="Prozent 4 3 4 4" xfId="432" xr:uid="{00000000-0005-0000-0000-0000B7010000}"/>
    <cellStyle name="Prozent 4 4" xfId="433" xr:uid="{00000000-0005-0000-0000-0000B8010000}"/>
    <cellStyle name="Prozent 4 4 2" xfId="434" xr:uid="{00000000-0005-0000-0000-0000B9010000}"/>
    <cellStyle name="Prozent 4 5" xfId="435" xr:uid="{00000000-0005-0000-0000-0000BA010000}"/>
    <cellStyle name="Prozent 5" xfId="436" xr:uid="{00000000-0005-0000-0000-0000BB010000}"/>
    <cellStyle name="Prozent 5 2" xfId="437" xr:uid="{00000000-0005-0000-0000-0000BC010000}"/>
    <cellStyle name="Prozent 5 2 2" xfId="438" xr:uid="{00000000-0005-0000-0000-0000BD010000}"/>
    <cellStyle name="Prozent 5 2 2 2" xfId="439" xr:uid="{00000000-0005-0000-0000-0000BE010000}"/>
    <cellStyle name="Prozent 5 2 3" xfId="440" xr:uid="{00000000-0005-0000-0000-0000BF010000}"/>
    <cellStyle name="Prozent 5 3" xfId="441" xr:uid="{00000000-0005-0000-0000-0000C0010000}"/>
    <cellStyle name="Prozent 5 3 2" xfId="442" xr:uid="{00000000-0005-0000-0000-0000C1010000}"/>
    <cellStyle name="Prozent 5 4" xfId="443" xr:uid="{00000000-0005-0000-0000-0000C2010000}"/>
    <cellStyle name="Prozent 5 4 2" xfId="444" xr:uid="{00000000-0005-0000-0000-0000C3010000}"/>
    <cellStyle name="Prozent 5 4 3" xfId="445" xr:uid="{00000000-0005-0000-0000-0000C4010000}"/>
    <cellStyle name="Prozent 5 4 3 2" xfId="446" xr:uid="{00000000-0005-0000-0000-0000C5010000}"/>
    <cellStyle name="Prozent 5 4 3 3" xfId="447" xr:uid="{00000000-0005-0000-0000-0000C6010000}"/>
    <cellStyle name="Prozent 5 4 4" xfId="448" xr:uid="{00000000-0005-0000-0000-0000C7010000}"/>
    <cellStyle name="Prozent 5 5" xfId="449" xr:uid="{00000000-0005-0000-0000-0000C8010000}"/>
    <cellStyle name="Prozent 5 5 2" xfId="450" xr:uid="{00000000-0005-0000-0000-0000C9010000}"/>
    <cellStyle name="Prozent 5 5 3" xfId="451" xr:uid="{00000000-0005-0000-0000-0000CA010000}"/>
    <cellStyle name="Prozent 5 5 4" xfId="452" xr:uid="{00000000-0005-0000-0000-0000CB010000}"/>
    <cellStyle name="Prozent 6" xfId="453" xr:uid="{00000000-0005-0000-0000-0000CC010000}"/>
    <cellStyle name="Prozent 6 2" xfId="454" xr:uid="{00000000-0005-0000-0000-0000CD010000}"/>
    <cellStyle name="Prozent 6 2 2" xfId="455" xr:uid="{00000000-0005-0000-0000-0000CE010000}"/>
    <cellStyle name="Prozent 6 3" xfId="456" xr:uid="{00000000-0005-0000-0000-0000CF010000}"/>
    <cellStyle name="Prozent 7" xfId="457" xr:uid="{00000000-0005-0000-0000-0000D0010000}"/>
    <cellStyle name="Prozent 7 2" xfId="458" xr:uid="{00000000-0005-0000-0000-0000D1010000}"/>
    <cellStyle name="Prozent 7 2 2" xfId="459" xr:uid="{00000000-0005-0000-0000-0000D2010000}"/>
    <cellStyle name="Prozent 7 3" xfId="460" xr:uid="{00000000-0005-0000-0000-0000D3010000}"/>
    <cellStyle name="Prozent 8" xfId="461" xr:uid="{00000000-0005-0000-0000-0000D4010000}"/>
    <cellStyle name="Prozent 8 2" xfId="462" xr:uid="{00000000-0005-0000-0000-0000D5010000}"/>
    <cellStyle name="Prozent 8 2 2" xfId="463" xr:uid="{00000000-0005-0000-0000-0000D6010000}"/>
    <cellStyle name="Prozent 8 2 3" xfId="464" xr:uid="{00000000-0005-0000-0000-0000D7010000}"/>
    <cellStyle name="Prozent 8 3" xfId="465" xr:uid="{00000000-0005-0000-0000-0000D8010000}"/>
    <cellStyle name="Prozent 8 3 2" xfId="466" xr:uid="{00000000-0005-0000-0000-0000D9010000}"/>
    <cellStyle name="Prozent 8 3 2 2" xfId="467" xr:uid="{00000000-0005-0000-0000-0000DA010000}"/>
    <cellStyle name="Prozent 8 3 2 3" xfId="468" xr:uid="{00000000-0005-0000-0000-0000DB010000}"/>
    <cellStyle name="Prozent 8 3 3" xfId="469" xr:uid="{00000000-0005-0000-0000-0000DC010000}"/>
    <cellStyle name="Prozent 8 3 3 2" xfId="470" xr:uid="{00000000-0005-0000-0000-0000DD010000}"/>
    <cellStyle name="Prozent 8 3 3 3" xfId="471" xr:uid="{00000000-0005-0000-0000-0000DE010000}"/>
    <cellStyle name="Prozent 9" xfId="472" xr:uid="{00000000-0005-0000-0000-0000DF010000}"/>
    <cellStyle name="Schlecht 2" xfId="474" xr:uid="{00000000-0005-0000-0000-0000E0010000}"/>
    <cellStyle name="Schlecht 3" xfId="475" xr:uid="{00000000-0005-0000-0000-0000E1010000}"/>
    <cellStyle name="Standard 2" xfId="476" xr:uid="{00000000-0005-0000-0000-0000E3010000}"/>
    <cellStyle name="Standard 2 2" xfId="477" xr:uid="{00000000-0005-0000-0000-0000E4010000}"/>
    <cellStyle name="Standard 2 2 2" xfId="478" xr:uid="{00000000-0005-0000-0000-0000E5010000}"/>
    <cellStyle name="Standard 2 2 3" xfId="479" xr:uid="{00000000-0005-0000-0000-0000E6010000}"/>
    <cellStyle name="Standard 2 3" xfId="480" xr:uid="{00000000-0005-0000-0000-0000E7010000}"/>
    <cellStyle name="Standard 2 4" xfId="481" xr:uid="{00000000-0005-0000-0000-0000E8010000}"/>
    <cellStyle name="Standard 2 5" xfId="482" xr:uid="{00000000-0005-0000-0000-0000E9010000}"/>
    <cellStyle name="Standard 2 6" xfId="483" xr:uid="{00000000-0005-0000-0000-0000EA010000}"/>
    <cellStyle name="Standard 3" xfId="484" xr:uid="{00000000-0005-0000-0000-0000EB010000}"/>
    <cellStyle name="Standard 3 2" xfId="485" xr:uid="{00000000-0005-0000-0000-0000EC010000}"/>
    <cellStyle name="Standard 3 2 2" xfId="486" xr:uid="{00000000-0005-0000-0000-0000ED010000}"/>
    <cellStyle name="Standard 3 2 2 2" xfId="487" xr:uid="{00000000-0005-0000-0000-0000EE010000}"/>
    <cellStyle name="Standard 3 2 2 2 2" xfId="488" xr:uid="{00000000-0005-0000-0000-0000EF010000}"/>
    <cellStyle name="Standard 3 2 2 3" xfId="489" xr:uid="{00000000-0005-0000-0000-0000F0010000}"/>
    <cellStyle name="Standard 3 2 3" xfId="490" xr:uid="{00000000-0005-0000-0000-0000F1010000}"/>
    <cellStyle name="Standard 3 2 3 2" xfId="491" xr:uid="{00000000-0005-0000-0000-0000F2010000}"/>
    <cellStyle name="Standard 3 2 4" xfId="492" xr:uid="{00000000-0005-0000-0000-0000F3010000}"/>
    <cellStyle name="Standard 3 2 4 2" xfId="493" xr:uid="{00000000-0005-0000-0000-0000F4010000}"/>
    <cellStyle name="Standard 3 2 4 3" xfId="494" xr:uid="{00000000-0005-0000-0000-0000F5010000}"/>
    <cellStyle name="Standard 3 2 5" xfId="495" xr:uid="{00000000-0005-0000-0000-0000F6010000}"/>
    <cellStyle name="Standard 3 2 6" xfId="496" xr:uid="{00000000-0005-0000-0000-0000F7010000}"/>
    <cellStyle name="Standard 3 3" xfId="497" xr:uid="{00000000-0005-0000-0000-0000F8010000}"/>
    <cellStyle name="Standard 3 3 2" xfId="498" xr:uid="{00000000-0005-0000-0000-0000F9010000}"/>
    <cellStyle name="Standard 3 3 2 2" xfId="499" xr:uid="{00000000-0005-0000-0000-0000FA010000}"/>
    <cellStyle name="Standard 3 3 3" xfId="500" xr:uid="{00000000-0005-0000-0000-0000FB010000}"/>
    <cellStyle name="Standard 3 4" xfId="501" xr:uid="{00000000-0005-0000-0000-0000FC010000}"/>
    <cellStyle name="Standard 3 4 2" xfId="502" xr:uid="{00000000-0005-0000-0000-0000FD010000}"/>
    <cellStyle name="Standard 3 5" xfId="503" xr:uid="{00000000-0005-0000-0000-0000FE010000}"/>
    <cellStyle name="Standard 3 6" xfId="504" xr:uid="{00000000-0005-0000-0000-0000FF010000}"/>
    <cellStyle name="Standard 4" xfId="505" xr:uid="{00000000-0005-0000-0000-000000020000}"/>
    <cellStyle name="Standard 5" xfId="506" xr:uid="{00000000-0005-0000-0000-000001020000}"/>
    <cellStyle name="Standard 5 2" xfId="507" xr:uid="{00000000-0005-0000-0000-000002020000}"/>
    <cellStyle name="Standard 6" xfId="544" xr:uid="{00000000-0005-0000-0000-000003020000}"/>
    <cellStyle name="Standard_Werte" xfId="543" xr:uid="{00000000-0005-0000-0000-000004020000}"/>
    <cellStyle name="Title" xfId="512" xr:uid="{00000000-0005-0000-0000-000005020000}"/>
    <cellStyle name="Title 2" xfId="508" xr:uid="{00000000-0005-0000-0000-000006020000}"/>
    <cellStyle name="Title 2 2" xfId="509" xr:uid="{00000000-0005-0000-0000-000007020000}"/>
    <cellStyle name="Title 3" xfId="510" xr:uid="{00000000-0005-0000-0000-000008020000}"/>
    <cellStyle name="Total 2" xfId="511" xr:uid="{00000000-0005-0000-0000-000009020000}"/>
    <cellStyle name="Überschrift 1 2" xfId="514" xr:uid="{00000000-0005-0000-0000-00000A020000}"/>
    <cellStyle name="Überschrift 1 3" xfId="515" xr:uid="{00000000-0005-0000-0000-00000B020000}"/>
    <cellStyle name="Überschrift 2 2" xfId="517" xr:uid="{00000000-0005-0000-0000-00000C020000}"/>
    <cellStyle name="Überschrift 2 3" xfId="518" xr:uid="{00000000-0005-0000-0000-00000D020000}"/>
    <cellStyle name="Überschrift 3 2" xfId="520" xr:uid="{00000000-0005-0000-0000-00000E020000}"/>
    <cellStyle name="Überschrift 3 3" xfId="521" xr:uid="{00000000-0005-0000-0000-00000F020000}"/>
    <cellStyle name="Überschrift 4 2" xfId="523" xr:uid="{00000000-0005-0000-0000-000010020000}"/>
    <cellStyle name="Überschrift 4 3" xfId="524" xr:uid="{00000000-0005-0000-0000-000011020000}"/>
    <cellStyle name="Überschrift 5" xfId="525" xr:uid="{00000000-0005-0000-0000-000012020000}"/>
    <cellStyle name="Überschrift 6" xfId="526" xr:uid="{00000000-0005-0000-0000-000013020000}"/>
    <cellStyle name="Verknüpfte Zelle 2" xfId="528" xr:uid="{00000000-0005-0000-0000-000014020000}"/>
    <cellStyle name="Verknüpfte Zelle 3" xfId="529" xr:uid="{00000000-0005-0000-0000-000015020000}"/>
    <cellStyle name="Warnender Text 2" xfId="530" xr:uid="{00000000-0005-0000-0000-000016020000}"/>
    <cellStyle name="Warnender Text 2 2" xfId="531" xr:uid="{00000000-0005-0000-0000-000017020000}"/>
    <cellStyle name="Warnender Text 2 3" xfId="532" xr:uid="{00000000-0005-0000-0000-000018020000}"/>
    <cellStyle name="Warnender Text 2 3 2" xfId="533" xr:uid="{00000000-0005-0000-0000-000019020000}"/>
    <cellStyle name="Warnender Text 3" xfId="534" xr:uid="{00000000-0005-0000-0000-00001A020000}"/>
    <cellStyle name="Warnender Text 4" xfId="535" xr:uid="{00000000-0005-0000-0000-00001B020000}"/>
    <cellStyle name="Warnender Text 5" xfId="536" xr:uid="{00000000-0005-0000-0000-00001C020000}"/>
    <cellStyle name="Warnender Text 6" xfId="537" xr:uid="{00000000-0005-0000-0000-00001D020000}"/>
    <cellStyle name="Zelle überprüfen 2" xfId="539" xr:uid="{00000000-0005-0000-0000-00001E020000}"/>
    <cellStyle name="Zelle überprüfen 2 2" xfId="540" xr:uid="{00000000-0005-0000-0000-00001F020000}"/>
    <cellStyle name="Zelle überprüfen 3" xfId="541" xr:uid="{00000000-0005-0000-0000-000020020000}"/>
    <cellStyle name="Zelle überprüfen 4" xfId="542" xr:uid="{00000000-0005-0000-0000-000021020000}"/>
  </cellStyles>
  <dxfs count="107">
    <dxf>
      <fill>
        <patternFill>
          <bgColor rgb="FFFFFF99"/>
        </patternFill>
      </fill>
    </dxf>
    <dxf>
      <fill>
        <patternFill>
          <bgColor rgb="FFFFFF99"/>
        </patternFill>
      </fill>
    </dxf>
    <dxf>
      <fill>
        <patternFill>
          <bgColor rgb="FFFFFF99"/>
        </patternFill>
      </fill>
    </dxf>
    <dxf>
      <fill>
        <patternFill>
          <bgColor rgb="FFDCE6F1"/>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DCE6F1"/>
        </patternFill>
      </fill>
    </dxf>
    <dxf>
      <fill>
        <patternFill>
          <bgColor theme="0"/>
        </patternFill>
      </fill>
    </dxf>
    <dxf>
      <fill>
        <patternFill>
          <bgColor rgb="FFDCE6F1"/>
        </patternFill>
      </fill>
    </dxf>
    <dxf>
      <fill>
        <patternFill>
          <bgColor theme="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indexed="42"/>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dxf>
    <dxf>
      <fill>
        <patternFill>
          <bgColor indexed="10"/>
        </patternFill>
      </fill>
    </dxf>
    <dxf>
      <fill>
        <patternFill>
          <bgColor rgb="FFCCFFCC"/>
        </patternFill>
      </fill>
    </dxf>
    <dxf>
      <fill>
        <patternFill>
          <bgColor rgb="FF99FF66"/>
        </patternFill>
      </fill>
    </dxf>
    <dxf>
      <fill>
        <patternFill>
          <bgColor rgb="FFCCFFCC"/>
        </patternFill>
      </fill>
    </dxf>
    <dxf>
      <fill>
        <patternFill>
          <bgColor indexed="22"/>
        </patternFill>
      </fill>
    </dxf>
    <dxf>
      <fill>
        <patternFill>
          <bgColor theme="0" tint="-0.24994659260841701"/>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CCFFCC"/>
      <color rgb="FF99FF66"/>
      <color rgb="FF000000"/>
      <color rgb="FFC0C0C0"/>
      <color rgb="FFFFFF99"/>
      <color rgb="FFE8E8E8"/>
      <color rgb="FF0000CC"/>
      <color rgb="FFFF7C8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742950</xdr:colOff>
      <xdr:row>0</xdr:row>
      <xdr:rowOff>104775</xdr:rowOff>
    </xdr:from>
    <xdr:to>
      <xdr:col>12</xdr:col>
      <xdr:colOff>1122045</xdr:colOff>
      <xdr:row>4</xdr:row>
      <xdr:rowOff>0</xdr:rowOff>
    </xdr:to>
    <xdr:pic>
      <xdr:nvPicPr>
        <xdr:cNvPr id="236030" name="Grafik 1">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5800" y="1047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1051083</xdr:colOff>
      <xdr:row>11</xdr:row>
      <xdr:rowOff>6992</xdr:rowOff>
    </xdr:from>
    <xdr:to>
      <xdr:col>13</xdr:col>
      <xdr:colOff>0</xdr:colOff>
      <xdr:row>11</xdr:row>
      <xdr:rowOff>102242</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18833" y="1929851"/>
          <a:ext cx="10144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1053465</xdr:colOff>
      <xdr:row>13</xdr:row>
      <xdr:rowOff>6992</xdr:rowOff>
    </xdr:from>
    <xdr:to>
      <xdr:col>13</xdr:col>
      <xdr:colOff>0</xdr:colOff>
      <xdr:row>13</xdr:row>
      <xdr:rowOff>102242</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394" y="2211349"/>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473868</xdr:colOff>
      <xdr:row>11</xdr:row>
      <xdr:rowOff>6991</xdr:rowOff>
    </xdr:from>
    <xdr:to>
      <xdr:col>6</xdr:col>
      <xdr:colOff>865</xdr:colOff>
      <xdr:row>11</xdr:row>
      <xdr:rowOff>102241</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1931" y="1929850"/>
          <a:ext cx="10715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476250</xdr:colOff>
      <xdr:row>5</xdr:row>
      <xdr:rowOff>7841</xdr:rowOff>
    </xdr:from>
    <xdr:to>
      <xdr:col>6</xdr:col>
      <xdr:colOff>0</xdr:colOff>
      <xdr:row>5</xdr:row>
      <xdr:rowOff>103091</xdr:rowOff>
    </xdr:to>
    <xdr:pic>
      <xdr:nvPicPr>
        <xdr:cNvPr id="11" name="Grafik 2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4313" y="906763"/>
          <a:ext cx="10715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414866</xdr:colOff>
      <xdr:row>38</xdr:row>
      <xdr:rowOff>12737</xdr:rowOff>
    </xdr:from>
    <xdr:to>
      <xdr:col>10</xdr:col>
      <xdr:colOff>521217</xdr:colOff>
      <xdr:row>38</xdr:row>
      <xdr:rowOff>107987</xdr:rowOff>
    </xdr:to>
    <xdr:pic>
      <xdr:nvPicPr>
        <xdr:cNvPr id="8" name="Grafik 23">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3291" y="8956712"/>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414867</xdr:colOff>
      <xdr:row>52</xdr:row>
      <xdr:rowOff>12736</xdr:rowOff>
    </xdr:from>
    <xdr:to>
      <xdr:col>10</xdr:col>
      <xdr:colOff>521218</xdr:colOff>
      <xdr:row>52</xdr:row>
      <xdr:rowOff>107986</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3292" y="13385836"/>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26</xdr:row>
      <xdr:rowOff>12425</xdr:rowOff>
    </xdr:from>
    <xdr:to>
      <xdr:col>11</xdr:col>
      <xdr:colOff>1576</xdr:colOff>
      <xdr:row>26</xdr:row>
      <xdr:rowOff>107675</xdr:rowOff>
    </xdr:to>
    <xdr:pic>
      <xdr:nvPicPr>
        <xdr:cNvPr id="10" name="Grafik 2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5384525"/>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487875</xdr:colOff>
      <xdr:row>26</xdr:row>
      <xdr:rowOff>6599</xdr:rowOff>
    </xdr:from>
    <xdr:to>
      <xdr:col>8</xdr:col>
      <xdr:colOff>2100</xdr:colOff>
      <xdr:row>26</xdr:row>
      <xdr:rowOff>101849</xdr:rowOff>
    </xdr:to>
    <xdr:pic>
      <xdr:nvPicPr>
        <xdr:cNvPr id="14" name="Grafik 2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0375" y="5513240"/>
          <a:ext cx="9763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475422</xdr:colOff>
      <xdr:row>26</xdr:row>
      <xdr:rowOff>6885</xdr:rowOff>
    </xdr:from>
    <xdr:to>
      <xdr:col>9</xdr:col>
      <xdr:colOff>414</xdr:colOff>
      <xdr:row>26</xdr:row>
      <xdr:rowOff>102135</xdr:rowOff>
    </xdr:to>
    <xdr:pic>
      <xdr:nvPicPr>
        <xdr:cNvPr id="15" name="Grafik 23">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1797" y="5378985"/>
          <a:ext cx="10601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470958</xdr:colOff>
      <xdr:row>34</xdr:row>
      <xdr:rowOff>12737</xdr:rowOff>
    </xdr:from>
    <xdr:to>
      <xdr:col>7</xdr:col>
      <xdr:colOff>580076</xdr:colOff>
      <xdr:row>34</xdr:row>
      <xdr:rowOff>107987</xdr:rowOff>
    </xdr:to>
    <xdr:pic>
      <xdr:nvPicPr>
        <xdr:cNvPr id="23" name="Grafik 23">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76308" y="7699412"/>
          <a:ext cx="10911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942975</xdr:colOff>
      <xdr:row>26</xdr:row>
      <xdr:rowOff>2901</xdr:rowOff>
    </xdr:from>
    <xdr:to>
      <xdr:col>12</xdr:col>
      <xdr:colOff>0</xdr:colOff>
      <xdr:row>26</xdr:row>
      <xdr:rowOff>98151</xdr:rowOff>
    </xdr:to>
    <xdr:pic>
      <xdr:nvPicPr>
        <xdr:cNvPr id="25" name="Grafik 23">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52392" y="5516818"/>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942975</xdr:colOff>
      <xdr:row>27</xdr:row>
      <xdr:rowOff>12114</xdr:rowOff>
    </xdr:from>
    <xdr:to>
      <xdr:col>12</xdr:col>
      <xdr:colOff>0</xdr:colOff>
      <xdr:row>27</xdr:row>
      <xdr:rowOff>107364</xdr:rowOff>
    </xdr:to>
    <xdr:pic>
      <xdr:nvPicPr>
        <xdr:cNvPr id="26" name="Grafik 23">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15275" y="5660439"/>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948267</xdr:colOff>
      <xdr:row>28</xdr:row>
      <xdr:rowOff>13758</xdr:rowOff>
    </xdr:from>
    <xdr:to>
      <xdr:col>12</xdr:col>
      <xdr:colOff>5292</xdr:colOff>
      <xdr:row>28</xdr:row>
      <xdr:rowOff>109008</xdr:rowOff>
    </xdr:to>
    <xdr:pic>
      <xdr:nvPicPr>
        <xdr:cNvPr id="27" name="Grafik 23">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0567" y="594783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942975</xdr:colOff>
      <xdr:row>34</xdr:row>
      <xdr:rowOff>12736</xdr:rowOff>
    </xdr:from>
    <xdr:to>
      <xdr:col>12</xdr:col>
      <xdr:colOff>0</xdr:colOff>
      <xdr:row>34</xdr:row>
      <xdr:rowOff>107986</xdr:rowOff>
    </xdr:to>
    <xdr:pic>
      <xdr:nvPicPr>
        <xdr:cNvPr id="31" name="Grafik 23">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15275" y="7699411"/>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942975</xdr:colOff>
      <xdr:row>35</xdr:row>
      <xdr:rowOff>12736</xdr:rowOff>
    </xdr:from>
    <xdr:to>
      <xdr:col>12</xdr:col>
      <xdr:colOff>0</xdr:colOff>
      <xdr:row>35</xdr:row>
      <xdr:rowOff>107986</xdr:rowOff>
    </xdr:to>
    <xdr:pic>
      <xdr:nvPicPr>
        <xdr:cNvPr id="34" name="Grafik 2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15275" y="8042311"/>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28</xdr:row>
      <xdr:rowOff>8466</xdr:rowOff>
    </xdr:from>
    <xdr:to>
      <xdr:col>11</xdr:col>
      <xdr:colOff>0</xdr:colOff>
      <xdr:row>28</xdr:row>
      <xdr:rowOff>103716</xdr:rowOff>
    </xdr:to>
    <xdr:pic>
      <xdr:nvPicPr>
        <xdr:cNvPr id="39" name="Grafik 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5942541"/>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942975</xdr:colOff>
      <xdr:row>29</xdr:row>
      <xdr:rowOff>13758</xdr:rowOff>
    </xdr:from>
    <xdr:to>
      <xdr:col>12</xdr:col>
      <xdr:colOff>0</xdr:colOff>
      <xdr:row>29</xdr:row>
      <xdr:rowOff>109008</xdr:rowOff>
    </xdr:to>
    <xdr:pic>
      <xdr:nvPicPr>
        <xdr:cNvPr id="40" name="Grafik 23">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15275" y="6224058"/>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1034303</xdr:colOff>
      <xdr:row>26</xdr:row>
      <xdr:rowOff>13447</xdr:rowOff>
    </xdr:from>
    <xdr:to>
      <xdr:col>12</xdr:col>
      <xdr:colOff>1139078</xdr:colOff>
      <xdr:row>26</xdr:row>
      <xdr:rowOff>108697</xdr:rowOff>
    </xdr:to>
    <xdr:pic>
      <xdr:nvPicPr>
        <xdr:cNvPr id="42" name="Grafik 23">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4353" y="538554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1034303</xdr:colOff>
      <xdr:row>27</xdr:row>
      <xdr:rowOff>13447</xdr:rowOff>
    </xdr:from>
    <xdr:to>
      <xdr:col>12</xdr:col>
      <xdr:colOff>1139078</xdr:colOff>
      <xdr:row>27</xdr:row>
      <xdr:rowOff>108697</xdr:rowOff>
    </xdr:to>
    <xdr:pic>
      <xdr:nvPicPr>
        <xdr:cNvPr id="43" name="Grafik 23">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4353" y="5661772"/>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1034303</xdr:colOff>
      <xdr:row>28</xdr:row>
      <xdr:rowOff>13447</xdr:rowOff>
    </xdr:from>
    <xdr:to>
      <xdr:col>12</xdr:col>
      <xdr:colOff>1139078</xdr:colOff>
      <xdr:row>28</xdr:row>
      <xdr:rowOff>108697</xdr:rowOff>
    </xdr:to>
    <xdr:pic>
      <xdr:nvPicPr>
        <xdr:cNvPr id="44" name="Grafik 2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4353" y="5947522"/>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1033992</xdr:colOff>
      <xdr:row>29</xdr:row>
      <xdr:rowOff>13758</xdr:rowOff>
    </xdr:from>
    <xdr:to>
      <xdr:col>12</xdr:col>
      <xdr:colOff>1138767</xdr:colOff>
      <xdr:row>29</xdr:row>
      <xdr:rowOff>109008</xdr:rowOff>
    </xdr:to>
    <xdr:pic>
      <xdr:nvPicPr>
        <xdr:cNvPr id="45" name="Grafik 23">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4042" y="6224058"/>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1033991</xdr:colOff>
      <xdr:row>34</xdr:row>
      <xdr:rowOff>13758</xdr:rowOff>
    </xdr:from>
    <xdr:to>
      <xdr:col>12</xdr:col>
      <xdr:colOff>1138766</xdr:colOff>
      <xdr:row>34</xdr:row>
      <xdr:rowOff>109008</xdr:rowOff>
    </xdr:to>
    <xdr:pic>
      <xdr:nvPicPr>
        <xdr:cNvPr id="46" name="Grafik 23">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4041" y="770043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1033992</xdr:colOff>
      <xdr:row>35</xdr:row>
      <xdr:rowOff>13758</xdr:rowOff>
    </xdr:from>
    <xdr:to>
      <xdr:col>12</xdr:col>
      <xdr:colOff>1138767</xdr:colOff>
      <xdr:row>35</xdr:row>
      <xdr:rowOff>109008</xdr:rowOff>
    </xdr:to>
    <xdr:pic>
      <xdr:nvPicPr>
        <xdr:cNvPr id="47" name="Grafik 23">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4042" y="804333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414867</xdr:colOff>
      <xdr:row>44</xdr:row>
      <xdr:rowOff>8467</xdr:rowOff>
    </xdr:from>
    <xdr:to>
      <xdr:col>10</xdr:col>
      <xdr:colOff>521218</xdr:colOff>
      <xdr:row>44</xdr:row>
      <xdr:rowOff>103717</xdr:rowOff>
    </xdr:to>
    <xdr:pic>
      <xdr:nvPicPr>
        <xdr:cNvPr id="36" name="Grafik 23">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3292" y="10828867"/>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42</xdr:row>
      <xdr:rowOff>13758</xdr:rowOff>
    </xdr:from>
    <xdr:to>
      <xdr:col>11</xdr:col>
      <xdr:colOff>0</xdr:colOff>
      <xdr:row>42</xdr:row>
      <xdr:rowOff>109008</xdr:rowOff>
    </xdr:to>
    <xdr:pic>
      <xdr:nvPicPr>
        <xdr:cNvPr id="37" name="Grafik 23">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10262658"/>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1053703</xdr:colOff>
      <xdr:row>4</xdr:row>
      <xdr:rowOff>205978</xdr:rowOff>
    </xdr:from>
    <xdr:to>
      <xdr:col>13</xdr:col>
      <xdr:colOff>0</xdr:colOff>
      <xdr:row>5</xdr:row>
      <xdr:rowOff>92869</xdr:rowOff>
    </xdr:to>
    <xdr:pic>
      <xdr:nvPicPr>
        <xdr:cNvPr id="33" name="Grafik 23">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21453" y="896541"/>
          <a:ext cx="10715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48</xdr:row>
      <xdr:rowOff>13758</xdr:rowOff>
    </xdr:from>
    <xdr:to>
      <xdr:col>11</xdr:col>
      <xdr:colOff>1576</xdr:colOff>
      <xdr:row>48</xdr:row>
      <xdr:rowOff>109008</xdr:rowOff>
    </xdr:to>
    <xdr:pic>
      <xdr:nvPicPr>
        <xdr:cNvPr id="35" name="Grafik 23">
          <a:extLst>
            <a:ext uri="{FF2B5EF4-FFF2-40B4-BE49-F238E27FC236}">
              <a16:creationId xmlns:a16="http://schemas.microsoft.com/office/drawing/2014/main" id="{5773C197-FD2C-4478-AD68-31477F5F3D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12281958"/>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49</xdr:row>
      <xdr:rowOff>9525</xdr:rowOff>
    </xdr:from>
    <xdr:to>
      <xdr:col>11</xdr:col>
      <xdr:colOff>1576</xdr:colOff>
      <xdr:row>49</xdr:row>
      <xdr:rowOff>104775</xdr:rowOff>
    </xdr:to>
    <xdr:pic>
      <xdr:nvPicPr>
        <xdr:cNvPr id="38" name="Grafik 23">
          <a:extLst>
            <a:ext uri="{FF2B5EF4-FFF2-40B4-BE49-F238E27FC236}">
              <a16:creationId xmlns:a16="http://schemas.microsoft.com/office/drawing/2014/main" id="{CD56C978-F77D-4CAC-B642-BB5717D6D4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12582525"/>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50</xdr:row>
      <xdr:rowOff>13758</xdr:rowOff>
    </xdr:from>
    <xdr:to>
      <xdr:col>11</xdr:col>
      <xdr:colOff>1576</xdr:colOff>
      <xdr:row>50</xdr:row>
      <xdr:rowOff>109008</xdr:rowOff>
    </xdr:to>
    <xdr:pic>
      <xdr:nvPicPr>
        <xdr:cNvPr id="41" name="Grafik 23">
          <a:extLst>
            <a:ext uri="{FF2B5EF4-FFF2-40B4-BE49-F238E27FC236}">
              <a16:creationId xmlns:a16="http://schemas.microsoft.com/office/drawing/2014/main" id="{81807579-BC6C-4F0E-9704-E1418FF27A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12920133"/>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1059473</xdr:colOff>
      <xdr:row>17</xdr:row>
      <xdr:rowOff>11724</xdr:rowOff>
    </xdr:from>
    <xdr:to>
      <xdr:col>13</xdr:col>
      <xdr:colOff>0</xdr:colOff>
      <xdr:row>17</xdr:row>
      <xdr:rowOff>106974</xdr:rowOff>
    </xdr:to>
    <xdr:pic>
      <xdr:nvPicPr>
        <xdr:cNvPr id="48" name="Grafik 23">
          <a:extLst>
            <a:ext uri="{FF2B5EF4-FFF2-40B4-BE49-F238E27FC236}">
              <a16:creationId xmlns:a16="http://schemas.microsoft.com/office/drawing/2014/main" id="{7E36B897-95E0-4C05-A872-3C6C259A07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79523" y="2973999"/>
          <a:ext cx="9305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1054345</xdr:colOff>
      <xdr:row>20</xdr:row>
      <xdr:rowOff>7327</xdr:rowOff>
    </xdr:from>
    <xdr:to>
      <xdr:col>13</xdr:col>
      <xdr:colOff>0</xdr:colOff>
      <xdr:row>20</xdr:row>
      <xdr:rowOff>102577</xdr:rowOff>
    </xdr:to>
    <xdr:pic>
      <xdr:nvPicPr>
        <xdr:cNvPr id="49" name="Grafik 23">
          <a:extLst>
            <a:ext uri="{FF2B5EF4-FFF2-40B4-BE49-F238E27FC236}">
              <a16:creationId xmlns:a16="http://schemas.microsoft.com/office/drawing/2014/main" id="{2B4B2040-A5F4-4B7B-BDAA-9971B9843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79245" y="3464902"/>
          <a:ext cx="9818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485775</xdr:colOff>
      <xdr:row>26</xdr:row>
      <xdr:rowOff>13097</xdr:rowOff>
    </xdr:from>
    <xdr:to>
      <xdr:col>7</xdr:col>
      <xdr:colOff>0</xdr:colOff>
      <xdr:row>26</xdr:row>
      <xdr:rowOff>108347</xdr:rowOff>
    </xdr:to>
    <xdr:pic>
      <xdr:nvPicPr>
        <xdr:cNvPr id="50" name="Grafik 23">
          <a:extLst>
            <a:ext uri="{FF2B5EF4-FFF2-40B4-BE49-F238E27FC236}">
              <a16:creationId xmlns:a16="http://schemas.microsoft.com/office/drawing/2014/main" id="{6D496ABC-72D5-4E57-933E-CAA7EF9B4F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5385197"/>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30</xdr:row>
      <xdr:rowOff>9525</xdr:rowOff>
    </xdr:from>
    <xdr:to>
      <xdr:col>11</xdr:col>
      <xdr:colOff>0</xdr:colOff>
      <xdr:row>30</xdr:row>
      <xdr:rowOff>104775</xdr:rowOff>
    </xdr:to>
    <xdr:pic>
      <xdr:nvPicPr>
        <xdr:cNvPr id="51" name="Grafik 23">
          <a:extLst>
            <a:ext uri="{FF2B5EF4-FFF2-40B4-BE49-F238E27FC236}">
              <a16:creationId xmlns:a16="http://schemas.microsoft.com/office/drawing/2014/main" id="{5DE05400-0745-48A1-AEF0-FD849337B9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6477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2305050</xdr:colOff>
      <xdr:row>0</xdr:row>
      <xdr:rowOff>28575</xdr:rowOff>
    </xdr:from>
    <xdr:to>
      <xdr:col>4</xdr:col>
      <xdr:colOff>41564</xdr:colOff>
      <xdr:row>3</xdr:row>
      <xdr:rowOff>114300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28575"/>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1662546</xdr:colOff>
      <xdr:row>1</xdr:row>
      <xdr:rowOff>866</xdr:rowOff>
    </xdr:from>
    <xdr:to>
      <xdr:col>5</xdr:col>
      <xdr:colOff>827810</xdr:colOff>
      <xdr:row>3</xdr:row>
      <xdr:rowOff>172316</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7846" y="86591"/>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476250</xdr:colOff>
      <xdr:row>4</xdr:row>
      <xdr:rowOff>0</xdr:rowOff>
    </xdr:to>
    <xdr:pic>
      <xdr:nvPicPr>
        <xdr:cNvPr id="237421" name="Grafik 1">
          <a:extLst>
            <a:ext uri="{FF2B5EF4-FFF2-40B4-BE49-F238E27FC236}">
              <a16:creationId xmlns:a16="http://schemas.microsoft.com/office/drawing/2014/main" id="{00000000-0008-0000-06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0"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73249</xdr:colOff>
      <xdr:row>9</xdr:row>
      <xdr:rowOff>5756</xdr:rowOff>
    </xdr:from>
    <xdr:to>
      <xdr:col>2</xdr:col>
      <xdr:colOff>189454</xdr:colOff>
      <xdr:row>9</xdr:row>
      <xdr:rowOff>107600</xdr:rowOff>
    </xdr:to>
    <xdr:pic>
      <xdr:nvPicPr>
        <xdr:cNvPr id="237422" name="Grafik 6">
          <a:extLst>
            <a:ext uri="{FF2B5EF4-FFF2-40B4-BE49-F238E27FC236}">
              <a16:creationId xmlns:a16="http://schemas.microsoft.com/office/drawing/2014/main" id="{00000000-0008-0000-0600-00006E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720" y="1546085"/>
          <a:ext cx="116205" cy="101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197031</xdr:colOff>
      <xdr:row>9</xdr:row>
      <xdr:rowOff>4082</xdr:rowOff>
    </xdr:from>
    <xdr:to>
      <xdr:col>4</xdr:col>
      <xdr:colOff>1662</xdr:colOff>
      <xdr:row>9</xdr:row>
      <xdr:rowOff>108857</xdr:rowOff>
    </xdr:to>
    <xdr:pic>
      <xdr:nvPicPr>
        <xdr:cNvPr id="237447" name="Grafik 6">
          <a:extLst>
            <a:ext uri="{FF2B5EF4-FFF2-40B4-BE49-F238E27FC236}">
              <a16:creationId xmlns:a16="http://schemas.microsoft.com/office/drawing/2014/main" id="{00000000-0008-0000-0600-000087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445" y="1544411"/>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773973</xdr:colOff>
      <xdr:row>7</xdr:row>
      <xdr:rowOff>4082</xdr:rowOff>
    </xdr:from>
    <xdr:to>
      <xdr:col>7</xdr:col>
      <xdr:colOff>1661</xdr:colOff>
      <xdr:row>7</xdr:row>
      <xdr:rowOff>108857</xdr:rowOff>
    </xdr:to>
    <xdr:pic>
      <xdr:nvPicPr>
        <xdr:cNvPr id="26" name="Grafik 6">
          <a:extLst>
            <a:ext uri="{FF2B5EF4-FFF2-40B4-BE49-F238E27FC236}">
              <a16:creationId xmlns:a16="http://schemas.microsoft.com/office/drawing/2014/main" id="{4B27D8A5-F116-4454-8C60-3D1F4A477C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5387" y="1163411"/>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364673</xdr:colOff>
      <xdr:row>7</xdr:row>
      <xdr:rowOff>5443</xdr:rowOff>
    </xdr:from>
    <xdr:to>
      <xdr:col>16</xdr:col>
      <xdr:colOff>575</xdr:colOff>
      <xdr:row>7</xdr:row>
      <xdr:rowOff>110218</xdr:rowOff>
    </xdr:to>
    <xdr:pic>
      <xdr:nvPicPr>
        <xdr:cNvPr id="27" name="Grafik 6">
          <a:extLst>
            <a:ext uri="{FF2B5EF4-FFF2-40B4-BE49-F238E27FC236}">
              <a16:creationId xmlns:a16="http://schemas.microsoft.com/office/drawing/2014/main" id="{16302985-DDBC-48FD-B3BC-A1401CF218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41230" y="1164772"/>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364672</xdr:colOff>
      <xdr:row>5</xdr:row>
      <xdr:rowOff>5444</xdr:rowOff>
    </xdr:from>
    <xdr:to>
      <xdr:col>16</xdr:col>
      <xdr:colOff>574</xdr:colOff>
      <xdr:row>5</xdr:row>
      <xdr:rowOff>110219</xdr:rowOff>
    </xdr:to>
    <xdr:pic>
      <xdr:nvPicPr>
        <xdr:cNvPr id="28" name="Grafik 6">
          <a:extLst>
            <a:ext uri="{FF2B5EF4-FFF2-40B4-BE49-F238E27FC236}">
              <a16:creationId xmlns:a16="http://schemas.microsoft.com/office/drawing/2014/main" id="{A4F2765C-760B-479B-8A48-CFAA4E12D7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41229" y="881744"/>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4898571</xdr:colOff>
      <xdr:row>10</xdr:row>
      <xdr:rowOff>5443</xdr:rowOff>
    </xdr:from>
    <xdr:to>
      <xdr:col>19</xdr:col>
      <xdr:colOff>4869</xdr:colOff>
      <xdr:row>10</xdr:row>
      <xdr:rowOff>110218</xdr:rowOff>
    </xdr:to>
    <xdr:pic>
      <xdr:nvPicPr>
        <xdr:cNvPr id="29" name="Grafik 6">
          <a:extLst>
            <a:ext uri="{FF2B5EF4-FFF2-40B4-BE49-F238E27FC236}">
              <a16:creationId xmlns:a16="http://schemas.microsoft.com/office/drawing/2014/main" id="{CF491152-8F82-43D4-BC73-AD54D2EF73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9885" y="17526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435429</xdr:colOff>
      <xdr:row>10</xdr:row>
      <xdr:rowOff>272142</xdr:rowOff>
    </xdr:from>
    <xdr:to>
      <xdr:col>17</xdr:col>
      <xdr:colOff>1935</xdr:colOff>
      <xdr:row>11</xdr:row>
      <xdr:rowOff>104774</xdr:rowOff>
    </xdr:to>
    <xdr:pic>
      <xdr:nvPicPr>
        <xdr:cNvPr id="30" name="Grafik 6">
          <a:extLst>
            <a:ext uri="{FF2B5EF4-FFF2-40B4-BE49-F238E27FC236}">
              <a16:creationId xmlns:a16="http://schemas.microsoft.com/office/drawing/2014/main" id="{B5DAD31A-B4C5-4361-B9B3-40F25CBB6C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5" y="2019299"/>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440871</xdr:colOff>
      <xdr:row>14</xdr:row>
      <xdr:rowOff>5443</xdr:rowOff>
    </xdr:from>
    <xdr:to>
      <xdr:col>17</xdr:col>
      <xdr:colOff>574</xdr:colOff>
      <xdr:row>14</xdr:row>
      <xdr:rowOff>110218</xdr:rowOff>
    </xdr:to>
    <xdr:pic>
      <xdr:nvPicPr>
        <xdr:cNvPr id="41" name="Grafik 6">
          <a:extLst>
            <a:ext uri="{FF2B5EF4-FFF2-40B4-BE49-F238E27FC236}">
              <a16:creationId xmlns:a16="http://schemas.microsoft.com/office/drawing/2014/main" id="{1AB46A9B-2761-4C55-9EE8-1153BA1143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0957" y="3069772"/>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17</xdr:row>
      <xdr:rowOff>5443</xdr:rowOff>
    </xdr:from>
    <xdr:to>
      <xdr:col>17</xdr:col>
      <xdr:colOff>1934</xdr:colOff>
      <xdr:row>17</xdr:row>
      <xdr:rowOff>110218</xdr:rowOff>
    </xdr:to>
    <xdr:pic>
      <xdr:nvPicPr>
        <xdr:cNvPr id="45" name="Grafik 6">
          <a:extLst>
            <a:ext uri="{FF2B5EF4-FFF2-40B4-BE49-F238E27FC236}">
              <a16:creationId xmlns:a16="http://schemas.microsoft.com/office/drawing/2014/main" id="{25ED8EF6-451A-407F-95B8-89AD68873A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41148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21</xdr:row>
      <xdr:rowOff>0</xdr:rowOff>
    </xdr:from>
    <xdr:to>
      <xdr:col>17</xdr:col>
      <xdr:colOff>1934</xdr:colOff>
      <xdr:row>21</xdr:row>
      <xdr:rowOff>104775</xdr:rowOff>
    </xdr:to>
    <xdr:pic>
      <xdr:nvPicPr>
        <xdr:cNvPr id="46" name="Grafik 6">
          <a:extLst>
            <a:ext uri="{FF2B5EF4-FFF2-40B4-BE49-F238E27FC236}">
              <a16:creationId xmlns:a16="http://schemas.microsoft.com/office/drawing/2014/main" id="{4DB3DDF2-EDFE-4A37-9500-135EDA27C6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5502729"/>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24</xdr:row>
      <xdr:rowOff>5444</xdr:rowOff>
    </xdr:from>
    <xdr:to>
      <xdr:col>17</xdr:col>
      <xdr:colOff>1934</xdr:colOff>
      <xdr:row>24</xdr:row>
      <xdr:rowOff>110219</xdr:rowOff>
    </xdr:to>
    <xdr:pic>
      <xdr:nvPicPr>
        <xdr:cNvPr id="47" name="Grafik 6">
          <a:extLst>
            <a:ext uri="{FF2B5EF4-FFF2-40B4-BE49-F238E27FC236}">
              <a16:creationId xmlns:a16="http://schemas.microsoft.com/office/drawing/2014/main" id="{B2195015-CBAA-45F6-BF7C-0D3305640D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6585858"/>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30</xdr:row>
      <xdr:rowOff>1</xdr:rowOff>
    </xdr:from>
    <xdr:to>
      <xdr:col>17</xdr:col>
      <xdr:colOff>1934</xdr:colOff>
      <xdr:row>30</xdr:row>
      <xdr:rowOff>104776</xdr:rowOff>
    </xdr:to>
    <xdr:pic>
      <xdr:nvPicPr>
        <xdr:cNvPr id="49" name="Grafik 6">
          <a:extLst>
            <a:ext uri="{FF2B5EF4-FFF2-40B4-BE49-F238E27FC236}">
              <a16:creationId xmlns:a16="http://schemas.microsoft.com/office/drawing/2014/main" id="{E15C25E2-E813-4ADE-98D7-DDA493161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8866415"/>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33</xdr:row>
      <xdr:rowOff>5444</xdr:rowOff>
    </xdr:from>
    <xdr:to>
      <xdr:col>17</xdr:col>
      <xdr:colOff>1934</xdr:colOff>
      <xdr:row>33</xdr:row>
      <xdr:rowOff>110219</xdr:rowOff>
    </xdr:to>
    <xdr:pic>
      <xdr:nvPicPr>
        <xdr:cNvPr id="50" name="Grafik 6">
          <a:extLst>
            <a:ext uri="{FF2B5EF4-FFF2-40B4-BE49-F238E27FC236}">
              <a16:creationId xmlns:a16="http://schemas.microsoft.com/office/drawing/2014/main" id="{4F9726E7-AAE9-4923-BF36-CB43CD9DD7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10014858"/>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431800</xdr:colOff>
      <xdr:row>36</xdr:row>
      <xdr:rowOff>0</xdr:rowOff>
    </xdr:from>
    <xdr:to>
      <xdr:col>16</xdr:col>
      <xdr:colOff>531706</xdr:colOff>
      <xdr:row>36</xdr:row>
      <xdr:rowOff>104775</xdr:rowOff>
    </xdr:to>
    <xdr:pic>
      <xdr:nvPicPr>
        <xdr:cNvPr id="51" name="Grafik 6">
          <a:extLst>
            <a:ext uri="{FF2B5EF4-FFF2-40B4-BE49-F238E27FC236}">
              <a16:creationId xmlns:a16="http://schemas.microsoft.com/office/drawing/2014/main" id="{964EDF06-60C8-4570-BCA9-476B9138A8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1480" y="112014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431800</xdr:colOff>
      <xdr:row>39</xdr:row>
      <xdr:rowOff>5080</xdr:rowOff>
    </xdr:from>
    <xdr:to>
      <xdr:col>16</xdr:col>
      <xdr:colOff>531706</xdr:colOff>
      <xdr:row>39</xdr:row>
      <xdr:rowOff>109855</xdr:rowOff>
    </xdr:to>
    <xdr:pic>
      <xdr:nvPicPr>
        <xdr:cNvPr id="52" name="Grafik 6">
          <a:extLst>
            <a:ext uri="{FF2B5EF4-FFF2-40B4-BE49-F238E27FC236}">
              <a16:creationId xmlns:a16="http://schemas.microsoft.com/office/drawing/2014/main" id="{BD31108C-4929-4E8B-851B-120941FB94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1480" y="1261872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436880</xdr:colOff>
      <xdr:row>42</xdr:row>
      <xdr:rowOff>5080</xdr:rowOff>
    </xdr:from>
    <xdr:to>
      <xdr:col>17</xdr:col>
      <xdr:colOff>3386</xdr:colOff>
      <xdr:row>42</xdr:row>
      <xdr:rowOff>109855</xdr:rowOff>
    </xdr:to>
    <xdr:pic>
      <xdr:nvPicPr>
        <xdr:cNvPr id="53" name="Grafik 6">
          <a:extLst>
            <a:ext uri="{FF2B5EF4-FFF2-40B4-BE49-F238E27FC236}">
              <a16:creationId xmlns:a16="http://schemas.microsoft.com/office/drawing/2014/main" id="{3E048297-6C61-4ED8-BCB1-767CE23FEA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6560" y="143002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431800</xdr:colOff>
      <xdr:row>45</xdr:row>
      <xdr:rowOff>2540</xdr:rowOff>
    </xdr:from>
    <xdr:to>
      <xdr:col>16</xdr:col>
      <xdr:colOff>531706</xdr:colOff>
      <xdr:row>45</xdr:row>
      <xdr:rowOff>106226</xdr:rowOff>
    </xdr:to>
    <xdr:pic>
      <xdr:nvPicPr>
        <xdr:cNvPr id="54" name="Grafik 6">
          <a:extLst>
            <a:ext uri="{FF2B5EF4-FFF2-40B4-BE49-F238E27FC236}">
              <a16:creationId xmlns:a16="http://schemas.microsoft.com/office/drawing/2014/main" id="{791E6B83-51D6-4C67-9D65-E1258357B7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1480" y="15440660"/>
          <a:ext cx="109431" cy="103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436880</xdr:colOff>
      <xdr:row>48</xdr:row>
      <xdr:rowOff>6531</xdr:rowOff>
    </xdr:from>
    <xdr:to>
      <xdr:col>17</xdr:col>
      <xdr:colOff>3386</xdr:colOff>
      <xdr:row>48</xdr:row>
      <xdr:rowOff>113846</xdr:rowOff>
    </xdr:to>
    <xdr:pic>
      <xdr:nvPicPr>
        <xdr:cNvPr id="55" name="Grafik 6">
          <a:extLst>
            <a:ext uri="{FF2B5EF4-FFF2-40B4-BE49-F238E27FC236}">
              <a16:creationId xmlns:a16="http://schemas.microsoft.com/office/drawing/2014/main" id="{202DE119-F170-4DA5-B08B-1DC3E9DA7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6560" y="16587651"/>
          <a:ext cx="109431" cy="10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431800</xdr:colOff>
      <xdr:row>9</xdr:row>
      <xdr:rowOff>5080</xdr:rowOff>
    </xdr:from>
    <xdr:to>
      <xdr:col>16</xdr:col>
      <xdr:colOff>531706</xdr:colOff>
      <xdr:row>9</xdr:row>
      <xdr:rowOff>109855</xdr:rowOff>
    </xdr:to>
    <xdr:pic>
      <xdr:nvPicPr>
        <xdr:cNvPr id="56" name="Grafik 6">
          <a:extLst>
            <a:ext uri="{FF2B5EF4-FFF2-40B4-BE49-F238E27FC236}">
              <a16:creationId xmlns:a16="http://schemas.microsoft.com/office/drawing/2014/main" id="{65BB0D78-EE16-4E90-B06A-D1EF6CC58B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1480" y="156464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4762500</xdr:colOff>
      <xdr:row>10</xdr:row>
      <xdr:rowOff>9525</xdr:rowOff>
    </xdr:from>
    <xdr:to>
      <xdr:col>18</xdr:col>
      <xdr:colOff>4862406</xdr:colOff>
      <xdr:row>10</xdr:row>
      <xdr:rowOff>114300</xdr:rowOff>
    </xdr:to>
    <xdr:pic>
      <xdr:nvPicPr>
        <xdr:cNvPr id="23" name="Grafik 6">
          <a:extLst>
            <a:ext uri="{FF2B5EF4-FFF2-40B4-BE49-F238E27FC236}">
              <a16:creationId xmlns:a16="http://schemas.microsoft.com/office/drawing/2014/main" id="{2C4A9C0C-09E8-4A82-A44A-38E3375E76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39900" y="17811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447675</xdr:colOff>
      <xdr:row>1</xdr:row>
      <xdr:rowOff>123825</xdr:rowOff>
    </xdr:from>
    <xdr:to>
      <xdr:col>11</xdr:col>
      <xdr:colOff>1800225</xdr:colOff>
      <xdr:row>2</xdr:row>
      <xdr:rowOff>190500</xdr:rowOff>
    </xdr:to>
    <xdr:pic>
      <xdr:nvPicPr>
        <xdr:cNvPr id="184272" name="Grafik 1">
          <a:extLst>
            <a:ext uri="{FF2B5EF4-FFF2-40B4-BE49-F238E27FC236}">
              <a16:creationId xmlns:a16="http://schemas.microsoft.com/office/drawing/2014/main" id="{00000000-0008-0000-0900-0000D0C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5</xdr:row>
      <xdr:rowOff>9525</xdr:rowOff>
    </xdr:from>
    <xdr:to>
      <xdr:col>11</xdr:col>
      <xdr:colOff>0</xdr:colOff>
      <xdr:row>5</xdr:row>
      <xdr:rowOff>114300</xdr:rowOff>
    </xdr:to>
    <xdr:pic>
      <xdr:nvPicPr>
        <xdr:cNvPr id="184273" name="Grafik 18">
          <a:extLst>
            <a:ext uri="{FF2B5EF4-FFF2-40B4-BE49-F238E27FC236}">
              <a16:creationId xmlns:a16="http://schemas.microsoft.com/office/drawing/2014/main" id="{00000000-0008-0000-0900-0000D1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7</xdr:row>
      <xdr:rowOff>9525</xdr:rowOff>
    </xdr:from>
    <xdr:to>
      <xdr:col>6</xdr:col>
      <xdr:colOff>0</xdr:colOff>
      <xdr:row>7</xdr:row>
      <xdr:rowOff>114300</xdr:rowOff>
    </xdr:to>
    <xdr:pic>
      <xdr:nvPicPr>
        <xdr:cNvPr id="184274" name="Grafik 18">
          <a:extLst>
            <a:ext uri="{FF2B5EF4-FFF2-40B4-BE49-F238E27FC236}">
              <a16:creationId xmlns:a16="http://schemas.microsoft.com/office/drawing/2014/main" id="{00000000-0008-0000-0900-0000D2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7</xdr:row>
      <xdr:rowOff>9525</xdr:rowOff>
    </xdr:from>
    <xdr:to>
      <xdr:col>11</xdr:col>
      <xdr:colOff>0</xdr:colOff>
      <xdr:row>7</xdr:row>
      <xdr:rowOff>114300</xdr:rowOff>
    </xdr:to>
    <xdr:pic>
      <xdr:nvPicPr>
        <xdr:cNvPr id="184275" name="Grafik 18">
          <a:extLst>
            <a:ext uri="{FF2B5EF4-FFF2-40B4-BE49-F238E27FC236}">
              <a16:creationId xmlns:a16="http://schemas.microsoft.com/office/drawing/2014/main" id="{00000000-0008-0000-0900-0000D3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1905000</xdr:colOff>
      <xdr:row>0</xdr:row>
      <xdr:rowOff>28575</xdr:rowOff>
    </xdr:from>
    <xdr:to>
      <xdr:col>10</xdr:col>
      <xdr:colOff>3331845</xdr:colOff>
      <xdr:row>3</xdr:row>
      <xdr:rowOff>167723</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28575"/>
          <a:ext cx="1426845"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288231</xdr:colOff>
      <xdr:row>22</xdr:row>
      <xdr:rowOff>13097</xdr:rowOff>
    </xdr:from>
    <xdr:to>
      <xdr:col>8</xdr:col>
      <xdr:colOff>4431</xdr:colOff>
      <xdr:row>22</xdr:row>
      <xdr:rowOff>110297</xdr:rowOff>
    </xdr:to>
    <xdr:pic>
      <xdr:nvPicPr>
        <xdr:cNvPr id="7" name="Grafik 4">
          <a:extLst>
            <a:ext uri="{FF2B5EF4-FFF2-40B4-BE49-F238E27FC236}">
              <a16:creationId xmlns:a16="http://schemas.microsoft.com/office/drawing/2014/main" id="{00000000-0008-0000-0B00-000007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41931" y="5985272"/>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279797</xdr:colOff>
      <xdr:row>24</xdr:row>
      <xdr:rowOff>13097</xdr:rowOff>
    </xdr:from>
    <xdr:to>
      <xdr:col>7</xdr:col>
      <xdr:colOff>376997</xdr:colOff>
      <xdr:row>24</xdr:row>
      <xdr:rowOff>110297</xdr:rowOff>
    </xdr:to>
    <xdr:pic>
      <xdr:nvPicPr>
        <xdr:cNvPr id="9" name="Grafik 4">
          <a:extLst>
            <a:ext uri="{FF2B5EF4-FFF2-40B4-BE49-F238E27FC236}">
              <a16:creationId xmlns:a16="http://schemas.microsoft.com/office/drawing/2014/main" id="{00000000-0008-0000-0B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33497" y="6499622"/>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945866</xdr:colOff>
      <xdr:row>22</xdr:row>
      <xdr:rowOff>5037</xdr:rowOff>
    </xdr:from>
    <xdr:to>
      <xdr:col>5</xdr:col>
      <xdr:colOff>1043066</xdr:colOff>
      <xdr:row>22</xdr:row>
      <xdr:rowOff>102237</xdr:rowOff>
    </xdr:to>
    <xdr:pic>
      <xdr:nvPicPr>
        <xdr:cNvPr id="10" name="Grafik 4">
          <a:extLst>
            <a:ext uri="{FF2B5EF4-FFF2-40B4-BE49-F238E27FC236}">
              <a16:creationId xmlns:a16="http://schemas.microsoft.com/office/drawing/2014/main" id="{00000000-0008-0000-0B00-00000A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0816" y="5977212"/>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23</xdr:row>
      <xdr:rowOff>13921</xdr:rowOff>
    </xdr:from>
    <xdr:to>
      <xdr:col>6</xdr:col>
      <xdr:colOff>1950</xdr:colOff>
      <xdr:row>23</xdr:row>
      <xdr:rowOff>111121</xdr:rowOff>
    </xdr:to>
    <xdr:pic>
      <xdr:nvPicPr>
        <xdr:cNvPr id="11" name="Grafik 4">
          <a:extLst>
            <a:ext uri="{FF2B5EF4-FFF2-40B4-BE49-F238E27FC236}">
              <a16:creationId xmlns:a16="http://schemas.microsoft.com/office/drawing/2014/main" id="{00000000-0008-0000-0B00-00000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6243271"/>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24</xdr:row>
      <xdr:rowOff>9525</xdr:rowOff>
    </xdr:from>
    <xdr:to>
      <xdr:col>6</xdr:col>
      <xdr:colOff>1950</xdr:colOff>
      <xdr:row>24</xdr:row>
      <xdr:rowOff>106725</xdr:rowOff>
    </xdr:to>
    <xdr:pic>
      <xdr:nvPicPr>
        <xdr:cNvPr id="12" name="Grafik 4">
          <a:extLst>
            <a:ext uri="{FF2B5EF4-FFF2-40B4-BE49-F238E27FC236}">
              <a16:creationId xmlns:a16="http://schemas.microsoft.com/office/drawing/2014/main" id="{00000000-0008-0000-0B00-00000C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64960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25</xdr:row>
      <xdr:rowOff>9525</xdr:rowOff>
    </xdr:from>
    <xdr:to>
      <xdr:col>6</xdr:col>
      <xdr:colOff>1950</xdr:colOff>
      <xdr:row>25</xdr:row>
      <xdr:rowOff>107458</xdr:rowOff>
    </xdr:to>
    <xdr:pic>
      <xdr:nvPicPr>
        <xdr:cNvPr id="13" name="Grafik 4">
          <a:extLst>
            <a:ext uri="{FF2B5EF4-FFF2-40B4-BE49-F238E27FC236}">
              <a16:creationId xmlns:a16="http://schemas.microsoft.com/office/drawing/2014/main" id="{00000000-0008-0000-0B00-00000D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6753225"/>
          <a:ext cx="97200" cy="9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8</xdr:row>
      <xdr:rowOff>9525</xdr:rowOff>
    </xdr:from>
    <xdr:to>
      <xdr:col>6</xdr:col>
      <xdr:colOff>1950</xdr:colOff>
      <xdr:row>8</xdr:row>
      <xdr:rowOff>106725</xdr:rowOff>
    </xdr:to>
    <xdr:pic>
      <xdr:nvPicPr>
        <xdr:cNvPr id="15" name="Grafik 4">
          <a:extLst>
            <a:ext uri="{FF2B5EF4-FFF2-40B4-BE49-F238E27FC236}">
              <a16:creationId xmlns:a16="http://schemas.microsoft.com/office/drawing/2014/main" id="{00000000-0008-0000-0B00-00000F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17716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9</xdr:row>
      <xdr:rowOff>9525</xdr:rowOff>
    </xdr:from>
    <xdr:to>
      <xdr:col>6</xdr:col>
      <xdr:colOff>1950</xdr:colOff>
      <xdr:row>9</xdr:row>
      <xdr:rowOff>106725</xdr:rowOff>
    </xdr:to>
    <xdr:pic>
      <xdr:nvPicPr>
        <xdr:cNvPr id="16" name="Grafik 4">
          <a:extLst>
            <a:ext uri="{FF2B5EF4-FFF2-40B4-BE49-F238E27FC236}">
              <a16:creationId xmlns:a16="http://schemas.microsoft.com/office/drawing/2014/main" id="{00000000-0008-0000-0B00-000010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0002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952506</xdr:colOff>
      <xdr:row>11</xdr:row>
      <xdr:rowOff>9525</xdr:rowOff>
    </xdr:from>
    <xdr:to>
      <xdr:col>6</xdr:col>
      <xdr:colOff>1956</xdr:colOff>
      <xdr:row>11</xdr:row>
      <xdr:rowOff>106725</xdr:rowOff>
    </xdr:to>
    <xdr:pic>
      <xdr:nvPicPr>
        <xdr:cNvPr id="17" name="Grafik 4">
          <a:extLst>
            <a:ext uri="{FF2B5EF4-FFF2-40B4-BE49-F238E27FC236}">
              <a16:creationId xmlns:a16="http://schemas.microsoft.com/office/drawing/2014/main" id="{00000000-0008-0000-0B00-000011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6" y="24574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952506</xdr:colOff>
      <xdr:row>13</xdr:row>
      <xdr:rowOff>9526</xdr:rowOff>
    </xdr:from>
    <xdr:to>
      <xdr:col>6</xdr:col>
      <xdr:colOff>1956</xdr:colOff>
      <xdr:row>13</xdr:row>
      <xdr:rowOff>106726</xdr:rowOff>
    </xdr:to>
    <xdr:pic>
      <xdr:nvPicPr>
        <xdr:cNvPr id="18" name="Grafik 4">
          <a:extLst>
            <a:ext uri="{FF2B5EF4-FFF2-40B4-BE49-F238E27FC236}">
              <a16:creationId xmlns:a16="http://schemas.microsoft.com/office/drawing/2014/main" id="{00000000-0008-0000-0B00-00001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6" y="2914651"/>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14</xdr:row>
      <xdr:rowOff>9525</xdr:rowOff>
    </xdr:from>
    <xdr:to>
      <xdr:col>6</xdr:col>
      <xdr:colOff>1950</xdr:colOff>
      <xdr:row>14</xdr:row>
      <xdr:rowOff>106725</xdr:rowOff>
    </xdr:to>
    <xdr:pic>
      <xdr:nvPicPr>
        <xdr:cNvPr id="19" name="Grafik 4">
          <a:extLst>
            <a:ext uri="{FF2B5EF4-FFF2-40B4-BE49-F238E27FC236}">
              <a16:creationId xmlns:a16="http://schemas.microsoft.com/office/drawing/2014/main" id="{00000000-0008-0000-0B00-00001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31432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15</xdr:row>
      <xdr:rowOff>9525</xdr:rowOff>
    </xdr:from>
    <xdr:to>
      <xdr:col>6</xdr:col>
      <xdr:colOff>1950</xdr:colOff>
      <xdr:row>15</xdr:row>
      <xdr:rowOff>106725</xdr:rowOff>
    </xdr:to>
    <xdr:pic>
      <xdr:nvPicPr>
        <xdr:cNvPr id="20" name="Grafik 4">
          <a:extLst>
            <a:ext uri="{FF2B5EF4-FFF2-40B4-BE49-F238E27FC236}">
              <a16:creationId xmlns:a16="http://schemas.microsoft.com/office/drawing/2014/main" id="{00000000-0008-0000-0B00-00001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33718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952506</xdr:colOff>
      <xdr:row>17</xdr:row>
      <xdr:rowOff>9525</xdr:rowOff>
    </xdr:from>
    <xdr:to>
      <xdr:col>6</xdr:col>
      <xdr:colOff>1956</xdr:colOff>
      <xdr:row>17</xdr:row>
      <xdr:rowOff>106725</xdr:rowOff>
    </xdr:to>
    <xdr:pic>
      <xdr:nvPicPr>
        <xdr:cNvPr id="21" name="Grafik 4">
          <a:extLst>
            <a:ext uri="{FF2B5EF4-FFF2-40B4-BE49-F238E27FC236}">
              <a16:creationId xmlns:a16="http://schemas.microsoft.com/office/drawing/2014/main" id="{00000000-0008-0000-0B00-00001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6" y="38290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952506</xdr:colOff>
      <xdr:row>18</xdr:row>
      <xdr:rowOff>9526</xdr:rowOff>
    </xdr:from>
    <xdr:to>
      <xdr:col>6</xdr:col>
      <xdr:colOff>1956</xdr:colOff>
      <xdr:row>18</xdr:row>
      <xdr:rowOff>106726</xdr:rowOff>
    </xdr:to>
    <xdr:pic>
      <xdr:nvPicPr>
        <xdr:cNvPr id="22" name="Grafik 4">
          <a:extLst>
            <a:ext uri="{FF2B5EF4-FFF2-40B4-BE49-F238E27FC236}">
              <a16:creationId xmlns:a16="http://schemas.microsoft.com/office/drawing/2014/main" id="{00000000-0008-0000-0B00-00001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6" y="4057651"/>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20</xdr:row>
      <xdr:rowOff>9525</xdr:rowOff>
    </xdr:from>
    <xdr:to>
      <xdr:col>6</xdr:col>
      <xdr:colOff>1950</xdr:colOff>
      <xdr:row>20</xdr:row>
      <xdr:rowOff>106725</xdr:rowOff>
    </xdr:to>
    <xdr:pic>
      <xdr:nvPicPr>
        <xdr:cNvPr id="23" name="Grafik 4">
          <a:extLst>
            <a:ext uri="{FF2B5EF4-FFF2-40B4-BE49-F238E27FC236}">
              <a16:creationId xmlns:a16="http://schemas.microsoft.com/office/drawing/2014/main" id="{00000000-0008-0000-0B00-000017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45148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21</xdr:row>
      <xdr:rowOff>9526</xdr:rowOff>
    </xdr:from>
    <xdr:to>
      <xdr:col>6</xdr:col>
      <xdr:colOff>1950</xdr:colOff>
      <xdr:row>21</xdr:row>
      <xdr:rowOff>106726</xdr:rowOff>
    </xdr:to>
    <xdr:pic>
      <xdr:nvPicPr>
        <xdr:cNvPr id="24" name="Grafik 4">
          <a:extLst>
            <a:ext uri="{FF2B5EF4-FFF2-40B4-BE49-F238E27FC236}">
              <a16:creationId xmlns:a16="http://schemas.microsoft.com/office/drawing/2014/main" id="{00000000-0008-0000-0B00-000018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4743451"/>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648882</xdr:colOff>
      <xdr:row>8</xdr:row>
      <xdr:rowOff>9525</xdr:rowOff>
    </xdr:from>
    <xdr:to>
      <xdr:col>10</xdr:col>
      <xdr:colOff>3132</xdr:colOff>
      <xdr:row>8</xdr:row>
      <xdr:rowOff>106725</xdr:rowOff>
    </xdr:to>
    <xdr:pic>
      <xdr:nvPicPr>
        <xdr:cNvPr id="49" name="Grafik 4">
          <a:extLst>
            <a:ext uri="{FF2B5EF4-FFF2-40B4-BE49-F238E27FC236}">
              <a16:creationId xmlns:a16="http://schemas.microsoft.com/office/drawing/2014/main" id="{00000000-0008-0000-0B00-000031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6532" y="17716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19</xdr:row>
      <xdr:rowOff>9525</xdr:rowOff>
    </xdr:from>
    <xdr:to>
      <xdr:col>6</xdr:col>
      <xdr:colOff>1950</xdr:colOff>
      <xdr:row>19</xdr:row>
      <xdr:rowOff>106725</xdr:rowOff>
    </xdr:to>
    <xdr:pic>
      <xdr:nvPicPr>
        <xdr:cNvPr id="50" name="Grafik 4">
          <a:extLst>
            <a:ext uri="{FF2B5EF4-FFF2-40B4-BE49-F238E27FC236}">
              <a16:creationId xmlns:a16="http://schemas.microsoft.com/office/drawing/2014/main" id="{00000000-0008-0000-0B00-00003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42862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950595</xdr:colOff>
      <xdr:row>16</xdr:row>
      <xdr:rowOff>9525</xdr:rowOff>
    </xdr:from>
    <xdr:to>
      <xdr:col>6</xdr:col>
      <xdr:colOff>45</xdr:colOff>
      <xdr:row>16</xdr:row>
      <xdr:rowOff>106725</xdr:rowOff>
    </xdr:to>
    <xdr:pic>
      <xdr:nvPicPr>
        <xdr:cNvPr id="51" name="Grafik 4">
          <a:extLst>
            <a:ext uri="{FF2B5EF4-FFF2-40B4-BE49-F238E27FC236}">
              <a16:creationId xmlns:a16="http://schemas.microsoft.com/office/drawing/2014/main" id="{00000000-0008-0000-0B00-00003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5545" y="36004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950595</xdr:colOff>
      <xdr:row>12</xdr:row>
      <xdr:rowOff>9525</xdr:rowOff>
    </xdr:from>
    <xdr:to>
      <xdr:col>6</xdr:col>
      <xdr:colOff>45</xdr:colOff>
      <xdr:row>12</xdr:row>
      <xdr:rowOff>106725</xdr:rowOff>
    </xdr:to>
    <xdr:pic>
      <xdr:nvPicPr>
        <xdr:cNvPr id="52" name="Grafik 4">
          <a:extLst>
            <a:ext uri="{FF2B5EF4-FFF2-40B4-BE49-F238E27FC236}">
              <a16:creationId xmlns:a16="http://schemas.microsoft.com/office/drawing/2014/main" id="{00000000-0008-0000-0B00-00003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5545" y="26860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952500</xdr:colOff>
      <xdr:row>10</xdr:row>
      <xdr:rowOff>9525</xdr:rowOff>
    </xdr:from>
    <xdr:to>
      <xdr:col>6</xdr:col>
      <xdr:colOff>1950</xdr:colOff>
      <xdr:row>10</xdr:row>
      <xdr:rowOff>106725</xdr:rowOff>
    </xdr:to>
    <xdr:pic>
      <xdr:nvPicPr>
        <xdr:cNvPr id="53" name="Grafik 4">
          <a:extLst>
            <a:ext uri="{FF2B5EF4-FFF2-40B4-BE49-F238E27FC236}">
              <a16:creationId xmlns:a16="http://schemas.microsoft.com/office/drawing/2014/main" id="{00000000-0008-0000-0B00-00003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228850"/>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641898</xdr:colOff>
      <xdr:row>16</xdr:row>
      <xdr:rowOff>9526</xdr:rowOff>
    </xdr:from>
    <xdr:ext cx="97200" cy="97200"/>
    <xdr:pic>
      <xdr:nvPicPr>
        <xdr:cNvPr id="27" name="Grafik 4">
          <a:extLst>
            <a:ext uri="{FF2B5EF4-FFF2-40B4-BE49-F238E27FC236}">
              <a16:creationId xmlns:a16="http://schemas.microsoft.com/office/drawing/2014/main" id="{00000000-0008-0000-0B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76598" y="3600451"/>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642726</xdr:colOff>
      <xdr:row>14</xdr:row>
      <xdr:rowOff>9526</xdr:rowOff>
    </xdr:from>
    <xdr:ext cx="97200" cy="97200"/>
    <xdr:pic>
      <xdr:nvPicPr>
        <xdr:cNvPr id="29" name="Grafik 4">
          <a:extLst>
            <a:ext uri="{FF2B5EF4-FFF2-40B4-BE49-F238E27FC236}">
              <a16:creationId xmlns:a16="http://schemas.microsoft.com/office/drawing/2014/main" id="{00000000-0008-0000-0B00-00001D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77426" y="3143251"/>
          <a:ext cx="97200"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6_daten\09_excel-kennzahlenb&#246;gen\16_excel-kb%20auditjahr%202022\organe\sarkome\eb_msar-D1-1_daten_210723_rot_in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Datenquelle"/>
      <sheetName val="HilfstabelleSD"/>
      <sheetName val="Erläuterungen"/>
      <sheetName val="ICD-O-Liste"/>
      <sheetName val="Kennzahlenbogen_(KB)"/>
      <sheetName val="HilfstabelleKB"/>
      <sheetName val="Berechnung1"/>
      <sheetName val="Datendefizite_KB"/>
      <sheetName val="Hilfstabelle DatendefKB"/>
      <sheetName val="Netzwerk Chirurgie"/>
      <sheetName val="HilfstabelleC"/>
    </sheetNames>
    <sheetDataSet>
      <sheetData sheetId="0" refreshError="1"/>
      <sheetData sheetId="1" refreshError="1"/>
      <sheetData sheetId="2">
        <row r="20">
          <cell r="B20" t="str">
            <v>Eigenentwicklung (MS Excel, MS Access etc.)</v>
          </cell>
        </row>
        <row r="21">
          <cell r="B21" t="str">
            <v>Achieva</v>
          </cell>
        </row>
        <row r="22">
          <cell r="B22" t="str">
            <v>Achiever Medical System</v>
          </cell>
        </row>
        <row r="23">
          <cell r="B23" t="str">
            <v>Adjumed</v>
          </cell>
        </row>
        <row r="24">
          <cell r="B24" t="str">
            <v>Alcedis MED</v>
          </cell>
        </row>
        <row r="25">
          <cell r="B25" t="str">
            <v>ambucare</v>
          </cell>
        </row>
        <row r="26">
          <cell r="B26" t="str">
            <v>c37.CancerCenter</v>
          </cell>
        </row>
        <row r="27">
          <cell r="B27" t="str">
            <v>CADA (Eigenentwicklung)</v>
          </cell>
        </row>
        <row r="28">
          <cell r="B28" t="str">
            <v>CaOnkoDok (Eigenentwicklung)</v>
          </cell>
        </row>
        <row r="29">
          <cell r="B29" t="str">
            <v>CARAT</v>
          </cell>
        </row>
        <row r="30">
          <cell r="B30" t="str">
            <v>Clinic WinData</v>
          </cell>
        </row>
        <row r="31">
          <cell r="B31" t="str">
            <v>CREDOS</v>
          </cell>
        </row>
        <row r="32">
          <cell r="B32" t="str">
            <v>em.net</v>
          </cell>
        </row>
        <row r="33">
          <cell r="B33" t="str">
            <v>FileTuDo</v>
          </cell>
        </row>
        <row r="34">
          <cell r="B34" t="str">
            <v>GTDS</v>
          </cell>
        </row>
        <row r="35">
          <cell r="B35" t="str">
            <v>H.I.T.</v>
          </cell>
        </row>
        <row r="36">
          <cell r="B36" t="str">
            <v>Heartsoft Tumordatenbank</v>
          </cell>
        </row>
        <row r="37">
          <cell r="B37" t="str">
            <v>IndivuNET</v>
          </cell>
        </row>
        <row r="38">
          <cell r="B38" t="str">
            <v>ixserv.4</v>
          </cell>
        </row>
        <row r="39">
          <cell r="B39" t="str">
            <v>KIS-Erweiterung</v>
          </cell>
        </row>
        <row r="40">
          <cell r="B40" t="str">
            <v>KR7</v>
          </cell>
        </row>
        <row r="41">
          <cell r="B41" t="str">
            <v>KRAZTUR</v>
          </cell>
        </row>
        <row r="42">
          <cell r="B42" t="str">
            <v>MADOS 4</v>
          </cell>
        </row>
        <row r="43">
          <cell r="B43" t="str">
            <v>Medbrix</v>
          </cell>
        </row>
        <row r="44">
          <cell r="B44" t="str">
            <v>MR-TU-DO</v>
          </cell>
        </row>
        <row r="45">
          <cell r="B45" t="str">
            <v>NUK</v>
          </cell>
        </row>
        <row r="46">
          <cell r="B46" t="str">
            <v>ODSeasy / ODSeasyNet</v>
          </cell>
        </row>
        <row r="47">
          <cell r="B47" t="str">
            <v>OncoAssist Tumordokumentation</v>
          </cell>
        </row>
        <row r="48">
          <cell r="B48" t="str">
            <v>Oncolution</v>
          </cell>
        </row>
        <row r="49">
          <cell r="B49" t="str">
            <v>ONDIS</v>
          </cell>
        </row>
        <row r="50">
          <cell r="B50" t="str">
            <v>onkodok (XAXOA)</v>
          </cell>
        </row>
        <row r="51">
          <cell r="B51" t="str">
            <v>OnkoManager</v>
          </cell>
        </row>
        <row r="52">
          <cell r="B52" t="str">
            <v>Onkomedia</v>
          </cell>
        </row>
        <row r="53">
          <cell r="B53" t="str">
            <v>OnkoNet</v>
          </cell>
        </row>
        <row r="54">
          <cell r="B54" t="str">
            <v>ONKOSTAR</v>
          </cell>
        </row>
        <row r="55">
          <cell r="B55" t="str">
            <v>online Dokumentation IDZB</v>
          </cell>
        </row>
        <row r="56">
          <cell r="B56" t="str">
            <v>ORBIS-ODOK</v>
          </cell>
        </row>
        <row r="57">
          <cell r="B57" t="str">
            <v>QuaDoSta</v>
          </cell>
        </row>
        <row r="58">
          <cell r="B58" t="str">
            <v>SMATOS</v>
          </cell>
        </row>
        <row r="59">
          <cell r="B59" t="str">
            <v>Tudok (Tumorzentrum Regensburg)</v>
          </cell>
        </row>
        <row r="60">
          <cell r="B60" t="str">
            <v>Tumordokumentation des Instituts für Krebsepidemiologie</v>
          </cell>
        </row>
        <row r="61">
          <cell r="B61" t="str">
            <v>Tumorregister München (TRM)</v>
          </cell>
        </row>
        <row r="62">
          <cell r="B62" t="str">
            <v>UCC-TDS (Tumorzentrum Dresden)</v>
          </cell>
        </row>
        <row r="63">
          <cell r="B63" t="str">
            <v>Nicht gelistet</v>
          </cell>
        </row>
        <row r="64">
          <cell r="B64" t="str">
            <v>Unbekannt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Q62"/>
  <sheetViews>
    <sheetView showGridLines="0" tabSelected="1" showRuler="0" zoomScaleNormal="100" zoomScaleSheetLayoutView="100" workbookViewId="0">
      <selection activeCell="D6" sqref="D6:F6"/>
    </sheetView>
  </sheetViews>
  <sheetFormatPr defaultColWidth="9.140625" defaultRowHeight="12.75" x14ac:dyDescent="0.2"/>
  <cols>
    <col min="1" max="1" width="0.85546875" style="6" customWidth="1"/>
    <col min="2" max="2" width="4.7109375" style="6" customWidth="1"/>
    <col min="3" max="3" width="20.7109375" style="6" customWidth="1"/>
    <col min="4" max="4" width="18.140625" style="6" customWidth="1"/>
    <col min="5" max="10" width="8.7109375" style="6" customWidth="1"/>
    <col min="11" max="11" width="7.85546875" style="6" bestFit="1" customWidth="1"/>
    <col min="12" max="12" width="15.7109375" style="6" customWidth="1"/>
    <col min="13" max="13" width="17.28515625" style="6" customWidth="1"/>
    <col min="14" max="15" width="8.28515625" style="6" hidden="1" customWidth="1"/>
    <col min="16" max="16" width="8.28515625" style="6" customWidth="1"/>
    <col min="17" max="16384" width="9.140625" style="6"/>
  </cols>
  <sheetData>
    <row r="1" spans="2:13" ht="6.95" customHeight="1" x14ac:dyDescent="0.2"/>
    <row r="2" spans="2:13" ht="15.95" customHeight="1" x14ac:dyDescent="0.2">
      <c r="B2" s="11" t="s">
        <v>704</v>
      </c>
      <c r="C2" s="11"/>
      <c r="D2" s="11"/>
    </row>
    <row r="3" spans="2:13" ht="15.95" customHeight="1" x14ac:dyDescent="0.2">
      <c r="B3" s="210" t="s">
        <v>334</v>
      </c>
      <c r="C3" s="135"/>
      <c r="D3" s="135"/>
    </row>
    <row r="4" spans="2:13" ht="15.75" customHeight="1" x14ac:dyDescent="0.2">
      <c r="B4" s="310"/>
      <c r="C4" s="310"/>
      <c r="D4" s="310"/>
      <c r="E4" s="311"/>
      <c r="F4" s="311"/>
      <c r="G4" s="311"/>
      <c r="H4" s="311"/>
    </row>
    <row r="5" spans="2:13" ht="16.5" customHeight="1" x14ac:dyDescent="0.2">
      <c r="B5" s="312"/>
      <c r="C5" s="312"/>
      <c r="D5" s="312"/>
      <c r="E5" s="313"/>
      <c r="F5" s="313"/>
      <c r="G5" s="313"/>
      <c r="H5" s="313"/>
      <c r="I5" s="136"/>
    </row>
    <row r="6" spans="2:13" ht="15" customHeight="1" x14ac:dyDescent="0.2">
      <c r="B6" s="317" t="s">
        <v>66</v>
      </c>
      <c r="C6" s="317"/>
      <c r="D6" s="323"/>
      <c r="E6" s="324"/>
      <c r="F6" s="325"/>
      <c r="G6" s="115"/>
      <c r="H6" s="137"/>
      <c r="I6" s="137"/>
      <c r="K6" s="256"/>
      <c r="L6" s="256"/>
      <c r="M6" s="255" t="s">
        <v>558</v>
      </c>
    </row>
    <row r="7" spans="2:13" ht="6.95" customHeight="1" x14ac:dyDescent="0.2">
      <c r="F7" s="138"/>
      <c r="G7" s="138"/>
      <c r="H7" s="138"/>
      <c r="I7" s="138"/>
    </row>
    <row r="8" spans="2:13" ht="15" customHeight="1" x14ac:dyDescent="0.2">
      <c r="B8" s="317" t="s">
        <v>82</v>
      </c>
      <c r="C8" s="317"/>
      <c r="D8" s="318" t="str">
        <f>IF($D$6="","",Datenquelle!B3)</f>
        <v/>
      </c>
      <c r="E8" s="319"/>
      <c r="F8" s="319"/>
      <c r="G8" s="319"/>
      <c r="H8" s="319"/>
      <c r="I8" s="319"/>
      <c r="J8" s="319"/>
      <c r="K8" s="319"/>
      <c r="L8" s="319"/>
      <c r="M8" s="320"/>
    </row>
    <row r="9" spans="2:13" ht="6.95" customHeight="1" x14ac:dyDescent="0.2">
      <c r="B9" s="138"/>
      <c r="C9" s="138"/>
      <c r="D9" s="138"/>
      <c r="E9" s="138"/>
      <c r="F9" s="138"/>
      <c r="G9" s="138"/>
      <c r="H9" s="138"/>
    </row>
    <row r="10" spans="2:13" ht="15" customHeight="1" x14ac:dyDescent="0.2">
      <c r="B10" s="317" t="s">
        <v>83</v>
      </c>
      <c r="C10" s="317"/>
      <c r="D10" s="318" t="str">
        <f>IF($D$6="","",Datenquelle!C3)</f>
        <v/>
      </c>
      <c r="E10" s="319"/>
      <c r="F10" s="319"/>
      <c r="G10" s="319"/>
      <c r="H10" s="319"/>
      <c r="I10" s="319"/>
      <c r="J10" s="319"/>
      <c r="K10" s="319"/>
      <c r="L10" s="319"/>
      <c r="M10" s="320"/>
    </row>
    <row r="11" spans="2:13" ht="22.5" customHeight="1" x14ac:dyDescent="0.2">
      <c r="B11" s="138"/>
      <c r="C11" s="138"/>
      <c r="D11" s="138"/>
      <c r="E11" s="138"/>
      <c r="F11" s="138"/>
      <c r="G11" s="138"/>
      <c r="H11" s="138"/>
    </row>
    <row r="12" spans="2:13" ht="15" customHeight="1" x14ac:dyDescent="0.2">
      <c r="B12" s="64" t="s">
        <v>47</v>
      </c>
      <c r="D12" s="359"/>
      <c r="E12" s="360"/>
      <c r="F12" s="361"/>
      <c r="H12" s="139" t="s">
        <v>702</v>
      </c>
      <c r="K12" s="394"/>
      <c r="L12" s="395"/>
      <c r="M12" s="396"/>
    </row>
    <row r="13" spans="2:13" ht="6.95" customHeight="1" x14ac:dyDescent="0.2">
      <c r="F13" s="138"/>
      <c r="H13" s="140"/>
    </row>
    <row r="14" spans="2:13" ht="15" customHeight="1" x14ac:dyDescent="0.2">
      <c r="C14" s="137"/>
      <c r="H14" s="141" t="s">
        <v>701</v>
      </c>
      <c r="K14" s="397" t="str">
        <f>IF($D$6="","",Datenquelle!F3)</f>
        <v/>
      </c>
      <c r="L14" s="398"/>
      <c r="M14" s="399"/>
    </row>
    <row r="15" spans="2:13" ht="6.95" customHeight="1" x14ac:dyDescent="0.2">
      <c r="B15" s="138"/>
      <c r="E15" s="140"/>
      <c r="F15" s="138"/>
      <c r="J15" s="142"/>
      <c r="K15" s="142"/>
    </row>
    <row r="16" spans="2:13" ht="15.75" customHeight="1" x14ac:dyDescent="0.2">
      <c r="B16" s="65"/>
      <c r="C16" s="137"/>
      <c r="D16" s="400"/>
      <c r="E16" s="400"/>
      <c r="F16" s="400"/>
      <c r="H16" s="65" t="s">
        <v>703</v>
      </c>
      <c r="K16" s="402">
        <v>2022</v>
      </c>
      <c r="L16" s="403"/>
      <c r="M16" s="404"/>
    </row>
    <row r="17" spans="2:15" ht="22.5" customHeight="1" x14ac:dyDescent="0.2">
      <c r="B17" s="65"/>
      <c r="C17" s="137"/>
      <c r="D17" s="143"/>
      <c r="E17" s="143"/>
      <c r="F17" s="143"/>
      <c r="I17" s="272"/>
      <c r="K17" s="272"/>
      <c r="L17" s="272"/>
      <c r="M17" s="272"/>
    </row>
    <row r="18" spans="2:15" ht="14.25" x14ac:dyDescent="0.2">
      <c r="B18" s="388" t="s">
        <v>48</v>
      </c>
      <c r="C18" s="389"/>
      <c r="D18" s="389"/>
      <c r="E18" s="389"/>
      <c r="F18" s="389"/>
      <c r="G18" s="390"/>
      <c r="H18" s="391" t="s">
        <v>100</v>
      </c>
      <c r="I18" s="392"/>
      <c r="J18" s="392"/>
      <c r="K18" s="392"/>
      <c r="L18" s="392"/>
      <c r="M18" s="393"/>
      <c r="N18" s="115"/>
      <c r="O18" s="115"/>
    </row>
    <row r="19" spans="2:15" ht="14.25" x14ac:dyDescent="0.2">
      <c r="B19" s="405" t="str">
        <f>IF($D$6="","",Datenquelle!E3)</f>
        <v/>
      </c>
      <c r="C19" s="406"/>
      <c r="D19" s="406"/>
      <c r="E19" s="406"/>
      <c r="F19" s="406"/>
      <c r="G19" s="407"/>
      <c r="H19" s="408"/>
      <c r="I19" s="408"/>
      <c r="J19" s="408"/>
      <c r="K19" s="408"/>
      <c r="L19" s="408"/>
      <c r="M19" s="408"/>
      <c r="N19" s="115"/>
      <c r="O19" s="115"/>
    </row>
    <row r="20" spans="2:15" ht="22.5" customHeight="1" x14ac:dyDescent="0.2">
      <c r="B20" s="65"/>
      <c r="C20" s="137"/>
      <c r="D20" s="143"/>
      <c r="E20" s="143"/>
      <c r="F20" s="143"/>
      <c r="I20" s="272"/>
      <c r="K20" s="272"/>
      <c r="L20" s="272"/>
      <c r="M20" s="272"/>
      <c r="N20" s="115">
        <f>IF(K27="",0,IF(M27="",K27,K27-M27))</f>
        <v>0</v>
      </c>
      <c r="O20" s="115">
        <f>IF(K27="",0,IF(L27="",K27,K27-L27))</f>
        <v>0</v>
      </c>
    </row>
    <row r="21" spans="2:15" ht="14.25" x14ac:dyDescent="0.2">
      <c r="B21" s="409" t="s">
        <v>68</v>
      </c>
      <c r="C21" s="410"/>
      <c r="D21" s="410"/>
      <c r="E21" s="410"/>
      <c r="F21" s="410"/>
      <c r="G21" s="411"/>
      <c r="H21" s="412" t="s">
        <v>600</v>
      </c>
      <c r="I21" s="413"/>
      <c r="J21" s="413"/>
      <c r="K21" s="413"/>
      <c r="L21" s="413"/>
      <c r="M21" s="414"/>
      <c r="N21" s="115">
        <f>IF(K28="",0,IF(M28="",K28,K28-M28))</f>
        <v>0</v>
      </c>
      <c r="O21" s="115">
        <f t="shared" ref="O21:O22" si="0">IF(K28="",0,IF(L28="",K28,K28-L28))</f>
        <v>0</v>
      </c>
    </row>
    <row r="22" spans="2:15" ht="14.25" customHeight="1" x14ac:dyDescent="0.2">
      <c r="B22" s="415"/>
      <c r="C22" s="416"/>
      <c r="D22" s="416"/>
      <c r="E22" s="416"/>
      <c r="F22" s="416"/>
      <c r="G22" s="417"/>
      <c r="H22" s="412" t="s">
        <v>601</v>
      </c>
      <c r="I22" s="413"/>
      <c r="J22" s="413"/>
      <c r="K22" s="413"/>
      <c r="L22" s="413"/>
      <c r="M22" s="414"/>
      <c r="N22" s="115">
        <f>IF(K29="",0,IF(M29="",K29,K29-M29))</f>
        <v>0</v>
      </c>
      <c r="O22" s="115">
        <f t="shared" si="0"/>
        <v>0</v>
      </c>
    </row>
    <row r="23" spans="2:15" ht="22.5" customHeight="1" x14ac:dyDescent="0.2">
      <c r="B23" s="65"/>
      <c r="C23" s="137"/>
      <c r="D23" s="143"/>
      <c r="E23" s="143"/>
      <c r="F23" s="143"/>
      <c r="I23" s="272"/>
      <c r="K23" s="272"/>
      <c r="L23" s="272"/>
      <c r="M23" s="272"/>
      <c r="N23" s="115">
        <f t="shared" ref="N23" si="1">IF(K30="",0,IF(M30="",K30,K30-M30))</f>
        <v>0</v>
      </c>
      <c r="O23" s="115">
        <f t="shared" ref="O23" si="2">IF(K30="",0,IF(L30="",K30,K30-L30))</f>
        <v>0</v>
      </c>
    </row>
    <row r="24" spans="2:15" ht="24.75" customHeight="1" thickBot="1" x14ac:dyDescent="0.25">
      <c r="B24" s="129"/>
      <c r="C24" s="137"/>
      <c r="D24" s="137"/>
      <c r="E24" s="11"/>
      <c r="F24" s="143"/>
      <c r="N24" s="115"/>
      <c r="O24" s="115"/>
    </row>
    <row r="25" spans="2:15" ht="12.75" customHeight="1" x14ac:dyDescent="0.2">
      <c r="B25" s="328" t="s">
        <v>104</v>
      </c>
      <c r="C25" s="341" t="s">
        <v>297</v>
      </c>
      <c r="D25" s="342"/>
      <c r="E25" s="321" t="s">
        <v>105</v>
      </c>
      <c r="F25" s="321" t="s">
        <v>106</v>
      </c>
      <c r="G25" s="321" t="s">
        <v>296</v>
      </c>
      <c r="H25" s="321" t="s">
        <v>107</v>
      </c>
      <c r="I25" s="321" t="s">
        <v>108</v>
      </c>
      <c r="J25" s="321" t="s">
        <v>109</v>
      </c>
      <c r="K25" s="336" t="s">
        <v>65</v>
      </c>
      <c r="L25" s="326" t="s">
        <v>253</v>
      </c>
      <c r="M25" s="327"/>
      <c r="N25" s="115"/>
      <c r="O25" s="115"/>
    </row>
    <row r="26" spans="2:15" ht="50.25" thickBot="1" x14ac:dyDescent="0.25">
      <c r="B26" s="329"/>
      <c r="C26" s="343"/>
      <c r="D26" s="344"/>
      <c r="E26" s="322"/>
      <c r="F26" s="322"/>
      <c r="G26" s="322"/>
      <c r="H26" s="322"/>
      <c r="I26" s="322"/>
      <c r="J26" s="322"/>
      <c r="K26" s="337"/>
      <c r="L26" s="130" t="s">
        <v>317</v>
      </c>
      <c r="M26" s="131" t="s">
        <v>494</v>
      </c>
      <c r="N26" s="115"/>
      <c r="O26" s="115"/>
    </row>
    <row r="27" spans="2:15" ht="21.75" customHeight="1" x14ac:dyDescent="0.2">
      <c r="B27" s="329"/>
      <c r="C27" s="144" t="s">
        <v>313</v>
      </c>
      <c r="D27" s="145"/>
      <c r="E27" s="146"/>
      <c r="F27" s="146"/>
      <c r="G27" s="146"/>
      <c r="H27" s="146"/>
      <c r="I27" s="146"/>
      <c r="J27" s="146"/>
      <c r="K27" s="147" t="str">
        <f>IF(AND(E27="",F27="",G27="",H27="",I27="",J27=""),"",SUM(E27:J27))</f>
        <v/>
      </c>
      <c r="L27" s="148"/>
      <c r="M27" s="149"/>
      <c r="N27" s="115"/>
      <c r="O27" s="115"/>
    </row>
    <row r="28" spans="2:15" ht="22.5" customHeight="1" x14ac:dyDescent="0.2">
      <c r="B28" s="329"/>
      <c r="C28" s="206" t="s">
        <v>314</v>
      </c>
      <c r="D28" s="207"/>
      <c r="E28" s="150"/>
      <c r="F28" s="150"/>
      <c r="G28" s="150"/>
      <c r="H28" s="150"/>
      <c r="I28" s="150"/>
      <c r="J28" s="150"/>
      <c r="K28" s="151" t="str">
        <f>IF(AND(E28="",F28="",G28="",H28="",I28="",J28=""),"",SUM(E28:J28))</f>
        <v/>
      </c>
      <c r="L28" s="152"/>
      <c r="M28" s="153"/>
      <c r="N28" s="115">
        <f t="shared" ref="N28:N29" si="3">IF(K35="",0,IF(M35="",K35,K35-M35))</f>
        <v>0</v>
      </c>
      <c r="O28" s="115">
        <f t="shared" ref="O28:O29" si="4">IF(K35="",0,IF(L35="",K35,K35-L35))</f>
        <v>0</v>
      </c>
    </row>
    <row r="29" spans="2:15" ht="21.75" customHeight="1" x14ac:dyDescent="0.2">
      <c r="B29" s="329"/>
      <c r="C29" s="338" t="s">
        <v>315</v>
      </c>
      <c r="D29" s="339"/>
      <c r="E29" s="339"/>
      <c r="F29" s="339"/>
      <c r="G29" s="339"/>
      <c r="H29" s="339"/>
      <c r="I29" s="339"/>
      <c r="J29" s="340"/>
      <c r="K29" s="150"/>
      <c r="L29" s="154"/>
      <c r="M29" s="155"/>
      <c r="N29" s="115">
        <f t="shared" si="3"/>
        <v>0</v>
      </c>
      <c r="O29" s="115">
        <f t="shared" si="4"/>
        <v>0</v>
      </c>
    </row>
    <row r="30" spans="2:15" ht="20.25" customHeight="1" x14ac:dyDescent="0.2">
      <c r="B30" s="329"/>
      <c r="C30" s="338" t="s">
        <v>316</v>
      </c>
      <c r="D30" s="339"/>
      <c r="E30" s="339"/>
      <c r="F30" s="339"/>
      <c r="G30" s="339"/>
      <c r="H30" s="339"/>
      <c r="I30" s="339"/>
      <c r="J30" s="340"/>
      <c r="K30" s="150"/>
      <c r="L30" s="154"/>
      <c r="M30" s="155"/>
      <c r="N30" s="115"/>
      <c r="O30" s="115"/>
    </row>
    <row r="31" spans="2:15" ht="21" customHeight="1" x14ac:dyDescent="0.2">
      <c r="B31" s="329"/>
      <c r="C31" s="314" t="s">
        <v>141</v>
      </c>
      <c r="D31" s="315"/>
      <c r="E31" s="315"/>
      <c r="F31" s="315"/>
      <c r="G31" s="315"/>
      <c r="H31" s="315"/>
      <c r="I31" s="315"/>
      <c r="J31" s="316"/>
      <c r="K31" s="151" t="str">
        <f>IF(AND(K27="",K28="",K29="",K30=""),"",SUM(K27:K30))</f>
        <v/>
      </c>
      <c r="L31" s="156" t="str">
        <f t="shared" ref="L31:M31" si="5">IF(AND(L27="",L28="",L29="",L30=""),"",SUM(L27:L30))</f>
        <v/>
      </c>
      <c r="M31" s="157" t="str">
        <f t="shared" si="5"/>
        <v/>
      </c>
      <c r="N31" s="115"/>
      <c r="O31" s="115"/>
    </row>
    <row r="32" spans="2:15" ht="12" customHeight="1" x14ac:dyDescent="0.2">
      <c r="B32" s="329"/>
      <c r="C32" s="158"/>
      <c r="D32" s="159"/>
      <c r="E32" s="160"/>
      <c r="F32" s="160"/>
      <c r="G32" s="160"/>
      <c r="H32" s="160"/>
      <c r="I32" s="160"/>
      <c r="J32" s="161"/>
      <c r="K32" s="115"/>
      <c r="L32" s="115"/>
      <c r="M32" s="162"/>
      <c r="N32" s="115"/>
      <c r="O32" s="115"/>
    </row>
    <row r="33" spans="2:17" ht="12" customHeight="1" x14ac:dyDescent="0.2">
      <c r="B33" s="329"/>
      <c r="C33" s="345" t="s">
        <v>140</v>
      </c>
      <c r="D33" s="346"/>
      <c r="E33" s="349" t="s">
        <v>565</v>
      </c>
      <c r="F33" s="349" t="s">
        <v>318</v>
      </c>
      <c r="G33" s="349" t="s">
        <v>566</v>
      </c>
      <c r="H33" s="349" t="s">
        <v>319</v>
      </c>
      <c r="I33" s="351" t="s">
        <v>110</v>
      </c>
      <c r="J33" s="163"/>
      <c r="K33" s="368" t="s">
        <v>65</v>
      </c>
      <c r="L33" s="370" t="s">
        <v>253</v>
      </c>
      <c r="M33" s="371"/>
      <c r="N33" s="115"/>
      <c r="O33" s="115"/>
    </row>
    <row r="34" spans="2:17" ht="51" customHeight="1" x14ac:dyDescent="0.2">
      <c r="B34" s="329"/>
      <c r="C34" s="347"/>
      <c r="D34" s="348"/>
      <c r="E34" s="350"/>
      <c r="F34" s="350"/>
      <c r="G34" s="350"/>
      <c r="H34" s="350"/>
      <c r="I34" s="352"/>
      <c r="J34" s="163"/>
      <c r="K34" s="401"/>
      <c r="L34" s="132" t="s">
        <v>317</v>
      </c>
      <c r="M34" s="133" t="s">
        <v>494</v>
      </c>
      <c r="N34" s="115"/>
      <c r="O34" s="115"/>
    </row>
    <row r="35" spans="2:17" ht="27" customHeight="1" x14ac:dyDescent="0.2">
      <c r="B35" s="329"/>
      <c r="C35" s="164" t="s">
        <v>111</v>
      </c>
      <c r="D35" s="165"/>
      <c r="E35" s="166"/>
      <c r="F35" s="166"/>
      <c r="G35" s="166"/>
      <c r="H35" s="166"/>
      <c r="I35" s="166"/>
      <c r="J35" s="163"/>
      <c r="K35" s="167" t="str">
        <f>IF(AND(E35="",F35="",G35="",H35="",I35="")=TRUE,"",SUM(E35:I35))</f>
        <v/>
      </c>
      <c r="L35" s="168"/>
      <c r="M35" s="155"/>
      <c r="N35" s="115"/>
      <c r="O35" s="115"/>
    </row>
    <row r="36" spans="2:17" ht="27.75" customHeight="1" x14ac:dyDescent="0.2">
      <c r="B36" s="329"/>
      <c r="C36" s="164" t="s">
        <v>112</v>
      </c>
      <c r="D36" s="165"/>
      <c r="E36" s="166"/>
      <c r="F36" s="166"/>
      <c r="G36" s="166"/>
      <c r="H36" s="166"/>
      <c r="I36" s="166"/>
      <c r="J36" s="115"/>
      <c r="K36" s="167" t="str">
        <f>IF(AND(E36="",F36="",G36="",H36="",I36="")=TRUE,"",SUM(E36:I36))</f>
        <v/>
      </c>
      <c r="L36" s="166"/>
      <c r="M36" s="155"/>
      <c r="N36" s="115"/>
      <c r="O36" s="115"/>
    </row>
    <row r="37" spans="2:17" ht="25.5" customHeight="1" x14ac:dyDescent="0.2">
      <c r="B37" s="329"/>
      <c r="C37" s="314" t="s">
        <v>139</v>
      </c>
      <c r="D37" s="316"/>
      <c r="E37" s="151" t="str">
        <f>IF(AND(E35="",E36=""),"",SUM(E35:E36))</f>
        <v/>
      </c>
      <c r="F37" s="151" t="str">
        <f t="shared" ref="F37:I37" si="6">IF(AND(F35="",F36=""),"",SUM(F35:F36))</f>
        <v/>
      </c>
      <c r="G37" s="151" t="str">
        <f t="shared" si="6"/>
        <v/>
      </c>
      <c r="H37" s="151" t="str">
        <f t="shared" si="6"/>
        <v/>
      </c>
      <c r="I37" s="151" t="str">
        <f t="shared" si="6"/>
        <v/>
      </c>
      <c r="J37" s="115"/>
      <c r="K37" s="151" t="str">
        <f>IF(AND(E37="",F37="",G37="",H37="",I37="")=TRUE,"",SUM(E37:I37))</f>
        <v/>
      </c>
      <c r="L37" s="151" t="str">
        <f>IF(AND(L35="",L36="")=TRUE,"",SUM(L35:L36))</f>
        <v/>
      </c>
      <c r="M37" s="157" t="str">
        <f>IF(AND(M35="",M36="")=TRUE,"",SUM(M35:M36))</f>
        <v/>
      </c>
      <c r="N37" s="115"/>
      <c r="O37" s="115"/>
    </row>
    <row r="38" spans="2:17" ht="18.75" customHeight="1" x14ac:dyDescent="0.2">
      <c r="B38" s="329"/>
      <c r="C38" s="205"/>
      <c r="D38" s="115"/>
      <c r="E38" s="115"/>
      <c r="F38" s="115"/>
      <c r="G38" s="115"/>
      <c r="H38" s="115"/>
      <c r="I38" s="115"/>
      <c r="J38" s="115"/>
      <c r="K38" s="115"/>
      <c r="L38" s="115"/>
      <c r="M38" s="162"/>
      <c r="N38" s="115"/>
      <c r="O38" s="115"/>
    </row>
    <row r="39" spans="2:17" ht="22.5" customHeight="1" x14ac:dyDescent="0.2">
      <c r="B39" s="329"/>
      <c r="C39" s="353" t="s">
        <v>142</v>
      </c>
      <c r="D39" s="354"/>
      <c r="E39" s="354"/>
      <c r="F39" s="354"/>
      <c r="G39" s="354"/>
      <c r="H39" s="354"/>
      <c r="I39" s="354"/>
      <c r="J39" s="355"/>
      <c r="K39" s="151" t="str">
        <f>IF(AND(K31="",K37="")=TRUE,"",IF(K31="",K37,IF(K37="",K31,K37+K31)))</f>
        <v/>
      </c>
      <c r="L39" s="151" t="str">
        <f>IF(AND(L31="",L37=""),"",IF(L31="",L37,IF(L37="",L31,L37+L31)))</f>
        <v/>
      </c>
      <c r="M39" s="157" t="str">
        <f>IF(AND(M31="",M37=""),"",IF(M31="",M37,IF(M37="",M31,M37+M31)))</f>
        <v/>
      </c>
      <c r="N39" s="115"/>
      <c r="O39" s="115"/>
    </row>
    <row r="40" spans="2:17" ht="14.25" x14ac:dyDescent="0.2">
      <c r="B40" s="329"/>
      <c r="C40" s="169"/>
      <c r="D40" s="160"/>
      <c r="E40" s="160"/>
      <c r="F40" s="160"/>
      <c r="G40" s="160"/>
      <c r="H40" s="160"/>
      <c r="I40" s="160"/>
      <c r="J40" s="170"/>
      <c r="K40" s="115"/>
      <c r="L40" s="115"/>
      <c r="M40" s="162"/>
      <c r="N40" s="115"/>
      <c r="O40" s="115"/>
      <c r="Q40" s="229"/>
    </row>
    <row r="41" spans="2:17" ht="12" customHeight="1" x14ac:dyDescent="0.2">
      <c r="B41" s="329"/>
      <c r="C41" s="372" t="s">
        <v>350</v>
      </c>
      <c r="D41" s="373"/>
      <c r="E41" s="373"/>
      <c r="F41" s="373"/>
      <c r="G41" s="373"/>
      <c r="H41" s="373"/>
      <c r="I41" s="373"/>
      <c r="J41" s="374"/>
      <c r="K41" s="384" t="s">
        <v>65</v>
      </c>
      <c r="L41" s="386" t="s">
        <v>253</v>
      </c>
      <c r="M41" s="387"/>
      <c r="N41" s="115"/>
      <c r="O41" s="115"/>
      <c r="Q41" s="229"/>
    </row>
    <row r="42" spans="2:17" ht="54" customHeight="1" x14ac:dyDescent="0.2">
      <c r="B42" s="329"/>
      <c r="C42" s="375"/>
      <c r="D42" s="376"/>
      <c r="E42" s="376"/>
      <c r="F42" s="376"/>
      <c r="G42" s="376"/>
      <c r="H42" s="376"/>
      <c r="I42" s="376"/>
      <c r="J42" s="377"/>
      <c r="K42" s="385"/>
      <c r="L42" s="220" t="s">
        <v>351</v>
      </c>
      <c r="M42" s="221" t="s">
        <v>495</v>
      </c>
      <c r="N42" s="115"/>
      <c r="O42" s="115"/>
      <c r="Q42" s="229"/>
    </row>
    <row r="43" spans="2:17" ht="22.5" customHeight="1" x14ac:dyDescent="0.2">
      <c r="B43" s="329"/>
      <c r="C43" s="378" t="s">
        <v>347</v>
      </c>
      <c r="D43" s="379"/>
      <c r="E43" s="379"/>
      <c r="F43" s="379"/>
      <c r="G43" s="379"/>
      <c r="H43" s="379"/>
      <c r="I43" s="379"/>
      <c r="J43" s="380"/>
      <c r="K43" s="167" t="str">
        <f>IF(AND(L43="",M43="")=TRUE,"",SUM(L43:M43))</f>
        <v/>
      </c>
      <c r="L43" s="222"/>
      <c r="M43" s="223"/>
      <c r="N43" s="115"/>
      <c r="O43" s="115"/>
      <c r="Q43" s="229"/>
    </row>
    <row r="44" spans="2:17" ht="22.5" customHeight="1" x14ac:dyDescent="0.2">
      <c r="B44" s="329"/>
      <c r="C44" s="378" t="s">
        <v>348</v>
      </c>
      <c r="D44" s="379"/>
      <c r="E44" s="379"/>
      <c r="F44" s="379"/>
      <c r="G44" s="379"/>
      <c r="H44" s="379"/>
      <c r="I44" s="379"/>
      <c r="J44" s="380"/>
      <c r="K44" s="167" t="str">
        <f>IF(AND(L44="",M44="")=TRUE,"",SUM(L44:M44))</f>
        <v/>
      </c>
      <c r="L44" s="224"/>
      <c r="M44" s="225"/>
      <c r="N44" s="115"/>
      <c r="O44" s="115"/>
      <c r="Q44" s="229"/>
    </row>
    <row r="45" spans="2:17" ht="23.25" customHeight="1" x14ac:dyDescent="0.2">
      <c r="B45" s="329"/>
      <c r="C45" s="381" t="s">
        <v>349</v>
      </c>
      <c r="D45" s="382"/>
      <c r="E45" s="382"/>
      <c r="F45" s="382"/>
      <c r="G45" s="382"/>
      <c r="H45" s="382"/>
      <c r="I45" s="382"/>
      <c r="J45" s="383"/>
      <c r="K45" s="219" t="str">
        <f>IF(AND(K43="",K44="")=TRUE,"",SUM(K43:K44))</f>
        <v/>
      </c>
      <c r="L45" s="219" t="str">
        <f t="shared" ref="L45:M45" si="7">IF(AND(L43="",L44="")=TRUE,"",SUM(L43:L44))</f>
        <v/>
      </c>
      <c r="M45" s="226" t="str">
        <f t="shared" si="7"/>
        <v/>
      </c>
      <c r="N45" s="115"/>
      <c r="O45" s="115"/>
    </row>
    <row r="46" spans="2:17" ht="12.75" customHeight="1" x14ac:dyDescent="0.2">
      <c r="B46" s="329"/>
      <c r="C46" s="218"/>
      <c r="D46" s="161"/>
      <c r="E46" s="161"/>
      <c r="F46" s="161"/>
      <c r="G46" s="161"/>
      <c r="H46" s="161"/>
      <c r="I46" s="161"/>
      <c r="J46" s="115"/>
      <c r="K46" s="115"/>
      <c r="L46" s="115"/>
      <c r="M46" s="162"/>
      <c r="N46" s="115"/>
      <c r="O46" s="115"/>
      <c r="Q46" s="229"/>
    </row>
    <row r="47" spans="2:17" ht="12" customHeight="1" x14ac:dyDescent="0.2">
      <c r="B47" s="329"/>
      <c r="C47" s="345" t="s">
        <v>685</v>
      </c>
      <c r="D47" s="363"/>
      <c r="E47" s="363"/>
      <c r="F47" s="363"/>
      <c r="G47" s="363"/>
      <c r="H47" s="363"/>
      <c r="I47" s="363"/>
      <c r="J47" s="364"/>
      <c r="K47" s="368" t="s">
        <v>65</v>
      </c>
      <c r="L47" s="370" t="s">
        <v>253</v>
      </c>
      <c r="M47" s="371"/>
    </row>
    <row r="48" spans="2:17" s="115" customFormat="1" ht="66" customHeight="1" x14ac:dyDescent="0.2">
      <c r="B48" s="329"/>
      <c r="C48" s="365"/>
      <c r="D48" s="366"/>
      <c r="E48" s="366"/>
      <c r="F48" s="366"/>
      <c r="G48" s="366"/>
      <c r="H48" s="366"/>
      <c r="I48" s="366"/>
      <c r="J48" s="367"/>
      <c r="K48" s="369"/>
      <c r="L48" s="132" t="s">
        <v>317</v>
      </c>
      <c r="M48" s="133" t="s">
        <v>494</v>
      </c>
    </row>
    <row r="49" spans="1:14" ht="24" customHeight="1" x14ac:dyDescent="0.2">
      <c r="B49" s="329"/>
      <c r="C49" s="356" t="s">
        <v>113</v>
      </c>
      <c r="D49" s="357"/>
      <c r="E49" s="357"/>
      <c r="F49" s="357"/>
      <c r="G49" s="357"/>
      <c r="H49" s="357"/>
      <c r="I49" s="357"/>
      <c r="J49" s="358"/>
      <c r="K49" s="167" t="str">
        <f>IF(AND(L49="",M49="")=TRUE,"",SUM(L49:M49))</f>
        <v/>
      </c>
      <c r="L49" s="222"/>
      <c r="M49" s="223"/>
    </row>
    <row r="50" spans="1:14" ht="26.25" customHeight="1" x14ac:dyDescent="0.2">
      <c r="B50" s="329"/>
      <c r="C50" s="356" t="s">
        <v>114</v>
      </c>
      <c r="D50" s="357"/>
      <c r="E50" s="357"/>
      <c r="F50" s="357"/>
      <c r="G50" s="357"/>
      <c r="H50" s="357"/>
      <c r="I50" s="357"/>
      <c r="J50" s="358"/>
      <c r="K50" s="167" t="str">
        <f>IF(AND(L50="",M50="")=TRUE,"",SUM(L50:M50))</f>
        <v/>
      </c>
      <c r="L50" s="224"/>
      <c r="M50" s="225"/>
      <c r="N50" s="179"/>
    </row>
    <row r="51" spans="1:14" ht="24.75" customHeight="1" x14ac:dyDescent="0.2">
      <c r="A51" s="115"/>
      <c r="B51" s="329"/>
      <c r="C51" s="378" t="s">
        <v>352</v>
      </c>
      <c r="D51" s="379"/>
      <c r="E51" s="379"/>
      <c r="F51" s="379"/>
      <c r="G51" s="379"/>
      <c r="H51" s="379"/>
      <c r="I51" s="379"/>
      <c r="J51" s="380"/>
      <c r="K51" s="151" t="str">
        <f>IF(AND(L51="",M51="")=TRUE,"",SUM(L51:M51))</f>
        <v/>
      </c>
      <c r="L51" s="224"/>
      <c r="M51" s="225"/>
      <c r="N51" s="183"/>
    </row>
    <row r="52" spans="1:14" ht="12" customHeight="1" x14ac:dyDescent="0.2">
      <c r="B52" s="329"/>
      <c r="C52" s="169"/>
      <c r="D52" s="160"/>
      <c r="E52" s="160"/>
      <c r="F52" s="160"/>
      <c r="G52" s="160"/>
      <c r="H52" s="160"/>
      <c r="I52" s="160"/>
      <c r="J52" s="160"/>
      <c r="K52" s="115"/>
      <c r="L52" s="115"/>
      <c r="M52" s="171"/>
      <c r="N52" s="184"/>
    </row>
    <row r="53" spans="1:14" ht="30" customHeight="1" thickBot="1" x14ac:dyDescent="0.25">
      <c r="B53" s="330"/>
      <c r="C53" s="307" t="s">
        <v>115</v>
      </c>
      <c r="D53" s="308"/>
      <c r="E53" s="308"/>
      <c r="F53" s="308"/>
      <c r="G53" s="308"/>
      <c r="H53" s="308"/>
      <c r="I53" s="308"/>
      <c r="J53" s="309"/>
      <c r="K53" s="172" t="str">
        <f>IF(AND(K39="",K45="",K49="",K50="",K51="")=TRUE,"",SUM(IF(K39="",0,K39),IF(K45="",0,K45),IF(K49="",0,K49),IF(K50="",0,K50),IF(K51="",0,K51)))</f>
        <v/>
      </c>
      <c r="L53" s="172" t="str">
        <f t="shared" ref="L53" si="8">IF(AND(L39="",L45="",L49="",L50="",L51="")=TRUE,"",SUM(IF(L39="",0,L39),IF(L45="",0,L45),IF(L49="",0,L49),IF(L50="",0,L50),IF(L51="",0,L51)))</f>
        <v/>
      </c>
      <c r="M53" s="173" t="str">
        <f>IF(AND(M39="",M45="",M49="",M50="",M51="")=TRUE,"",SUM(IF(M39="",0,M39),IF(M45="",0,M45),IF(M49="",0,M49),IF(M50="",0,M50),IF(M51="",0,M51)))</f>
        <v/>
      </c>
      <c r="N53" s="184"/>
    </row>
    <row r="54" spans="1:14" ht="14.25" x14ac:dyDescent="0.2">
      <c r="B54" s="174"/>
      <c r="C54" s="174"/>
      <c r="D54" s="174"/>
      <c r="E54" s="175"/>
      <c r="F54" s="134"/>
    </row>
    <row r="55" spans="1:14" ht="165.75" customHeight="1" x14ac:dyDescent="0.2">
      <c r="B55" s="362" t="s">
        <v>707</v>
      </c>
      <c r="C55" s="362"/>
      <c r="D55" s="362"/>
      <c r="E55" s="362"/>
      <c r="F55" s="362"/>
      <c r="G55" s="362"/>
      <c r="H55" s="362"/>
      <c r="I55" s="362"/>
      <c r="J55" s="362"/>
      <c r="K55" s="362"/>
      <c r="L55" s="362"/>
      <c r="M55" s="362"/>
    </row>
    <row r="56" spans="1:14" x14ac:dyDescent="0.2">
      <c r="B56" s="176" t="s">
        <v>92</v>
      </c>
      <c r="C56" s="176"/>
      <c r="D56" s="176"/>
      <c r="E56" s="2"/>
      <c r="F56" s="2"/>
      <c r="G56" s="2"/>
      <c r="H56" s="2"/>
      <c r="I56" s="2"/>
      <c r="J56" s="2"/>
      <c r="K56" s="2"/>
      <c r="L56" s="2"/>
      <c r="M56" s="2"/>
    </row>
    <row r="57" spans="1:14" x14ac:dyDescent="0.2">
      <c r="B57" s="177" t="s">
        <v>78</v>
      </c>
      <c r="C57" s="178"/>
      <c r="D57" s="331" t="s">
        <v>706</v>
      </c>
      <c r="E57" s="332"/>
      <c r="F57" s="332"/>
      <c r="G57" s="332"/>
      <c r="H57" s="332"/>
      <c r="I57" s="332"/>
      <c r="J57" s="332"/>
      <c r="K57" s="332"/>
      <c r="L57" s="332"/>
      <c r="M57" s="333"/>
    </row>
    <row r="58" spans="1:14" ht="14.25" x14ac:dyDescent="0.2">
      <c r="B58" s="115"/>
      <c r="C58" s="180"/>
      <c r="D58" s="181"/>
      <c r="E58" s="182"/>
      <c r="F58" s="182"/>
      <c r="G58" s="182"/>
      <c r="H58" s="182"/>
      <c r="I58" s="182"/>
      <c r="J58" s="182"/>
      <c r="K58" s="182"/>
      <c r="L58" s="182"/>
      <c r="M58" s="182"/>
    </row>
    <row r="59" spans="1:14" x14ac:dyDescent="0.2">
      <c r="B59" s="177" t="s">
        <v>91</v>
      </c>
      <c r="C59" s="178"/>
      <c r="D59" s="331" t="s">
        <v>683</v>
      </c>
      <c r="E59" s="332"/>
      <c r="F59" s="332"/>
      <c r="G59" s="332"/>
      <c r="H59" s="332"/>
      <c r="I59" s="332"/>
      <c r="J59" s="332"/>
      <c r="K59" s="332"/>
      <c r="L59" s="332"/>
      <c r="M59" s="333"/>
    </row>
    <row r="60" spans="1:14" x14ac:dyDescent="0.2">
      <c r="B60" s="177" t="s">
        <v>103</v>
      </c>
      <c r="C60" s="178"/>
      <c r="D60" s="304" t="s">
        <v>684</v>
      </c>
      <c r="E60" s="305"/>
      <c r="F60" s="305"/>
      <c r="G60" s="305"/>
      <c r="H60" s="305"/>
      <c r="I60" s="305"/>
      <c r="J60" s="305"/>
      <c r="K60" s="305"/>
      <c r="L60" s="305"/>
      <c r="M60" s="306"/>
    </row>
    <row r="61" spans="1:14" ht="12.75" customHeight="1" x14ac:dyDescent="0.2"/>
    <row r="62" spans="1:14" ht="78.75" customHeight="1" x14ac:dyDescent="0.2">
      <c r="B62" s="334" t="s">
        <v>532</v>
      </c>
      <c r="C62" s="335"/>
      <c r="D62" s="335"/>
      <c r="E62" s="335"/>
      <c r="F62" s="335"/>
      <c r="G62" s="335"/>
      <c r="H62" s="335"/>
      <c r="I62" s="335"/>
      <c r="J62" s="335"/>
      <c r="K62" s="335"/>
      <c r="L62" s="335"/>
      <c r="M62" s="335"/>
    </row>
  </sheetData>
  <sheetProtection algorithmName="SHA-512" hashValue="WgDP9VHpJmx1G8IPj76dU8kSyCJpZIuQ628H+pqXzmqJNKOFoW/26QCt1uyPV2Eb1NTs4wxpFNOEeE09/yAEYg==" saltValue="AxnWkWwTXIwZ/wFu7JKOng==" spinCount="100000" sheet="1" objects="1" scenarios="1" selectLockedCells="1"/>
  <dataConsolidate/>
  <mergeCells count="62">
    <mergeCell ref="D10:M10"/>
    <mergeCell ref="K12:M12"/>
    <mergeCell ref="K14:M14"/>
    <mergeCell ref="D16:F16"/>
    <mergeCell ref="K33:K34"/>
    <mergeCell ref="L33:M33"/>
    <mergeCell ref="E33:E34"/>
    <mergeCell ref="K16:M16"/>
    <mergeCell ref="F25:F26"/>
    <mergeCell ref="B19:G19"/>
    <mergeCell ref="H19:M19"/>
    <mergeCell ref="B21:G21"/>
    <mergeCell ref="H21:M21"/>
    <mergeCell ref="B22:G22"/>
    <mergeCell ref="H22:M22"/>
    <mergeCell ref="D59:M59"/>
    <mergeCell ref="D12:F12"/>
    <mergeCell ref="B55:M55"/>
    <mergeCell ref="C47:J48"/>
    <mergeCell ref="K47:K48"/>
    <mergeCell ref="L47:M47"/>
    <mergeCell ref="C41:J42"/>
    <mergeCell ref="C43:J43"/>
    <mergeCell ref="C44:J44"/>
    <mergeCell ref="C45:J45"/>
    <mergeCell ref="K41:K42"/>
    <mergeCell ref="L41:M41"/>
    <mergeCell ref="C51:J51"/>
    <mergeCell ref="B18:G18"/>
    <mergeCell ref="H18:M18"/>
    <mergeCell ref="B62:M62"/>
    <mergeCell ref="K25:K26"/>
    <mergeCell ref="C29:J29"/>
    <mergeCell ref="C25:D26"/>
    <mergeCell ref="C33:D34"/>
    <mergeCell ref="G33:G34"/>
    <mergeCell ref="H33:H34"/>
    <mergeCell ref="I33:I34"/>
    <mergeCell ref="F33:F34"/>
    <mergeCell ref="C30:J30"/>
    <mergeCell ref="C37:D37"/>
    <mergeCell ref="C39:J39"/>
    <mergeCell ref="C50:J50"/>
    <mergeCell ref="H25:H26"/>
    <mergeCell ref="I25:I26"/>
    <mergeCell ref="C49:J49"/>
    <mergeCell ref="D60:M60"/>
    <mergeCell ref="C53:J53"/>
    <mergeCell ref="B4:H4"/>
    <mergeCell ref="B5:H5"/>
    <mergeCell ref="C31:J31"/>
    <mergeCell ref="B10:C10"/>
    <mergeCell ref="D8:M8"/>
    <mergeCell ref="J25:J26"/>
    <mergeCell ref="G25:G26"/>
    <mergeCell ref="B6:C6"/>
    <mergeCell ref="B8:C8"/>
    <mergeCell ref="D6:F6"/>
    <mergeCell ref="L25:M25"/>
    <mergeCell ref="E25:E26"/>
    <mergeCell ref="B25:B53"/>
    <mergeCell ref="D57:M57"/>
  </mergeCells>
  <phoneticPr fontId="56" type="noConversion"/>
  <conditionalFormatting sqref="D12">
    <cfRule type="expression" dxfId="106" priority="76" stopIfTrue="1">
      <formula>LEN(TRIM(D12))=0</formula>
    </cfRule>
  </conditionalFormatting>
  <conditionalFormatting sqref="D6">
    <cfRule type="expression" dxfId="105" priority="55" stopIfTrue="1">
      <formula>LEN(TRIM(D6))=0</formula>
    </cfRule>
  </conditionalFormatting>
  <conditionalFormatting sqref="K12">
    <cfRule type="expression" dxfId="104" priority="54" stopIfTrue="1">
      <formula>LEN(TRIM(K12))=0</formula>
    </cfRule>
  </conditionalFormatting>
  <conditionalFormatting sqref="E35:I36 E27:J28">
    <cfRule type="expression" dxfId="103" priority="44">
      <formula>LEN(TRIM(E27))=0</formula>
    </cfRule>
  </conditionalFormatting>
  <conditionalFormatting sqref="L27:M30">
    <cfRule type="expression" dxfId="102" priority="36">
      <formula>LEN(TRIM(L27))=0</formula>
    </cfRule>
  </conditionalFormatting>
  <conditionalFormatting sqref="L35:L36">
    <cfRule type="expression" dxfId="101" priority="35">
      <formula>LEN(TRIM(L35))=0</formula>
    </cfRule>
  </conditionalFormatting>
  <conditionalFormatting sqref="M35:M36">
    <cfRule type="expression" dxfId="100" priority="34">
      <formula>LEN(TRIM(M35))=0</formula>
    </cfRule>
  </conditionalFormatting>
  <conditionalFormatting sqref="L27:M27">
    <cfRule type="expression" dxfId="99" priority="29">
      <formula>AND(OR(ISBLANK($L27)=FALSE,ISBLANK($M27)=FALSE)=TRUE,($L$27+$M27)&lt;&gt;$K27)=TRUE</formula>
    </cfRule>
  </conditionalFormatting>
  <conditionalFormatting sqref="L28:M28">
    <cfRule type="expression" dxfId="98" priority="28">
      <formula>AND(OR(ISBLANK($L28)=FALSE,ISBLANK($M28)=FALSE)=TRUE,($L$28+$M28)&lt;&gt;$K28)=TRUE</formula>
    </cfRule>
  </conditionalFormatting>
  <conditionalFormatting sqref="L35:M35">
    <cfRule type="expression" dxfId="97" priority="26">
      <formula>AND(OR(ISBLANK($L35)=FALSE,ISBLANK($M35)=FALSE)=TRUE,($L$35+$M35)&lt;&gt;$K35)=TRUE</formula>
    </cfRule>
  </conditionalFormatting>
  <conditionalFormatting sqref="L36:M36">
    <cfRule type="expression" dxfId="96" priority="25">
      <formula>AND(OR(ISBLANK($L36)=FALSE,ISBLANK($M36)=FALSE)=TRUE,($L$36+$M36)&lt;&gt;$K36)=TRUE</formula>
    </cfRule>
  </conditionalFormatting>
  <conditionalFormatting sqref="K29">
    <cfRule type="expression" dxfId="95" priority="22">
      <formula>LEN(TRIM(K29))=0</formula>
    </cfRule>
  </conditionalFormatting>
  <conditionalFormatting sqref="K30">
    <cfRule type="expression" dxfId="94" priority="21">
      <formula>LEN(TRIM(K30))=0</formula>
    </cfRule>
  </conditionalFormatting>
  <conditionalFormatting sqref="L29:M29">
    <cfRule type="expression" dxfId="93" priority="20">
      <formula>AND(OR(ISBLANK($L$29)=FALSE,ISBLANK($M$29)=FALSE)=TRUE,($L$29+$M$29)&lt;&gt;$K$29)=TRUE</formula>
    </cfRule>
  </conditionalFormatting>
  <conditionalFormatting sqref="L30:M30">
    <cfRule type="expression" dxfId="92" priority="19">
      <formula>AND(OR(ISBLANK($L$30)=FALSE,ISBLANK($M$30)=FALSE)=TRUE,($L$30+$M$30)&lt;&gt;$K$30)=TRUE</formula>
    </cfRule>
  </conditionalFormatting>
  <conditionalFormatting sqref="L43">
    <cfRule type="expression" dxfId="91" priority="18">
      <formula>LEN(TRIM(L43))=0</formula>
    </cfRule>
  </conditionalFormatting>
  <conditionalFormatting sqref="L44">
    <cfRule type="expression" dxfId="90" priority="17">
      <formula>LEN(TRIM(L44))=0</formula>
    </cfRule>
  </conditionalFormatting>
  <conditionalFormatting sqref="M43">
    <cfRule type="expression" dxfId="89" priority="16">
      <formula>LEN(TRIM(M43))=0</formula>
    </cfRule>
  </conditionalFormatting>
  <conditionalFormatting sqref="M44">
    <cfRule type="expression" dxfId="88" priority="15">
      <formula>LEN(TRIM(M44))=0</formula>
    </cfRule>
  </conditionalFormatting>
  <conditionalFormatting sqref="L49 L51">
    <cfRule type="expression" dxfId="87" priority="8">
      <formula>LEN(TRIM(L49))=0</formula>
    </cfRule>
  </conditionalFormatting>
  <conditionalFormatting sqref="L50">
    <cfRule type="expression" dxfId="86" priority="7">
      <formula>LEN(TRIM(L50))=0</formula>
    </cfRule>
  </conditionalFormatting>
  <conditionalFormatting sqref="M49 M51">
    <cfRule type="expression" dxfId="85" priority="6">
      <formula>LEN(TRIM(M49))=0</formula>
    </cfRule>
  </conditionalFormatting>
  <conditionalFormatting sqref="M50">
    <cfRule type="expression" dxfId="84" priority="5">
      <formula>LEN(TRIM(M50))=0</formula>
    </cfRule>
  </conditionalFormatting>
  <conditionalFormatting sqref="H19:M19">
    <cfRule type="notContainsBlanks" dxfId="83" priority="2">
      <formula>LEN(TRIM(H19))&gt;0</formula>
    </cfRule>
    <cfRule type="expression" dxfId="82" priority="4">
      <formula>LEN(TRIM(H19))=0</formula>
    </cfRule>
  </conditionalFormatting>
  <conditionalFormatting sqref="B22:G22">
    <cfRule type="expression" dxfId="81" priority="1">
      <formula>LEN(TRIM(B22))=0</formula>
    </cfRule>
    <cfRule type="notContainsBlanks" dxfId="80" priority="3">
      <formula>LEN(TRIM(B22))&gt;0</formula>
    </cfRule>
  </conditionalFormatting>
  <dataValidations count="17">
    <dataValidation allowBlank="1" showInputMessage="1" showErrorMessage="1" errorTitle="Eingabefehler" sqref="K14" xr:uid="{00000000-0002-0000-0000-000000000000}"/>
    <dataValidation type="date" errorStyle="information" allowBlank="1" showInputMessage="1" showErrorMessage="1" errorTitle="Kennzahlenjahr" error="Es können nur Kennzahlenjahre von 2012 bis 2014 eingetragen werden." sqref="F24" xr:uid="{00000000-0002-0000-0000-000001000000}">
      <formula1>2010</formula1>
      <formula2>2012</formula2>
    </dataValidation>
    <dataValidation type="textLength" allowBlank="1" showErrorMessage="1" errorTitle="Eingabefehler" error="Nur Texteingabe bis 100 Zeichen möglich." prompt="Name, Vorname" sqref="D12" xr:uid="{00000000-0002-0000-0000-000002000000}">
      <formula1>0</formula1>
      <formula2>100</formula2>
    </dataValidation>
    <dataValidation type="whole" allowBlank="1" showInputMessage="1" showErrorMessage="1" error="Ganze Zahl zwischen 0 und 5000 eingeben." sqref="E35:I36 K29:K30 E27:J28 E39:I40 J40 E46:J46 E32:J32" xr:uid="{00000000-0002-0000-0000-000003000000}">
      <formula1>0</formula1>
      <formula2>5000</formula2>
    </dataValidation>
    <dataValidation allowBlank="1" showInputMessage="1" showErrorMessage="1" error="Ganze Zahl zwischen 0 und 5000 eingeben." sqref="L37:M37 E37:I37" xr:uid="{00000000-0002-0000-0000-000004000000}"/>
    <dataValidation type="whole" allowBlank="1" showErrorMessage="1" error="1. Spalten E bis N müssen vollständig ausgefüllt sein._x000a_2. Die Spalten &quot;ausschließlich im Sarkomzentrum gezählt&quot; und &quot;auch im kooperierenden Organzentrum gezählt&quot; müssen den gleichen Wert wie &quot;Gesamt&quot; ergeben." sqref="L27:M28" xr:uid="{00000000-0002-0000-0000-000006000000}">
      <formula1>0</formula1>
      <formula2>N20</formula2>
    </dataValidation>
    <dataValidation type="whole" allowBlank="1" showInputMessage="1" showErrorMessage="1" error="1. Spalten E bis I müssen vollständig ausgefüllt sein._x000a_2. Die Spalten &quot;ausschließlich im Sarkomzentrum gezählt&quot; und &quot;auch im kooperierenden Organzentrum gezählt&quot; müssen den gleichen Wert wie &quot;Gesamt&quot; ergeben." sqref="M35" xr:uid="{00000000-0002-0000-0000-000007000000}">
      <formula1>0</formula1>
      <formula2>O28</formula2>
    </dataValidation>
    <dataValidation type="whole" allowBlank="1" showErrorMessage="1" error="1. Spalten E bis I müssen vollständig ausgefüllt sein._x000a_2. Die Spalten &quot;ausschließlich im Sarkomzentrum gezählt&quot; und &quot;auch im kooperierenden Organzentrum gezählt&quot; müssen den gleichen Wert wie &quot;Gesamt&quot; ergeben." sqref="L35:M36" xr:uid="{00000000-0002-0000-0000-000008000000}">
      <formula1>0</formula1>
      <formula2>N28</formula2>
    </dataValidation>
    <dataValidation type="date" allowBlank="1" showErrorMessage="1" errorTitle="Eingabefehler" error="Format: tt.mm.jjjj_x000a__x000a_Zeitraum zwischen 01.10.2022 - 31.01.2024 angeben." sqref="K12:M12" xr:uid="{00000000-0002-0000-0000-000009000000}">
      <formula1>44835</formula1>
      <formula2>45322</formula2>
    </dataValidation>
    <dataValidation type="whole" allowBlank="1" showErrorMessage="1" error="1. Spalte L muss vollständig ausgefüllt sein._x000a_2. Die Spalten &quot;ausschließlich im Sarkomzentrum gezählt&quot; und &quot;auch im kooperierenden Organzentrum gezählt&quot; müssen den gleichen Wert wie &quot;Gesamt&quot; ergeben." sqref="L29:M30" xr:uid="{00000000-0002-0000-0000-00000A000000}">
      <formula1>0</formula1>
      <formula2>N22</formula2>
    </dataValidation>
    <dataValidation type="whole" allowBlank="1" showErrorMessage="1" errorTitle="Hinweis" error="Ganze Zahl zwischen 0 und 5000 eingeben." sqref="L43:M44" xr:uid="{00000000-0002-0000-0000-00000B000000}">
      <formula1>0</formula1>
      <formula2>5000</formula2>
    </dataValidation>
    <dataValidation type="list" allowBlank="1" showErrorMessage="1" errorTitle="Hinweis" error="Auswahl treffen über Dropdown-Liste." sqref="D6:F6" xr:uid="{00000000-0002-0000-0000-00000C000000}">
      <formula1>Zentrum</formula1>
    </dataValidation>
    <dataValidation type="whole" allowBlank="1" showInputMessage="1" showErrorMessage="1" errorTitle="Eingabefehler" error="Ganze Zahl zwischen 0 und 5000 eingeben." sqref="L49:M51" xr:uid="{00000000-0002-0000-0000-00000D000000}">
      <formula1>0</formula1>
      <formula2>5000</formula2>
    </dataValidation>
    <dataValidation errorStyle="information" allowBlank="1" showInputMessage="1" showErrorMessage="1" sqref="D16:D17 D20 D23 K16" xr:uid="{00000000-0002-0000-0000-00000E000000}"/>
    <dataValidation allowBlank="1" showErrorMessage="1" errorTitle="Hinweis" error="Auswahl treffen über Dropdown-Liste." sqref="K17:M17 K20:M20 K23:M23" xr:uid="{00000000-0002-0000-0000-00000F000000}"/>
    <dataValidation type="list" allowBlank="1" showInputMessage="1" showErrorMessage="1" errorTitle="Hinweis" error="Auswahl treffen über Dropdown-Liste." sqref="B22:G22" xr:uid="{00000000-0002-0000-0000-000010000000}">
      <formula1>Tumordoku</formula1>
    </dataValidation>
    <dataValidation type="list" allowBlank="1" showInputMessage="1" showErrorMessage="1" errorTitle="Hinweis" error="Auswahl treffen über Dropdown-Liste." sqref="H19:M19" xr:uid="{00000000-0002-0000-0000-000011000000}">
      <formula1>KrebsregisterZusammenarbeit</formula1>
    </dataValidation>
  </dataValidations>
  <pageMargins left="0.59055118110236227" right="3.937007874015748E-2" top="0.39370078740157483" bottom="0.39370078740157483" header="0.11811023622047245" footer="0.11811023622047245"/>
  <pageSetup paperSize="9" scale="64" orientation="portrait" r:id="rId1"/>
  <headerFooter>
    <oddFooter>&amp;L&amp;"Arial,Standard"&amp;7&amp;F&amp;C&amp;"Arial,Standard"&amp;7 © DKG  Alle Rechte vorbehalten&amp;R&amp;"Arial,Standard"&amp;7&amp;P</oddFooter>
  </headerFooter>
  <rowBreaks count="1" manualBreakCount="1">
    <brk id="47"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O17"/>
  <sheetViews>
    <sheetView showGridLines="0" zoomScale="80" zoomScaleNormal="80" workbookViewId="0">
      <selection activeCell="A2" sqref="A2:A17"/>
    </sheetView>
  </sheetViews>
  <sheetFormatPr defaultColWidth="11.42578125" defaultRowHeight="14.25" x14ac:dyDescent="0.2"/>
  <cols>
    <col min="1" max="1" width="101.28515625" style="115" customWidth="1"/>
    <col min="2" max="7" width="9.5703125" style="115" customWidth="1"/>
    <col min="8" max="12" width="11.140625" style="115" customWidth="1"/>
    <col min="13" max="13" width="9.7109375" style="115" customWidth="1"/>
    <col min="14" max="14" width="23" style="115" customWidth="1"/>
    <col min="15" max="15" width="20.7109375" style="115" customWidth="1"/>
    <col min="16" max="16384" width="11.42578125" style="115"/>
  </cols>
  <sheetData>
    <row r="1" spans="1:15" s="111" customFormat="1" ht="57" x14ac:dyDescent="0.25">
      <c r="A1" s="110" t="str">
        <f>Basisdaten!B25</f>
        <v xml:space="preserve"> Zentrumsfälle</v>
      </c>
      <c r="B1" s="110" t="str">
        <f>Basisdaten!E25</f>
        <v>IA</v>
      </c>
      <c r="C1" s="110" t="str">
        <f>Basisdaten!F25</f>
        <v>IB</v>
      </c>
      <c r="D1" s="110" t="str">
        <f>Basisdaten!G25</f>
        <v>II</v>
      </c>
      <c r="E1" s="110" t="str">
        <f>Basisdaten!H25</f>
        <v>IIIA</v>
      </c>
      <c r="F1" s="110" t="str">
        <f>Basisdaten!I25</f>
        <v>IIIB</v>
      </c>
      <c r="G1" s="110" t="str">
        <f>Basisdaten!J25</f>
        <v>IV</v>
      </c>
      <c r="H1" s="113" t="str">
        <f>LEFT(Basisdaten!E33,21)</f>
        <v xml:space="preserve">Kein/ sehr niedriges </v>
      </c>
      <c r="I1" s="113" t="str">
        <f>LEFT(Basisdaten!F33,16)</f>
        <v>Niedriges Risiko</v>
      </c>
      <c r="J1" s="113" t="str">
        <f>LEFT(Basisdaten!G33,16)</f>
        <v>Mittleres Risiko</v>
      </c>
      <c r="K1" s="113" t="str">
        <f>LEFT(Basisdaten!H33,12)</f>
        <v>Hohes Risiko</v>
      </c>
      <c r="L1" s="113" t="str">
        <f>Basisdaten!I33</f>
        <v>M1</v>
      </c>
      <c r="M1" s="110" t="str">
        <f>Basisdaten!K25</f>
        <v>Gesamt</v>
      </c>
      <c r="N1" s="113" t="str">
        <f>CONCATENATE(Basisdaten!L25," ",LEFT(Basisdaten!L26,39))</f>
        <v>davon Ausschließlich im Sarkomzentrum gezählt</v>
      </c>
      <c r="O1" s="113" t="str">
        <f>CONCATENATE(Basisdaten!L25," ",LEFT(Basisdaten!M26,48))</f>
        <v>davon Auch im kooperierenden Organkrebszentrum gezählt</v>
      </c>
    </row>
    <row r="2" spans="1:15" s="111" customFormat="1" ht="30" customHeight="1" x14ac:dyDescent="0.25">
      <c r="A2" s="110" t="str">
        <f>LEFT(Basisdaten!C27,24)</f>
        <v>WGT (ohne GIST) operativ</v>
      </c>
      <c r="B2" s="110" t="str">
        <f>IF(Basisdaten!E27="","",Basisdaten!E27)</f>
        <v/>
      </c>
      <c r="C2" s="110" t="str">
        <f>IF(Basisdaten!F27="","",Basisdaten!F27)</f>
        <v/>
      </c>
      <c r="D2" s="110" t="str">
        <f>IF(Basisdaten!G27="","",Basisdaten!G27)</f>
        <v/>
      </c>
      <c r="E2" s="110" t="str">
        <f>IF(Basisdaten!H27="","",Basisdaten!H27)</f>
        <v/>
      </c>
      <c r="F2" s="110" t="str">
        <f>IF(Basisdaten!I27="","",Basisdaten!I27)</f>
        <v/>
      </c>
      <c r="G2" s="110" t="str">
        <f>IF(Basisdaten!J27="","",Basisdaten!J27)</f>
        <v/>
      </c>
      <c r="H2" s="114"/>
      <c r="I2" s="114"/>
      <c r="J2" s="114"/>
      <c r="K2" s="114"/>
      <c r="L2" s="114"/>
      <c r="M2" s="112" t="str">
        <f>Basisdaten!K27</f>
        <v/>
      </c>
      <c r="N2" s="110" t="str">
        <f>IF(Basisdaten!L27="","",Basisdaten!L27)</f>
        <v/>
      </c>
      <c r="O2" s="110" t="str">
        <f>IF(Basisdaten!M27="","",Basisdaten!M27)</f>
        <v/>
      </c>
    </row>
    <row r="3" spans="1:15" s="111" customFormat="1" ht="30" customHeight="1" x14ac:dyDescent="0.25">
      <c r="A3" s="110" t="str">
        <f>LEFT(Basisdaten!C28,30)</f>
        <v>WGT (ohne GIST) nicht operativ</v>
      </c>
      <c r="B3" s="110" t="str">
        <f>IF(Basisdaten!E28="","",Basisdaten!E28)</f>
        <v/>
      </c>
      <c r="C3" s="110" t="str">
        <f>IF(Basisdaten!F28="","",Basisdaten!F28)</f>
        <v/>
      </c>
      <c r="D3" s="110" t="str">
        <f>IF(Basisdaten!G28="","",Basisdaten!G28)</f>
        <v/>
      </c>
      <c r="E3" s="110" t="str">
        <f>IF(Basisdaten!H28="","",Basisdaten!H28)</f>
        <v/>
      </c>
      <c r="F3" s="110" t="str">
        <f>IF(Basisdaten!I28="","",Basisdaten!I28)</f>
        <v/>
      </c>
      <c r="G3" s="110" t="str">
        <f>IF(Basisdaten!J28="","",Basisdaten!J28)</f>
        <v/>
      </c>
      <c r="H3" s="114"/>
      <c r="I3" s="114"/>
      <c r="J3" s="114"/>
      <c r="K3" s="114"/>
      <c r="L3" s="114"/>
      <c r="M3" s="110" t="str">
        <f>Basisdaten!K28</f>
        <v/>
      </c>
      <c r="N3" s="110" t="str">
        <f>IF(Basisdaten!L28="","",Basisdaten!L28)</f>
        <v/>
      </c>
      <c r="O3" s="110" t="str">
        <f>IF(Basisdaten!M28="","",Basisdaten!M28)</f>
        <v/>
      </c>
    </row>
    <row r="4" spans="1:15" s="111" customFormat="1" ht="30" customHeight="1" x14ac:dyDescent="0.25">
      <c r="A4" s="110" t="str">
        <f>CONCATENATE(LEFT(Basisdaten!C29,24),RIGHT(Basisdaten!C29,9))</f>
        <v>Sonstige WGT (ohne GIST) operativ</v>
      </c>
      <c r="B4" s="114"/>
      <c r="C4" s="114"/>
      <c r="D4" s="114"/>
      <c r="E4" s="114"/>
      <c r="F4" s="114"/>
      <c r="G4" s="114"/>
      <c r="H4" s="114"/>
      <c r="I4" s="114"/>
      <c r="J4" s="114"/>
      <c r="K4" s="114"/>
      <c r="L4" s="114"/>
      <c r="M4" s="110" t="str">
        <f>IF(Basisdaten!K29="","",Basisdaten!K29)</f>
        <v/>
      </c>
      <c r="N4" s="110" t="str">
        <f>IF(Basisdaten!L29="","",Basisdaten!L29)</f>
        <v/>
      </c>
      <c r="O4" s="110" t="str">
        <f>IF(Basisdaten!M29="","",Basisdaten!M29)</f>
        <v/>
      </c>
    </row>
    <row r="5" spans="1:15" s="111" customFormat="1" ht="30" customHeight="1" x14ac:dyDescent="0.25">
      <c r="A5" s="110" t="str">
        <f>CONCATENATE(LEFT(Basisdaten!C30,24),RIGHT(Basisdaten!C30,15))</f>
        <v>Sonstige WGT (ohne GIST) nicht operativ</v>
      </c>
      <c r="B5" s="114"/>
      <c r="C5" s="114"/>
      <c r="D5" s="114"/>
      <c r="E5" s="114"/>
      <c r="F5" s="114"/>
      <c r="G5" s="114"/>
      <c r="H5" s="114"/>
      <c r="I5" s="114"/>
      <c r="J5" s="114"/>
      <c r="K5" s="114"/>
      <c r="L5" s="114"/>
      <c r="M5" s="110" t="str">
        <f>IF(Basisdaten!K30="","",Basisdaten!K30)</f>
        <v/>
      </c>
      <c r="N5" s="110" t="str">
        <f>IF(Basisdaten!L30="","",Basisdaten!L30)</f>
        <v/>
      </c>
      <c r="O5" s="110" t="str">
        <f>IF(Basisdaten!M30="","",Basisdaten!M30)</f>
        <v/>
      </c>
    </row>
    <row r="6" spans="1:15" s="111" customFormat="1" ht="30" customHeight="1" x14ac:dyDescent="0.25">
      <c r="A6" s="110" t="str">
        <f>Basisdaten!C31</f>
        <v>Gesamt Primärfälle WGT</v>
      </c>
      <c r="B6" s="114"/>
      <c r="C6" s="114"/>
      <c r="D6" s="114"/>
      <c r="E6" s="114"/>
      <c r="F6" s="114"/>
      <c r="G6" s="114"/>
      <c r="H6" s="114"/>
      <c r="I6" s="114"/>
      <c r="J6" s="114"/>
      <c r="K6" s="114"/>
      <c r="L6" s="114"/>
      <c r="M6" s="110" t="str">
        <f>Basisdaten!K31</f>
        <v/>
      </c>
      <c r="N6" s="110" t="str">
        <f>Basisdaten!L31</f>
        <v/>
      </c>
      <c r="O6" s="110" t="str">
        <f>Basisdaten!M31</f>
        <v/>
      </c>
    </row>
    <row r="7" spans="1:15" s="111" customFormat="1" ht="30" customHeight="1" x14ac:dyDescent="0.25">
      <c r="A7" s="110" t="str">
        <f>Basisdaten!$C$33&amp; " - " &amp;Basisdaten!C35</f>
        <v>Primärfälle GIST  - operativ</v>
      </c>
      <c r="B7" s="114"/>
      <c r="C7" s="114"/>
      <c r="D7" s="114"/>
      <c r="E7" s="114"/>
      <c r="F7" s="114"/>
      <c r="G7" s="114"/>
      <c r="H7" s="110" t="str">
        <f>IF(Basisdaten!E35="","",Basisdaten!E35)</f>
        <v/>
      </c>
      <c r="I7" s="110" t="str">
        <f>IF(Basisdaten!F35="","",Basisdaten!F35)</f>
        <v/>
      </c>
      <c r="J7" s="110" t="str">
        <f>IF(Basisdaten!G35="","",Basisdaten!G35)</f>
        <v/>
      </c>
      <c r="K7" s="110" t="str">
        <f>IF(Basisdaten!H35="","",Basisdaten!H35)</f>
        <v/>
      </c>
      <c r="L7" s="110" t="str">
        <f>IF(Basisdaten!I35="","",Basisdaten!I35)</f>
        <v/>
      </c>
      <c r="M7" s="112" t="str">
        <f>Basisdaten!K35</f>
        <v/>
      </c>
      <c r="N7" s="110" t="str">
        <f>IF(Basisdaten!L35="","",Basisdaten!L35)</f>
        <v/>
      </c>
      <c r="O7" s="110" t="str">
        <f>IF(Basisdaten!M35="","",Basisdaten!M35)</f>
        <v/>
      </c>
    </row>
    <row r="8" spans="1:15" s="111" customFormat="1" ht="30" customHeight="1" x14ac:dyDescent="0.25">
      <c r="A8" s="110" t="str">
        <f>Basisdaten!$C$33&amp; " - " &amp;Basisdaten!C36</f>
        <v>Primärfälle GIST  - nicht operativ</v>
      </c>
      <c r="B8" s="114"/>
      <c r="C8" s="114"/>
      <c r="D8" s="114"/>
      <c r="E8" s="114"/>
      <c r="F8" s="114"/>
      <c r="G8" s="114"/>
      <c r="H8" s="110" t="str">
        <f>IF(Basisdaten!E36="","",Basisdaten!E36)</f>
        <v/>
      </c>
      <c r="I8" s="110" t="str">
        <f>IF(Basisdaten!F36="","",Basisdaten!F36)</f>
        <v/>
      </c>
      <c r="J8" s="110" t="str">
        <f>IF(Basisdaten!G36="","",Basisdaten!G36)</f>
        <v/>
      </c>
      <c r="K8" s="110" t="str">
        <f>IF(Basisdaten!H36="","",Basisdaten!H36)</f>
        <v/>
      </c>
      <c r="L8" s="110" t="str">
        <f>IF(Basisdaten!I36="","",Basisdaten!I36)</f>
        <v/>
      </c>
      <c r="M8" s="112" t="str">
        <f>Basisdaten!K36</f>
        <v/>
      </c>
      <c r="N8" s="110" t="str">
        <f>IF(Basisdaten!L36="","",Basisdaten!L36)</f>
        <v/>
      </c>
      <c r="O8" s="110" t="str">
        <f>IF(Basisdaten!M36="","",Basisdaten!M36)</f>
        <v/>
      </c>
    </row>
    <row r="9" spans="1:15" s="111" customFormat="1" ht="30" customHeight="1" x14ac:dyDescent="0.25">
      <c r="A9" s="110" t="str">
        <f>Basisdaten!C37</f>
        <v>Gesamt Primärfälle GIST</v>
      </c>
      <c r="B9" s="114"/>
      <c r="C9" s="114"/>
      <c r="D9" s="114"/>
      <c r="E9" s="114"/>
      <c r="F9" s="114"/>
      <c r="G9" s="114"/>
      <c r="H9" s="110" t="str">
        <f>Basisdaten!E37</f>
        <v/>
      </c>
      <c r="I9" s="110" t="str">
        <f>Basisdaten!F37</f>
        <v/>
      </c>
      <c r="J9" s="110" t="str">
        <f>Basisdaten!G37</f>
        <v/>
      </c>
      <c r="K9" s="110" t="str">
        <f>Basisdaten!H37</f>
        <v/>
      </c>
      <c r="L9" s="110" t="str">
        <f>Basisdaten!I37</f>
        <v/>
      </c>
      <c r="M9" s="112" t="str">
        <f>Basisdaten!K37</f>
        <v/>
      </c>
      <c r="N9" s="112" t="str">
        <f>Basisdaten!L37</f>
        <v/>
      </c>
      <c r="O9" s="112" t="str">
        <f>Basisdaten!M37</f>
        <v/>
      </c>
    </row>
    <row r="10" spans="1:15" s="111" customFormat="1" ht="30" customHeight="1" x14ac:dyDescent="0.25">
      <c r="A10" s="110" t="str">
        <f>Basisdaten!C39</f>
        <v>Gesamt Primärfälle WGT und GIST</v>
      </c>
      <c r="B10" s="114"/>
      <c r="C10" s="114"/>
      <c r="D10" s="114"/>
      <c r="E10" s="114"/>
      <c r="F10" s="114"/>
      <c r="G10" s="114"/>
      <c r="H10" s="114"/>
      <c r="I10" s="114"/>
      <c r="J10" s="114"/>
      <c r="K10" s="114"/>
      <c r="L10" s="114"/>
      <c r="M10" s="112" t="str">
        <f>Basisdaten!K39</f>
        <v/>
      </c>
      <c r="N10" s="112" t="str">
        <f>Basisdaten!L39</f>
        <v/>
      </c>
      <c r="O10" s="112" t="str">
        <f>Basisdaten!M39</f>
        <v/>
      </c>
    </row>
    <row r="11" spans="1:15" s="111" customFormat="1" ht="30" customHeight="1" x14ac:dyDescent="0.25">
      <c r="A11" s="110" t="str">
        <f>CONCATENATE(LEFT(Basisdaten!$C$41,26)," - ",RIGHT(Basisdaten!C43,8))</f>
        <v>Primärfälle Knochentumoren - operativ</v>
      </c>
      <c r="B11" s="114"/>
      <c r="C11" s="114"/>
      <c r="D11" s="114"/>
      <c r="E11" s="114"/>
      <c r="F11" s="114"/>
      <c r="G11" s="114"/>
      <c r="H11" s="114"/>
      <c r="I11" s="114"/>
      <c r="J11" s="114"/>
      <c r="K11" s="114"/>
      <c r="L11" s="114"/>
      <c r="M11" s="112" t="str">
        <f>Basisdaten!K43</f>
        <v/>
      </c>
      <c r="N11" s="110" t="str">
        <f>IF(Basisdaten!L43="","",Basisdaten!L43)</f>
        <v/>
      </c>
      <c r="O11" s="110" t="str">
        <f>IF(Basisdaten!M43="","",Basisdaten!M43)</f>
        <v/>
      </c>
    </row>
    <row r="12" spans="1:15" s="111" customFormat="1" ht="30" customHeight="1" x14ac:dyDescent="0.25">
      <c r="A12" s="110" t="str">
        <f>CONCATENATE(LEFT(Basisdaten!$C$41,26)," - ",RIGHT(Basisdaten!C44,14))</f>
        <v>Primärfälle Knochentumoren - nicht operativ</v>
      </c>
      <c r="B12" s="114"/>
      <c r="C12" s="114"/>
      <c r="D12" s="114"/>
      <c r="E12" s="114"/>
      <c r="F12" s="114"/>
      <c r="G12" s="114"/>
      <c r="H12" s="114"/>
      <c r="I12" s="114"/>
      <c r="J12" s="114"/>
      <c r="K12" s="114"/>
      <c r="L12" s="114"/>
      <c r="M12" s="112" t="str">
        <f>Basisdaten!K44</f>
        <v/>
      </c>
      <c r="N12" s="110" t="str">
        <f>IF(Basisdaten!L44="","",Basisdaten!L44)</f>
        <v/>
      </c>
      <c r="O12" s="110" t="str">
        <f>IF(Basisdaten!M44="","",Basisdaten!M44)</f>
        <v/>
      </c>
    </row>
    <row r="13" spans="1:15" s="111" customFormat="1" ht="30" customHeight="1" x14ac:dyDescent="0.25">
      <c r="A13" s="110" t="str">
        <f>TRIM(Basisdaten!C45)</f>
        <v>Gesamt Primärfälle Knochentumoren</v>
      </c>
      <c r="B13" s="114"/>
      <c r="C13" s="114"/>
      <c r="D13" s="114"/>
      <c r="E13" s="114"/>
      <c r="F13" s="114"/>
      <c r="G13" s="114"/>
      <c r="H13" s="114"/>
      <c r="I13" s="114"/>
      <c r="J13" s="114"/>
      <c r="K13" s="114"/>
      <c r="L13" s="114"/>
      <c r="M13" s="112" t="str">
        <f>Basisdaten!K45</f>
        <v/>
      </c>
      <c r="N13" s="110" t="str">
        <f>IF(Basisdaten!L45="","",Basisdaten!L45)</f>
        <v/>
      </c>
      <c r="O13" s="110" t="str">
        <f>IF(Basisdaten!M45="","",Basisdaten!M45)</f>
        <v/>
      </c>
    </row>
    <row r="14" spans="1:15" s="111" customFormat="1" ht="30" customHeight="1" x14ac:dyDescent="0.25">
      <c r="A14" s="110" t="str">
        <f>Basisdaten!$C$47&amp; " - " &amp;Basisdaten!C49</f>
        <v>Zentrumspat. mit neuaufgetretenem (Lokal-)Rezidiv und/oder Fernmetastasen - WGT ohne GIST</v>
      </c>
      <c r="B14" s="114"/>
      <c r="C14" s="114"/>
      <c r="D14" s="114"/>
      <c r="E14" s="114"/>
      <c r="F14" s="114"/>
      <c r="G14" s="114"/>
      <c r="H14" s="114"/>
      <c r="I14" s="114"/>
      <c r="J14" s="114"/>
      <c r="K14" s="114"/>
      <c r="L14" s="114"/>
      <c r="M14" s="112" t="str">
        <f>IF(Basisdaten!K49="","",Basisdaten!K49)</f>
        <v/>
      </c>
      <c r="N14" s="112" t="str">
        <f>IF(Basisdaten!L49="","",Basisdaten!L49)</f>
        <v/>
      </c>
      <c r="O14" s="112" t="str">
        <f>IF(Basisdaten!M49="","",Basisdaten!M49)</f>
        <v/>
      </c>
    </row>
    <row r="15" spans="1:15" s="111" customFormat="1" ht="30" customHeight="1" x14ac:dyDescent="0.25">
      <c r="A15" s="110" t="str">
        <f>Basisdaten!$C$47&amp; " - " &amp;Basisdaten!C50</f>
        <v>Zentrumspat. mit neuaufgetretenem (Lokal-)Rezidiv und/oder Fernmetastasen - GIST</v>
      </c>
      <c r="B15" s="114"/>
      <c r="C15" s="114"/>
      <c r="D15" s="114"/>
      <c r="E15" s="114"/>
      <c r="F15" s="114"/>
      <c r="G15" s="114"/>
      <c r="H15" s="114"/>
      <c r="I15" s="114"/>
      <c r="J15" s="114"/>
      <c r="K15" s="114"/>
      <c r="L15" s="114"/>
      <c r="M15" s="112" t="str">
        <f>IF(Basisdaten!K50="","",Basisdaten!K50)</f>
        <v/>
      </c>
      <c r="N15" s="112" t="str">
        <f>IF(Basisdaten!L50="","",Basisdaten!L50)</f>
        <v/>
      </c>
      <c r="O15" s="112" t="str">
        <f>IF(Basisdaten!M50="","",Basisdaten!M50)</f>
        <v/>
      </c>
    </row>
    <row r="16" spans="1:15" s="111" customFormat="1" ht="30" customHeight="1" x14ac:dyDescent="0.25">
      <c r="A16" s="110" t="str">
        <f>CONCATENATE(Basisdaten!C47," - ",LEFT(TRIM(Basisdaten!C51),14))</f>
        <v>Zentrumspat. mit neuaufgetretenem (Lokal-)Rezidiv und/oder Fernmetastasen - Knochentumoren</v>
      </c>
      <c r="B16" s="114"/>
      <c r="C16" s="114"/>
      <c r="D16" s="114"/>
      <c r="E16" s="114"/>
      <c r="F16" s="114"/>
      <c r="G16" s="114"/>
      <c r="H16" s="114"/>
      <c r="I16" s="114"/>
      <c r="J16" s="114"/>
      <c r="K16" s="114"/>
      <c r="L16" s="114"/>
      <c r="M16" s="112" t="str">
        <f>IF(Basisdaten!K51="","",Basisdaten!K51)</f>
        <v/>
      </c>
      <c r="N16" s="112" t="str">
        <f>IF(Basisdaten!L51="","",Basisdaten!L51)</f>
        <v/>
      </c>
      <c r="O16" s="112" t="str">
        <f>IF(Basisdaten!M51="","",Basisdaten!M51)</f>
        <v/>
      </c>
    </row>
    <row r="17" spans="1:15" s="111" customFormat="1" ht="30" customHeight="1" x14ac:dyDescent="0.25">
      <c r="A17" s="110" t="str">
        <f>Basisdaten!C53</f>
        <v>Zentrumsfälle gesamt</v>
      </c>
      <c r="B17" s="114"/>
      <c r="C17" s="114"/>
      <c r="D17" s="114"/>
      <c r="E17" s="114"/>
      <c r="F17" s="114"/>
      <c r="G17" s="114"/>
      <c r="H17" s="114"/>
      <c r="I17" s="114"/>
      <c r="J17" s="114"/>
      <c r="K17" s="114"/>
      <c r="L17" s="114"/>
      <c r="M17" s="112" t="str">
        <f>Basisdaten!K53</f>
        <v/>
      </c>
      <c r="N17" s="112" t="str">
        <f>Basisdaten!L53</f>
        <v/>
      </c>
      <c r="O17" s="112" t="str">
        <f>Basisdaten!M53</f>
        <v/>
      </c>
    </row>
  </sheetData>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9"/>
  <dimension ref="A1:L100"/>
  <sheetViews>
    <sheetView showGridLines="0" zoomScaleNormal="100" workbookViewId="0">
      <selection activeCell="D26" sqref="D26:E26"/>
    </sheetView>
  </sheetViews>
  <sheetFormatPr defaultColWidth="9.140625" defaultRowHeight="11.25" x14ac:dyDescent="0.2"/>
  <cols>
    <col min="1" max="1" width="33.140625" style="13" customWidth="1"/>
    <col min="2" max="2" width="71.42578125" style="13" customWidth="1"/>
    <col min="3" max="3" width="69.28515625" style="13" customWidth="1"/>
    <col min="4" max="4" width="20.42578125" style="13" customWidth="1"/>
    <col min="5" max="5" width="10.28515625" style="13" customWidth="1"/>
    <col min="6" max="6" width="15.85546875" style="32" customWidth="1"/>
    <col min="7" max="8" width="9.140625" style="13" customWidth="1"/>
    <col min="9" max="9" width="38.42578125" style="13" bestFit="1" customWidth="1"/>
    <col min="10" max="10" width="34" style="13" bestFit="1" customWidth="1"/>
    <col min="11" max="12" width="35" style="13" bestFit="1" customWidth="1"/>
    <col min="13" max="15" width="32.7109375" style="13" bestFit="1" customWidth="1"/>
    <col min="16" max="16" width="33.85546875" style="13" bestFit="1" customWidth="1"/>
    <col min="17" max="17" width="34.85546875" style="13" customWidth="1"/>
    <col min="18" max="18" width="32.7109375" style="13" customWidth="1"/>
    <col min="19" max="20" width="32.7109375" style="13" bestFit="1" customWidth="1"/>
    <col min="21" max="22" width="33.85546875" style="13" bestFit="1" customWidth="1"/>
    <col min="23" max="23" width="37.28515625" style="13" bestFit="1" customWidth="1"/>
    <col min="24" max="24" width="33.85546875" style="13" bestFit="1" customWidth="1"/>
    <col min="25" max="25" width="18.140625" style="13" bestFit="1" customWidth="1"/>
    <col min="26" max="26" width="23" style="13" bestFit="1" customWidth="1"/>
    <col min="27" max="27" width="18.140625" style="13" bestFit="1" customWidth="1"/>
    <col min="28" max="32" width="9.140625" style="13" customWidth="1"/>
    <col min="33" max="33" width="13.5703125" style="13" customWidth="1"/>
    <col min="34" max="93" width="9.140625" style="13" customWidth="1"/>
    <col min="94" max="94" width="19" style="13" customWidth="1"/>
    <col min="95" max="16384" width="9.140625" style="13"/>
  </cols>
  <sheetData>
    <row r="1" spans="1:12" x14ac:dyDescent="0.2">
      <c r="C1" s="261" t="s">
        <v>562</v>
      </c>
      <c r="D1" s="14"/>
      <c r="F1" s="105" t="s">
        <v>715</v>
      </c>
    </row>
    <row r="2" spans="1:12" x14ac:dyDescent="0.2">
      <c r="A2" s="102" t="s">
        <v>66</v>
      </c>
      <c r="B2" s="102" t="s">
        <v>82</v>
      </c>
      <c r="C2" s="102" t="s">
        <v>86</v>
      </c>
      <c r="D2" s="102" t="s">
        <v>491</v>
      </c>
      <c r="E2" s="102" t="s">
        <v>67</v>
      </c>
      <c r="F2" s="103" t="s">
        <v>74</v>
      </c>
      <c r="H2" s="8"/>
      <c r="I2" s="8"/>
      <c r="J2" s="8"/>
      <c r="K2" s="8"/>
    </row>
    <row r="3" spans="1:12" x14ac:dyDescent="0.2">
      <c r="A3" s="235" t="str">
        <f>IF(Basisdaten!D6="","",Basisdaten!D6)</f>
        <v/>
      </c>
      <c r="B3" s="57" t="str">
        <f>IF($A$3="","",VLOOKUP($A$3,$A$6:$F$30,2,FALSE))</f>
        <v/>
      </c>
      <c r="C3" s="57" t="str">
        <f>IF($A$3="","",VLOOKUP($A$3,$A$6:$F$30,3,FALSE))</f>
        <v/>
      </c>
      <c r="D3" s="57" t="str">
        <f>IF($A$3="","",VLOOKUP($A$3,$A$6:$F$30,4,FALSE))</f>
        <v/>
      </c>
      <c r="E3" s="57" t="str">
        <f>IF($A$3="","",VLOOKUP($A$3,$A$6:$F$30,5,FALSE))</f>
        <v/>
      </c>
      <c r="F3" s="271" t="str">
        <f>IF($A$3="","",VLOOKUP($A$3,$A$6:$F$30,6,FALSE))</f>
        <v/>
      </c>
      <c r="J3" s="15"/>
      <c r="K3" s="15"/>
    </row>
    <row r="5" spans="1:12" ht="14.25" customHeight="1" x14ac:dyDescent="0.2">
      <c r="A5" s="102" t="s">
        <v>66</v>
      </c>
      <c r="B5" s="102" t="s">
        <v>82</v>
      </c>
      <c r="C5" s="102" t="s">
        <v>86</v>
      </c>
      <c r="D5" s="102" t="s">
        <v>491</v>
      </c>
      <c r="E5" s="102" t="s">
        <v>67</v>
      </c>
      <c r="F5" s="103" t="s">
        <v>74</v>
      </c>
      <c r="H5" s="8"/>
      <c r="I5" s="8"/>
      <c r="J5" s="8"/>
      <c r="K5" s="8"/>
      <c r="L5" s="8"/>
    </row>
    <row r="6" spans="1:12" ht="14.25" customHeight="1" x14ac:dyDescent="0.2">
      <c r="A6" s="290" t="s">
        <v>716</v>
      </c>
      <c r="B6" s="290" t="s">
        <v>717</v>
      </c>
      <c r="C6" s="290" t="s">
        <v>718</v>
      </c>
      <c r="D6" s="291" t="s">
        <v>492</v>
      </c>
      <c r="E6" s="291" t="s">
        <v>489</v>
      </c>
      <c r="F6" s="292">
        <v>44515</v>
      </c>
      <c r="H6" s="8"/>
      <c r="I6" s="8"/>
      <c r="J6" s="8"/>
      <c r="K6" s="8"/>
      <c r="L6" s="8"/>
    </row>
    <row r="7" spans="1:12" ht="14.25" customHeight="1" x14ac:dyDescent="0.2">
      <c r="A7" s="290" t="s">
        <v>719</v>
      </c>
      <c r="B7" s="290" t="s">
        <v>720</v>
      </c>
      <c r="C7" s="290" t="s">
        <v>721</v>
      </c>
      <c r="D7" s="291" t="s">
        <v>492</v>
      </c>
      <c r="E7" s="291" t="s">
        <v>490</v>
      </c>
      <c r="F7" s="292">
        <v>44523</v>
      </c>
      <c r="H7" s="8"/>
      <c r="I7" s="8"/>
      <c r="J7" s="8"/>
      <c r="K7" s="8"/>
      <c r="L7" s="8"/>
    </row>
    <row r="8" spans="1:12" ht="14.25" customHeight="1" x14ac:dyDescent="0.2">
      <c r="A8" s="290" t="s">
        <v>673</v>
      </c>
      <c r="B8" s="290" t="s">
        <v>674</v>
      </c>
      <c r="C8" s="290" t="s">
        <v>675</v>
      </c>
      <c r="D8" s="291" t="s">
        <v>492</v>
      </c>
      <c r="E8" s="291" t="s">
        <v>490</v>
      </c>
      <c r="F8" s="292">
        <v>43964</v>
      </c>
      <c r="H8" s="8"/>
      <c r="I8" s="8"/>
      <c r="J8" s="8"/>
      <c r="K8" s="8"/>
      <c r="L8" s="8"/>
    </row>
    <row r="9" spans="1:12" ht="14.25" customHeight="1" x14ac:dyDescent="0.2">
      <c r="A9" s="290" t="s">
        <v>561</v>
      </c>
      <c r="B9" s="290" t="s">
        <v>529</v>
      </c>
      <c r="C9" s="290" t="s">
        <v>530</v>
      </c>
      <c r="D9" s="291" t="s">
        <v>492</v>
      </c>
      <c r="E9" s="291" t="s">
        <v>531</v>
      </c>
      <c r="F9" s="292">
        <v>43591</v>
      </c>
      <c r="H9" s="8"/>
      <c r="I9" s="8"/>
      <c r="J9" s="8"/>
      <c r="K9" s="8"/>
      <c r="L9" s="8"/>
    </row>
    <row r="10" spans="1:12" ht="14.25" customHeight="1" x14ac:dyDescent="0.2">
      <c r="A10" s="290" t="s">
        <v>546</v>
      </c>
      <c r="B10" s="290" t="s">
        <v>496</v>
      </c>
      <c r="C10" s="290" t="s">
        <v>497</v>
      </c>
      <c r="D10" s="291" t="s">
        <v>492</v>
      </c>
      <c r="E10" s="291" t="s">
        <v>490</v>
      </c>
      <c r="F10" s="292">
        <v>43416</v>
      </c>
      <c r="H10" s="8"/>
      <c r="I10" s="8"/>
      <c r="J10" s="8"/>
      <c r="K10" s="8"/>
      <c r="L10" s="8"/>
    </row>
    <row r="11" spans="1:12" ht="14.25" customHeight="1" x14ac:dyDescent="0.2">
      <c r="A11" s="290" t="s">
        <v>547</v>
      </c>
      <c r="B11" s="290" t="s">
        <v>548</v>
      </c>
      <c r="C11" s="290" t="s">
        <v>549</v>
      </c>
      <c r="D11" s="291" t="s">
        <v>492</v>
      </c>
      <c r="E11" s="291" t="s">
        <v>498</v>
      </c>
      <c r="F11" s="292">
        <v>43605</v>
      </c>
      <c r="H11" s="8"/>
      <c r="I11" s="8"/>
      <c r="J11" s="8"/>
      <c r="K11" s="8"/>
      <c r="L11" s="8"/>
    </row>
    <row r="12" spans="1:12" ht="14.25" customHeight="1" x14ac:dyDescent="0.2">
      <c r="A12" s="290" t="s">
        <v>722</v>
      </c>
      <c r="B12" s="290" t="s">
        <v>589</v>
      </c>
      <c r="C12" s="290" t="s">
        <v>590</v>
      </c>
      <c r="D12" s="291" t="s">
        <v>492</v>
      </c>
      <c r="E12" s="291" t="s">
        <v>490</v>
      </c>
      <c r="F12" s="292">
        <v>43801</v>
      </c>
      <c r="H12" s="8"/>
      <c r="I12" s="8"/>
      <c r="J12" s="8"/>
      <c r="K12" s="8"/>
      <c r="L12" s="8"/>
    </row>
    <row r="13" spans="1:12" ht="14.25" customHeight="1" x14ac:dyDescent="0.2">
      <c r="A13" s="290" t="s">
        <v>723</v>
      </c>
      <c r="B13" s="290" t="s">
        <v>724</v>
      </c>
      <c r="C13" s="290" t="s">
        <v>725</v>
      </c>
      <c r="D13" s="291" t="s">
        <v>492</v>
      </c>
      <c r="E13" s="291" t="s">
        <v>726</v>
      </c>
      <c r="F13" s="292">
        <v>41191</v>
      </c>
      <c r="H13" s="8"/>
      <c r="I13" s="8"/>
      <c r="J13" s="8"/>
      <c r="K13" s="8"/>
      <c r="L13" s="8"/>
    </row>
    <row r="14" spans="1:12" ht="14.25" customHeight="1" x14ac:dyDescent="0.2">
      <c r="A14" s="290" t="s">
        <v>676</v>
      </c>
      <c r="B14" s="290" t="s">
        <v>677</v>
      </c>
      <c r="C14" s="290" t="s">
        <v>678</v>
      </c>
      <c r="D14" s="291" t="s">
        <v>492</v>
      </c>
      <c r="E14" s="291" t="s">
        <v>531</v>
      </c>
      <c r="F14" s="292">
        <v>44153</v>
      </c>
      <c r="H14" s="8"/>
      <c r="I14" s="8"/>
      <c r="J14" s="8"/>
      <c r="K14" s="8"/>
      <c r="L14" s="8"/>
    </row>
    <row r="15" spans="1:12" ht="14.25" customHeight="1" x14ac:dyDescent="0.2">
      <c r="A15" s="290" t="s">
        <v>550</v>
      </c>
      <c r="B15" s="290" t="s">
        <v>551</v>
      </c>
      <c r="C15" s="290" t="s">
        <v>552</v>
      </c>
      <c r="D15" s="291" t="s">
        <v>492</v>
      </c>
      <c r="E15" s="291" t="s">
        <v>498</v>
      </c>
      <c r="F15" s="292">
        <v>43417</v>
      </c>
      <c r="H15" s="8"/>
      <c r="I15" s="8"/>
      <c r="J15" s="8"/>
      <c r="K15" s="8"/>
      <c r="L15" s="8"/>
    </row>
    <row r="16" spans="1:12" ht="14.25" customHeight="1" x14ac:dyDescent="0.2">
      <c r="A16" s="290" t="s">
        <v>727</v>
      </c>
      <c r="B16" s="290" t="s">
        <v>728</v>
      </c>
      <c r="C16" s="290" t="s">
        <v>729</v>
      </c>
      <c r="D16" s="291" t="s">
        <v>730</v>
      </c>
      <c r="E16" s="291" t="s">
        <v>730</v>
      </c>
      <c r="F16" s="292">
        <v>41604</v>
      </c>
      <c r="H16" s="8"/>
      <c r="I16" s="8"/>
      <c r="J16" s="8"/>
      <c r="K16" s="8"/>
      <c r="L16" s="8"/>
    </row>
    <row r="17" spans="1:12" ht="14.25" customHeight="1" x14ac:dyDescent="0.2">
      <c r="A17" s="290" t="s">
        <v>553</v>
      </c>
      <c r="B17" s="290" t="s">
        <v>731</v>
      </c>
      <c r="C17" s="290" t="s">
        <v>732</v>
      </c>
      <c r="D17" s="291" t="s">
        <v>492</v>
      </c>
      <c r="E17" s="291" t="s">
        <v>490</v>
      </c>
      <c r="F17" s="292">
        <v>43228</v>
      </c>
      <c r="H17" s="8"/>
      <c r="I17" s="8"/>
      <c r="J17" s="8"/>
      <c r="K17" s="8"/>
      <c r="L17" s="8"/>
    </row>
    <row r="18" spans="1:12" ht="14.25" customHeight="1" x14ac:dyDescent="0.2">
      <c r="A18" s="290" t="s">
        <v>733</v>
      </c>
      <c r="B18" s="290" t="s">
        <v>734</v>
      </c>
      <c r="C18" s="290" t="s">
        <v>735</v>
      </c>
      <c r="D18" s="291" t="s">
        <v>492</v>
      </c>
      <c r="E18" s="291" t="s">
        <v>736</v>
      </c>
      <c r="F18" s="292">
        <v>41584</v>
      </c>
      <c r="H18" s="8"/>
      <c r="I18" s="8"/>
      <c r="J18" s="8"/>
      <c r="K18" s="8"/>
      <c r="L18" s="8"/>
    </row>
    <row r="19" spans="1:12" ht="14.25" customHeight="1" x14ac:dyDescent="0.2">
      <c r="A19" s="290" t="s">
        <v>679</v>
      </c>
      <c r="B19" s="290" t="s">
        <v>680</v>
      </c>
      <c r="C19" s="290" t="s">
        <v>681</v>
      </c>
      <c r="D19" s="291" t="s">
        <v>492</v>
      </c>
      <c r="E19" s="291" t="s">
        <v>591</v>
      </c>
      <c r="F19" s="292">
        <v>44320</v>
      </c>
      <c r="H19" s="8"/>
      <c r="I19" s="8"/>
      <c r="J19" s="8"/>
      <c r="K19" s="8"/>
      <c r="L19" s="8"/>
    </row>
    <row r="20" spans="1:12" ht="14.25" customHeight="1" x14ac:dyDescent="0.2">
      <c r="A20" s="290" t="s">
        <v>554</v>
      </c>
      <c r="B20" s="290" t="s">
        <v>499</v>
      </c>
      <c r="C20" s="290" t="s">
        <v>500</v>
      </c>
      <c r="D20" s="291" t="s">
        <v>492</v>
      </c>
      <c r="E20" s="291" t="s">
        <v>498</v>
      </c>
      <c r="F20" s="292">
        <v>43385</v>
      </c>
      <c r="H20" s="8"/>
      <c r="I20" s="8"/>
      <c r="J20" s="8"/>
      <c r="K20" s="8"/>
      <c r="L20" s="8"/>
    </row>
    <row r="21" spans="1:12" ht="14.25" customHeight="1" x14ac:dyDescent="0.2">
      <c r="A21" s="290" t="s">
        <v>737</v>
      </c>
      <c r="B21" s="290" t="s">
        <v>738</v>
      </c>
      <c r="C21" s="290" t="s">
        <v>739</v>
      </c>
      <c r="D21" s="291" t="s">
        <v>492</v>
      </c>
      <c r="E21" s="291" t="s">
        <v>531</v>
      </c>
      <c r="F21" s="292">
        <v>41971</v>
      </c>
      <c r="H21" s="8"/>
      <c r="I21" s="8"/>
      <c r="J21" s="8"/>
      <c r="K21" s="8"/>
      <c r="L21" s="8"/>
    </row>
    <row r="22" spans="1:12" ht="14.25" customHeight="1" x14ac:dyDescent="0.2">
      <c r="A22" s="290" t="s">
        <v>555</v>
      </c>
      <c r="B22" s="290" t="s">
        <v>740</v>
      </c>
      <c r="C22" s="290" t="s">
        <v>501</v>
      </c>
      <c r="D22" s="291" t="s">
        <v>492</v>
      </c>
      <c r="E22" s="291" t="s">
        <v>490</v>
      </c>
      <c r="F22" s="292">
        <v>43410</v>
      </c>
      <c r="H22" s="8"/>
      <c r="I22" s="8"/>
      <c r="J22" s="8"/>
      <c r="K22" s="8"/>
      <c r="L22" s="8"/>
    </row>
    <row r="23" spans="1:12" ht="14.25" customHeight="1" x14ac:dyDescent="0.2">
      <c r="A23" s="290" t="s">
        <v>741</v>
      </c>
      <c r="B23" s="290" t="s">
        <v>742</v>
      </c>
      <c r="C23" s="290" t="s">
        <v>743</v>
      </c>
      <c r="D23" s="291" t="s">
        <v>492</v>
      </c>
      <c r="E23" s="291" t="s">
        <v>744</v>
      </c>
      <c r="F23" s="292">
        <v>44525</v>
      </c>
      <c r="H23" s="8"/>
      <c r="I23" s="8"/>
      <c r="J23" s="8"/>
      <c r="K23" s="8"/>
      <c r="L23" s="8"/>
    </row>
    <row r="24" spans="1:12" ht="14.25" customHeight="1" x14ac:dyDescent="0.2">
      <c r="A24" s="290" t="s">
        <v>745</v>
      </c>
      <c r="B24" s="290" t="s">
        <v>746</v>
      </c>
      <c r="C24" s="290" t="s">
        <v>747</v>
      </c>
      <c r="D24" s="291" t="s">
        <v>492</v>
      </c>
      <c r="E24" s="291" t="s">
        <v>748</v>
      </c>
      <c r="F24" s="292">
        <v>44481</v>
      </c>
      <c r="H24" s="8"/>
      <c r="I24" s="8"/>
      <c r="J24" s="8"/>
      <c r="K24" s="8"/>
      <c r="L24" s="8"/>
    </row>
    <row r="25" spans="1:12" ht="14.25" customHeight="1" x14ac:dyDescent="0.2">
      <c r="A25" s="290" t="s">
        <v>749</v>
      </c>
      <c r="B25" s="290" t="s">
        <v>750</v>
      </c>
      <c r="C25" s="290" t="s">
        <v>747</v>
      </c>
      <c r="D25" s="291" t="s">
        <v>492</v>
      </c>
      <c r="E25" s="291" t="s">
        <v>748</v>
      </c>
      <c r="F25" s="292">
        <v>43788</v>
      </c>
      <c r="H25" s="8"/>
      <c r="I25" s="8"/>
      <c r="J25" s="8"/>
      <c r="K25" s="8"/>
      <c r="L25" s="8"/>
    </row>
    <row r="26" spans="1:12" ht="14.25" customHeight="1" x14ac:dyDescent="0.2">
      <c r="A26" s="290" t="s">
        <v>751</v>
      </c>
      <c r="B26" s="290" t="s">
        <v>752</v>
      </c>
      <c r="C26" s="290" t="s">
        <v>753</v>
      </c>
      <c r="D26" s="291" t="s">
        <v>730</v>
      </c>
      <c r="E26" s="291" t="s">
        <v>730</v>
      </c>
      <c r="F26" s="292">
        <v>42692</v>
      </c>
      <c r="H26" s="8"/>
      <c r="I26" s="8"/>
      <c r="J26" s="8"/>
      <c r="K26" s="8"/>
      <c r="L26" s="8"/>
    </row>
    <row r="27" spans="1:12" ht="14.25" customHeight="1" x14ac:dyDescent="0.2">
      <c r="A27" s="290" t="s">
        <v>754</v>
      </c>
      <c r="B27" s="290" t="s">
        <v>755</v>
      </c>
      <c r="C27" s="290" t="s">
        <v>756</v>
      </c>
      <c r="D27" s="291" t="s">
        <v>492</v>
      </c>
      <c r="E27" s="291" t="s">
        <v>748</v>
      </c>
      <c r="F27" s="292">
        <v>44524</v>
      </c>
      <c r="H27" s="8"/>
      <c r="I27" s="8"/>
      <c r="J27" s="8"/>
      <c r="K27" s="8"/>
      <c r="L27" s="8"/>
    </row>
    <row r="28" spans="1:12" ht="14.25" customHeight="1" x14ac:dyDescent="0.2">
      <c r="A28" s="290" t="s">
        <v>556</v>
      </c>
      <c r="B28" s="290" t="s">
        <v>502</v>
      </c>
      <c r="C28" s="290" t="s">
        <v>503</v>
      </c>
      <c r="D28" s="291" t="s">
        <v>492</v>
      </c>
      <c r="E28" s="291" t="s">
        <v>504</v>
      </c>
      <c r="F28" s="292">
        <v>43410</v>
      </c>
      <c r="H28" s="8"/>
      <c r="I28" s="8"/>
      <c r="J28" s="8"/>
      <c r="K28" s="8"/>
      <c r="L28" s="8"/>
    </row>
    <row r="29" spans="1:12" ht="14.25" customHeight="1" x14ac:dyDescent="0.2">
      <c r="A29" s="290" t="s">
        <v>757</v>
      </c>
      <c r="B29" s="290" t="s">
        <v>758</v>
      </c>
      <c r="C29" s="290" t="s">
        <v>759</v>
      </c>
      <c r="D29" s="291" t="s">
        <v>492</v>
      </c>
      <c r="E29" s="291" t="s">
        <v>490</v>
      </c>
      <c r="F29" s="292">
        <v>43756</v>
      </c>
      <c r="H29" s="8"/>
      <c r="I29" s="8"/>
      <c r="J29" s="8"/>
      <c r="K29" s="8"/>
      <c r="L29" s="8"/>
    </row>
    <row r="30" spans="1:12" x14ac:dyDescent="0.2">
      <c r="A30" s="57" t="s">
        <v>0</v>
      </c>
      <c r="B30" s="57" t="s">
        <v>1</v>
      </c>
      <c r="C30" s="57" t="s">
        <v>1</v>
      </c>
      <c r="D30" s="57" t="s">
        <v>1</v>
      </c>
      <c r="E30" s="57" t="s">
        <v>1</v>
      </c>
      <c r="F30" s="104" t="s">
        <v>1</v>
      </c>
    </row>
    <row r="31" spans="1:12" ht="15" x14ac:dyDescent="0.25">
      <c r="E31"/>
      <c r="F31"/>
    </row>
    <row r="32" spans="1:12" ht="15" x14ac:dyDescent="0.25">
      <c r="A32" s="122" t="s">
        <v>259</v>
      </c>
      <c r="B32" s="236" t="s">
        <v>260</v>
      </c>
      <c r="C32" s="236" t="s">
        <v>260</v>
      </c>
      <c r="D32"/>
      <c r="E32"/>
    </row>
    <row r="33" spans="1:4" ht="15" x14ac:dyDescent="0.25">
      <c r="A33" s="123" t="s">
        <v>705</v>
      </c>
      <c r="B33" s="236" t="s">
        <v>261</v>
      </c>
      <c r="C33" s="236" t="s">
        <v>261</v>
      </c>
      <c r="D33"/>
    </row>
    <row r="34" spans="1:4" ht="15" x14ac:dyDescent="0.25">
      <c r="A34" s="124"/>
      <c r="B34" s="236" t="s">
        <v>262</v>
      </c>
      <c r="C34" s="236" t="s">
        <v>262</v>
      </c>
      <c r="D34"/>
    </row>
    <row r="35" spans="1:4" ht="15" x14ac:dyDescent="0.25">
      <c r="A35" s="124"/>
      <c r="B35" s="236" t="s">
        <v>505</v>
      </c>
      <c r="C35" s="236" t="s">
        <v>505</v>
      </c>
      <c r="D35"/>
    </row>
    <row r="36" spans="1:4" ht="15" x14ac:dyDescent="0.25">
      <c r="A36" s="125"/>
      <c r="B36" s="236" t="s">
        <v>263</v>
      </c>
      <c r="C36" s="236" t="s">
        <v>263</v>
      </c>
      <c r="D36"/>
    </row>
    <row r="37" spans="1:4" ht="15" x14ac:dyDescent="0.25">
      <c r="A37" s="125"/>
      <c r="B37" s="236" t="s">
        <v>264</v>
      </c>
      <c r="C37" s="236" t="s">
        <v>264</v>
      </c>
      <c r="D37"/>
    </row>
    <row r="38" spans="1:4" ht="15" x14ac:dyDescent="0.25">
      <c r="A38" s="125"/>
      <c r="B38" s="236" t="s">
        <v>506</v>
      </c>
      <c r="C38" s="236" t="s">
        <v>506</v>
      </c>
      <c r="D38"/>
    </row>
    <row r="39" spans="1:4" ht="15" x14ac:dyDescent="0.25">
      <c r="A39" s="125"/>
      <c r="B39" s="236" t="s">
        <v>265</v>
      </c>
      <c r="C39" s="236" t="s">
        <v>265</v>
      </c>
      <c r="D39"/>
    </row>
    <row r="40" spans="1:4" x14ac:dyDescent="0.2">
      <c r="A40" s="125"/>
      <c r="B40" s="236" t="s">
        <v>507</v>
      </c>
      <c r="C40" s="252" t="s">
        <v>543</v>
      </c>
      <c r="D40" s="251" t="s">
        <v>510</v>
      </c>
    </row>
    <row r="41" spans="1:4" x14ac:dyDescent="0.2">
      <c r="A41" s="125"/>
      <c r="B41" s="236" t="s">
        <v>266</v>
      </c>
      <c r="C41" s="236" t="s">
        <v>507</v>
      </c>
      <c r="D41" s="251"/>
    </row>
    <row r="42" spans="1:4" x14ac:dyDescent="0.2">
      <c r="A42" s="125"/>
      <c r="B42" s="236" t="s">
        <v>267</v>
      </c>
      <c r="C42" s="236" t="s">
        <v>266</v>
      </c>
      <c r="D42" s="251"/>
    </row>
    <row r="43" spans="1:4" x14ac:dyDescent="0.2">
      <c r="A43" s="125"/>
      <c r="B43" s="236" t="s">
        <v>268</v>
      </c>
      <c r="C43" s="253" t="s">
        <v>508</v>
      </c>
      <c r="D43" s="251" t="s">
        <v>509</v>
      </c>
    </row>
    <row r="44" spans="1:4" x14ac:dyDescent="0.2">
      <c r="A44" s="125"/>
      <c r="B44" s="236" t="s">
        <v>269</v>
      </c>
      <c r="C44" s="236" t="s">
        <v>267</v>
      </c>
      <c r="D44" s="251"/>
    </row>
    <row r="45" spans="1:4" x14ac:dyDescent="0.2">
      <c r="A45" s="125"/>
      <c r="B45" s="236" t="s">
        <v>271</v>
      </c>
      <c r="C45" s="236" t="s">
        <v>268</v>
      </c>
      <c r="D45" s="251"/>
    </row>
    <row r="46" spans="1:4" x14ac:dyDescent="0.2">
      <c r="A46" s="125"/>
      <c r="B46" s="236" t="s">
        <v>270</v>
      </c>
      <c r="C46" s="236" t="s">
        <v>269</v>
      </c>
      <c r="D46" s="251"/>
    </row>
    <row r="47" spans="1:4" x14ac:dyDescent="0.2">
      <c r="A47" s="125"/>
      <c r="B47" s="236" t="s">
        <v>272</v>
      </c>
      <c r="C47" s="236" t="s">
        <v>271</v>
      </c>
      <c r="D47" s="251"/>
    </row>
    <row r="48" spans="1:4" x14ac:dyDescent="0.2">
      <c r="A48" s="125"/>
      <c r="B48" s="236" t="s">
        <v>273</v>
      </c>
      <c r="C48" s="236" t="s">
        <v>270</v>
      </c>
      <c r="D48" s="251"/>
    </row>
    <row r="49" spans="1:4" x14ac:dyDescent="0.2">
      <c r="B49" s="236" t="s">
        <v>274</v>
      </c>
      <c r="C49" s="236" t="s">
        <v>272</v>
      </c>
      <c r="D49" s="251"/>
    </row>
    <row r="50" spans="1:4" x14ac:dyDescent="0.2">
      <c r="A50" s="125"/>
      <c r="B50" s="236" t="s">
        <v>276</v>
      </c>
      <c r="C50" s="236" t="s">
        <v>273</v>
      </c>
      <c r="D50" s="251"/>
    </row>
    <row r="51" spans="1:4" x14ac:dyDescent="0.2">
      <c r="A51" s="125"/>
      <c r="B51" s="236" t="s">
        <v>275</v>
      </c>
      <c r="C51" s="236" t="s">
        <v>274</v>
      </c>
      <c r="D51" s="251"/>
    </row>
    <row r="52" spans="1:4" x14ac:dyDescent="0.2">
      <c r="A52" s="125"/>
      <c r="B52" s="236" t="s">
        <v>511</v>
      </c>
      <c r="C52" s="253" t="s">
        <v>512</v>
      </c>
      <c r="D52" s="251" t="s">
        <v>509</v>
      </c>
    </row>
    <row r="53" spans="1:4" x14ac:dyDescent="0.2">
      <c r="A53" s="125"/>
      <c r="B53" s="236" t="s">
        <v>277</v>
      </c>
      <c r="C53" s="253" t="s">
        <v>513</v>
      </c>
      <c r="D53" s="251" t="s">
        <v>509</v>
      </c>
    </row>
    <row r="54" spans="1:4" x14ac:dyDescent="0.2">
      <c r="A54" s="125"/>
      <c r="B54" s="236" t="s">
        <v>278</v>
      </c>
      <c r="C54" s="236" t="s">
        <v>276</v>
      </c>
      <c r="D54" s="251"/>
    </row>
    <row r="55" spans="1:4" x14ac:dyDescent="0.2">
      <c r="A55" s="125"/>
      <c r="B55" s="236" t="s">
        <v>279</v>
      </c>
      <c r="C55" s="236" t="s">
        <v>275</v>
      </c>
      <c r="D55" s="251"/>
    </row>
    <row r="56" spans="1:4" x14ac:dyDescent="0.2">
      <c r="A56" s="125"/>
      <c r="B56" s="236" t="s">
        <v>515</v>
      </c>
      <c r="C56" s="254" t="s">
        <v>514</v>
      </c>
      <c r="D56" s="251" t="s">
        <v>527</v>
      </c>
    </row>
    <row r="57" spans="1:4" x14ac:dyDescent="0.2">
      <c r="A57" s="125"/>
      <c r="B57" s="236" t="s">
        <v>281</v>
      </c>
      <c r="C57" s="236" t="s">
        <v>511</v>
      </c>
      <c r="D57" s="251"/>
    </row>
    <row r="58" spans="1:4" x14ac:dyDescent="0.2">
      <c r="A58" s="125"/>
      <c r="B58" s="236" t="s">
        <v>282</v>
      </c>
      <c r="C58" s="252" t="s">
        <v>516</v>
      </c>
      <c r="D58" s="251" t="s">
        <v>510</v>
      </c>
    </row>
    <row r="59" spans="1:4" x14ac:dyDescent="0.2">
      <c r="A59" s="125"/>
      <c r="B59" s="236" t="s">
        <v>284</v>
      </c>
      <c r="C59" s="236" t="s">
        <v>277</v>
      </c>
      <c r="D59" s="251"/>
    </row>
    <row r="60" spans="1:4" x14ac:dyDescent="0.2">
      <c r="A60" s="125"/>
      <c r="B60" s="236" t="s">
        <v>285</v>
      </c>
      <c r="C60" s="236" t="s">
        <v>517</v>
      </c>
      <c r="D60" s="251" t="s">
        <v>509</v>
      </c>
    </row>
    <row r="61" spans="1:4" x14ac:dyDescent="0.2">
      <c r="A61" s="125"/>
      <c r="B61" s="236" t="s">
        <v>286</v>
      </c>
      <c r="C61" s="236" t="s">
        <v>278</v>
      </c>
      <c r="D61" s="251"/>
    </row>
    <row r="62" spans="1:4" x14ac:dyDescent="0.2">
      <c r="A62" s="125"/>
      <c r="B62" s="236" t="s">
        <v>287</v>
      </c>
      <c r="C62" s="253" t="s">
        <v>279</v>
      </c>
      <c r="D62" s="251"/>
    </row>
    <row r="63" spans="1:4" x14ac:dyDescent="0.2">
      <c r="A63" s="125"/>
      <c r="B63" s="236" t="s">
        <v>288</v>
      </c>
      <c r="C63" s="236" t="s">
        <v>515</v>
      </c>
      <c r="D63" s="251"/>
    </row>
    <row r="64" spans="1:4" x14ac:dyDescent="0.2">
      <c r="A64" s="125"/>
      <c r="B64" s="236" t="s">
        <v>283</v>
      </c>
      <c r="C64" s="236" t="s">
        <v>281</v>
      </c>
      <c r="D64" s="251"/>
    </row>
    <row r="65" spans="1:4" x14ac:dyDescent="0.2">
      <c r="A65" s="125"/>
      <c r="B65" s="236" t="s">
        <v>289</v>
      </c>
      <c r="C65" s="236" t="s">
        <v>518</v>
      </c>
      <c r="D65" s="251" t="s">
        <v>510</v>
      </c>
    </row>
    <row r="66" spans="1:4" x14ac:dyDescent="0.2">
      <c r="A66" s="125"/>
      <c r="B66" s="236" t="s">
        <v>280</v>
      </c>
      <c r="C66" s="236" t="s">
        <v>282</v>
      </c>
      <c r="D66" s="251"/>
    </row>
    <row r="67" spans="1:4" x14ac:dyDescent="0.2">
      <c r="A67" s="125"/>
      <c r="B67" s="236" t="s">
        <v>291</v>
      </c>
      <c r="C67" s="252" t="s">
        <v>284</v>
      </c>
      <c r="D67" s="251"/>
    </row>
    <row r="68" spans="1:4" x14ac:dyDescent="0.2">
      <c r="A68" s="125"/>
      <c r="B68" s="236" t="s">
        <v>290</v>
      </c>
      <c r="C68" s="236" t="s">
        <v>285</v>
      </c>
      <c r="D68" s="251"/>
    </row>
    <row r="69" spans="1:4" x14ac:dyDescent="0.2">
      <c r="A69" s="125"/>
      <c r="B69" s="236" t="s">
        <v>292</v>
      </c>
      <c r="C69" s="236" t="s">
        <v>286</v>
      </c>
      <c r="D69" s="251"/>
    </row>
    <row r="70" spans="1:4" x14ac:dyDescent="0.2">
      <c r="A70" s="125"/>
      <c r="B70" s="236" t="s">
        <v>293</v>
      </c>
      <c r="C70" s="236" t="s">
        <v>287</v>
      </c>
      <c r="D70" s="251"/>
    </row>
    <row r="71" spans="1:4" x14ac:dyDescent="0.2">
      <c r="A71" s="125"/>
      <c r="B71" s="236" t="s">
        <v>519</v>
      </c>
      <c r="C71" s="236" t="s">
        <v>288</v>
      </c>
      <c r="D71" s="251"/>
    </row>
    <row r="72" spans="1:4" x14ac:dyDescent="0.2">
      <c r="A72" s="125"/>
      <c r="B72" s="236" t="s">
        <v>294</v>
      </c>
      <c r="C72" s="236" t="s">
        <v>283</v>
      </c>
      <c r="D72" s="251"/>
    </row>
    <row r="73" spans="1:4" x14ac:dyDescent="0.2">
      <c r="A73" s="125"/>
      <c r="B73" s="240" t="s">
        <v>0</v>
      </c>
      <c r="C73" s="236" t="s">
        <v>289</v>
      </c>
      <c r="D73" s="251"/>
    </row>
    <row r="74" spans="1:4" x14ac:dyDescent="0.2">
      <c r="A74" s="125"/>
      <c r="B74" s="240" t="s">
        <v>295</v>
      </c>
      <c r="C74" s="238" t="s">
        <v>280</v>
      </c>
      <c r="D74" s="251"/>
    </row>
    <row r="75" spans="1:4" x14ac:dyDescent="0.2">
      <c r="A75" s="125"/>
      <c r="B75" s="240"/>
      <c r="C75" s="236" t="s">
        <v>520</v>
      </c>
      <c r="D75" s="251" t="s">
        <v>510</v>
      </c>
    </row>
    <row r="76" spans="1:4" x14ac:dyDescent="0.2">
      <c r="A76" s="125"/>
      <c r="B76" s="240"/>
      <c r="C76" s="236" t="s">
        <v>521</v>
      </c>
      <c r="D76" s="251" t="s">
        <v>510</v>
      </c>
    </row>
    <row r="77" spans="1:4" x14ac:dyDescent="0.2">
      <c r="A77" s="125"/>
      <c r="C77" s="252" t="s">
        <v>291</v>
      </c>
      <c r="D77" s="251"/>
    </row>
    <row r="78" spans="1:4" x14ac:dyDescent="0.2">
      <c r="A78" s="125"/>
      <c r="C78" s="252" t="s">
        <v>522</v>
      </c>
      <c r="D78" s="251" t="s">
        <v>509</v>
      </c>
    </row>
    <row r="79" spans="1:4" x14ac:dyDescent="0.2">
      <c r="A79" s="125"/>
      <c r="C79" s="236" t="s">
        <v>544</v>
      </c>
      <c r="D79" s="251" t="s">
        <v>509</v>
      </c>
    </row>
    <row r="80" spans="1:4" x14ac:dyDescent="0.2">
      <c r="A80" s="125"/>
      <c r="C80" s="253" t="s">
        <v>290</v>
      </c>
      <c r="D80" s="251"/>
    </row>
    <row r="81" spans="1:4" x14ac:dyDescent="0.2">
      <c r="A81" s="125"/>
      <c r="C81" s="253" t="s">
        <v>523</v>
      </c>
      <c r="D81" s="251" t="s">
        <v>528</v>
      </c>
    </row>
    <row r="82" spans="1:4" ht="15" x14ac:dyDescent="0.25">
      <c r="A82" s="125"/>
      <c r="C82" s="236" t="s">
        <v>545</v>
      </c>
      <c r="D82" t="s">
        <v>510</v>
      </c>
    </row>
    <row r="83" spans="1:4" x14ac:dyDescent="0.2">
      <c r="A83" s="125"/>
      <c r="C83" s="253" t="s">
        <v>292</v>
      </c>
      <c r="D83" s="237"/>
    </row>
    <row r="84" spans="1:4" ht="15" x14ac:dyDescent="0.25">
      <c r="B84"/>
      <c r="C84" s="252" t="s">
        <v>293</v>
      </c>
      <c r="D84" s="237"/>
    </row>
    <row r="85" spans="1:4" x14ac:dyDescent="0.2">
      <c r="C85" s="236" t="s">
        <v>519</v>
      </c>
      <c r="D85" s="237"/>
    </row>
    <row r="86" spans="1:4" x14ac:dyDescent="0.2">
      <c r="C86" s="239" t="s">
        <v>294</v>
      </c>
      <c r="D86" s="19"/>
    </row>
    <row r="87" spans="1:4" x14ac:dyDescent="0.2">
      <c r="C87" s="236" t="s">
        <v>524</v>
      </c>
      <c r="D87" s="237" t="s">
        <v>510</v>
      </c>
    </row>
    <row r="88" spans="1:4" x14ac:dyDescent="0.2">
      <c r="C88" s="236" t="s">
        <v>525</v>
      </c>
      <c r="D88" s="237" t="s">
        <v>510</v>
      </c>
    </row>
    <row r="89" spans="1:4" x14ac:dyDescent="0.2">
      <c r="C89" s="252" t="s">
        <v>526</v>
      </c>
      <c r="D89" s="237" t="s">
        <v>509</v>
      </c>
    </row>
    <row r="90" spans="1:4" x14ac:dyDescent="0.2">
      <c r="C90" s="252" t="s">
        <v>0</v>
      </c>
      <c r="D90" s="237"/>
    </row>
    <row r="91" spans="1:4" x14ac:dyDescent="0.2">
      <c r="C91" s="253" t="s">
        <v>295</v>
      </c>
      <c r="D91" s="237"/>
    </row>
    <row r="96" spans="1:4" x14ac:dyDescent="0.2">
      <c r="B96" s="240" t="s">
        <v>602</v>
      </c>
    </row>
    <row r="97" spans="2:2" x14ac:dyDescent="0.2">
      <c r="B97" s="240" t="s">
        <v>603</v>
      </c>
    </row>
    <row r="98" spans="2:2" x14ac:dyDescent="0.2">
      <c r="B98" s="240" t="s">
        <v>604</v>
      </c>
    </row>
    <row r="99" spans="2:2" x14ac:dyDescent="0.2">
      <c r="B99" s="240" t="s">
        <v>605</v>
      </c>
    </row>
    <row r="100" spans="2:2" x14ac:dyDescent="0.2">
      <c r="B100" s="240" t="s">
        <v>682</v>
      </c>
    </row>
  </sheetData>
  <autoFilter ref="F5:F30" xr:uid="{00000000-0009-0000-0000-000002000000}"/>
  <phoneticPr fontId="56"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0"/>
  <dimension ref="A1:D9"/>
  <sheetViews>
    <sheetView workbookViewId="0">
      <selection activeCell="A6" sqref="A6"/>
    </sheetView>
  </sheetViews>
  <sheetFormatPr defaultColWidth="9.140625" defaultRowHeight="12.75" x14ac:dyDescent="0.25"/>
  <cols>
    <col min="1" max="1" width="30.7109375" style="65" customWidth="1"/>
    <col min="2" max="2" width="47.28515625" style="65" customWidth="1"/>
    <col min="3" max="3" width="40.85546875" style="65" customWidth="1"/>
    <col min="4" max="4" width="38.5703125" style="65" customWidth="1"/>
    <col min="5" max="5" width="39.42578125" style="65" customWidth="1"/>
    <col min="6" max="6" width="41.140625" style="65" customWidth="1"/>
    <col min="7" max="7" width="46.7109375" style="65" customWidth="1"/>
    <col min="8" max="8" width="38.28515625" style="65" customWidth="1"/>
    <col min="9" max="9" width="42.85546875" style="65" customWidth="1"/>
    <col min="10" max="10" width="43.7109375" style="65" customWidth="1"/>
    <col min="11" max="11" width="36" style="65" customWidth="1"/>
    <col min="12" max="12" width="16.5703125" style="65" customWidth="1"/>
    <col min="13" max="13" width="24.140625" style="65" customWidth="1"/>
    <col min="14" max="14" width="35" style="65" customWidth="1"/>
    <col min="15" max="15" width="28.140625" style="65" customWidth="1"/>
    <col min="16" max="16" width="27.7109375" style="65" customWidth="1"/>
    <col min="17" max="17" width="30.140625" style="65" customWidth="1"/>
    <col min="18" max="18" width="28.140625" style="65" customWidth="1"/>
    <col min="19" max="19" width="29.7109375" style="65" customWidth="1"/>
    <col min="20" max="20" width="15.28515625" style="65" customWidth="1"/>
    <col min="21" max="21" width="17.28515625" style="65" customWidth="1"/>
    <col min="22" max="16384" width="9.140625" style="65"/>
  </cols>
  <sheetData>
    <row r="1" spans="1:4" x14ac:dyDescent="0.25">
      <c r="A1" s="297" t="s">
        <v>47</v>
      </c>
      <c r="B1" s="298" t="str">
        <f>IF(Basisdaten!D12=0,"",Basisdaten!D12)</f>
        <v/>
      </c>
    </row>
    <row r="2" spans="1:4" x14ac:dyDescent="0.25">
      <c r="A2" s="297" t="s">
        <v>71</v>
      </c>
      <c r="B2" s="299" t="str">
        <f>IF(Basisdaten!K12=0,"",Basisdaten!K12)</f>
        <v/>
      </c>
    </row>
    <row r="3" spans="1:4" x14ac:dyDescent="0.25">
      <c r="A3" s="297" t="s">
        <v>81</v>
      </c>
      <c r="B3" s="299" t="str">
        <f>IF(Basisdaten!K14=0,"",Basisdaten!K14)</f>
        <v/>
      </c>
    </row>
    <row r="4" spans="1:4" x14ac:dyDescent="0.25">
      <c r="A4" s="66"/>
      <c r="B4" s="64"/>
    </row>
    <row r="5" spans="1:4" x14ac:dyDescent="0.25">
      <c r="A5" s="300" t="s">
        <v>67</v>
      </c>
      <c r="B5" s="300" t="s">
        <v>68</v>
      </c>
      <c r="C5" s="300" t="s">
        <v>100</v>
      </c>
      <c r="D5" s="302" t="s">
        <v>101</v>
      </c>
    </row>
    <row r="6" spans="1:4" x14ac:dyDescent="0.25">
      <c r="A6" s="301" t="str">
        <f>IF(Basisdaten!B19=0,"",Basisdaten!B19)</f>
        <v/>
      </c>
      <c r="B6" s="301" t="str">
        <f>IF(Basisdaten!B22=0,"",Basisdaten!B22)</f>
        <v/>
      </c>
      <c r="C6" s="301" t="str">
        <f>IF(Basisdaten!H19=0,"",Basisdaten!H19)</f>
        <v/>
      </c>
      <c r="D6" s="303"/>
    </row>
    <row r="7" spans="1:4" x14ac:dyDescent="0.25">
      <c r="A7" s="66"/>
    </row>
    <row r="8" spans="1:4" x14ac:dyDescent="0.25">
      <c r="A8" s="66"/>
      <c r="B8" s="64"/>
    </row>
    <row r="9" spans="1:4" x14ac:dyDescent="0.25">
      <c r="A9" s="66"/>
      <c r="B9" s="64"/>
    </row>
  </sheetData>
  <phoneticPr fontId="56"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B1:H14"/>
  <sheetViews>
    <sheetView showGridLines="0" zoomScaleNormal="100" workbookViewId="0">
      <selection activeCell="G9" sqref="G9"/>
    </sheetView>
  </sheetViews>
  <sheetFormatPr defaultColWidth="9.140625" defaultRowHeight="14.25" x14ac:dyDescent="0.2"/>
  <cols>
    <col min="1" max="1" width="0.85546875" style="115" customWidth="1"/>
    <col min="2" max="2" width="7" style="115" customWidth="1"/>
    <col min="3" max="3" width="53.5703125" style="117" bestFit="1" customWidth="1"/>
    <col min="4" max="4" width="54.7109375" style="117" customWidth="1"/>
    <col min="5" max="8" width="9.140625" style="117"/>
    <col min="9" max="16384" width="9.140625" style="115"/>
  </cols>
  <sheetData>
    <row r="1" spans="2:8" ht="6.95" customHeight="1" x14ac:dyDescent="0.2"/>
    <row r="2" spans="2:8" ht="15.95" customHeight="1" x14ac:dyDescent="0.2">
      <c r="B2" s="121" t="str">
        <f>Basisdaten!B2</f>
        <v>Anlage EB Version D2.1 (Auditjahr 2023 / Kennzahlenjahr 2022)</v>
      </c>
    </row>
    <row r="3" spans="2:8" ht="15.95" customHeight="1" x14ac:dyDescent="0.25">
      <c r="B3" s="209" t="s">
        <v>254</v>
      </c>
    </row>
    <row r="4" spans="2:8" ht="16.5" thickBot="1" x14ac:dyDescent="0.3">
      <c r="B4" s="116"/>
    </row>
    <row r="5" spans="2:8" x14ac:dyDescent="0.2">
      <c r="B5" s="418" t="s">
        <v>256</v>
      </c>
      <c r="C5" s="419"/>
      <c r="D5" s="230" t="s">
        <v>255</v>
      </c>
    </row>
    <row r="6" spans="2:8" s="118" customFormat="1" ht="84" x14ac:dyDescent="0.25">
      <c r="B6" s="420" t="s">
        <v>320</v>
      </c>
      <c r="C6" s="421"/>
      <c r="D6" s="231" t="s">
        <v>337</v>
      </c>
      <c r="E6" s="119"/>
      <c r="F6" s="119"/>
      <c r="G6" s="119"/>
      <c r="H6" s="119"/>
    </row>
    <row r="7" spans="2:8" s="118" customFormat="1" ht="51" customHeight="1" x14ac:dyDescent="0.25">
      <c r="B7" s="422" t="s">
        <v>338</v>
      </c>
      <c r="C7" s="204" t="s">
        <v>339</v>
      </c>
      <c r="D7" s="231" t="s">
        <v>321</v>
      </c>
      <c r="E7" s="119"/>
      <c r="F7" s="119"/>
      <c r="G7" s="119"/>
      <c r="H7" s="119"/>
    </row>
    <row r="8" spans="2:8" s="118" customFormat="1" ht="51" customHeight="1" x14ac:dyDescent="0.25">
      <c r="B8" s="423"/>
      <c r="C8" s="204" t="s">
        <v>340</v>
      </c>
      <c r="D8" s="231" t="s">
        <v>322</v>
      </c>
      <c r="E8" s="119"/>
      <c r="F8" s="119"/>
      <c r="G8" s="119"/>
      <c r="H8" s="119"/>
    </row>
    <row r="9" spans="2:8" s="118" customFormat="1" ht="51" customHeight="1" x14ac:dyDescent="0.25">
      <c r="B9" s="423"/>
      <c r="C9" s="204" t="s">
        <v>341</v>
      </c>
      <c r="D9" s="231" t="s">
        <v>323</v>
      </c>
      <c r="E9" s="119"/>
      <c r="F9" s="119"/>
      <c r="G9" s="119"/>
      <c r="H9" s="119"/>
    </row>
    <row r="10" spans="2:8" s="118" customFormat="1" ht="51" customHeight="1" x14ac:dyDescent="0.25">
      <c r="B10" s="423"/>
      <c r="C10" s="204" t="s">
        <v>342</v>
      </c>
      <c r="D10" s="231" t="s">
        <v>324</v>
      </c>
      <c r="E10" s="119"/>
      <c r="F10" s="119"/>
      <c r="G10" s="119"/>
      <c r="H10" s="119"/>
    </row>
    <row r="11" spans="2:8" s="118" customFormat="1" ht="51" customHeight="1" x14ac:dyDescent="0.25">
      <c r="B11" s="423"/>
      <c r="C11" s="204" t="s">
        <v>343</v>
      </c>
      <c r="D11" s="231" t="s">
        <v>325</v>
      </c>
      <c r="E11" s="119"/>
      <c r="F11" s="119"/>
      <c r="G11" s="119"/>
      <c r="H11" s="119"/>
    </row>
    <row r="12" spans="2:8" s="118" customFormat="1" ht="51" customHeight="1" x14ac:dyDescent="0.25">
      <c r="B12" s="423"/>
      <c r="C12" s="204" t="s">
        <v>344</v>
      </c>
      <c r="D12" s="232" t="s">
        <v>325</v>
      </c>
      <c r="E12" s="119"/>
      <c r="F12" s="119"/>
      <c r="G12" s="119"/>
      <c r="H12" s="119"/>
    </row>
    <row r="13" spans="2:8" s="118" customFormat="1" ht="51" customHeight="1" thickBot="1" x14ac:dyDescent="0.3">
      <c r="B13" s="424"/>
      <c r="C13" s="233" t="s">
        <v>345</v>
      </c>
      <c r="D13" s="234" t="s">
        <v>326</v>
      </c>
      <c r="E13" s="119"/>
      <c r="F13" s="119"/>
      <c r="G13" s="119"/>
      <c r="H13" s="119"/>
    </row>
    <row r="14" spans="2:8" x14ac:dyDescent="0.2">
      <c r="B14" s="118"/>
    </row>
  </sheetData>
  <sheetProtection algorithmName="SHA-512" hashValue="4ljLXEq/536P0XQ6kk2UjWER/2EV0Mcmxjfx82UA6+hEnAX50lKc0N/O55o/82uAXZeq8PVxniS+cK7i8WBHqw==" saltValue="73/GgZIdMRi1HO4l6D7v4Q==" spinCount="100000" sheet="1" selectLockedCells="1" selectUnlockedCells="1"/>
  <mergeCells count="3">
    <mergeCell ref="B5:C5"/>
    <mergeCell ref="B6:C6"/>
    <mergeCell ref="B7:B13"/>
  </mergeCells>
  <pageMargins left="0.7" right="0.7" top="0.75" bottom="0.75" header="0.3" footer="0.3"/>
  <pageSetup scale="7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F163"/>
  <sheetViews>
    <sheetView showGridLines="0" zoomScaleNormal="100" zoomScaleSheetLayoutView="100" workbookViewId="0">
      <pane xSplit="1" ySplit="7" topLeftCell="B8" activePane="bottomRight" state="frozen"/>
      <selection pane="topRight" activeCell="B1" sqref="B1"/>
      <selection pane="bottomLeft" activeCell="A8" sqref="A8"/>
      <selection pane="bottomRight" activeCell="B8" sqref="B8:B19"/>
    </sheetView>
  </sheetViews>
  <sheetFormatPr defaultColWidth="11.42578125" defaultRowHeight="12.75" x14ac:dyDescent="0.2"/>
  <cols>
    <col min="1" max="1" width="0.85546875" style="227" customWidth="1"/>
    <col min="2" max="2" width="17.7109375" style="227" customWidth="1"/>
    <col min="3" max="3" width="33.28515625" style="227" customWidth="1"/>
    <col min="4" max="4" width="12.7109375" style="227" customWidth="1"/>
    <col min="5" max="5" width="33.28515625" style="227" customWidth="1"/>
    <col min="6" max="6" width="12.7109375" style="227" customWidth="1"/>
    <col min="7" max="16384" width="11.42578125" style="227"/>
  </cols>
  <sheetData>
    <row r="1" spans="1:6" ht="6.95" customHeight="1" x14ac:dyDescent="0.2"/>
    <row r="2" spans="1:6" ht="15.95" customHeight="1" x14ac:dyDescent="0.2">
      <c r="A2" s="11"/>
      <c r="B2" s="11" t="str">
        <f>Basisdaten!B2</f>
        <v>Anlage EB Version D2.1 (Auditjahr 2023 / Kennzahlenjahr 2022)</v>
      </c>
      <c r="C2" s="11"/>
      <c r="D2" s="11"/>
    </row>
    <row r="3" spans="1:6" ht="15.75" customHeight="1" x14ac:dyDescent="0.25">
      <c r="A3" s="90"/>
      <c r="B3" s="250" t="s">
        <v>534</v>
      </c>
      <c r="C3" s="90"/>
      <c r="D3" s="90"/>
    </row>
    <row r="4" spans="1:6" ht="24" customHeight="1" thickBot="1" x14ac:dyDescent="0.25">
      <c r="C4" s="90"/>
    </row>
    <row r="5" spans="1:6" s="228" customFormat="1" ht="20.100000000000001" customHeight="1" x14ac:dyDescent="0.25">
      <c r="B5" s="710" t="s">
        <v>143</v>
      </c>
      <c r="C5" s="711"/>
      <c r="D5" s="711"/>
      <c r="E5" s="711"/>
      <c r="F5" s="712"/>
    </row>
    <row r="6" spans="1:6" s="228" customFormat="1" ht="20.100000000000001" customHeight="1" x14ac:dyDescent="0.25">
      <c r="B6" s="713" t="s">
        <v>533</v>
      </c>
      <c r="C6" s="714"/>
      <c r="D6" s="714"/>
      <c r="E6" s="714"/>
      <c r="F6" s="715"/>
    </row>
    <row r="7" spans="1:6" s="228" customFormat="1" ht="48.75" customHeight="1" x14ac:dyDescent="0.25">
      <c r="B7" s="716" t="s">
        <v>144</v>
      </c>
      <c r="C7" s="717" t="s">
        <v>145</v>
      </c>
      <c r="D7" s="717" t="s">
        <v>567</v>
      </c>
      <c r="E7" s="717" t="s">
        <v>568</v>
      </c>
      <c r="F7" s="718" t="s">
        <v>569</v>
      </c>
    </row>
    <row r="8" spans="1:6" s="228" customFormat="1" ht="20.100000000000001" customHeight="1" x14ac:dyDescent="0.25">
      <c r="B8" s="647" t="s">
        <v>146</v>
      </c>
      <c r="C8" s="648" t="s">
        <v>353</v>
      </c>
      <c r="D8" s="648" t="s">
        <v>482</v>
      </c>
      <c r="E8" s="649" t="s">
        <v>588</v>
      </c>
      <c r="F8" s="650" t="s">
        <v>147</v>
      </c>
    </row>
    <row r="9" spans="1:6" s="228" customFormat="1" ht="20.100000000000001" customHeight="1" x14ac:dyDescent="0.25">
      <c r="B9" s="651"/>
      <c r="C9" s="652" t="s">
        <v>354</v>
      </c>
      <c r="D9" s="652" t="s">
        <v>157</v>
      </c>
      <c r="E9" s="653"/>
      <c r="F9" s="654"/>
    </row>
    <row r="10" spans="1:6" s="228" customFormat="1" ht="20.100000000000001" customHeight="1" x14ac:dyDescent="0.25">
      <c r="B10" s="651"/>
      <c r="C10" s="655" t="s">
        <v>148</v>
      </c>
      <c r="D10" s="655" t="s">
        <v>149</v>
      </c>
      <c r="E10" s="648" t="s">
        <v>355</v>
      </c>
      <c r="F10" s="656"/>
    </row>
    <row r="11" spans="1:6" s="228" customFormat="1" ht="20.100000000000001" customHeight="1" x14ac:dyDescent="0.25">
      <c r="B11" s="651"/>
      <c r="C11" s="657"/>
      <c r="D11" s="657"/>
      <c r="E11" s="658" t="s">
        <v>356</v>
      </c>
      <c r="F11" s="659"/>
    </row>
    <row r="12" spans="1:6" s="228" customFormat="1" ht="20.100000000000001" customHeight="1" x14ac:dyDescent="0.25">
      <c r="B12" s="651"/>
      <c r="C12" s="657"/>
      <c r="D12" s="657"/>
      <c r="E12" s="658" t="s">
        <v>357</v>
      </c>
      <c r="F12" s="659"/>
    </row>
    <row r="13" spans="1:6" s="228" customFormat="1" ht="20.100000000000001" customHeight="1" x14ac:dyDescent="0.25">
      <c r="B13" s="651"/>
      <c r="C13" s="657"/>
      <c r="D13" s="657"/>
      <c r="E13" s="658" t="s">
        <v>358</v>
      </c>
      <c r="F13" s="659"/>
    </row>
    <row r="14" spans="1:6" s="228" customFormat="1" ht="20.100000000000001" customHeight="1" x14ac:dyDescent="0.25">
      <c r="B14" s="651"/>
      <c r="C14" s="652"/>
      <c r="D14" s="652"/>
      <c r="E14" s="652" t="s">
        <v>485</v>
      </c>
      <c r="F14" s="660"/>
    </row>
    <row r="15" spans="1:6" s="228" customFormat="1" ht="20.100000000000001" customHeight="1" x14ac:dyDescent="0.25">
      <c r="B15" s="651"/>
      <c r="C15" s="661" t="s">
        <v>150</v>
      </c>
      <c r="D15" s="661" t="s">
        <v>151</v>
      </c>
      <c r="E15" s="662"/>
      <c r="F15" s="663"/>
    </row>
    <row r="16" spans="1:6" s="228" customFormat="1" ht="20.100000000000001" customHeight="1" x14ac:dyDescent="0.25">
      <c r="B16" s="651"/>
      <c r="C16" s="661" t="s">
        <v>152</v>
      </c>
      <c r="D16" s="661" t="s">
        <v>153</v>
      </c>
      <c r="E16" s="662"/>
      <c r="F16" s="663"/>
    </row>
    <row r="17" spans="2:6" s="228" customFormat="1" ht="20.100000000000001" customHeight="1" x14ac:dyDescent="0.25">
      <c r="B17" s="651"/>
      <c r="C17" s="661" t="s">
        <v>154</v>
      </c>
      <c r="D17" s="661" t="s">
        <v>155</v>
      </c>
      <c r="E17" s="662"/>
      <c r="F17" s="663"/>
    </row>
    <row r="18" spans="2:6" s="228" customFormat="1" ht="20.100000000000001" customHeight="1" x14ac:dyDescent="0.25">
      <c r="B18" s="651"/>
      <c r="C18" s="661" t="s">
        <v>570</v>
      </c>
      <c r="D18" s="661" t="s">
        <v>571</v>
      </c>
      <c r="E18" s="662"/>
      <c r="F18" s="663"/>
    </row>
    <row r="19" spans="2:6" s="228" customFormat="1" ht="20.100000000000001" customHeight="1" x14ac:dyDescent="0.25">
      <c r="B19" s="664"/>
      <c r="C19" s="661" t="s">
        <v>156</v>
      </c>
      <c r="D19" s="661" t="s">
        <v>157</v>
      </c>
      <c r="E19" s="652" t="s">
        <v>359</v>
      </c>
      <c r="F19" s="663"/>
    </row>
    <row r="20" spans="2:6" s="228" customFormat="1" ht="20.100000000000001" customHeight="1" x14ac:dyDescent="0.25">
      <c r="B20" s="651" t="s">
        <v>360</v>
      </c>
      <c r="C20" s="652" t="s">
        <v>608</v>
      </c>
      <c r="D20" s="652" t="s">
        <v>610</v>
      </c>
      <c r="E20" s="652" t="s">
        <v>612</v>
      </c>
      <c r="F20" s="660" t="s">
        <v>613</v>
      </c>
    </row>
    <row r="21" spans="2:6" s="228" customFormat="1" ht="20.100000000000001" customHeight="1" x14ac:dyDescent="0.25">
      <c r="B21" s="651"/>
      <c r="C21" s="661" t="s">
        <v>609</v>
      </c>
      <c r="D21" s="661" t="s">
        <v>611</v>
      </c>
      <c r="E21" s="665"/>
      <c r="F21" s="666"/>
    </row>
    <row r="22" spans="2:6" s="228" customFormat="1" ht="20.100000000000001" customHeight="1" x14ac:dyDescent="0.25">
      <c r="B22" s="651"/>
      <c r="C22" s="648" t="s">
        <v>614</v>
      </c>
      <c r="D22" s="648" t="s">
        <v>617</v>
      </c>
      <c r="E22" s="648" t="s">
        <v>620</v>
      </c>
      <c r="F22" s="656" t="s">
        <v>618</v>
      </c>
    </row>
    <row r="23" spans="2:6" s="228" customFormat="1" ht="20.100000000000001" customHeight="1" x14ac:dyDescent="0.25">
      <c r="B23" s="651"/>
      <c r="C23" s="658" t="s">
        <v>615</v>
      </c>
      <c r="D23" s="658" t="s">
        <v>618</v>
      </c>
      <c r="E23" s="658" t="s">
        <v>621</v>
      </c>
      <c r="F23" s="659" t="s">
        <v>618</v>
      </c>
    </row>
    <row r="24" spans="2:6" s="228" customFormat="1" ht="20.100000000000001" customHeight="1" x14ac:dyDescent="0.25">
      <c r="B24" s="651"/>
      <c r="C24" s="658" t="s">
        <v>616</v>
      </c>
      <c r="D24" s="658" t="s">
        <v>619</v>
      </c>
      <c r="E24" s="658" t="s">
        <v>622</v>
      </c>
      <c r="F24" s="659" t="s">
        <v>619</v>
      </c>
    </row>
    <row r="25" spans="2:6" s="228" customFormat="1" ht="25.5" customHeight="1" x14ac:dyDescent="0.25">
      <c r="B25" s="651"/>
      <c r="C25" s="652"/>
      <c r="D25" s="652"/>
      <c r="E25" s="652" t="s">
        <v>623</v>
      </c>
      <c r="F25" s="660" t="s">
        <v>619</v>
      </c>
    </row>
    <row r="26" spans="2:6" s="228" customFormat="1" ht="20.100000000000001" customHeight="1" x14ac:dyDescent="0.25">
      <c r="B26" s="651"/>
      <c r="C26" s="648" t="s">
        <v>698</v>
      </c>
      <c r="D26" s="648" t="s">
        <v>624</v>
      </c>
      <c r="E26" s="667"/>
      <c r="F26" s="668"/>
    </row>
    <row r="27" spans="2:6" s="228" customFormat="1" ht="20.100000000000001" customHeight="1" x14ac:dyDescent="0.25">
      <c r="B27" s="651"/>
      <c r="C27" s="652" t="s">
        <v>361</v>
      </c>
      <c r="D27" s="652" t="s">
        <v>158</v>
      </c>
      <c r="E27" s="662"/>
      <c r="F27" s="663"/>
    </row>
    <row r="28" spans="2:6" s="228" customFormat="1" ht="20.100000000000001" customHeight="1" x14ac:dyDescent="0.25">
      <c r="B28" s="651"/>
      <c r="C28" s="661" t="s">
        <v>159</v>
      </c>
      <c r="D28" s="661" t="s">
        <v>160</v>
      </c>
      <c r="E28" s="661"/>
      <c r="F28" s="669"/>
    </row>
    <row r="29" spans="2:6" s="228" customFormat="1" ht="20.100000000000001" customHeight="1" x14ac:dyDescent="0.25">
      <c r="B29" s="651"/>
      <c r="C29" s="661" t="s">
        <v>161</v>
      </c>
      <c r="D29" s="661" t="s">
        <v>162</v>
      </c>
      <c r="E29" s="661" t="s">
        <v>362</v>
      </c>
      <c r="F29" s="669"/>
    </row>
    <row r="30" spans="2:6" s="228" customFormat="1" ht="24" x14ac:dyDescent="0.25">
      <c r="B30" s="651"/>
      <c r="C30" s="661" t="s">
        <v>163</v>
      </c>
      <c r="D30" s="661" t="s">
        <v>162</v>
      </c>
      <c r="E30" s="661" t="s">
        <v>362</v>
      </c>
      <c r="F30" s="669"/>
    </row>
    <row r="31" spans="2:6" s="228" customFormat="1" ht="24" x14ac:dyDescent="0.25">
      <c r="B31" s="651"/>
      <c r="C31" s="648" t="s">
        <v>363</v>
      </c>
      <c r="D31" s="648" t="s">
        <v>164</v>
      </c>
      <c r="E31" s="648" t="s">
        <v>364</v>
      </c>
      <c r="F31" s="656" t="s">
        <v>169</v>
      </c>
    </row>
    <row r="32" spans="2:6" s="228" customFormat="1" ht="24" x14ac:dyDescent="0.25">
      <c r="B32" s="651"/>
      <c r="C32" s="652" t="s">
        <v>365</v>
      </c>
      <c r="D32" s="652"/>
      <c r="E32" s="652"/>
      <c r="F32" s="660"/>
    </row>
    <row r="33" spans="2:6" s="228" customFormat="1" ht="20.100000000000001" customHeight="1" x14ac:dyDescent="0.25">
      <c r="B33" s="651"/>
      <c r="C33" s="661" t="s">
        <v>165</v>
      </c>
      <c r="D33" s="652" t="s">
        <v>166</v>
      </c>
      <c r="E33" s="661"/>
      <c r="F33" s="669"/>
    </row>
    <row r="34" spans="2:6" s="228" customFormat="1" ht="20.100000000000001" customHeight="1" x14ac:dyDescent="0.25">
      <c r="B34" s="651"/>
      <c r="C34" s="661" t="s">
        <v>366</v>
      </c>
      <c r="D34" s="661" t="s">
        <v>167</v>
      </c>
      <c r="E34" s="661" t="s">
        <v>367</v>
      </c>
      <c r="F34" s="669"/>
    </row>
    <row r="35" spans="2:6" s="228" customFormat="1" ht="20.100000000000001" customHeight="1" x14ac:dyDescent="0.25">
      <c r="B35" s="664"/>
      <c r="C35" s="661" t="s">
        <v>168</v>
      </c>
      <c r="D35" s="661" t="s">
        <v>169</v>
      </c>
      <c r="E35" s="661" t="s">
        <v>364</v>
      </c>
      <c r="F35" s="669"/>
    </row>
    <row r="36" spans="2:6" s="228" customFormat="1" ht="24" x14ac:dyDescent="0.25">
      <c r="B36" s="670" t="s">
        <v>170</v>
      </c>
      <c r="C36" s="648" t="s">
        <v>625</v>
      </c>
      <c r="D36" s="648" t="s">
        <v>627</v>
      </c>
      <c r="E36" s="648" t="s">
        <v>368</v>
      </c>
      <c r="F36" s="656" t="s">
        <v>172</v>
      </c>
    </row>
    <row r="37" spans="2:6" s="228" customFormat="1" ht="24" x14ac:dyDescent="0.25">
      <c r="B37" s="671"/>
      <c r="C37" s="658" t="s">
        <v>626</v>
      </c>
      <c r="D37" s="658" t="s">
        <v>628</v>
      </c>
      <c r="E37" s="658" t="s">
        <v>369</v>
      </c>
      <c r="F37" s="659" t="s">
        <v>172</v>
      </c>
    </row>
    <row r="38" spans="2:6" s="228" customFormat="1" ht="24" x14ac:dyDescent="0.25">
      <c r="B38" s="671"/>
      <c r="C38" s="658" t="s">
        <v>171</v>
      </c>
      <c r="D38" s="658" t="s">
        <v>172</v>
      </c>
      <c r="E38" s="658" t="s">
        <v>368</v>
      </c>
      <c r="F38" s="659"/>
    </row>
    <row r="39" spans="2:6" s="228" customFormat="1" ht="24" x14ac:dyDescent="0.25">
      <c r="B39" s="671"/>
      <c r="C39" s="652"/>
      <c r="D39" s="652"/>
      <c r="E39" s="652" t="s">
        <v>369</v>
      </c>
      <c r="F39" s="660"/>
    </row>
    <row r="40" spans="2:6" s="228" customFormat="1" ht="20.100000000000001" customHeight="1" x14ac:dyDescent="0.25">
      <c r="B40" s="671"/>
      <c r="C40" s="661" t="s">
        <v>629</v>
      </c>
      <c r="D40" s="661" t="s">
        <v>630</v>
      </c>
      <c r="E40" s="661" t="s">
        <v>370</v>
      </c>
      <c r="F40" s="669"/>
    </row>
    <row r="41" spans="2:6" s="228" customFormat="1" ht="20.100000000000001" customHeight="1" x14ac:dyDescent="0.25">
      <c r="B41" s="671"/>
      <c r="C41" s="661" t="s">
        <v>371</v>
      </c>
      <c r="D41" s="661" t="s">
        <v>372</v>
      </c>
      <c r="E41" s="661"/>
      <c r="F41" s="669"/>
    </row>
    <row r="42" spans="2:6" s="228" customFormat="1" ht="39.75" customHeight="1" x14ac:dyDescent="0.25">
      <c r="B42" s="672" t="s">
        <v>173</v>
      </c>
      <c r="C42" s="661" t="s">
        <v>572</v>
      </c>
      <c r="D42" s="661" t="s">
        <v>175</v>
      </c>
      <c r="E42" s="661" t="s">
        <v>373</v>
      </c>
      <c r="F42" s="669"/>
    </row>
    <row r="43" spans="2:6" s="228" customFormat="1" ht="25.5" x14ac:dyDescent="0.25">
      <c r="B43" s="673" t="s">
        <v>176</v>
      </c>
      <c r="C43" s="661" t="s">
        <v>177</v>
      </c>
      <c r="D43" s="661" t="s">
        <v>178</v>
      </c>
      <c r="E43" s="665"/>
      <c r="F43" s="666"/>
    </row>
    <row r="44" spans="2:6" s="228" customFormat="1" ht="20.100000000000001" customHeight="1" x14ac:dyDescent="0.25">
      <c r="B44" s="670" t="s">
        <v>179</v>
      </c>
      <c r="C44" s="648" t="s">
        <v>374</v>
      </c>
      <c r="D44" s="648" t="s">
        <v>180</v>
      </c>
      <c r="E44" s="667"/>
      <c r="F44" s="668"/>
    </row>
    <row r="45" spans="2:6" s="228" customFormat="1" ht="20.100000000000001" customHeight="1" x14ac:dyDescent="0.25">
      <c r="B45" s="674"/>
      <c r="C45" s="652" t="s">
        <v>375</v>
      </c>
      <c r="D45" s="675"/>
      <c r="E45" s="662"/>
      <c r="F45" s="663"/>
    </row>
    <row r="46" spans="2:6" s="228" customFormat="1" ht="20.100000000000001" customHeight="1" x14ac:dyDescent="0.25">
      <c r="B46" s="674"/>
      <c r="C46" s="648" t="s">
        <v>376</v>
      </c>
      <c r="D46" s="648" t="s">
        <v>182</v>
      </c>
      <c r="E46" s="667"/>
      <c r="F46" s="668"/>
    </row>
    <row r="47" spans="2:6" s="228" customFormat="1" ht="20.100000000000001" customHeight="1" x14ac:dyDescent="0.25">
      <c r="B47" s="674"/>
      <c r="C47" s="652" t="s">
        <v>377</v>
      </c>
      <c r="D47" s="652"/>
      <c r="E47" s="662"/>
      <c r="F47" s="663"/>
    </row>
    <row r="48" spans="2:6" s="228" customFormat="1" ht="24" x14ac:dyDescent="0.25">
      <c r="B48" s="674"/>
      <c r="C48" s="661" t="s">
        <v>378</v>
      </c>
      <c r="D48" s="661" t="s">
        <v>181</v>
      </c>
      <c r="E48" s="665"/>
      <c r="F48" s="666"/>
    </row>
    <row r="49" spans="2:6" s="228" customFormat="1" ht="36" x14ac:dyDescent="0.25">
      <c r="B49" s="674"/>
      <c r="C49" s="661" t="s">
        <v>183</v>
      </c>
      <c r="D49" s="661" t="s">
        <v>184</v>
      </c>
      <c r="E49" s="661" t="s">
        <v>379</v>
      </c>
      <c r="F49" s="669"/>
    </row>
    <row r="50" spans="2:6" s="228" customFormat="1" ht="20.100000000000001" customHeight="1" x14ac:dyDescent="0.25">
      <c r="B50" s="676" t="s">
        <v>185</v>
      </c>
      <c r="C50" s="677" t="s">
        <v>631</v>
      </c>
      <c r="D50" s="677" t="s">
        <v>632</v>
      </c>
      <c r="E50" s="648" t="s">
        <v>380</v>
      </c>
      <c r="F50" s="656"/>
    </row>
    <row r="51" spans="2:6" s="228" customFormat="1" ht="20.100000000000001" customHeight="1" x14ac:dyDescent="0.25">
      <c r="B51" s="676"/>
      <c r="C51" s="677"/>
      <c r="D51" s="677"/>
      <c r="E51" s="658" t="s">
        <v>381</v>
      </c>
      <c r="F51" s="659"/>
    </row>
    <row r="52" spans="2:6" s="228" customFormat="1" ht="20.100000000000001" customHeight="1" x14ac:dyDescent="0.25">
      <c r="B52" s="676"/>
      <c r="C52" s="677"/>
      <c r="D52" s="677"/>
      <c r="E52" s="658" t="s">
        <v>382</v>
      </c>
      <c r="F52" s="659"/>
    </row>
    <row r="53" spans="2:6" s="228" customFormat="1" ht="20.100000000000001" customHeight="1" x14ac:dyDescent="0.25">
      <c r="B53" s="676"/>
      <c r="C53" s="677"/>
      <c r="D53" s="677"/>
      <c r="E53" s="658"/>
      <c r="F53" s="659"/>
    </row>
    <row r="54" spans="2:6" s="228" customFormat="1" ht="20.100000000000001" customHeight="1" x14ac:dyDescent="0.25">
      <c r="B54" s="676"/>
      <c r="C54" s="677"/>
      <c r="D54" s="677"/>
      <c r="E54" s="658" t="s">
        <v>633</v>
      </c>
      <c r="F54" s="659" t="s">
        <v>635</v>
      </c>
    </row>
    <row r="55" spans="2:6" s="228" customFormat="1" ht="20.100000000000001" customHeight="1" x14ac:dyDescent="0.25">
      <c r="B55" s="676"/>
      <c r="C55" s="677"/>
      <c r="D55" s="677"/>
      <c r="E55" s="652" t="s">
        <v>634</v>
      </c>
      <c r="F55" s="678"/>
    </row>
    <row r="56" spans="2:6" s="228" customFormat="1" ht="24" x14ac:dyDescent="0.25">
      <c r="B56" s="676"/>
      <c r="C56" s="661" t="s">
        <v>636</v>
      </c>
      <c r="D56" s="661" t="s">
        <v>637</v>
      </c>
      <c r="E56" s="661" t="s">
        <v>383</v>
      </c>
      <c r="F56" s="669" t="s">
        <v>186</v>
      </c>
    </row>
    <row r="57" spans="2:6" s="228" customFormat="1" ht="24" x14ac:dyDescent="0.25">
      <c r="B57" s="676"/>
      <c r="C57" s="661" t="s">
        <v>638</v>
      </c>
      <c r="D57" s="661" t="s">
        <v>639</v>
      </c>
      <c r="E57" s="661" t="s">
        <v>383</v>
      </c>
      <c r="F57" s="669"/>
    </row>
    <row r="58" spans="2:6" s="228" customFormat="1" ht="20.100000000000001" customHeight="1" x14ac:dyDescent="0.25">
      <c r="B58" s="676"/>
      <c r="C58" s="677" t="s">
        <v>640</v>
      </c>
      <c r="D58" s="677" t="s">
        <v>637</v>
      </c>
      <c r="E58" s="648" t="s">
        <v>641</v>
      </c>
      <c r="F58" s="679" t="s">
        <v>637</v>
      </c>
    </row>
    <row r="59" spans="2:6" s="228" customFormat="1" ht="20.100000000000001" customHeight="1" x14ac:dyDescent="0.25">
      <c r="B59" s="676"/>
      <c r="C59" s="677"/>
      <c r="D59" s="677"/>
      <c r="E59" s="652" t="s">
        <v>642</v>
      </c>
      <c r="F59" s="679"/>
    </row>
    <row r="60" spans="2:6" s="228" customFormat="1" ht="20.100000000000001" customHeight="1" x14ac:dyDescent="0.25">
      <c r="B60" s="676"/>
      <c r="C60" s="661" t="s">
        <v>643</v>
      </c>
      <c r="D60" s="661" t="s">
        <v>644</v>
      </c>
      <c r="E60" s="665"/>
      <c r="F60" s="666"/>
    </row>
    <row r="61" spans="2:6" s="228" customFormat="1" ht="24" x14ac:dyDescent="0.25">
      <c r="B61" s="676"/>
      <c r="C61" s="661" t="s">
        <v>645</v>
      </c>
      <c r="D61" s="661" t="s">
        <v>646</v>
      </c>
      <c r="E61" s="661" t="s">
        <v>647</v>
      </c>
      <c r="F61" s="669" t="s">
        <v>646</v>
      </c>
    </row>
    <row r="62" spans="2:6" s="228" customFormat="1" ht="20.100000000000001" customHeight="1" x14ac:dyDescent="0.25">
      <c r="B62" s="676"/>
      <c r="C62" s="661" t="s">
        <v>648</v>
      </c>
      <c r="D62" s="661" t="s">
        <v>649</v>
      </c>
      <c r="E62" s="665"/>
      <c r="F62" s="666"/>
    </row>
    <row r="63" spans="2:6" s="228" customFormat="1" ht="24" customHeight="1" x14ac:dyDescent="0.25">
      <c r="B63" s="676" t="s">
        <v>189</v>
      </c>
      <c r="C63" s="661" t="s">
        <v>192</v>
      </c>
      <c r="D63" s="661" t="s">
        <v>193</v>
      </c>
      <c r="E63" s="665"/>
      <c r="F63" s="666"/>
    </row>
    <row r="64" spans="2:6" s="228" customFormat="1" ht="24" x14ac:dyDescent="0.25">
      <c r="B64" s="676"/>
      <c r="C64" s="648" t="s">
        <v>194</v>
      </c>
      <c r="D64" s="648" t="s">
        <v>195</v>
      </c>
      <c r="E64" s="680"/>
      <c r="F64" s="681"/>
    </row>
    <row r="65" spans="2:6" s="228" customFormat="1" ht="24" customHeight="1" x14ac:dyDescent="0.25">
      <c r="B65" s="676"/>
      <c r="C65" s="652" t="s">
        <v>384</v>
      </c>
      <c r="D65" s="652" t="s">
        <v>196</v>
      </c>
      <c r="E65" s="680"/>
      <c r="F65" s="681"/>
    </row>
    <row r="66" spans="2:6" s="228" customFormat="1" ht="20.100000000000001" customHeight="1" x14ac:dyDescent="0.25">
      <c r="B66" s="676" t="s">
        <v>197</v>
      </c>
      <c r="C66" s="661" t="s">
        <v>650</v>
      </c>
      <c r="D66" s="661" t="s">
        <v>651</v>
      </c>
      <c r="E66" s="665"/>
      <c r="F66" s="666"/>
    </row>
    <row r="67" spans="2:6" s="228" customFormat="1" ht="20.100000000000001" customHeight="1" x14ac:dyDescent="0.25">
      <c r="B67" s="676"/>
      <c r="C67" s="648" t="s">
        <v>652</v>
      </c>
      <c r="D67" s="648" t="s">
        <v>654</v>
      </c>
      <c r="E67" s="648" t="s">
        <v>385</v>
      </c>
      <c r="F67" s="656" t="s">
        <v>386</v>
      </c>
    </row>
    <row r="68" spans="2:6" s="228" customFormat="1" ht="20.100000000000001" customHeight="1" x14ac:dyDescent="0.25">
      <c r="B68" s="676"/>
      <c r="C68" s="658" t="s">
        <v>653</v>
      </c>
      <c r="D68" s="658" t="s">
        <v>655</v>
      </c>
      <c r="E68" s="658" t="s">
        <v>387</v>
      </c>
      <c r="F68" s="659" t="s">
        <v>386</v>
      </c>
    </row>
    <row r="69" spans="2:6" s="228" customFormat="1" ht="20.100000000000001" customHeight="1" x14ac:dyDescent="0.25">
      <c r="B69" s="676"/>
      <c r="C69" s="658" t="s">
        <v>385</v>
      </c>
      <c r="D69" s="658" t="s">
        <v>386</v>
      </c>
      <c r="E69" s="658" t="s">
        <v>657</v>
      </c>
      <c r="F69" s="659" t="s">
        <v>658</v>
      </c>
    </row>
    <row r="70" spans="2:6" s="228" customFormat="1" ht="24" x14ac:dyDescent="0.25">
      <c r="B70" s="676"/>
      <c r="C70" s="658" t="s">
        <v>659</v>
      </c>
      <c r="D70" s="658" t="s">
        <v>656</v>
      </c>
      <c r="E70" s="658" t="s">
        <v>389</v>
      </c>
      <c r="F70" s="659"/>
    </row>
    <row r="71" spans="2:6" s="228" customFormat="1" ht="20.100000000000001" customHeight="1" x14ac:dyDescent="0.25">
      <c r="B71" s="676"/>
      <c r="C71" s="652" t="s">
        <v>390</v>
      </c>
      <c r="D71" s="652" t="s">
        <v>388</v>
      </c>
      <c r="E71" s="652" t="s">
        <v>391</v>
      </c>
      <c r="F71" s="678"/>
    </row>
    <row r="72" spans="2:6" s="228" customFormat="1" ht="20.100000000000001" customHeight="1" x14ac:dyDescent="0.25">
      <c r="B72" s="676"/>
      <c r="C72" s="648" t="s">
        <v>198</v>
      </c>
      <c r="D72" s="648" t="s">
        <v>199</v>
      </c>
      <c r="E72" s="677"/>
      <c r="F72" s="681"/>
    </row>
    <row r="73" spans="2:6" s="228" customFormat="1" ht="20.100000000000001" customHeight="1" x14ac:dyDescent="0.25">
      <c r="B73" s="676"/>
      <c r="C73" s="658" t="s">
        <v>392</v>
      </c>
      <c r="D73" s="658" t="s">
        <v>393</v>
      </c>
      <c r="E73" s="677"/>
      <c r="F73" s="681"/>
    </row>
    <row r="74" spans="2:6" s="228" customFormat="1" ht="20.100000000000001" customHeight="1" x14ac:dyDescent="0.25">
      <c r="B74" s="676"/>
      <c r="C74" s="652" t="s">
        <v>394</v>
      </c>
      <c r="D74" s="652" t="s">
        <v>395</v>
      </c>
      <c r="E74" s="677"/>
      <c r="F74" s="681"/>
    </row>
    <row r="75" spans="2:6" s="228" customFormat="1" ht="24" x14ac:dyDescent="0.25">
      <c r="B75" s="676"/>
      <c r="C75" s="661" t="s">
        <v>200</v>
      </c>
      <c r="D75" s="661" t="s">
        <v>201</v>
      </c>
      <c r="E75" s="661" t="s">
        <v>396</v>
      </c>
      <c r="F75" s="666"/>
    </row>
    <row r="76" spans="2:6" s="228" customFormat="1" ht="20.100000000000001" customHeight="1" x14ac:dyDescent="0.25">
      <c r="B76" s="676"/>
      <c r="C76" s="661" t="s">
        <v>202</v>
      </c>
      <c r="D76" s="661" t="s">
        <v>203</v>
      </c>
      <c r="E76" s="661"/>
      <c r="F76" s="666"/>
    </row>
    <row r="77" spans="2:6" s="228" customFormat="1" ht="20.100000000000001" customHeight="1" x14ac:dyDescent="0.25">
      <c r="B77" s="676"/>
      <c r="C77" s="677" t="s">
        <v>204</v>
      </c>
      <c r="D77" s="677" t="s">
        <v>205</v>
      </c>
      <c r="E77" s="648" t="s">
        <v>397</v>
      </c>
      <c r="F77" s="681"/>
    </row>
    <row r="78" spans="2:6" s="228" customFormat="1" ht="24" x14ac:dyDescent="0.25">
      <c r="B78" s="676"/>
      <c r="C78" s="677"/>
      <c r="D78" s="677"/>
      <c r="E78" s="658" t="s">
        <v>398</v>
      </c>
      <c r="F78" s="681"/>
    </row>
    <row r="79" spans="2:6" s="228" customFormat="1" ht="20.100000000000001" customHeight="1" x14ac:dyDescent="0.25">
      <c r="B79" s="676"/>
      <c r="C79" s="677"/>
      <c r="D79" s="677"/>
      <c r="E79" s="652" t="s">
        <v>399</v>
      </c>
      <c r="F79" s="681"/>
    </row>
    <row r="80" spans="2:6" s="228" customFormat="1" ht="24" x14ac:dyDescent="0.25">
      <c r="B80" s="676"/>
      <c r="C80" s="661" t="s">
        <v>206</v>
      </c>
      <c r="D80" s="661" t="s">
        <v>207</v>
      </c>
      <c r="E80" s="661" t="s">
        <v>400</v>
      </c>
      <c r="F80" s="666"/>
    </row>
    <row r="81" spans="2:6" s="228" customFormat="1" ht="24" x14ac:dyDescent="0.25">
      <c r="B81" s="676"/>
      <c r="C81" s="648" t="s">
        <v>401</v>
      </c>
      <c r="D81" s="682"/>
      <c r="E81" s="648" t="s">
        <v>402</v>
      </c>
      <c r="F81" s="679" t="s">
        <v>209</v>
      </c>
    </row>
    <row r="82" spans="2:6" s="228" customFormat="1" ht="24" x14ac:dyDescent="0.25">
      <c r="B82" s="676"/>
      <c r="C82" s="658" t="s">
        <v>483</v>
      </c>
      <c r="D82" s="658" t="s">
        <v>208</v>
      </c>
      <c r="E82" s="658" t="s">
        <v>403</v>
      </c>
      <c r="F82" s="679"/>
    </row>
    <row r="83" spans="2:6" s="228" customFormat="1" ht="20.100000000000001" customHeight="1" x14ac:dyDescent="0.25">
      <c r="B83" s="676"/>
      <c r="C83" s="683"/>
      <c r="D83" s="652"/>
      <c r="E83" s="652" t="s">
        <v>404</v>
      </c>
      <c r="F83" s="679"/>
    </row>
    <row r="84" spans="2:6" s="228" customFormat="1" ht="24" x14ac:dyDescent="0.25">
      <c r="B84" s="676"/>
      <c r="C84" s="661" t="s">
        <v>210</v>
      </c>
      <c r="D84" s="661" t="s">
        <v>211</v>
      </c>
      <c r="E84" s="661" t="s">
        <v>405</v>
      </c>
      <c r="F84" s="669"/>
    </row>
    <row r="85" spans="2:6" s="228" customFormat="1" ht="20.100000000000001" customHeight="1" x14ac:dyDescent="0.25">
      <c r="B85" s="676"/>
      <c r="C85" s="677" t="s">
        <v>212</v>
      </c>
      <c r="D85" s="677" t="s">
        <v>213</v>
      </c>
      <c r="E85" s="648" t="s">
        <v>406</v>
      </c>
      <c r="F85" s="679"/>
    </row>
    <row r="86" spans="2:6" s="228" customFormat="1" ht="20.100000000000001" customHeight="1" x14ac:dyDescent="0.25">
      <c r="B86" s="676"/>
      <c r="C86" s="677"/>
      <c r="D86" s="677"/>
      <c r="E86" s="658" t="s">
        <v>407</v>
      </c>
      <c r="F86" s="679"/>
    </row>
    <row r="87" spans="2:6" s="228" customFormat="1" ht="20.100000000000001" customHeight="1" x14ac:dyDescent="0.25">
      <c r="B87" s="676"/>
      <c r="C87" s="677"/>
      <c r="D87" s="677"/>
      <c r="E87" s="652" t="s">
        <v>408</v>
      </c>
      <c r="F87" s="679"/>
    </row>
    <row r="88" spans="2:6" s="228" customFormat="1" ht="20.100000000000001" customHeight="1" x14ac:dyDescent="0.25">
      <c r="B88" s="676"/>
      <c r="C88" s="661" t="s">
        <v>214</v>
      </c>
      <c r="D88" s="661" t="s">
        <v>215</v>
      </c>
      <c r="E88" s="665"/>
      <c r="F88" s="666"/>
    </row>
    <row r="89" spans="2:6" s="228" customFormat="1" ht="20.100000000000001" customHeight="1" x14ac:dyDescent="0.25">
      <c r="B89" s="676"/>
      <c r="C89" s="648" t="s">
        <v>660</v>
      </c>
      <c r="D89" s="648" t="s">
        <v>661</v>
      </c>
      <c r="E89" s="680"/>
      <c r="F89" s="681"/>
    </row>
    <row r="90" spans="2:6" s="228" customFormat="1" ht="20.100000000000001" customHeight="1" x14ac:dyDescent="0.25">
      <c r="B90" s="676"/>
      <c r="C90" s="652" t="s">
        <v>409</v>
      </c>
      <c r="D90" s="652" t="s">
        <v>410</v>
      </c>
      <c r="E90" s="680"/>
      <c r="F90" s="681"/>
    </row>
    <row r="91" spans="2:6" s="228" customFormat="1" ht="20.100000000000001" customHeight="1" x14ac:dyDescent="0.25">
      <c r="B91" s="676"/>
      <c r="C91" s="648" t="s">
        <v>216</v>
      </c>
      <c r="D91" s="649" t="s">
        <v>484</v>
      </c>
      <c r="E91" s="648" t="s">
        <v>411</v>
      </c>
      <c r="F91" s="679" t="s">
        <v>217</v>
      </c>
    </row>
    <row r="92" spans="2:6" s="228" customFormat="1" ht="20.100000000000001" customHeight="1" x14ac:dyDescent="0.25">
      <c r="B92" s="676"/>
      <c r="C92" s="658"/>
      <c r="D92" s="684"/>
      <c r="E92" s="658" t="s">
        <v>412</v>
      </c>
      <c r="F92" s="679"/>
    </row>
    <row r="93" spans="2:6" s="228" customFormat="1" ht="20.100000000000001" customHeight="1" x14ac:dyDescent="0.25">
      <c r="B93" s="676"/>
      <c r="C93" s="658"/>
      <c r="D93" s="684"/>
      <c r="E93" s="658" t="s">
        <v>413</v>
      </c>
      <c r="F93" s="679"/>
    </row>
    <row r="94" spans="2:6" ht="20.100000000000001" customHeight="1" x14ac:dyDescent="0.2">
      <c r="B94" s="676"/>
      <c r="C94" s="658"/>
      <c r="D94" s="684"/>
      <c r="E94" s="658" t="s">
        <v>414</v>
      </c>
      <c r="F94" s="679"/>
    </row>
    <row r="95" spans="2:6" ht="20.100000000000001" customHeight="1" x14ac:dyDescent="0.2">
      <c r="B95" s="676"/>
      <c r="C95" s="652" t="s">
        <v>415</v>
      </c>
      <c r="D95" s="652" t="s">
        <v>416</v>
      </c>
      <c r="E95" s="683"/>
      <c r="F95" s="679"/>
    </row>
    <row r="96" spans="2:6" ht="20.100000000000001" customHeight="1" x14ac:dyDescent="0.2">
      <c r="B96" s="676"/>
      <c r="C96" s="661" t="s">
        <v>218</v>
      </c>
      <c r="D96" s="661" t="s">
        <v>219</v>
      </c>
      <c r="E96" s="665"/>
      <c r="F96" s="666"/>
    </row>
    <row r="97" spans="2:6" ht="24" x14ac:dyDescent="0.2">
      <c r="B97" s="676"/>
      <c r="C97" s="661" t="s">
        <v>220</v>
      </c>
      <c r="D97" s="661" t="s">
        <v>221</v>
      </c>
      <c r="E97" s="661" t="s">
        <v>417</v>
      </c>
      <c r="F97" s="666"/>
    </row>
    <row r="98" spans="2:6" ht="24" x14ac:dyDescent="0.2">
      <c r="B98" s="676" t="s">
        <v>418</v>
      </c>
      <c r="C98" s="661" t="s">
        <v>257</v>
      </c>
      <c r="D98" s="661" t="s">
        <v>222</v>
      </c>
      <c r="E98" s="665"/>
      <c r="F98" s="666"/>
    </row>
    <row r="99" spans="2:6" ht="24" x14ac:dyDescent="0.2">
      <c r="B99" s="676"/>
      <c r="C99" s="661" t="s">
        <v>258</v>
      </c>
      <c r="D99" s="661" t="s">
        <v>223</v>
      </c>
      <c r="E99" s="665"/>
      <c r="F99" s="666"/>
    </row>
    <row r="100" spans="2:6" ht="36" x14ac:dyDescent="0.2">
      <c r="B100" s="676"/>
      <c r="C100" s="655" t="s">
        <v>224</v>
      </c>
      <c r="D100" s="655" t="s">
        <v>225</v>
      </c>
      <c r="E100" s="648" t="s">
        <v>419</v>
      </c>
      <c r="F100" s="681"/>
    </row>
    <row r="101" spans="2:6" ht="24" x14ac:dyDescent="0.2">
      <c r="B101" s="676"/>
      <c r="C101" s="657"/>
      <c r="D101" s="657"/>
      <c r="E101" s="658" t="s">
        <v>420</v>
      </c>
      <c r="F101" s="681"/>
    </row>
    <row r="102" spans="2:6" ht="24" x14ac:dyDescent="0.2">
      <c r="B102" s="676"/>
      <c r="C102" s="685"/>
      <c r="D102" s="685"/>
      <c r="E102" s="652" t="s">
        <v>421</v>
      </c>
      <c r="F102" s="681"/>
    </row>
    <row r="103" spans="2:6" ht="20.100000000000001" customHeight="1" x14ac:dyDescent="0.2">
      <c r="B103" s="676"/>
      <c r="C103" s="661" t="s">
        <v>226</v>
      </c>
      <c r="D103" s="661" t="s">
        <v>227</v>
      </c>
      <c r="E103" s="665"/>
      <c r="F103" s="666"/>
    </row>
    <row r="104" spans="2:6" ht="20.100000000000001" customHeight="1" x14ac:dyDescent="0.2">
      <c r="B104" s="647" t="s">
        <v>422</v>
      </c>
      <c r="C104" s="648" t="s">
        <v>228</v>
      </c>
      <c r="D104" s="648" t="s">
        <v>229</v>
      </c>
      <c r="E104" s="648" t="s">
        <v>423</v>
      </c>
      <c r="F104" s="686"/>
    </row>
    <row r="105" spans="2:6" ht="24" x14ac:dyDescent="0.2">
      <c r="B105" s="651"/>
      <c r="C105" s="658" t="s">
        <v>230</v>
      </c>
      <c r="D105" s="658" t="s">
        <v>231</v>
      </c>
      <c r="E105" s="658" t="s">
        <v>424</v>
      </c>
      <c r="F105" s="687"/>
    </row>
    <row r="106" spans="2:6" ht="20.100000000000001" customHeight="1" x14ac:dyDescent="0.2">
      <c r="B106" s="651"/>
      <c r="C106" s="658" t="s">
        <v>232</v>
      </c>
      <c r="D106" s="658" t="s">
        <v>233</v>
      </c>
      <c r="E106" s="658" t="s">
        <v>425</v>
      </c>
      <c r="F106" s="687"/>
    </row>
    <row r="107" spans="2:6" ht="24" x14ac:dyDescent="0.2">
      <c r="B107" s="651"/>
      <c r="C107" s="658" t="s">
        <v>234</v>
      </c>
      <c r="D107" s="658" t="s">
        <v>201</v>
      </c>
      <c r="E107" s="658" t="s">
        <v>396</v>
      </c>
      <c r="F107" s="687"/>
    </row>
    <row r="108" spans="2:6" ht="20.100000000000001" customHeight="1" x14ac:dyDescent="0.2">
      <c r="B108" s="651"/>
      <c r="C108" s="658" t="s">
        <v>235</v>
      </c>
      <c r="D108" s="658" t="s">
        <v>236</v>
      </c>
      <c r="E108" s="658" t="s">
        <v>426</v>
      </c>
      <c r="F108" s="687"/>
    </row>
    <row r="109" spans="2:6" ht="20.100000000000001" customHeight="1" x14ac:dyDescent="0.2">
      <c r="B109" s="664"/>
      <c r="C109" s="652"/>
      <c r="D109" s="652"/>
      <c r="E109" s="652"/>
      <c r="F109" s="688"/>
    </row>
    <row r="110" spans="2:6" ht="24" x14ac:dyDescent="0.2">
      <c r="B110" s="676" t="s">
        <v>237</v>
      </c>
      <c r="C110" s="677" t="s">
        <v>239</v>
      </c>
      <c r="D110" s="677" t="s">
        <v>240</v>
      </c>
      <c r="E110" s="648" t="s">
        <v>429</v>
      </c>
      <c r="F110" s="681"/>
    </row>
    <row r="111" spans="2:6" ht="24" x14ac:dyDescent="0.2">
      <c r="B111" s="676"/>
      <c r="C111" s="677"/>
      <c r="D111" s="677"/>
      <c r="E111" s="652" t="s">
        <v>430</v>
      </c>
      <c r="F111" s="681"/>
    </row>
    <row r="112" spans="2:6" ht="24" x14ac:dyDescent="0.2">
      <c r="B112" s="676"/>
      <c r="C112" s="677" t="s">
        <v>238</v>
      </c>
      <c r="D112" s="677" t="s">
        <v>193</v>
      </c>
      <c r="E112" s="648" t="s">
        <v>430</v>
      </c>
      <c r="F112" s="681"/>
    </row>
    <row r="113" spans="2:6" ht="24" x14ac:dyDescent="0.2">
      <c r="B113" s="676"/>
      <c r="C113" s="677"/>
      <c r="D113" s="677"/>
      <c r="E113" s="652" t="s">
        <v>431</v>
      </c>
      <c r="F113" s="681"/>
    </row>
    <row r="114" spans="2:6" ht="20.100000000000001" customHeight="1" x14ac:dyDescent="0.2">
      <c r="B114" s="676"/>
      <c r="C114" s="677" t="s">
        <v>432</v>
      </c>
      <c r="D114" s="677" t="s">
        <v>236</v>
      </c>
      <c r="E114" s="648" t="s">
        <v>433</v>
      </c>
      <c r="F114" s="681"/>
    </row>
    <row r="115" spans="2:6" ht="20.100000000000001" customHeight="1" x14ac:dyDescent="0.2">
      <c r="B115" s="676"/>
      <c r="C115" s="677"/>
      <c r="D115" s="677"/>
      <c r="E115" s="652" t="s">
        <v>426</v>
      </c>
      <c r="F115" s="681"/>
    </row>
    <row r="116" spans="2:6" ht="24" x14ac:dyDescent="0.2">
      <c r="B116" s="676"/>
      <c r="C116" s="648" t="s">
        <v>662</v>
      </c>
      <c r="D116" s="648" t="s">
        <v>665</v>
      </c>
      <c r="E116" s="648"/>
      <c r="F116" s="681"/>
    </row>
    <row r="117" spans="2:6" ht="36" x14ac:dyDescent="0.2">
      <c r="B117" s="676"/>
      <c r="C117" s="658" t="s">
        <v>663</v>
      </c>
      <c r="D117" s="658" t="s">
        <v>666</v>
      </c>
      <c r="E117" s="658" t="s">
        <v>434</v>
      </c>
      <c r="F117" s="681"/>
    </row>
    <row r="118" spans="2:6" ht="20.100000000000001" customHeight="1" x14ac:dyDescent="0.2">
      <c r="B118" s="676"/>
      <c r="C118" s="658" t="s">
        <v>664</v>
      </c>
      <c r="D118" s="658" t="s">
        <v>667</v>
      </c>
      <c r="E118" s="689"/>
      <c r="F118" s="681"/>
    </row>
    <row r="119" spans="2:6" ht="20.100000000000001" customHeight="1" x14ac:dyDescent="0.2">
      <c r="B119" s="676"/>
      <c r="C119" s="658" t="s">
        <v>241</v>
      </c>
      <c r="D119" s="658" t="s">
        <v>175</v>
      </c>
      <c r="E119" s="689"/>
      <c r="F119" s="681"/>
    </row>
    <row r="120" spans="2:6" ht="20.100000000000001" customHeight="1" x14ac:dyDescent="0.2">
      <c r="B120" s="676"/>
      <c r="C120" s="658" t="s">
        <v>242</v>
      </c>
      <c r="D120" s="658" t="s">
        <v>244</v>
      </c>
      <c r="E120" s="689"/>
      <c r="F120" s="681"/>
    </row>
    <row r="121" spans="2:6" ht="20.100000000000001" customHeight="1" x14ac:dyDescent="0.2">
      <c r="B121" s="676"/>
      <c r="C121" s="652" t="s">
        <v>243</v>
      </c>
      <c r="D121" s="652" t="s">
        <v>246</v>
      </c>
      <c r="E121" s="683"/>
      <c r="F121" s="681"/>
    </row>
    <row r="122" spans="2:6" ht="24" x14ac:dyDescent="0.2">
      <c r="B122" s="676"/>
      <c r="C122" s="661" t="s">
        <v>245</v>
      </c>
      <c r="D122" s="661" t="s">
        <v>248</v>
      </c>
      <c r="E122" s="661" t="s">
        <v>435</v>
      </c>
      <c r="F122" s="681"/>
    </row>
    <row r="123" spans="2:6" ht="20.100000000000001" customHeight="1" thickBot="1" x14ac:dyDescent="0.25">
      <c r="B123" s="690"/>
      <c r="C123" s="691" t="s">
        <v>247</v>
      </c>
      <c r="D123" s="691" t="s">
        <v>249</v>
      </c>
      <c r="E123" s="692"/>
      <c r="F123" s="693"/>
    </row>
    <row r="124" spans="2:6" customFormat="1" ht="15.75" thickBot="1" x14ac:dyDescent="0.3">
      <c r="B124" s="244"/>
      <c r="C124" s="244"/>
      <c r="D124" s="244"/>
      <c r="E124" s="244"/>
      <c r="F124" s="244"/>
    </row>
    <row r="125" spans="2:6" ht="15" customHeight="1" x14ac:dyDescent="0.2">
      <c r="B125" s="425" t="s">
        <v>436</v>
      </c>
      <c r="C125" s="426"/>
      <c r="D125" s="426"/>
      <c r="E125" s="426"/>
      <c r="F125" s="427"/>
    </row>
    <row r="126" spans="2:6" ht="48.75" customHeight="1" x14ac:dyDescent="0.2">
      <c r="B126" s="241" t="s">
        <v>144</v>
      </c>
      <c r="C126" s="242" t="s">
        <v>145</v>
      </c>
      <c r="D126" s="242" t="s">
        <v>567</v>
      </c>
      <c r="E126" s="242" t="s">
        <v>568</v>
      </c>
      <c r="F126" s="243" t="s">
        <v>569</v>
      </c>
    </row>
    <row r="127" spans="2:6" ht="24" x14ac:dyDescent="0.2">
      <c r="B127" s="676" t="s">
        <v>437</v>
      </c>
      <c r="C127" s="648" t="s">
        <v>438</v>
      </c>
      <c r="D127" s="667"/>
      <c r="E127" s="667"/>
      <c r="F127" s="681"/>
    </row>
    <row r="128" spans="2:6" ht="26.25" customHeight="1" x14ac:dyDescent="0.2">
      <c r="B128" s="676"/>
      <c r="C128" s="694" t="s">
        <v>487</v>
      </c>
      <c r="D128" s="658" t="s">
        <v>573</v>
      </c>
      <c r="E128" s="695"/>
      <c r="F128" s="681"/>
    </row>
    <row r="129" spans="2:6" ht="20.100000000000001" customHeight="1" x14ac:dyDescent="0.2">
      <c r="B129" s="676"/>
      <c r="C129" s="696" t="s">
        <v>488</v>
      </c>
      <c r="D129" s="658" t="s">
        <v>439</v>
      </c>
      <c r="E129" s="695"/>
      <c r="F129" s="681"/>
    </row>
    <row r="130" spans="2:6" ht="26.25" customHeight="1" x14ac:dyDescent="0.2">
      <c r="B130" s="676"/>
      <c r="C130" s="694" t="s">
        <v>574</v>
      </c>
      <c r="D130" s="658" t="s">
        <v>575</v>
      </c>
      <c r="E130" s="658" t="s">
        <v>576</v>
      </c>
      <c r="F130" s="681"/>
    </row>
    <row r="131" spans="2:6" ht="20.100000000000001" customHeight="1" x14ac:dyDescent="0.2">
      <c r="B131" s="676"/>
      <c r="C131" s="694" t="s">
        <v>440</v>
      </c>
      <c r="D131" s="658" t="s">
        <v>441</v>
      </c>
      <c r="E131" s="697"/>
      <c r="F131" s="681"/>
    </row>
    <row r="132" spans="2:6" ht="20.100000000000001" customHeight="1" x14ac:dyDescent="0.2">
      <c r="B132" s="676"/>
      <c r="C132" s="694" t="s">
        <v>417</v>
      </c>
      <c r="D132" s="658" t="s">
        <v>221</v>
      </c>
      <c r="E132" s="658"/>
      <c r="F132" s="681"/>
    </row>
    <row r="133" spans="2:6" ht="24" x14ac:dyDescent="0.2">
      <c r="B133" s="676"/>
      <c r="C133" s="694" t="s">
        <v>220</v>
      </c>
      <c r="D133" s="658" t="s">
        <v>221</v>
      </c>
      <c r="E133" s="658" t="s">
        <v>417</v>
      </c>
      <c r="F133" s="681"/>
    </row>
    <row r="134" spans="2:6" ht="20.100000000000001" customHeight="1" x14ac:dyDescent="0.2">
      <c r="B134" s="676"/>
      <c r="C134" s="698" t="s">
        <v>442</v>
      </c>
      <c r="D134" s="652" t="s">
        <v>443</v>
      </c>
      <c r="E134" s="662"/>
      <c r="F134" s="699"/>
    </row>
    <row r="135" spans="2:6" ht="20.100000000000001" customHeight="1" x14ac:dyDescent="0.2">
      <c r="B135" s="676" t="s">
        <v>444</v>
      </c>
      <c r="C135" s="648" t="s">
        <v>445</v>
      </c>
      <c r="D135" s="648" t="s">
        <v>219</v>
      </c>
      <c r="E135" s="700" t="s">
        <v>446</v>
      </c>
      <c r="F135" s="668"/>
    </row>
    <row r="136" spans="2:6" ht="20.100000000000001" customHeight="1" x14ac:dyDescent="0.2">
      <c r="B136" s="676"/>
      <c r="C136" s="658" t="s">
        <v>218</v>
      </c>
      <c r="D136" s="658" t="s">
        <v>219</v>
      </c>
      <c r="E136" s="701" t="s">
        <v>447</v>
      </c>
      <c r="F136" s="702"/>
    </row>
    <row r="137" spans="2:6" ht="20.100000000000001" customHeight="1" x14ac:dyDescent="0.2">
      <c r="B137" s="676"/>
      <c r="C137" s="694" t="s">
        <v>448</v>
      </c>
      <c r="D137" s="658" t="s">
        <v>219</v>
      </c>
      <c r="E137" s="701" t="s">
        <v>449</v>
      </c>
      <c r="F137" s="702"/>
    </row>
    <row r="138" spans="2:6" ht="20.100000000000001" customHeight="1" x14ac:dyDescent="0.2">
      <c r="B138" s="676"/>
      <c r="C138" s="703" t="s">
        <v>450</v>
      </c>
      <c r="D138" s="658" t="s">
        <v>451</v>
      </c>
      <c r="E138" s="701" t="s">
        <v>452</v>
      </c>
      <c r="F138" s="702"/>
    </row>
    <row r="139" spans="2:6" ht="20.100000000000001" customHeight="1" x14ac:dyDescent="0.2">
      <c r="B139" s="676"/>
      <c r="C139" s="703" t="s">
        <v>453</v>
      </c>
      <c r="D139" s="658" t="s">
        <v>219</v>
      </c>
      <c r="E139" s="704"/>
      <c r="F139" s="702"/>
    </row>
    <row r="140" spans="2:6" ht="20.100000000000001" customHeight="1" x14ac:dyDescent="0.2">
      <c r="B140" s="676"/>
      <c r="C140" s="694" t="s">
        <v>454</v>
      </c>
      <c r="D140" s="658" t="s">
        <v>455</v>
      </c>
      <c r="E140" s="701" t="s">
        <v>535</v>
      </c>
      <c r="F140" s="659" t="s">
        <v>536</v>
      </c>
    </row>
    <row r="141" spans="2:6" ht="20.100000000000001" customHeight="1" x14ac:dyDescent="0.2">
      <c r="B141" s="676"/>
      <c r="C141" s="694" t="s">
        <v>456</v>
      </c>
      <c r="D141" s="658" t="s">
        <v>457</v>
      </c>
      <c r="E141" s="705"/>
      <c r="F141" s="702"/>
    </row>
    <row r="142" spans="2:6" ht="20.100000000000001" customHeight="1" x14ac:dyDescent="0.2">
      <c r="B142" s="676"/>
      <c r="C142" s="694" t="s">
        <v>458</v>
      </c>
      <c r="D142" s="658" t="s">
        <v>459</v>
      </c>
      <c r="E142" s="705"/>
      <c r="F142" s="702"/>
    </row>
    <row r="143" spans="2:6" ht="20.100000000000001" customHeight="1" x14ac:dyDescent="0.2">
      <c r="B143" s="676"/>
      <c r="C143" s="694" t="s">
        <v>460</v>
      </c>
      <c r="D143" s="658" t="s">
        <v>461</v>
      </c>
      <c r="E143" s="705"/>
      <c r="F143" s="702"/>
    </row>
    <row r="144" spans="2:6" ht="20.100000000000001" customHeight="1" x14ac:dyDescent="0.2">
      <c r="B144" s="676"/>
      <c r="C144" s="698" t="s">
        <v>462</v>
      </c>
      <c r="D144" s="652" t="s">
        <v>463</v>
      </c>
      <c r="E144" s="706"/>
      <c r="F144" s="663"/>
    </row>
    <row r="145" spans="2:6" ht="25.5" x14ac:dyDescent="0.2">
      <c r="B145" s="673" t="s">
        <v>464</v>
      </c>
      <c r="C145" s="652" t="s">
        <v>465</v>
      </c>
      <c r="D145" s="652" t="s">
        <v>167</v>
      </c>
      <c r="E145" s="661" t="s">
        <v>367</v>
      </c>
      <c r="F145" s="663"/>
    </row>
    <row r="146" spans="2:6" ht="20.100000000000001" customHeight="1" x14ac:dyDescent="0.2">
      <c r="B146" s="676" t="s">
        <v>466</v>
      </c>
      <c r="C146" s="648" t="s">
        <v>467</v>
      </c>
      <c r="D146" s="648" t="s">
        <v>468</v>
      </c>
      <c r="E146" s="680"/>
      <c r="F146" s="681"/>
    </row>
    <row r="147" spans="2:6" ht="20.100000000000001" customHeight="1" x14ac:dyDescent="0.2">
      <c r="B147" s="676"/>
      <c r="C147" s="652" t="s">
        <v>469</v>
      </c>
      <c r="D147" s="652" t="s">
        <v>470</v>
      </c>
      <c r="E147" s="680"/>
      <c r="F147" s="681"/>
    </row>
    <row r="148" spans="2:6" ht="20.100000000000001" customHeight="1" x14ac:dyDescent="0.2">
      <c r="B148" s="676" t="s">
        <v>471</v>
      </c>
      <c r="C148" s="648" t="s">
        <v>472</v>
      </c>
      <c r="D148" s="677" t="s">
        <v>473</v>
      </c>
      <c r="E148" s="680"/>
      <c r="F148" s="681"/>
    </row>
    <row r="149" spans="2:6" ht="20.100000000000001" customHeight="1" x14ac:dyDescent="0.2">
      <c r="B149" s="676"/>
      <c r="C149" s="652" t="s">
        <v>474</v>
      </c>
      <c r="D149" s="677"/>
      <c r="E149" s="680"/>
      <c r="F149" s="681"/>
    </row>
    <row r="150" spans="2:6" ht="24" x14ac:dyDescent="0.2">
      <c r="B150" s="676" t="s">
        <v>185</v>
      </c>
      <c r="C150" s="677" t="s">
        <v>187</v>
      </c>
      <c r="D150" s="677" t="s">
        <v>188</v>
      </c>
      <c r="E150" s="648" t="s">
        <v>475</v>
      </c>
      <c r="F150" s="681"/>
    </row>
    <row r="151" spans="2:6" ht="20.100000000000001" customHeight="1" x14ac:dyDescent="0.2">
      <c r="B151" s="676"/>
      <c r="C151" s="677"/>
      <c r="D151" s="677"/>
      <c r="E151" s="652" t="s">
        <v>476</v>
      </c>
      <c r="F151" s="681"/>
    </row>
    <row r="152" spans="2:6" ht="20.100000000000001" customHeight="1" x14ac:dyDescent="0.2">
      <c r="B152" s="676"/>
      <c r="C152" s="661" t="s">
        <v>190</v>
      </c>
      <c r="D152" s="661" t="s">
        <v>191</v>
      </c>
      <c r="E152" s="665"/>
      <c r="F152" s="666"/>
    </row>
    <row r="153" spans="2:6" ht="25.5" x14ac:dyDescent="0.2">
      <c r="B153" s="673" t="s">
        <v>477</v>
      </c>
      <c r="C153" s="661" t="s">
        <v>174</v>
      </c>
      <c r="D153" s="661" t="s">
        <v>175</v>
      </c>
      <c r="E153" s="665"/>
      <c r="F153" s="666"/>
    </row>
    <row r="154" spans="2:6" ht="25.5" x14ac:dyDescent="0.2">
      <c r="B154" s="673" t="s">
        <v>478</v>
      </c>
      <c r="C154" s="661" t="s">
        <v>479</v>
      </c>
      <c r="D154" s="661" t="s">
        <v>157</v>
      </c>
      <c r="E154" s="665"/>
      <c r="F154" s="666"/>
    </row>
    <row r="155" spans="2:6" ht="20.100000000000001" customHeight="1" x14ac:dyDescent="0.2">
      <c r="B155" s="676" t="s">
        <v>480</v>
      </c>
      <c r="C155" s="648" t="s">
        <v>486</v>
      </c>
      <c r="D155" s="648" t="s">
        <v>208</v>
      </c>
      <c r="E155" s="677" t="s">
        <v>592</v>
      </c>
      <c r="F155" s="679" t="s">
        <v>209</v>
      </c>
    </row>
    <row r="156" spans="2:6" ht="26.25" customHeight="1" x14ac:dyDescent="0.2">
      <c r="B156" s="676"/>
      <c r="C156" s="658" t="s">
        <v>577</v>
      </c>
      <c r="D156" s="658" t="s">
        <v>580</v>
      </c>
      <c r="E156" s="677"/>
      <c r="F156" s="679"/>
    </row>
    <row r="157" spans="2:6" ht="20.100000000000001" customHeight="1" x14ac:dyDescent="0.2">
      <c r="B157" s="676"/>
      <c r="C157" s="658" t="s">
        <v>578</v>
      </c>
      <c r="D157" s="658" t="s">
        <v>581</v>
      </c>
      <c r="E157" s="677"/>
      <c r="F157" s="679"/>
    </row>
    <row r="158" spans="2:6" ht="20.100000000000001" customHeight="1" x14ac:dyDescent="0.2">
      <c r="B158" s="676"/>
      <c r="C158" s="658" t="s">
        <v>579</v>
      </c>
      <c r="D158" s="658" t="s">
        <v>582</v>
      </c>
      <c r="E158" s="677"/>
      <c r="F158" s="679"/>
    </row>
    <row r="159" spans="2:6" ht="20.100000000000001" customHeight="1" x14ac:dyDescent="0.2">
      <c r="B159" s="676"/>
      <c r="C159" s="658" t="s">
        <v>427</v>
      </c>
      <c r="D159" s="658" t="s">
        <v>428</v>
      </c>
      <c r="E159" s="677"/>
      <c r="F159" s="679"/>
    </row>
    <row r="160" spans="2:6" ht="24.75" thickBot="1" x14ac:dyDescent="0.25">
      <c r="B160" s="690"/>
      <c r="C160" s="707" t="s">
        <v>481</v>
      </c>
      <c r="D160" s="707" t="s">
        <v>372</v>
      </c>
      <c r="E160" s="708"/>
      <c r="F160" s="709"/>
    </row>
    <row r="162" spans="2:6" ht="36.75" customHeight="1" x14ac:dyDescent="0.2">
      <c r="B162" s="428" t="s">
        <v>700</v>
      </c>
      <c r="C162" s="429"/>
      <c r="D162" s="429"/>
      <c r="E162" s="429"/>
      <c r="F162" s="429"/>
    </row>
    <row r="163" spans="2:6" ht="135.75" customHeight="1" x14ac:dyDescent="0.2">
      <c r="B163" s="429"/>
      <c r="C163" s="429"/>
      <c r="D163" s="429"/>
      <c r="E163" s="429"/>
      <c r="F163" s="429"/>
    </row>
  </sheetData>
  <sheetProtection algorithmName="SHA-512" hashValue="1LlVJxPVddmx06VgLVDzKgOA5t+RGinxOZF7+HFNUU2+oqffEbJ8BpTSacHOFASri2MLD/ZpHYJiLFxqSXpncQ==" saltValue="rUBoctQK7CQKpNbKETEZEg==" spinCount="100000" sheet="1" objects="1" scenarios="1" selectLockedCells="1"/>
  <mergeCells count="66">
    <mergeCell ref="B162:F163"/>
    <mergeCell ref="B5:F5"/>
    <mergeCell ref="B6:F6"/>
    <mergeCell ref="B8:B19"/>
    <mergeCell ref="E8:E9"/>
    <mergeCell ref="F8:F9"/>
    <mergeCell ref="C10:C13"/>
    <mergeCell ref="D10:D13"/>
    <mergeCell ref="B20:B35"/>
    <mergeCell ref="B36:B41"/>
    <mergeCell ref="B44:B49"/>
    <mergeCell ref="B50:B62"/>
    <mergeCell ref="C50:C55"/>
    <mergeCell ref="D50:D55"/>
    <mergeCell ref="C58:C59"/>
    <mergeCell ref="D58:D59"/>
    <mergeCell ref="F58:F59"/>
    <mergeCell ref="B63:B65"/>
    <mergeCell ref="E64:E65"/>
    <mergeCell ref="F64:F65"/>
    <mergeCell ref="B98:B103"/>
    <mergeCell ref="C100:C102"/>
    <mergeCell ref="D100:D102"/>
    <mergeCell ref="F100:F102"/>
    <mergeCell ref="B66:B97"/>
    <mergeCell ref="E72:E74"/>
    <mergeCell ref="F72:F74"/>
    <mergeCell ref="C77:C79"/>
    <mergeCell ref="D77:D79"/>
    <mergeCell ref="F77:F79"/>
    <mergeCell ref="F81:F83"/>
    <mergeCell ref="C85:C87"/>
    <mergeCell ref="D85:D87"/>
    <mergeCell ref="F85:F87"/>
    <mergeCell ref="F127:F134"/>
    <mergeCell ref="E89:E90"/>
    <mergeCell ref="F89:F90"/>
    <mergeCell ref="D91:D94"/>
    <mergeCell ref="F91:F95"/>
    <mergeCell ref="B135:B144"/>
    <mergeCell ref="B146:B147"/>
    <mergeCell ref="E146:E147"/>
    <mergeCell ref="F146:F147"/>
    <mergeCell ref="B104:B109"/>
    <mergeCell ref="F104:F109"/>
    <mergeCell ref="B110:B123"/>
    <mergeCell ref="C110:C111"/>
    <mergeCell ref="D110:D111"/>
    <mergeCell ref="F110:F123"/>
    <mergeCell ref="C112:C113"/>
    <mergeCell ref="D112:D113"/>
    <mergeCell ref="C114:C115"/>
    <mergeCell ref="D114:D115"/>
    <mergeCell ref="B125:F125"/>
    <mergeCell ref="B127:B134"/>
    <mergeCell ref="B155:B160"/>
    <mergeCell ref="E155:E160"/>
    <mergeCell ref="F155:F160"/>
    <mergeCell ref="B148:B149"/>
    <mergeCell ref="D148:D149"/>
    <mergeCell ref="E148:E149"/>
    <mergeCell ref="F148:F149"/>
    <mergeCell ref="B150:B152"/>
    <mergeCell ref="C150:C151"/>
    <mergeCell ref="D150:D151"/>
    <mergeCell ref="F150:F151"/>
  </mergeCells>
  <pageMargins left="0.70866141732283472" right="0.70866141732283472" top="0.74803149606299213" bottom="0.74803149606299213" header="0.31496062992125984" footer="0.31496062992125984"/>
  <pageSetup paperSize="9" scale="78" fitToHeight="0" orientation="portrait" r:id="rId1"/>
  <headerFooter>
    <oddFooter>&amp;L&amp;F&amp;C © DKG  Alle Rechte vorbehalten&amp;R&amp;P</oddFooter>
  </headerFooter>
  <rowBreaks count="4" manualBreakCount="4">
    <brk id="35" max="5" man="1"/>
    <brk id="62" max="5" man="1"/>
    <brk id="97" max="5" man="1"/>
    <brk id="124" max="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pageSetUpPr fitToPage="1"/>
  </sheetPr>
  <dimension ref="B1:U63"/>
  <sheetViews>
    <sheetView showGridLines="0" showRuler="0" zoomScaleNormal="100" zoomScaleSheetLayoutView="100" workbookViewId="0">
      <pane xSplit="1" ySplit="11" topLeftCell="B12" activePane="bottomRight" state="frozen"/>
      <selection pane="topRight" activeCell="B1" sqref="B1"/>
      <selection pane="bottomLeft" activeCell="A12" sqref="A12"/>
      <selection pane="bottomRight" activeCell="S12" sqref="S12:S14"/>
    </sheetView>
  </sheetViews>
  <sheetFormatPr defaultColWidth="9.140625" defaultRowHeight="14.25" x14ac:dyDescent="0.2"/>
  <cols>
    <col min="1" max="1" width="0.85546875" style="115" customWidth="1"/>
    <col min="2" max="2" width="3.28515625" style="115" customWidth="1"/>
    <col min="3" max="3" width="2.85546875" style="115" customWidth="1"/>
    <col min="4" max="4" width="4.42578125" style="115" customWidth="1"/>
    <col min="5" max="5" width="21.42578125" style="115" customWidth="1"/>
    <col min="6" max="6" width="13" style="115" customWidth="1"/>
    <col min="7" max="7" width="12.85546875" style="115" customWidth="1"/>
    <col min="8" max="8" width="11.7109375" style="115" customWidth="1"/>
    <col min="9" max="9" width="11.5703125" style="115" customWidth="1"/>
    <col min="10" max="10" width="11.85546875" style="115" customWidth="1"/>
    <col min="11" max="11" width="8.28515625" style="115" customWidth="1"/>
    <col min="12" max="12" width="5.85546875" style="115" customWidth="1"/>
    <col min="13" max="14" width="4" style="115" customWidth="1"/>
    <col min="15" max="15" width="6" style="115" customWidth="1"/>
    <col min="16" max="16" width="6.85546875" style="115" customWidth="1"/>
    <col min="17" max="17" width="8" style="115" customWidth="1"/>
    <col min="18" max="18" width="8.28515625" style="115" customWidth="1"/>
    <col min="19" max="19" width="73" style="115" customWidth="1"/>
    <col min="20" max="20" width="75" style="115" customWidth="1"/>
    <col min="21" max="21" width="5" style="126" hidden="1" customWidth="1"/>
    <col min="22" max="23" width="9.140625" style="115" customWidth="1"/>
    <col min="24" max="16384" width="9.140625" style="115"/>
  </cols>
  <sheetData>
    <row r="1" spans="2:21" ht="6.95" customHeight="1" x14ac:dyDescent="0.2">
      <c r="B1" s="1"/>
      <c r="C1" s="1"/>
      <c r="D1" s="1"/>
      <c r="E1" s="1"/>
      <c r="F1" s="1"/>
      <c r="G1" s="1"/>
      <c r="H1" s="1"/>
      <c r="I1" s="1"/>
      <c r="J1" s="1"/>
      <c r="K1" s="1"/>
      <c r="L1" s="1"/>
      <c r="M1" s="1"/>
      <c r="N1" s="1"/>
      <c r="O1" s="1"/>
      <c r="P1" s="1"/>
      <c r="Q1" s="1"/>
      <c r="R1" s="1"/>
      <c r="S1" s="1"/>
      <c r="T1" s="1"/>
    </row>
    <row r="2" spans="2:21" s="1" customFormat="1" ht="15.95" customHeight="1" x14ac:dyDescent="0.2">
      <c r="B2" s="11" t="str">
        <f>Basisdaten!B2</f>
        <v>Anlage EB Version D2.1 (Auditjahr 2023 / Kennzahlenjahr 2022)</v>
      </c>
      <c r="C2" s="186"/>
      <c r="U2" s="126"/>
    </row>
    <row r="3" spans="2:21" ht="15.95" customHeight="1" x14ac:dyDescent="0.25">
      <c r="B3" s="127" t="s">
        <v>330</v>
      </c>
      <c r="C3" s="127"/>
      <c r="D3" s="1"/>
      <c r="E3" s="1"/>
      <c r="F3" s="1"/>
      <c r="G3" s="1"/>
      <c r="H3" s="1"/>
      <c r="I3" s="1"/>
      <c r="J3" s="1"/>
      <c r="K3" s="1"/>
      <c r="L3" s="1"/>
      <c r="M3" s="1"/>
      <c r="N3" s="1"/>
      <c r="O3" s="1"/>
      <c r="P3" s="5"/>
      <c r="Q3" s="1"/>
      <c r="R3" s="1"/>
      <c r="S3" s="1"/>
      <c r="T3" s="1"/>
    </row>
    <row r="4" spans="2:21" x14ac:dyDescent="0.2">
      <c r="B4" s="1"/>
      <c r="C4" s="1"/>
      <c r="D4" s="1"/>
      <c r="E4" s="1"/>
      <c r="F4" s="1"/>
      <c r="G4" s="1"/>
      <c r="H4" s="1"/>
      <c r="I4" s="1"/>
      <c r="J4" s="1"/>
      <c r="K4" s="1"/>
      <c r="L4" s="1"/>
      <c r="M4" s="1"/>
      <c r="N4" s="1"/>
      <c r="O4" s="1"/>
      <c r="P4" s="5"/>
      <c r="Q4" s="1"/>
      <c r="R4" s="1"/>
      <c r="S4" s="1"/>
      <c r="T4" s="1"/>
    </row>
    <row r="5" spans="2:21" ht="18" customHeight="1" x14ac:dyDescent="0.2">
      <c r="B5" s="1"/>
      <c r="C5" s="1"/>
      <c r="D5" s="1"/>
      <c r="E5" s="1"/>
      <c r="F5" s="3"/>
      <c r="G5" s="3"/>
      <c r="H5" s="3"/>
      <c r="I5" s="3"/>
      <c r="J5" s="3"/>
      <c r="K5" s="3"/>
      <c r="L5" s="3"/>
      <c r="M5" s="3"/>
      <c r="N5" s="3"/>
      <c r="O5" s="3"/>
      <c r="P5" s="5"/>
      <c r="Q5" s="1"/>
      <c r="R5" s="1"/>
      <c r="S5" s="1"/>
      <c r="T5" s="1"/>
    </row>
    <row r="6" spans="2:21" s="6" customFormat="1" ht="15" customHeight="1" x14ac:dyDescent="0.2">
      <c r="B6" s="10" t="s">
        <v>82</v>
      </c>
      <c r="C6" s="10"/>
      <c r="D6" s="10"/>
      <c r="F6" s="511" t="str">
        <f>IF(Basisdaten!D8=0,"",Basisdaten!D8)</f>
        <v/>
      </c>
      <c r="G6" s="512"/>
      <c r="H6" s="513"/>
      <c r="I6" s="513"/>
      <c r="J6" s="513"/>
      <c r="K6" s="513"/>
      <c r="L6" s="513"/>
      <c r="M6" s="513"/>
      <c r="N6" s="514"/>
      <c r="O6" s="514"/>
      <c r="P6" s="515"/>
      <c r="Q6" s="5"/>
      <c r="R6" s="138"/>
      <c r="S6" s="5"/>
      <c r="T6" s="5"/>
      <c r="U6" s="128"/>
    </row>
    <row r="7" spans="2:21" s="6" customFormat="1" ht="7.5" customHeight="1" x14ac:dyDescent="0.2">
      <c r="B7" s="16"/>
      <c r="C7" s="16"/>
      <c r="D7" s="16"/>
      <c r="E7" s="187"/>
      <c r="F7" s="3"/>
      <c r="G7" s="3"/>
      <c r="H7" s="3"/>
      <c r="I7" s="3"/>
      <c r="J7" s="3"/>
      <c r="K7" s="3"/>
      <c r="L7" s="3"/>
      <c r="M7" s="3"/>
      <c r="N7" s="3"/>
      <c r="O7" s="3"/>
      <c r="P7" s="5"/>
      <c r="Q7" s="5"/>
      <c r="R7" s="138"/>
      <c r="S7" s="5"/>
      <c r="T7" s="5"/>
      <c r="U7" s="128"/>
    </row>
    <row r="8" spans="2:21" s="6" customFormat="1" ht="15" customHeight="1" x14ac:dyDescent="0.2">
      <c r="B8" s="10" t="s">
        <v>73</v>
      </c>
      <c r="C8" s="10"/>
      <c r="D8" s="10"/>
      <c r="E8" s="188"/>
      <c r="F8" s="511" t="str">
        <f>IF(Basisdaten!D6=0,"",Basisdaten!D6)</f>
        <v/>
      </c>
      <c r="G8" s="518"/>
      <c r="H8" s="5"/>
      <c r="I8" s="5"/>
      <c r="K8" s="7" t="s">
        <v>71</v>
      </c>
      <c r="L8" s="7"/>
      <c r="M8" s="519" t="str">
        <f>IF(Basisdaten!K12=0,"",Basisdaten!K12)</f>
        <v/>
      </c>
      <c r="N8" s="520"/>
      <c r="O8" s="520"/>
      <c r="P8" s="515"/>
      <c r="Q8" s="5"/>
      <c r="R8" s="138"/>
      <c r="S8" s="5"/>
      <c r="T8" s="5"/>
      <c r="U8" s="128"/>
    </row>
    <row r="9" spans="2:21" ht="15" customHeight="1" thickBot="1" x14ac:dyDescent="0.25">
      <c r="B9" s="1"/>
      <c r="C9" s="1"/>
      <c r="D9" s="1"/>
      <c r="E9" s="1"/>
      <c r="F9" s="3"/>
      <c r="G9" s="3"/>
      <c r="H9" s="3"/>
      <c r="I9" s="3"/>
      <c r="J9" s="3"/>
      <c r="K9" s="3"/>
      <c r="L9" s="3"/>
      <c r="M9" s="3"/>
      <c r="N9" s="3"/>
      <c r="O9" s="3"/>
      <c r="P9" s="5"/>
      <c r="Q9" s="1"/>
      <c r="R9" s="1"/>
      <c r="S9" s="1"/>
      <c r="T9" s="1"/>
    </row>
    <row r="10" spans="2:21" s="189" customFormat="1" ht="16.5" customHeight="1" thickBot="1" x14ac:dyDescent="0.3">
      <c r="B10" s="521" t="s">
        <v>87</v>
      </c>
      <c r="C10" s="522"/>
      <c r="D10" s="516" t="s">
        <v>583</v>
      </c>
      <c r="E10" s="516" t="s">
        <v>28</v>
      </c>
      <c r="F10" s="521" t="s">
        <v>29</v>
      </c>
      <c r="G10" s="522"/>
      <c r="H10" s="521" t="s">
        <v>30</v>
      </c>
      <c r="I10" s="522"/>
      <c r="J10" s="536" t="s">
        <v>31</v>
      </c>
      <c r="K10" s="537"/>
      <c r="L10" s="541" t="s">
        <v>51</v>
      </c>
      <c r="M10" s="539" t="s">
        <v>50</v>
      </c>
      <c r="N10" s="540"/>
      <c r="O10" s="541" t="s">
        <v>51</v>
      </c>
      <c r="P10" s="521" t="s">
        <v>32</v>
      </c>
      <c r="Q10" s="543"/>
      <c r="R10" s="516" t="s">
        <v>49</v>
      </c>
      <c r="S10" s="553" t="s">
        <v>33</v>
      </c>
      <c r="T10" s="554"/>
      <c r="U10" s="129"/>
    </row>
    <row r="11" spans="2:21" s="189" customFormat="1" ht="21.75" customHeight="1" thickBot="1" x14ac:dyDescent="0.3">
      <c r="B11" s="523"/>
      <c r="C11" s="524"/>
      <c r="D11" s="517"/>
      <c r="E11" s="517"/>
      <c r="F11" s="523"/>
      <c r="G11" s="524"/>
      <c r="H11" s="523"/>
      <c r="I11" s="524"/>
      <c r="J11" s="538"/>
      <c r="K11" s="537"/>
      <c r="L11" s="542"/>
      <c r="M11" s="540"/>
      <c r="N11" s="540"/>
      <c r="O11" s="542"/>
      <c r="P11" s="544"/>
      <c r="Q11" s="545"/>
      <c r="R11" s="525"/>
      <c r="S11" s="190" t="s">
        <v>311</v>
      </c>
      <c r="T11" s="190" t="s">
        <v>312</v>
      </c>
      <c r="U11" s="129"/>
    </row>
    <row r="12" spans="2:21" ht="27.75" customHeight="1" thickBot="1" x14ac:dyDescent="0.25">
      <c r="B12" s="437">
        <v>1</v>
      </c>
      <c r="C12" s="479" t="s">
        <v>84</v>
      </c>
      <c r="D12" s="443" t="s">
        <v>89</v>
      </c>
      <c r="E12" s="446" t="s">
        <v>116</v>
      </c>
      <c r="F12" s="526" t="s">
        <v>35</v>
      </c>
      <c r="G12" s="527"/>
      <c r="H12" s="449" t="s">
        <v>88</v>
      </c>
      <c r="I12" s="450"/>
      <c r="J12" s="449" t="s">
        <v>1</v>
      </c>
      <c r="K12" s="450"/>
      <c r="L12" s="479"/>
      <c r="M12" s="505" t="s">
        <v>98</v>
      </c>
      <c r="N12" s="506"/>
      <c r="O12" s="455"/>
      <c r="P12" s="532" t="s">
        <v>23</v>
      </c>
      <c r="Q12" s="533">
        <f>IF(AND(Basisdaten!K39="",Basisdaten!K45="")=TRUE,0,(IF(Basisdaten!K39="",0,Basisdaten!K39)+IF(Basisdaten!K45="",0,Basisdaten!K45)))</f>
        <v>0</v>
      </c>
      <c r="R12" s="431" t="str">
        <f>IF(Q12=Berechnung1!D27,Berechnung1!$F$5,IF(OR(Q12&lt; Berechnung1!E27,Q12&gt; Berechnung1!F27),Berechnung1!$G$5,IF(OR(ROUND(Q12,4)&lt;Berechnung1!J27,ROUND(Q12,4)&gt;Berechnung1!K27),Berechnung1!$D$5,IF(OR(ROUND(Q12,4)&lt;Berechnung1!G27,ROUND(Q12,4)&gt;Berechnung1!H27),Berechnung1!$E$5,Berechnung1!$C$5))))</f>
        <v>Unvollständig</v>
      </c>
      <c r="S12" s="434"/>
      <c r="T12" s="434"/>
    </row>
    <row r="13" spans="2:21" ht="27.75" customHeight="1" thickBot="1" x14ac:dyDescent="0.25">
      <c r="B13" s="439"/>
      <c r="C13" s="480"/>
      <c r="D13" s="444"/>
      <c r="E13" s="447"/>
      <c r="F13" s="528"/>
      <c r="G13" s="529"/>
      <c r="H13" s="451"/>
      <c r="I13" s="452"/>
      <c r="J13" s="451"/>
      <c r="K13" s="452"/>
      <c r="L13" s="480"/>
      <c r="M13" s="507"/>
      <c r="N13" s="508"/>
      <c r="O13" s="456"/>
      <c r="P13" s="532"/>
      <c r="Q13" s="534"/>
      <c r="R13" s="432"/>
      <c r="S13" s="435"/>
      <c r="T13" s="435"/>
    </row>
    <row r="14" spans="2:21" ht="27.75" customHeight="1" thickBot="1" x14ac:dyDescent="0.25">
      <c r="B14" s="439"/>
      <c r="C14" s="481"/>
      <c r="D14" s="445"/>
      <c r="E14" s="448"/>
      <c r="F14" s="530"/>
      <c r="G14" s="531"/>
      <c r="H14" s="453"/>
      <c r="I14" s="454"/>
      <c r="J14" s="453"/>
      <c r="K14" s="454"/>
      <c r="L14" s="481"/>
      <c r="M14" s="509"/>
      <c r="N14" s="510"/>
      <c r="O14" s="457"/>
      <c r="P14" s="532"/>
      <c r="Q14" s="535"/>
      <c r="R14" s="433"/>
      <c r="S14" s="436"/>
      <c r="T14" s="436"/>
    </row>
    <row r="15" spans="2:21" ht="27.75" customHeight="1" x14ac:dyDescent="0.2">
      <c r="B15" s="439"/>
      <c r="C15" s="479" t="s">
        <v>85</v>
      </c>
      <c r="D15" s="489"/>
      <c r="E15" s="490" t="s">
        <v>688</v>
      </c>
      <c r="F15" s="493" t="s">
        <v>1</v>
      </c>
      <c r="G15" s="494"/>
      <c r="H15" s="499" t="s">
        <v>688</v>
      </c>
      <c r="I15" s="500"/>
      <c r="J15" s="557" t="s">
        <v>1</v>
      </c>
      <c r="K15" s="500"/>
      <c r="L15" s="479"/>
      <c r="M15" s="505" t="s">
        <v>98</v>
      </c>
      <c r="N15" s="506"/>
      <c r="O15" s="455"/>
      <c r="P15" s="455" t="s">
        <v>23</v>
      </c>
      <c r="Q15" s="533">
        <f>IFERROR(Basisdaten!K49+Basisdaten!K50+Basisdaten!K51,0)</f>
        <v>0</v>
      </c>
      <c r="R15" s="558" t="str">
        <f>IF(AND(U16="",Q15=0),Berechnung1!$F$5,IF(AND(U16=0,Q15=0),Berechnung1!$H$5,IF(OR(Q15&lt;Berechnung1!E30,Q15&gt;Berechnung1!F30),Berechnung1!$G$5,IF(OR(ROUND(Q15,4)&lt;Berechnung1!J30,ROUND(Q15,4)&gt;Berechnung1!K30),Berechnung1!$D$5,IF(OR(ROUND(Q15,4)&lt;Berechnung1!G30,ROUND(Q15,4)&gt;Berechnung1!H30),Berechnung1!$E$5,Berechnung1!$C$5)))))</f>
        <v>Unvollständig</v>
      </c>
      <c r="S15" s="434"/>
      <c r="T15" s="434"/>
    </row>
    <row r="16" spans="2:21" ht="27.75" customHeight="1" x14ac:dyDescent="0.2">
      <c r="B16" s="439"/>
      <c r="C16" s="480"/>
      <c r="D16" s="444"/>
      <c r="E16" s="491"/>
      <c r="F16" s="495"/>
      <c r="G16" s="496"/>
      <c r="H16" s="501"/>
      <c r="I16" s="502"/>
      <c r="J16" s="501"/>
      <c r="K16" s="502"/>
      <c r="L16" s="480"/>
      <c r="M16" s="507"/>
      <c r="N16" s="508"/>
      <c r="O16" s="456"/>
      <c r="P16" s="456"/>
      <c r="Q16" s="534"/>
      <c r="R16" s="432"/>
      <c r="S16" s="435"/>
      <c r="T16" s="435"/>
      <c r="U16" s="269" t="str">
        <f>IF(Basisdaten!K49="","",IF(Basisdaten!K50="","",IF(Basisdaten!K51="","",(Basisdaten!K49+Basisdaten!K50+Basisdaten!K51))))</f>
        <v/>
      </c>
    </row>
    <row r="17" spans="2:21" ht="27.75" customHeight="1" thickBot="1" x14ac:dyDescent="0.25">
      <c r="B17" s="439"/>
      <c r="C17" s="481"/>
      <c r="D17" s="445"/>
      <c r="E17" s="492"/>
      <c r="F17" s="497"/>
      <c r="G17" s="498"/>
      <c r="H17" s="503"/>
      <c r="I17" s="504"/>
      <c r="J17" s="503"/>
      <c r="K17" s="504"/>
      <c r="L17" s="481"/>
      <c r="M17" s="509"/>
      <c r="N17" s="510"/>
      <c r="O17" s="457"/>
      <c r="P17" s="457"/>
      <c r="Q17" s="535"/>
      <c r="R17" s="433"/>
      <c r="S17" s="436"/>
      <c r="T17" s="436"/>
    </row>
    <row r="18" spans="2:21" ht="27.75" customHeight="1" thickBot="1" x14ac:dyDescent="0.25">
      <c r="B18" s="439"/>
      <c r="C18" s="479" t="s">
        <v>584</v>
      </c>
      <c r="D18" s="443" t="s">
        <v>89</v>
      </c>
      <c r="E18" s="473" t="s">
        <v>117</v>
      </c>
      <c r="F18" s="482" t="s">
        <v>1</v>
      </c>
      <c r="G18" s="450"/>
      <c r="H18" s="483" t="s">
        <v>93</v>
      </c>
      <c r="I18" s="484"/>
      <c r="J18" s="483" t="s">
        <v>1</v>
      </c>
      <c r="K18" s="484"/>
      <c r="L18" s="455"/>
      <c r="M18" s="505" t="s">
        <v>118</v>
      </c>
      <c r="N18" s="506"/>
      <c r="O18" s="455"/>
      <c r="P18" s="532" t="s">
        <v>23</v>
      </c>
      <c r="Q18" s="533">
        <f>IF(Basisdaten!K53="",0,Basisdaten!K53)</f>
        <v>0</v>
      </c>
      <c r="R18" s="431" t="str">
        <f>IF(Q18=Berechnung1!D33,Berechnung1!$F$5,IF(OR(Q18&lt; Berechnung1!E33,Q18&gt; Berechnung1!F33),Berechnung1!$G$5,IF(OR(ROUND(Q18,4)&lt;Berechnung1!J33,ROUND(Q18,4)&gt;Berechnung1!K33),Berechnung1!$D$5,IF(OR(ROUND(Q18,4)&lt;Berechnung1!G33,ROUND(Q18,4)&gt;Berechnung1!H33),Berechnung1!$E$5,Berechnung1!$C$5))))</f>
        <v>Unvollständig</v>
      </c>
      <c r="S18" s="434"/>
      <c r="T18" s="434"/>
    </row>
    <row r="19" spans="2:21" ht="27.75" customHeight="1" thickBot="1" x14ac:dyDescent="0.25">
      <c r="B19" s="439"/>
      <c r="C19" s="480"/>
      <c r="D19" s="444"/>
      <c r="E19" s="474"/>
      <c r="F19" s="451"/>
      <c r="G19" s="452"/>
      <c r="H19" s="485"/>
      <c r="I19" s="486"/>
      <c r="J19" s="485"/>
      <c r="K19" s="486"/>
      <c r="L19" s="456"/>
      <c r="M19" s="507"/>
      <c r="N19" s="508"/>
      <c r="O19" s="456"/>
      <c r="P19" s="532"/>
      <c r="Q19" s="534"/>
      <c r="R19" s="432"/>
      <c r="S19" s="435"/>
      <c r="T19" s="435"/>
    </row>
    <row r="20" spans="2:21" ht="27.75" customHeight="1" thickBot="1" x14ac:dyDescent="0.25">
      <c r="B20" s="441"/>
      <c r="C20" s="481"/>
      <c r="D20" s="445"/>
      <c r="E20" s="475"/>
      <c r="F20" s="453"/>
      <c r="G20" s="454"/>
      <c r="H20" s="487"/>
      <c r="I20" s="488"/>
      <c r="J20" s="487"/>
      <c r="K20" s="488"/>
      <c r="L20" s="457"/>
      <c r="M20" s="509"/>
      <c r="N20" s="510"/>
      <c r="O20" s="457"/>
      <c r="P20" s="532"/>
      <c r="Q20" s="535"/>
      <c r="R20" s="433"/>
      <c r="S20" s="436"/>
      <c r="T20" s="436"/>
    </row>
    <row r="21" spans="2:21" ht="27.75" customHeight="1" thickBot="1" x14ac:dyDescent="0.25">
      <c r="B21" s="437" t="s">
        <v>593</v>
      </c>
      <c r="C21" s="438"/>
      <c r="D21" s="443" t="s">
        <v>119</v>
      </c>
      <c r="E21" s="473" t="s">
        <v>120</v>
      </c>
      <c r="F21" s="449" t="s">
        <v>121</v>
      </c>
      <c r="G21" s="450"/>
      <c r="H21" s="449" t="s">
        <v>668</v>
      </c>
      <c r="I21" s="450"/>
      <c r="J21" s="449" t="s">
        <v>713</v>
      </c>
      <c r="K21" s="450"/>
      <c r="L21" s="455"/>
      <c r="M21" s="437" t="s">
        <v>44</v>
      </c>
      <c r="N21" s="438"/>
      <c r="O21" s="458"/>
      <c r="P21" s="191" t="s">
        <v>30</v>
      </c>
      <c r="Q21" s="192"/>
      <c r="R21" s="431" t="str">
        <f>IF(Q23=Berechnung1!D36,Berechnung1!$F$5,IF(OR(Q23&lt; Berechnung1!E36,Q23&gt; Berechnung1!F36),Berechnung1!$G$5,IF(OR(ROUND(Q23,4)&lt;Berechnung1!J36,ROUND(Q23,4)&gt;Berechnung1!K36),Berechnung1!$D$5,IF(OR(ROUND(Q23,4)&lt;Berechnung1!G36,ROUND(Q23,4)&gt;Berechnung1!H36),Berechnung1!$E$5,Berechnung1!$C$5))))</f>
        <v>Unvollständig</v>
      </c>
      <c r="S21" s="550"/>
      <c r="T21" s="434"/>
      <c r="U21" s="115"/>
    </row>
    <row r="22" spans="2:21" ht="27.75" customHeight="1" thickBot="1" x14ac:dyDescent="0.25">
      <c r="B22" s="439"/>
      <c r="C22" s="440"/>
      <c r="D22" s="444"/>
      <c r="E22" s="474"/>
      <c r="F22" s="451"/>
      <c r="G22" s="452"/>
      <c r="H22" s="451"/>
      <c r="I22" s="452"/>
      <c r="J22" s="451"/>
      <c r="K22" s="452"/>
      <c r="L22" s="456"/>
      <c r="M22" s="439"/>
      <c r="N22" s="440"/>
      <c r="O22" s="456"/>
      <c r="P22" s="191" t="s">
        <v>24</v>
      </c>
      <c r="Q22" s="193">
        <f xml:space="preserve"> Q12</f>
        <v>0</v>
      </c>
      <c r="R22" s="432"/>
      <c r="S22" s="551"/>
      <c r="T22" s="559"/>
      <c r="U22" s="115"/>
    </row>
    <row r="23" spans="2:21" ht="27.75" customHeight="1" thickBot="1" x14ac:dyDescent="0.25">
      <c r="B23" s="441"/>
      <c r="C23" s="442"/>
      <c r="D23" s="445"/>
      <c r="E23" s="475"/>
      <c r="F23" s="453"/>
      <c r="G23" s="454"/>
      <c r="H23" s="453"/>
      <c r="I23" s="454"/>
      <c r="J23" s="453"/>
      <c r="K23" s="454"/>
      <c r="L23" s="457"/>
      <c r="M23" s="441"/>
      <c r="N23" s="442"/>
      <c r="O23" s="457"/>
      <c r="P23" s="191" t="s">
        <v>34</v>
      </c>
      <c r="Q23" s="194" t="str">
        <f>IF(Q21="","n.d.",IF(Q22="","n.d.",IF(Q22=0,"",Q21/Q22)))</f>
        <v>n.d.</v>
      </c>
      <c r="R23" s="433"/>
      <c r="S23" s="552"/>
      <c r="T23" s="559"/>
      <c r="U23" s="115"/>
    </row>
    <row r="24" spans="2:21" ht="30" customHeight="1" thickBot="1" x14ac:dyDescent="0.25">
      <c r="B24" s="505" t="s">
        <v>708</v>
      </c>
      <c r="C24" s="506"/>
      <c r="D24" s="476" t="s">
        <v>669</v>
      </c>
      <c r="E24" s="446" t="s">
        <v>120</v>
      </c>
      <c r="F24" s="449" t="s">
        <v>121</v>
      </c>
      <c r="G24" s="450"/>
      <c r="H24" s="449" t="s">
        <v>668</v>
      </c>
      <c r="I24" s="450"/>
      <c r="J24" s="449" t="s">
        <v>714</v>
      </c>
      <c r="K24" s="450"/>
      <c r="L24" s="296"/>
      <c r="M24" s="505" t="s">
        <v>44</v>
      </c>
      <c r="N24" s="506"/>
      <c r="O24" s="296"/>
      <c r="P24" s="217" t="s">
        <v>30</v>
      </c>
      <c r="Q24" s="192"/>
      <c r="R24" s="556" t="str">
        <f>IF(AND(Q24&lt;&gt;"",Q25&lt;&gt;"",Q24=0,Q25=0),Berechnung1!$H$5,IF(Q26=Berechnung1!D39,Berechnung1!$F$5,IF(OR(Q26&lt;Berechnung1!E39,Q26&gt;Berechnung1!F39),Berechnung1!$G$5,IF(OR(ROUND(Q26,4)&lt;Berechnung1!J39,ROUND(Q26,4)&gt;Berechnung1!K39),Berechnung1!$D$5,IF(OR(ROUND(Q26,4)&lt;Berechnung1!G39,ROUND(Q26,4)&gt;Berechnung1!H39),Berechnung1!$E$5,Berechnung1!$C$5)))))</f>
        <v>Unvollständig</v>
      </c>
      <c r="S24" s="547"/>
      <c r="T24" s="547"/>
      <c r="U24" s="115"/>
    </row>
    <row r="25" spans="2:21" ht="30" customHeight="1" thickBot="1" x14ac:dyDescent="0.25">
      <c r="B25" s="507"/>
      <c r="C25" s="508"/>
      <c r="D25" s="477"/>
      <c r="E25" s="447"/>
      <c r="F25" s="451"/>
      <c r="G25" s="452"/>
      <c r="H25" s="451"/>
      <c r="I25" s="452"/>
      <c r="J25" s="451"/>
      <c r="K25" s="452"/>
      <c r="L25" s="296"/>
      <c r="M25" s="507"/>
      <c r="N25" s="508"/>
      <c r="O25" s="296"/>
      <c r="P25" s="217" t="s">
        <v>24</v>
      </c>
      <c r="Q25" s="193">
        <f xml:space="preserve"> Q15</f>
        <v>0</v>
      </c>
      <c r="R25" s="477"/>
      <c r="S25" s="548"/>
      <c r="T25" s="548"/>
      <c r="U25" s="195"/>
    </row>
    <row r="26" spans="2:21" ht="30" customHeight="1" thickBot="1" x14ac:dyDescent="0.25">
      <c r="B26" s="509"/>
      <c r="C26" s="510"/>
      <c r="D26" s="478"/>
      <c r="E26" s="448"/>
      <c r="F26" s="453"/>
      <c r="G26" s="454"/>
      <c r="H26" s="453"/>
      <c r="I26" s="454"/>
      <c r="J26" s="453"/>
      <c r="K26" s="454"/>
      <c r="L26" s="296"/>
      <c r="M26" s="509"/>
      <c r="N26" s="510"/>
      <c r="O26" s="296"/>
      <c r="P26" s="217" t="s">
        <v>34</v>
      </c>
      <c r="Q26" s="194" t="str">
        <f>IF(Q24="","n.d.",IF(Q25="","n.d.",IF(Q25=0,"",Q24/Q25)))</f>
        <v>n.d.</v>
      </c>
      <c r="R26" s="478"/>
      <c r="S26" s="549"/>
      <c r="T26" s="549"/>
      <c r="U26" s="115"/>
    </row>
    <row r="27" spans="2:21" ht="30" customHeight="1" thickBot="1" x14ac:dyDescent="0.25">
      <c r="B27" s="505">
        <v>3</v>
      </c>
      <c r="C27" s="506"/>
      <c r="D27" s="476" t="s">
        <v>596</v>
      </c>
      <c r="E27" s="446" t="s">
        <v>122</v>
      </c>
      <c r="F27" s="449" t="s">
        <v>699</v>
      </c>
      <c r="G27" s="450"/>
      <c r="H27" s="449" t="s">
        <v>594</v>
      </c>
      <c r="I27" s="450"/>
      <c r="J27" s="449" t="s">
        <v>595</v>
      </c>
      <c r="K27" s="450"/>
      <c r="L27" s="479"/>
      <c r="M27" s="505" t="s">
        <v>44</v>
      </c>
      <c r="N27" s="506"/>
      <c r="O27" s="546"/>
      <c r="P27" s="217" t="s">
        <v>30</v>
      </c>
      <c r="Q27" s="192"/>
      <c r="R27" s="556" t="str">
        <f>IF(Q29=Berechnung1!D42,Berechnung1!$F$5,IF(OR(Q29&lt; Berechnung1!E42,Q29&gt; Berechnung1!F42),Berechnung1!$G$5,IF(OR(ROUND(Q29,4)&lt;Berechnung1!J42,ROUND(Q29,4)&gt;Berechnung1!K42),Berechnung1!$D$5,IF(OR(ROUND(Q29,4)&lt;Berechnung1!G42,ROUND(Q29,4)&gt;Berechnung1!H42),Berechnung1!$E$5,Berechnung1!$C$5))))</f>
        <v>Unvollständig</v>
      </c>
      <c r="S27" s="547"/>
      <c r="T27" s="547"/>
      <c r="U27" s="115"/>
    </row>
    <row r="28" spans="2:21" ht="30" customHeight="1" thickBot="1" x14ac:dyDescent="0.25">
      <c r="B28" s="507"/>
      <c r="C28" s="508"/>
      <c r="D28" s="477"/>
      <c r="E28" s="447"/>
      <c r="F28" s="451"/>
      <c r="G28" s="452"/>
      <c r="H28" s="451"/>
      <c r="I28" s="452"/>
      <c r="J28" s="451"/>
      <c r="K28" s="452"/>
      <c r="L28" s="480"/>
      <c r="M28" s="507"/>
      <c r="N28" s="508"/>
      <c r="O28" s="480"/>
      <c r="P28" s="217" t="s">
        <v>24</v>
      </c>
      <c r="Q28" s="192"/>
      <c r="R28" s="477"/>
      <c r="S28" s="548"/>
      <c r="T28" s="548"/>
      <c r="U28" s="115"/>
    </row>
    <row r="29" spans="2:21" ht="30" customHeight="1" thickBot="1" x14ac:dyDescent="0.25">
      <c r="B29" s="509"/>
      <c r="C29" s="510"/>
      <c r="D29" s="478"/>
      <c r="E29" s="448"/>
      <c r="F29" s="453"/>
      <c r="G29" s="454"/>
      <c r="H29" s="453"/>
      <c r="I29" s="454"/>
      <c r="J29" s="453"/>
      <c r="K29" s="454"/>
      <c r="L29" s="481"/>
      <c r="M29" s="509"/>
      <c r="N29" s="510"/>
      <c r="O29" s="481"/>
      <c r="P29" s="217" t="s">
        <v>34</v>
      </c>
      <c r="Q29" s="194" t="str">
        <f>IF(Q27="","n.d.",IF(Q28="","n.d.",IF(Q28=0,"",Q27/Q28)))</f>
        <v>n.d.</v>
      </c>
      <c r="R29" s="478"/>
      <c r="S29" s="549"/>
      <c r="T29" s="549"/>
      <c r="U29" s="115"/>
    </row>
    <row r="30" spans="2:21" ht="30" customHeight="1" thickBot="1" x14ac:dyDescent="0.25">
      <c r="B30" s="437">
        <v>4</v>
      </c>
      <c r="C30" s="438"/>
      <c r="D30" s="443" t="s">
        <v>99</v>
      </c>
      <c r="E30" s="473" t="s">
        <v>123</v>
      </c>
      <c r="F30" s="449" t="s">
        <v>124</v>
      </c>
      <c r="G30" s="450"/>
      <c r="H30" s="449" t="s">
        <v>537</v>
      </c>
      <c r="I30" s="450"/>
      <c r="J30" s="449" t="s">
        <v>93</v>
      </c>
      <c r="K30" s="450"/>
      <c r="L30" s="455" t="s">
        <v>250</v>
      </c>
      <c r="M30" s="437" t="s">
        <v>98</v>
      </c>
      <c r="N30" s="438"/>
      <c r="O30" s="455" t="s">
        <v>125</v>
      </c>
      <c r="P30" s="191" t="s">
        <v>30</v>
      </c>
      <c r="Q30" s="192"/>
      <c r="R30" s="431" t="str">
        <f>IF(Q32=Berechnung1!D45,Berechnung1!$F$5,IF(OR(Q32&lt; Berechnung1!E45,Q32&gt; Berechnung1!F45),Berechnung1!$G$5,IF(OR(ROUND(Q32,4)&lt;Berechnung1!J45,ROUND(Q32,4)&gt;Berechnung1!K45),Berechnung1!$D$5,IF(OR(ROUND(Q32,4)&lt;Berechnung1!G45,ROUND(Q32,4)&gt;Berechnung1!H45),Berechnung1!$E$5,Berechnung1!$C$5))))</f>
        <v>Unvollständig</v>
      </c>
      <c r="S30" s="434"/>
      <c r="T30" s="434"/>
      <c r="U30" s="115"/>
    </row>
    <row r="31" spans="2:21" ht="30" customHeight="1" thickBot="1" x14ac:dyDescent="0.25">
      <c r="B31" s="439"/>
      <c r="C31" s="440"/>
      <c r="D31" s="444"/>
      <c r="E31" s="474"/>
      <c r="F31" s="451"/>
      <c r="G31" s="452"/>
      <c r="H31" s="451"/>
      <c r="I31" s="452"/>
      <c r="J31" s="451"/>
      <c r="K31" s="452"/>
      <c r="L31" s="456"/>
      <c r="M31" s="439"/>
      <c r="N31" s="440"/>
      <c r="O31" s="456"/>
      <c r="P31" s="191" t="s">
        <v>24</v>
      </c>
      <c r="Q31" s="193">
        <f>IF(Basisdaten!K53="",0,Basisdaten!K53)</f>
        <v>0</v>
      </c>
      <c r="R31" s="432"/>
      <c r="S31" s="435"/>
      <c r="T31" s="435"/>
      <c r="U31" s="115"/>
    </row>
    <row r="32" spans="2:21" ht="30" customHeight="1" thickBot="1" x14ac:dyDescent="0.25">
      <c r="B32" s="441"/>
      <c r="C32" s="442"/>
      <c r="D32" s="445"/>
      <c r="E32" s="475"/>
      <c r="F32" s="453"/>
      <c r="G32" s="454"/>
      <c r="H32" s="453"/>
      <c r="I32" s="454"/>
      <c r="J32" s="453"/>
      <c r="K32" s="454"/>
      <c r="L32" s="457"/>
      <c r="M32" s="441"/>
      <c r="N32" s="442"/>
      <c r="O32" s="457"/>
      <c r="P32" s="191" t="s">
        <v>34</v>
      </c>
      <c r="Q32" s="194" t="str">
        <f>IF(Q30="","n.d.",IF(Q31="","n.d.",IF(Q31=0,"",Q30/Q31)))</f>
        <v>n.d.</v>
      </c>
      <c r="R32" s="433"/>
      <c r="S32" s="436"/>
      <c r="T32" s="436"/>
      <c r="U32" s="115"/>
    </row>
    <row r="33" spans="2:21" ht="30" customHeight="1" thickBot="1" x14ac:dyDescent="0.25">
      <c r="B33" s="437">
        <v>5</v>
      </c>
      <c r="C33" s="438"/>
      <c r="D33" s="443" t="s">
        <v>127</v>
      </c>
      <c r="E33" s="473" t="s">
        <v>126</v>
      </c>
      <c r="F33" s="449" t="s">
        <v>128</v>
      </c>
      <c r="G33" s="450"/>
      <c r="H33" s="483" t="s">
        <v>538</v>
      </c>
      <c r="I33" s="484"/>
      <c r="J33" s="449" t="s">
        <v>93</v>
      </c>
      <c r="K33" s="450"/>
      <c r="L33" s="455" t="s">
        <v>129</v>
      </c>
      <c r="M33" s="437" t="s">
        <v>98</v>
      </c>
      <c r="N33" s="438"/>
      <c r="O33" s="458"/>
      <c r="P33" s="196" t="s">
        <v>30</v>
      </c>
      <c r="Q33" s="192"/>
      <c r="R33" s="431" t="str">
        <f>IF(Q35=Berechnung1!D48,Berechnung1!$F$5,IF(OR(Q35&lt; Berechnung1!E48,Q35&gt;Berechnung1!F48),Berechnung1!$G$5,IF(OR(ROUND(Q35,4)&lt;Berechnung1!J48,ROUND(Q35,4)&gt;Berechnung1!K48),Berechnung1!$D$5,IF(OR(ROUND(Q35,4)&lt;Berechnung1!G48,ROUND(Q35,4)&gt;Berechnung1!H48),Berechnung1!$E$5,Berechnung1!$C$5))))</f>
        <v>Unvollständig</v>
      </c>
      <c r="S33" s="434"/>
      <c r="T33" s="434"/>
      <c r="U33" s="115"/>
    </row>
    <row r="34" spans="2:21" ht="30" customHeight="1" thickBot="1" x14ac:dyDescent="0.25">
      <c r="B34" s="439"/>
      <c r="C34" s="440"/>
      <c r="D34" s="444"/>
      <c r="E34" s="474"/>
      <c r="F34" s="451"/>
      <c r="G34" s="452"/>
      <c r="H34" s="485"/>
      <c r="I34" s="486"/>
      <c r="J34" s="451"/>
      <c r="K34" s="452"/>
      <c r="L34" s="456"/>
      <c r="M34" s="439"/>
      <c r="N34" s="440"/>
      <c r="O34" s="456"/>
      <c r="P34" s="191" t="s">
        <v>24</v>
      </c>
      <c r="Q34" s="193">
        <f>IF(Basisdaten!K53="",0,Basisdaten!K53)</f>
        <v>0</v>
      </c>
      <c r="R34" s="432"/>
      <c r="S34" s="435"/>
      <c r="T34" s="435"/>
      <c r="U34" s="115"/>
    </row>
    <row r="35" spans="2:21" ht="30" customHeight="1" thickBot="1" x14ac:dyDescent="0.25">
      <c r="B35" s="441"/>
      <c r="C35" s="442"/>
      <c r="D35" s="445"/>
      <c r="E35" s="475"/>
      <c r="F35" s="453"/>
      <c r="G35" s="454"/>
      <c r="H35" s="487"/>
      <c r="I35" s="488"/>
      <c r="J35" s="453"/>
      <c r="K35" s="454"/>
      <c r="L35" s="457"/>
      <c r="M35" s="441"/>
      <c r="N35" s="442"/>
      <c r="O35" s="457"/>
      <c r="P35" s="191" t="s">
        <v>34</v>
      </c>
      <c r="Q35" s="194" t="str">
        <f>IF(Q33="","n.d.",IF(Q34="","n.d.",IF(Q34=0,"",Q33/Q34)))</f>
        <v>n.d.</v>
      </c>
      <c r="R35" s="433"/>
      <c r="S35" s="436"/>
      <c r="T35" s="436"/>
      <c r="U35" s="115"/>
    </row>
    <row r="36" spans="2:21" ht="30" customHeight="1" thickBot="1" x14ac:dyDescent="0.25">
      <c r="B36" s="505">
        <v>6</v>
      </c>
      <c r="C36" s="506"/>
      <c r="D36" s="443" t="s">
        <v>90</v>
      </c>
      <c r="E36" s="446" t="s">
        <v>686</v>
      </c>
      <c r="F36" s="449" t="s">
        <v>709</v>
      </c>
      <c r="G36" s="450"/>
      <c r="H36" s="449" t="s">
        <v>687</v>
      </c>
      <c r="I36" s="450"/>
      <c r="J36" s="449" t="s">
        <v>130</v>
      </c>
      <c r="K36" s="450"/>
      <c r="L36" s="455"/>
      <c r="M36" s="437" t="s">
        <v>327</v>
      </c>
      <c r="N36" s="438"/>
      <c r="O36" s="458" t="s">
        <v>131</v>
      </c>
      <c r="P36" s="196" t="s">
        <v>30</v>
      </c>
      <c r="Q36" s="192"/>
      <c r="R36" s="431" t="str">
        <f>IF(Q38=Berechnung1!D51,Berechnung1!$F$5,IF(OR(Q38&lt; Berechnung1!E51,Q38&gt; Berechnung1!F51),Berechnung1!$G$5,IF(OR(ROUND(Q38,4)&lt;Berechnung1!J51,ROUND(Q38,4)&gt;Berechnung1!K51),Berechnung1!$D$5,IF(OR(ROUND(Q38,4)&lt;Berechnung1!G51,ROUND(Q38,4)&gt;Berechnung1!H51),Berechnung1!$E$5,Berechnung1!$C$5))))</f>
        <v>Unvollständig</v>
      </c>
      <c r="S36" s="434"/>
      <c r="T36" s="434"/>
      <c r="U36" s="115"/>
    </row>
    <row r="37" spans="2:21" ht="30" customHeight="1" thickBot="1" x14ac:dyDescent="0.25">
      <c r="B37" s="507"/>
      <c r="C37" s="508"/>
      <c r="D37" s="444"/>
      <c r="E37" s="447"/>
      <c r="F37" s="451"/>
      <c r="G37" s="452"/>
      <c r="H37" s="451"/>
      <c r="I37" s="452"/>
      <c r="J37" s="451"/>
      <c r="K37" s="452"/>
      <c r="L37" s="456"/>
      <c r="M37" s="439"/>
      <c r="N37" s="440"/>
      <c r="O37" s="456"/>
      <c r="P37" s="191" t="s">
        <v>24</v>
      </c>
      <c r="Q37" s="193">
        <f>Q12</f>
        <v>0</v>
      </c>
      <c r="R37" s="432"/>
      <c r="S37" s="435"/>
      <c r="T37" s="435"/>
      <c r="U37" s="115"/>
    </row>
    <row r="38" spans="2:21" ht="30" customHeight="1" thickBot="1" x14ac:dyDescent="0.25">
      <c r="B38" s="509"/>
      <c r="C38" s="510"/>
      <c r="D38" s="445"/>
      <c r="E38" s="448"/>
      <c r="F38" s="453"/>
      <c r="G38" s="454"/>
      <c r="H38" s="453"/>
      <c r="I38" s="454"/>
      <c r="J38" s="453"/>
      <c r="K38" s="454"/>
      <c r="L38" s="457"/>
      <c r="M38" s="441"/>
      <c r="N38" s="442"/>
      <c r="O38" s="457"/>
      <c r="P38" s="191" t="s">
        <v>34</v>
      </c>
      <c r="Q38" s="194" t="str">
        <f>IF(Q36="","n.d.",IF(Q37="","n.d.",IF(Q37=0,"",Q36/Q37)))</f>
        <v>n.d.</v>
      </c>
      <c r="R38" s="433"/>
      <c r="S38" s="436"/>
      <c r="T38" s="436"/>
      <c r="U38" s="115"/>
    </row>
    <row r="39" spans="2:21" ht="51" customHeight="1" thickBot="1" x14ac:dyDescent="0.25">
      <c r="B39" s="437">
        <v>7</v>
      </c>
      <c r="C39" s="438"/>
      <c r="D39" s="443" t="s">
        <v>596</v>
      </c>
      <c r="E39" s="446" t="s">
        <v>331</v>
      </c>
      <c r="F39" s="449" t="s">
        <v>132</v>
      </c>
      <c r="G39" s="450"/>
      <c r="H39" s="449" t="s">
        <v>539</v>
      </c>
      <c r="I39" s="450"/>
      <c r="J39" s="449" t="s">
        <v>597</v>
      </c>
      <c r="K39" s="450"/>
      <c r="L39" s="455" t="s">
        <v>332</v>
      </c>
      <c r="M39" s="437" t="s">
        <v>98</v>
      </c>
      <c r="N39" s="438"/>
      <c r="O39" s="458"/>
      <c r="P39" s="196" t="s">
        <v>30</v>
      </c>
      <c r="Q39" s="192"/>
      <c r="R39" s="431" t="str">
        <f>IF(Q41=Berechnung1!D54,Berechnung1!$F$5,IF(OR(Q41&lt; Berechnung1!E54,Q41&gt; Berechnung1!F54),Berechnung1!$G$5,IF(OR(ROUND(Q41,4)&lt;Berechnung1!J54,ROUND(Q41,4)&gt;Berechnung1!K54),Berechnung1!$D$5,IF(OR(ROUND(Q41,4)&lt;Berechnung1!G54,ROUND(Q41,4)&gt;Berechnung1!H54),Berechnung1!$E$5,Berechnung1!$C$5))))</f>
        <v>Unvollständig</v>
      </c>
      <c r="S39" s="434"/>
      <c r="T39" s="434"/>
      <c r="U39" s="115"/>
    </row>
    <row r="40" spans="2:21" ht="51" customHeight="1" thickBot="1" x14ac:dyDescent="0.25">
      <c r="B40" s="439"/>
      <c r="C40" s="440"/>
      <c r="D40" s="444"/>
      <c r="E40" s="447"/>
      <c r="F40" s="451"/>
      <c r="G40" s="452"/>
      <c r="H40" s="451"/>
      <c r="I40" s="452"/>
      <c r="J40" s="451"/>
      <c r="K40" s="452"/>
      <c r="L40" s="456"/>
      <c r="M40" s="439"/>
      <c r="N40" s="440"/>
      <c r="O40" s="456"/>
      <c r="P40" s="191" t="s">
        <v>24</v>
      </c>
      <c r="Q40" s="193">
        <f>IF(AND(Basisdaten!K27="",Basisdaten!K29="",Basisdaten!K43="")=TRUE,0,SUM(IF(Basisdaten!K27="",0,Basisdaten!K27),IF(Basisdaten!K29="",0,Basisdaten!K29),IF(Basisdaten!K43="",0,Basisdaten!K43)))</f>
        <v>0</v>
      </c>
      <c r="R40" s="432"/>
      <c r="S40" s="435"/>
      <c r="T40" s="435"/>
      <c r="U40" s="115"/>
    </row>
    <row r="41" spans="2:21" ht="51" customHeight="1" thickBot="1" x14ac:dyDescent="0.25">
      <c r="B41" s="441"/>
      <c r="C41" s="442"/>
      <c r="D41" s="445"/>
      <c r="E41" s="448"/>
      <c r="F41" s="453"/>
      <c r="G41" s="454"/>
      <c r="H41" s="453"/>
      <c r="I41" s="454"/>
      <c r="J41" s="453"/>
      <c r="K41" s="454"/>
      <c r="L41" s="457"/>
      <c r="M41" s="441"/>
      <c r="N41" s="442"/>
      <c r="O41" s="457"/>
      <c r="P41" s="191" t="s">
        <v>34</v>
      </c>
      <c r="Q41" s="194" t="str">
        <f>IF(Q39="","n.d.",IF(Q40="","n.d.",IF(Q40=0,"",Q39/Q40)))</f>
        <v>n.d.</v>
      </c>
      <c r="R41" s="433"/>
      <c r="S41" s="436"/>
      <c r="T41" s="436"/>
      <c r="U41" s="115"/>
    </row>
    <row r="42" spans="2:21" ht="30" customHeight="1" thickBot="1" x14ac:dyDescent="0.25">
      <c r="B42" s="437">
        <v>8</v>
      </c>
      <c r="C42" s="438"/>
      <c r="D42" s="443" t="s">
        <v>585</v>
      </c>
      <c r="E42" s="446" t="s">
        <v>251</v>
      </c>
      <c r="F42" s="449" t="s">
        <v>710</v>
      </c>
      <c r="G42" s="450"/>
      <c r="H42" s="449" t="s">
        <v>540</v>
      </c>
      <c r="I42" s="450"/>
      <c r="J42" s="449" t="s">
        <v>711</v>
      </c>
      <c r="K42" s="450"/>
      <c r="L42" s="455"/>
      <c r="M42" s="437" t="s">
        <v>599</v>
      </c>
      <c r="N42" s="438"/>
      <c r="O42" s="458"/>
      <c r="P42" s="196" t="s">
        <v>30</v>
      </c>
      <c r="Q42" s="192"/>
      <c r="R42" s="431" t="str">
        <f>IF(Q44=Berechnung1!D57,Berechnung1!$F$5,IF(OR(Q44&lt; Berechnung1!E57,Q44&gt; Berechnung1!F57),Berechnung1!$G$5,IF(OR(ROUND(Q44,4)&lt;Berechnung1!J57,ROUND(Q44,4)&gt;Berechnung1!K57),Berechnung1!$D$5,IF(OR(ROUND(Q44,4)&lt;Berechnung1!G57,ROUND(Q44,4)&gt;Berechnung1!H57),Berechnung1!$E$5,Berechnung1!$C$5))))</f>
        <v>Unvollständig</v>
      </c>
      <c r="S42" s="434"/>
      <c r="T42" s="434"/>
      <c r="U42" s="115"/>
    </row>
    <row r="43" spans="2:21" ht="30" customHeight="1" thickBot="1" x14ac:dyDescent="0.25">
      <c r="B43" s="439"/>
      <c r="C43" s="440"/>
      <c r="D43" s="444"/>
      <c r="E43" s="447"/>
      <c r="F43" s="451"/>
      <c r="G43" s="452"/>
      <c r="H43" s="451"/>
      <c r="I43" s="452"/>
      <c r="J43" s="451"/>
      <c r="K43" s="452"/>
      <c r="L43" s="456"/>
      <c r="M43" s="439"/>
      <c r="N43" s="440"/>
      <c r="O43" s="456"/>
      <c r="P43" s="191" t="s">
        <v>24</v>
      </c>
      <c r="Q43" s="193">
        <f>IF(ISERROR(SUM(Basisdaten!G27:I27)),0,SUM(Basisdaten!G27:I27))</f>
        <v>0</v>
      </c>
      <c r="R43" s="432"/>
      <c r="S43" s="435"/>
      <c r="T43" s="435"/>
      <c r="U43" s="115"/>
    </row>
    <row r="44" spans="2:21" ht="30" customHeight="1" thickBot="1" x14ac:dyDescent="0.25">
      <c r="B44" s="441"/>
      <c r="C44" s="442"/>
      <c r="D44" s="445"/>
      <c r="E44" s="448"/>
      <c r="F44" s="453"/>
      <c r="G44" s="454"/>
      <c r="H44" s="453"/>
      <c r="I44" s="454"/>
      <c r="J44" s="453"/>
      <c r="K44" s="454"/>
      <c r="L44" s="457"/>
      <c r="M44" s="441"/>
      <c r="N44" s="442"/>
      <c r="O44" s="457"/>
      <c r="P44" s="191" t="s">
        <v>34</v>
      </c>
      <c r="Q44" s="194" t="str">
        <f>IF(Q42="","n.d.",IF(Q43="","n.d.",IF(Q43=0,"",Q42/Q43)))</f>
        <v>n.d.</v>
      </c>
      <c r="R44" s="433"/>
      <c r="S44" s="436"/>
      <c r="T44" s="436"/>
      <c r="U44" s="115"/>
    </row>
    <row r="45" spans="2:21" ht="30" customHeight="1" thickBot="1" x14ac:dyDescent="0.25">
      <c r="B45" s="437">
        <v>9</v>
      </c>
      <c r="C45" s="438"/>
      <c r="D45" s="443"/>
      <c r="E45" s="446" t="s">
        <v>134</v>
      </c>
      <c r="F45" s="449" t="s">
        <v>135</v>
      </c>
      <c r="G45" s="450"/>
      <c r="H45" s="449" t="s">
        <v>541</v>
      </c>
      <c r="I45" s="450"/>
      <c r="J45" s="449" t="s">
        <v>598</v>
      </c>
      <c r="K45" s="450"/>
      <c r="L45" s="455"/>
      <c r="M45" s="437" t="s">
        <v>133</v>
      </c>
      <c r="N45" s="438"/>
      <c r="O45" s="458"/>
      <c r="P45" s="196" t="s">
        <v>30</v>
      </c>
      <c r="Q45" s="192"/>
      <c r="R45" s="431" t="str">
        <f>IF(Q47=Berechnung1!D60,Berechnung1!$F$5,IF(OR(Q47&lt; Berechnung1!E60,Q47&gt; Berechnung1!F60),Berechnung1!$G$5,IF(OR(ROUND(Q47,4)&lt;Berechnung1!J60,ROUND(Q47,4)&gt;Berechnung1!K60),Berechnung1!$D$5,IF(OR(ROUND(Q47,4)&lt;Berechnung1!G60,ROUND(Q47,4)&gt;Berechnung1!H60),Berechnung1!$E$5,Berechnung1!$C$5))))</f>
        <v>Unvollständig</v>
      </c>
      <c r="S45" s="434"/>
      <c r="T45" s="434"/>
      <c r="U45" s="115"/>
    </row>
    <row r="46" spans="2:21" ht="30" customHeight="1" thickBot="1" x14ac:dyDescent="0.25">
      <c r="B46" s="439"/>
      <c r="C46" s="440"/>
      <c r="D46" s="444"/>
      <c r="E46" s="447"/>
      <c r="F46" s="451"/>
      <c r="G46" s="452"/>
      <c r="H46" s="451"/>
      <c r="I46" s="452"/>
      <c r="J46" s="451"/>
      <c r="K46" s="452"/>
      <c r="L46" s="456"/>
      <c r="M46" s="439"/>
      <c r="N46" s="440"/>
      <c r="O46" s="456"/>
      <c r="P46" s="191" t="s">
        <v>24</v>
      </c>
      <c r="Q46" s="193">
        <f>IF(AND(Basisdaten!K31="",Basisdaten!K45="")=TRUE,0,(IF(Basisdaten!K31="",0,Basisdaten!K31)+IF(Basisdaten!K45="",0,Basisdaten!K45)))</f>
        <v>0</v>
      </c>
      <c r="R46" s="432"/>
      <c r="S46" s="435"/>
      <c r="T46" s="435"/>
      <c r="U46" s="115"/>
    </row>
    <row r="47" spans="2:21" ht="30" customHeight="1" thickBot="1" x14ac:dyDescent="0.25">
      <c r="B47" s="441"/>
      <c r="C47" s="442"/>
      <c r="D47" s="445"/>
      <c r="E47" s="448"/>
      <c r="F47" s="453"/>
      <c r="G47" s="454"/>
      <c r="H47" s="453"/>
      <c r="I47" s="454"/>
      <c r="J47" s="453"/>
      <c r="K47" s="454"/>
      <c r="L47" s="457"/>
      <c r="M47" s="441"/>
      <c r="N47" s="442"/>
      <c r="O47" s="457"/>
      <c r="P47" s="191" t="s">
        <v>34</v>
      </c>
      <c r="Q47" s="194" t="str">
        <f>IF(Q45="","n.d.",IF(Q46="","n.d.",IF(Q46=0,"",Q45/Q46)))</f>
        <v>n.d.</v>
      </c>
      <c r="R47" s="433"/>
      <c r="S47" s="436"/>
      <c r="T47" s="436"/>
      <c r="U47" s="115"/>
    </row>
    <row r="48" spans="2:21" ht="30" customHeight="1" thickBot="1" x14ac:dyDescent="0.25">
      <c r="B48" s="437">
        <v>10</v>
      </c>
      <c r="C48" s="438"/>
      <c r="D48" s="443"/>
      <c r="E48" s="446" t="s">
        <v>136</v>
      </c>
      <c r="F48" s="449" t="s">
        <v>137</v>
      </c>
      <c r="G48" s="450"/>
      <c r="H48" s="449" t="s">
        <v>542</v>
      </c>
      <c r="I48" s="450"/>
      <c r="J48" s="449" t="s">
        <v>333</v>
      </c>
      <c r="K48" s="450"/>
      <c r="L48" s="455"/>
      <c r="M48" s="437" t="s">
        <v>138</v>
      </c>
      <c r="N48" s="438"/>
      <c r="O48" s="458"/>
      <c r="P48" s="215" t="s">
        <v>30</v>
      </c>
      <c r="Q48" s="192"/>
      <c r="R48" s="431" t="str">
        <f>IF(AND(Q48&lt;&gt;"",Q49&lt;&gt;"",Q48=0,Q49=0),Berechnung1!$H$5,IF(Q50=Berechnung1!D63,Berechnung1!$F$5,IF(OR(Q50&lt;Berechnung1!E63,Q50&gt;Berechnung1!F63),Berechnung1!$G$5,IF(OR(ROUND(Q50,4)&lt;Berechnung1!J63,ROUND(Q50,4)&gt;Berechnung1!K63),Berechnung1!$D$5,IF(OR(ROUND(Q50,4)&lt;Berechnung1!G63,ROUND(Q50,4)&gt;Berechnung1!H63),Berechnung1!$E$5,Berechnung1!$C$5)))))</f>
        <v>Unvollständig</v>
      </c>
      <c r="S48" s="434"/>
      <c r="T48" s="434"/>
      <c r="U48" s="115"/>
    </row>
    <row r="49" spans="2:21" ht="30" customHeight="1" thickBot="1" x14ac:dyDescent="0.25">
      <c r="B49" s="439"/>
      <c r="C49" s="440"/>
      <c r="D49" s="444"/>
      <c r="E49" s="447"/>
      <c r="F49" s="451"/>
      <c r="G49" s="452"/>
      <c r="H49" s="451"/>
      <c r="I49" s="452"/>
      <c r="J49" s="451"/>
      <c r="K49" s="452"/>
      <c r="L49" s="456"/>
      <c r="M49" s="439"/>
      <c r="N49" s="440"/>
      <c r="O49" s="456"/>
      <c r="P49" s="217" t="s">
        <v>24</v>
      </c>
      <c r="Q49" s="193">
        <f>IF(Basisdaten!H35="",0,Basisdaten!H35)</f>
        <v>0</v>
      </c>
      <c r="R49" s="432"/>
      <c r="S49" s="435"/>
      <c r="T49" s="435"/>
      <c r="U49" s="126" t="str">
        <f>IF(Basisdaten!H35="","",Basisdaten!H35)</f>
        <v/>
      </c>
    </row>
    <row r="50" spans="2:21" ht="30" customHeight="1" thickBot="1" x14ac:dyDescent="0.25">
      <c r="B50" s="441"/>
      <c r="C50" s="442"/>
      <c r="D50" s="445"/>
      <c r="E50" s="448"/>
      <c r="F50" s="453"/>
      <c r="G50" s="454"/>
      <c r="H50" s="453"/>
      <c r="I50" s="454"/>
      <c r="J50" s="453"/>
      <c r="K50" s="454"/>
      <c r="L50" s="457"/>
      <c r="M50" s="441"/>
      <c r="N50" s="442"/>
      <c r="O50" s="457"/>
      <c r="P50" s="191" t="s">
        <v>34</v>
      </c>
      <c r="Q50" s="194" t="str">
        <f>IF(Q48="","n.d.",IF(Q49="","n.d.",IF(Q49=0,"",Q48/Q49)))</f>
        <v>n.d.</v>
      </c>
      <c r="R50" s="433"/>
      <c r="S50" s="436"/>
      <c r="T50" s="436"/>
      <c r="U50" s="115"/>
    </row>
    <row r="51" spans="2:21" ht="7.5" customHeight="1" x14ac:dyDescent="0.2">
      <c r="B51" s="33"/>
      <c r="C51" s="33"/>
      <c r="D51" s="276"/>
      <c r="E51" s="73"/>
      <c r="F51" s="73"/>
      <c r="G51" s="73"/>
      <c r="H51" s="73"/>
      <c r="I51" s="73"/>
      <c r="J51" s="73"/>
      <c r="K51" s="73"/>
      <c r="L51" s="33"/>
      <c r="M51" s="33"/>
      <c r="N51" s="33"/>
      <c r="O51" s="33"/>
      <c r="P51" s="277"/>
      <c r="Q51" s="278"/>
      <c r="R51" s="276"/>
      <c r="S51" s="293"/>
      <c r="T51" s="294"/>
      <c r="U51" s="115"/>
    </row>
    <row r="52" spans="2:21" ht="18" customHeight="1" thickBot="1" x14ac:dyDescent="0.3">
      <c r="B52" s="279" t="s">
        <v>25</v>
      </c>
      <c r="C52" s="33"/>
      <c r="D52" s="276"/>
      <c r="E52" s="73"/>
      <c r="F52" s="73"/>
      <c r="G52" s="73"/>
      <c r="H52" s="73"/>
      <c r="I52" s="73"/>
      <c r="J52" s="73"/>
      <c r="K52" s="73"/>
      <c r="L52" s="33"/>
      <c r="M52" s="33"/>
      <c r="N52" s="33"/>
      <c r="O52" s="33"/>
      <c r="P52" s="277"/>
      <c r="Q52" s="278"/>
      <c r="R52" s="276"/>
      <c r="S52" s="293"/>
      <c r="T52" s="294"/>
      <c r="U52" s="115"/>
    </row>
    <row r="53" spans="2:21" ht="18" customHeight="1" thickBot="1" x14ac:dyDescent="0.25">
      <c r="B53" s="33"/>
      <c r="C53" s="33"/>
      <c r="D53" s="459" t="s">
        <v>670</v>
      </c>
      <c r="E53" s="460"/>
      <c r="F53" s="280" t="s">
        <v>26</v>
      </c>
      <c r="G53" s="281" t="str">
        <f>CONCATENATE(TEXT(Berechnung1!C9,"0,00%")," (",Berechnung1!C6, ")")</f>
        <v>0,00% (0)</v>
      </c>
      <c r="H53" s="463" t="str">
        <f>CONCATENATE(TEXT(Berechnung1!D10,"0,00%")," (",Berechnung1!D7, ")")</f>
        <v>0,00% (0)</v>
      </c>
      <c r="I53" s="464" t="s">
        <v>102</v>
      </c>
      <c r="J53" s="73"/>
      <c r="K53" s="73"/>
      <c r="L53" s="33"/>
      <c r="M53" s="33"/>
      <c r="N53" s="33"/>
      <c r="O53" s="33"/>
      <c r="P53" s="277"/>
      <c r="Q53" s="278"/>
      <c r="R53" s="276"/>
      <c r="S53" s="293"/>
      <c r="T53" s="294"/>
      <c r="U53" s="115"/>
    </row>
    <row r="54" spans="2:21" ht="18" customHeight="1" thickBot="1" x14ac:dyDescent="0.25">
      <c r="B54" s="33"/>
      <c r="C54" s="33"/>
      <c r="D54" s="461"/>
      <c r="E54" s="462"/>
      <c r="F54" s="282" t="s">
        <v>72</v>
      </c>
      <c r="G54" s="283" t="str">
        <f>CONCATENATE(TEXT(Berechnung1!K9,"0,00%")," (",Berechnung1!K6, ")")</f>
        <v>0,00% (0)</v>
      </c>
      <c r="H54" s="463"/>
      <c r="I54" s="465"/>
      <c r="J54" s="73"/>
      <c r="K54" s="73"/>
      <c r="L54" s="33"/>
      <c r="M54" s="33"/>
      <c r="N54" s="33"/>
      <c r="O54" s="33"/>
      <c r="P54" s="277"/>
      <c r="Q54" s="278"/>
      <c r="R54" s="276"/>
      <c r="S54" s="293"/>
      <c r="T54" s="294"/>
      <c r="U54" s="115"/>
    </row>
    <row r="55" spans="2:21" ht="18" customHeight="1" thickBot="1" x14ac:dyDescent="0.25">
      <c r="B55" s="33"/>
      <c r="C55" s="33"/>
      <c r="D55" s="466" t="s">
        <v>694</v>
      </c>
      <c r="E55" s="467"/>
      <c r="F55" s="467"/>
      <c r="G55" s="468"/>
      <c r="H55" s="284" t="str">
        <f>CONCATENATE(TEXT(Berechnung1!E10,"0,00%")," (",Berechnung1!E7, ")")</f>
        <v>0,00% (0)</v>
      </c>
      <c r="I55" s="285" t="str">
        <f>CONCATENATE(TEXT(Berechnung1!E11,"0,00%")," (",Berechnung1!E8, ")")</f>
        <v>0,00% (0)</v>
      </c>
      <c r="J55" s="73"/>
      <c r="K55" s="73"/>
      <c r="L55" s="33"/>
      <c r="M55" s="33"/>
      <c r="N55" s="33"/>
      <c r="O55" s="33"/>
      <c r="P55" s="277"/>
      <c r="Q55" s="278"/>
      <c r="R55" s="276"/>
      <c r="S55" s="293"/>
      <c r="T55" s="294"/>
      <c r="U55" s="115"/>
    </row>
    <row r="56" spans="2:21" ht="18" customHeight="1" thickBot="1" x14ac:dyDescent="0.25">
      <c r="B56" s="33"/>
      <c r="C56" s="33"/>
      <c r="D56" s="469" t="s">
        <v>27</v>
      </c>
      <c r="E56" s="470"/>
      <c r="F56" s="286" t="s">
        <v>76</v>
      </c>
      <c r="G56" s="287" t="str">
        <f>CONCATENATE(TEXT(Berechnung1!G9,"0,00%")," (",Berechnung1!G6,")")</f>
        <v>0,00% (0)</v>
      </c>
      <c r="H56" s="463" t="str">
        <f>CONCATENATE(TEXT(Berechnung1!G10,"0,00%")," (",Berechnung1!G8, ")")</f>
        <v>100,00% (13)</v>
      </c>
      <c r="I56" s="463"/>
      <c r="J56" s="73"/>
      <c r="K56" s="73"/>
      <c r="L56" s="33"/>
      <c r="M56" s="33"/>
      <c r="N56" s="33"/>
      <c r="O56" s="33"/>
      <c r="P56" s="277"/>
      <c r="Q56" s="278"/>
      <c r="R56" s="276"/>
      <c r="S56" s="293"/>
      <c r="T56" s="294"/>
      <c r="U56" s="115"/>
    </row>
    <row r="57" spans="2:21" ht="18" customHeight="1" thickBot="1" x14ac:dyDescent="0.25">
      <c r="B57" s="33"/>
      <c r="C57" s="33"/>
      <c r="D57" s="471"/>
      <c r="E57" s="472"/>
      <c r="F57" s="288" t="s">
        <v>77</v>
      </c>
      <c r="G57" s="289" t="str">
        <f>CONCATENATE(TEXT(Berechnung1!F9,"0,00%")," (",Berechnung1!F6, ")")</f>
        <v>100,00% (13)</v>
      </c>
      <c r="H57" s="463"/>
      <c r="I57" s="463"/>
      <c r="J57" s="73"/>
      <c r="K57" s="73"/>
      <c r="L57" s="33"/>
      <c r="M57" s="33"/>
      <c r="N57" s="33"/>
      <c r="O57" s="33"/>
      <c r="P57" s="277"/>
      <c r="Q57" s="278"/>
      <c r="R57" s="276"/>
      <c r="S57" s="293"/>
      <c r="T57" s="294"/>
      <c r="U57" s="115"/>
    </row>
    <row r="58" spans="2:21" ht="7.5" customHeight="1" x14ac:dyDescent="0.2">
      <c r="U58" s="115"/>
    </row>
    <row r="59" spans="2:21" x14ac:dyDescent="0.2">
      <c r="B59" s="185" t="s">
        <v>252</v>
      </c>
      <c r="C59" s="197"/>
      <c r="D59" s="197"/>
      <c r="E59" s="197"/>
      <c r="F59" s="197"/>
      <c r="G59" s="197"/>
      <c r="H59" s="197"/>
      <c r="I59" s="197"/>
      <c r="J59" s="197"/>
      <c r="K59" s="197"/>
      <c r="L59" s="198"/>
      <c r="M59" s="198"/>
      <c r="N59" s="197"/>
      <c r="O59" s="197"/>
      <c r="P59" s="197"/>
      <c r="Q59" s="197"/>
      <c r="U59" s="115"/>
    </row>
    <row r="60" spans="2:21" ht="21" customHeight="1" x14ac:dyDescent="0.2">
      <c r="B60" s="362" t="s">
        <v>689</v>
      </c>
      <c r="C60" s="362"/>
      <c r="D60" s="362"/>
      <c r="E60" s="362"/>
      <c r="F60" s="362"/>
      <c r="G60" s="362"/>
      <c r="H60" s="362"/>
      <c r="I60" s="362"/>
      <c r="J60" s="362"/>
      <c r="K60" s="362"/>
      <c r="L60" s="362"/>
      <c r="M60" s="362"/>
      <c r="N60" s="362"/>
      <c r="O60" s="362"/>
      <c r="P60" s="362"/>
      <c r="Q60" s="362"/>
      <c r="R60" s="362"/>
    </row>
    <row r="61" spans="2:21" ht="137.25" customHeight="1" x14ac:dyDescent="0.2">
      <c r="B61" s="430" t="s">
        <v>672</v>
      </c>
      <c r="C61" s="430"/>
      <c r="D61" s="430"/>
      <c r="E61" s="430"/>
      <c r="F61" s="430"/>
      <c r="G61" s="430"/>
      <c r="H61" s="430"/>
      <c r="I61" s="430"/>
      <c r="J61" s="430"/>
      <c r="K61" s="430"/>
      <c r="L61" s="430"/>
      <c r="M61" s="430"/>
      <c r="N61" s="430"/>
      <c r="O61" s="430"/>
      <c r="P61" s="430"/>
      <c r="Q61" s="430"/>
      <c r="R61" s="430"/>
    </row>
    <row r="62" spans="2:21" x14ac:dyDescent="0.2">
      <c r="B62" s="185" t="s">
        <v>557</v>
      </c>
    </row>
    <row r="63" spans="2:21" ht="24" customHeight="1" x14ac:dyDescent="0.2">
      <c r="B63" s="555" t="s">
        <v>671</v>
      </c>
      <c r="C63" s="555"/>
      <c r="D63" s="555"/>
      <c r="E63" s="555"/>
      <c r="F63" s="555"/>
      <c r="G63" s="555"/>
      <c r="H63" s="555"/>
      <c r="I63" s="555"/>
      <c r="J63" s="555"/>
      <c r="K63" s="555"/>
      <c r="L63" s="555"/>
      <c r="M63" s="555"/>
      <c r="N63" s="555"/>
      <c r="O63" s="555"/>
      <c r="P63" s="555"/>
      <c r="Q63" s="555"/>
      <c r="R63" s="555"/>
    </row>
  </sheetData>
  <sheetProtection algorithmName="SHA-512" hashValue="wRx4wnr1SPrXQudsy+Qx5LqWbhjGsNJX8zmj12hmYIYWxvv0QYmwJICnkP5xszGNEKNXcgrnkAUKXliZd0tLPw==" saltValue="9ITSddBFL532YqjOR8KLPg==" spinCount="100000" sheet="1" objects="1" scenarios="1" selectLockedCells="1"/>
  <dataConsolidate/>
  <mergeCells count="185">
    <mergeCell ref="B63:R63"/>
    <mergeCell ref="M24:N26"/>
    <mergeCell ref="R24:R26"/>
    <mergeCell ref="S24:S26"/>
    <mergeCell ref="T24:T26"/>
    <mergeCell ref="J15:K17"/>
    <mergeCell ref="L15:L17"/>
    <mergeCell ref="M15:N17"/>
    <mergeCell ref="O15:O17"/>
    <mergeCell ref="P15:P17"/>
    <mergeCell ref="Q15:Q17"/>
    <mergeCell ref="R15:R17"/>
    <mergeCell ref="S15:S17"/>
    <mergeCell ref="T15:T17"/>
    <mergeCell ref="T21:T23"/>
    <mergeCell ref="J18:K20"/>
    <mergeCell ref="T27:T29"/>
    <mergeCell ref="M30:N32"/>
    <mergeCell ref="R27:R29"/>
    <mergeCell ref="R30:R32"/>
    <mergeCell ref="R33:R35"/>
    <mergeCell ref="R36:R38"/>
    <mergeCell ref="M27:N29"/>
    <mergeCell ref="L30:L32"/>
    <mergeCell ref="B10:C11"/>
    <mergeCell ref="B21:C23"/>
    <mergeCell ref="B27:C29"/>
    <mergeCell ref="B30:C32"/>
    <mergeCell ref="B33:C35"/>
    <mergeCell ref="B36:C38"/>
    <mergeCell ref="M21:N23"/>
    <mergeCell ref="L33:L35"/>
    <mergeCell ref="S30:S32"/>
    <mergeCell ref="S21:S23"/>
    <mergeCell ref="L21:L23"/>
    <mergeCell ref="O21:O23"/>
    <mergeCell ref="D33:D35"/>
    <mergeCell ref="D36:D38"/>
    <mergeCell ref="E36:E38"/>
    <mergeCell ref="E33:E35"/>
    <mergeCell ref="F33:G35"/>
    <mergeCell ref="H33:I35"/>
    <mergeCell ref="F36:G38"/>
    <mergeCell ref="H36:I38"/>
    <mergeCell ref="S10:T10"/>
    <mergeCell ref="H24:I26"/>
    <mergeCell ref="J24:K26"/>
    <mergeCell ref="J30:K32"/>
    <mergeCell ref="O33:O35"/>
    <mergeCell ref="O30:O32"/>
    <mergeCell ref="J27:K29"/>
    <mergeCell ref="J33:K35"/>
    <mergeCell ref="M33:N35"/>
    <mergeCell ref="J36:K38"/>
    <mergeCell ref="T30:T32"/>
    <mergeCell ref="S33:S35"/>
    <mergeCell ref="T33:T35"/>
    <mergeCell ref="M36:N38"/>
    <mergeCell ref="S36:S38"/>
    <mergeCell ref="L36:L38"/>
    <mergeCell ref="O36:O38"/>
    <mergeCell ref="L27:L29"/>
    <mergeCell ref="O27:O29"/>
    <mergeCell ref="T36:T38"/>
    <mergeCell ref="S27:S29"/>
    <mergeCell ref="H10:I11"/>
    <mergeCell ref="J10:K11"/>
    <mergeCell ref="M10:N11"/>
    <mergeCell ref="L10:L11"/>
    <mergeCell ref="O10:O11"/>
    <mergeCell ref="P10:Q11"/>
    <mergeCell ref="S12:S14"/>
    <mergeCell ref="T12:T14"/>
    <mergeCell ref="Q18:Q20"/>
    <mergeCell ref="R18:R20"/>
    <mergeCell ref="S18:S20"/>
    <mergeCell ref="T18:T20"/>
    <mergeCell ref="L18:L20"/>
    <mergeCell ref="M18:N20"/>
    <mergeCell ref="O18:O20"/>
    <mergeCell ref="P18:P20"/>
    <mergeCell ref="F6:P6"/>
    <mergeCell ref="R21:R23"/>
    <mergeCell ref="D10:D11"/>
    <mergeCell ref="E10:E11"/>
    <mergeCell ref="D21:D23"/>
    <mergeCell ref="E21:E23"/>
    <mergeCell ref="F21:G23"/>
    <mergeCell ref="H21:I23"/>
    <mergeCell ref="J21:K23"/>
    <mergeCell ref="F8:G8"/>
    <mergeCell ref="M8:P8"/>
    <mergeCell ref="F10:G11"/>
    <mergeCell ref="R10:R11"/>
    <mergeCell ref="F12:G14"/>
    <mergeCell ref="D12:D14"/>
    <mergeCell ref="E12:E14"/>
    <mergeCell ref="H12:I14"/>
    <mergeCell ref="J12:K14"/>
    <mergeCell ref="L12:L14"/>
    <mergeCell ref="M12:N14"/>
    <mergeCell ref="O12:O14"/>
    <mergeCell ref="P12:P14"/>
    <mergeCell ref="Q12:Q14"/>
    <mergeCell ref="R12:R14"/>
    <mergeCell ref="D30:D32"/>
    <mergeCell ref="E30:E32"/>
    <mergeCell ref="F30:G32"/>
    <mergeCell ref="H30:I32"/>
    <mergeCell ref="D27:D29"/>
    <mergeCell ref="E27:E29"/>
    <mergeCell ref="F27:G29"/>
    <mergeCell ref="H27:I29"/>
    <mergeCell ref="B12:B20"/>
    <mergeCell ref="C12:C14"/>
    <mergeCell ref="C18:C20"/>
    <mergeCell ref="D18:D20"/>
    <mergeCell ref="E18:E20"/>
    <mergeCell ref="F18:G20"/>
    <mergeCell ref="H18:I20"/>
    <mergeCell ref="C15:C17"/>
    <mergeCell ref="D15:D17"/>
    <mergeCell ref="E15:E17"/>
    <mergeCell ref="F15:G17"/>
    <mergeCell ref="H15:I17"/>
    <mergeCell ref="B24:C26"/>
    <mergeCell ref="D24:D26"/>
    <mergeCell ref="E24:E26"/>
    <mergeCell ref="F24:G26"/>
    <mergeCell ref="R39:R41"/>
    <mergeCell ref="S39:S41"/>
    <mergeCell ref="T39:T41"/>
    <mergeCell ref="B39:C41"/>
    <mergeCell ref="D39:D41"/>
    <mergeCell ref="E39:E41"/>
    <mergeCell ref="F39:G41"/>
    <mergeCell ref="H39:I41"/>
    <mergeCell ref="J39:K41"/>
    <mergeCell ref="L39:L41"/>
    <mergeCell ref="M39:N41"/>
    <mergeCell ref="O39:O41"/>
    <mergeCell ref="R42:R44"/>
    <mergeCell ref="S42:S44"/>
    <mergeCell ref="T42:T44"/>
    <mergeCell ref="B45:C47"/>
    <mergeCell ref="D45:D47"/>
    <mergeCell ref="E45:E47"/>
    <mergeCell ref="F45:G47"/>
    <mergeCell ref="H45:I47"/>
    <mergeCell ref="J45:K47"/>
    <mergeCell ref="L45:L47"/>
    <mergeCell ref="M45:N47"/>
    <mergeCell ref="O45:O47"/>
    <mergeCell ref="R45:R47"/>
    <mergeCell ref="S45:S47"/>
    <mergeCell ref="T45:T47"/>
    <mergeCell ref="B42:C44"/>
    <mergeCell ref="D42:D44"/>
    <mergeCell ref="E42:E44"/>
    <mergeCell ref="F42:G44"/>
    <mergeCell ref="H42:I44"/>
    <mergeCell ref="J42:K44"/>
    <mergeCell ref="L42:L44"/>
    <mergeCell ref="M42:N44"/>
    <mergeCell ref="O42:O44"/>
    <mergeCell ref="B61:R61"/>
    <mergeCell ref="B60:R60"/>
    <mergeCell ref="R48:R50"/>
    <mergeCell ref="S48:S50"/>
    <mergeCell ref="T48:T50"/>
    <mergeCell ref="B48:C50"/>
    <mergeCell ref="D48:D50"/>
    <mergeCell ref="E48:E50"/>
    <mergeCell ref="F48:G50"/>
    <mergeCell ref="H48:I50"/>
    <mergeCell ref="J48:K50"/>
    <mergeCell ref="L48:L50"/>
    <mergeCell ref="M48:N50"/>
    <mergeCell ref="O48:O50"/>
    <mergeCell ref="D53:E54"/>
    <mergeCell ref="H53:H54"/>
    <mergeCell ref="I53:I54"/>
    <mergeCell ref="D55:G55"/>
    <mergeCell ref="D56:E57"/>
    <mergeCell ref="H56:I57"/>
  </mergeCells>
  <phoneticPr fontId="56" type="noConversion"/>
  <conditionalFormatting sqref="Q21">
    <cfRule type="expression" dxfId="79" priority="322" stopIfTrue="1">
      <formula>LEN(TRIM(Q21))=0</formula>
    </cfRule>
  </conditionalFormatting>
  <conditionalFormatting sqref="Q27">
    <cfRule type="expression" dxfId="78" priority="55" stopIfTrue="1">
      <formula>LEN(TRIM(Q27))=0</formula>
    </cfRule>
  </conditionalFormatting>
  <conditionalFormatting sqref="Q30">
    <cfRule type="expression" dxfId="77" priority="54" stopIfTrue="1">
      <formula>LEN(TRIM(Q30))=0</formula>
    </cfRule>
  </conditionalFormatting>
  <conditionalFormatting sqref="Q33">
    <cfRule type="expression" dxfId="76" priority="53" stopIfTrue="1">
      <formula>LEN(TRIM(Q33))=0</formula>
    </cfRule>
  </conditionalFormatting>
  <conditionalFormatting sqref="Q36">
    <cfRule type="expression" dxfId="75" priority="52" stopIfTrue="1">
      <formula>LEN(TRIM(Q36))=0</formula>
    </cfRule>
  </conditionalFormatting>
  <conditionalFormatting sqref="Q39">
    <cfRule type="expression" dxfId="74" priority="44" stopIfTrue="1">
      <formula>LEN(TRIM(Q39))=0</formula>
    </cfRule>
  </conditionalFormatting>
  <conditionalFormatting sqref="Q42">
    <cfRule type="expression" dxfId="73" priority="30" stopIfTrue="1">
      <formula>LEN(TRIM(Q42))=0</formula>
    </cfRule>
  </conditionalFormatting>
  <conditionalFormatting sqref="Q45">
    <cfRule type="expression" dxfId="72" priority="23" stopIfTrue="1">
      <formula>LEN(TRIM(Q45))=0</formula>
    </cfRule>
  </conditionalFormatting>
  <conditionalFormatting sqref="Q48">
    <cfRule type="expression" dxfId="71" priority="16" stopIfTrue="1">
      <formula>LEN(TRIM(Q48))=0</formula>
    </cfRule>
  </conditionalFormatting>
  <conditionalFormatting sqref="Q24">
    <cfRule type="expression" dxfId="70" priority="8" stopIfTrue="1">
      <formula>LEN(TRIM(Q24))=0</formula>
    </cfRule>
  </conditionalFormatting>
  <conditionalFormatting sqref="S12:S32 S31:S39 S40:S50">
    <cfRule type="notContainsBlanks" dxfId="69" priority="415" stopIfTrue="1">
      <formula>LEN(TRIM(S12))&gt;0</formula>
    </cfRule>
    <cfRule type="expression" dxfId="68" priority="416" stopIfTrue="1">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Q28">
    <cfRule type="expression" dxfId="67" priority="1" stopIfTrue="1">
      <formula>LEN(TRIM(Q28))=0</formula>
    </cfRule>
  </conditionalFormatting>
  <conditionalFormatting sqref="R12:R50">
    <cfRule type="cellIs" dxfId="66" priority="4" operator="equal">
      <formula>"I.O. (Plausibilität unklar)"</formula>
    </cfRule>
    <cfRule type="cellIs" dxfId="65" priority="5" operator="equal">
      <formula>"I.O."</formula>
    </cfRule>
    <cfRule type="cellIs" dxfId="64" priority="18" stopIfTrue="1" operator="equal">
      <formula>"Ausnahme (Plausibilität unklar)"</formula>
    </cfRule>
    <cfRule type="expression" dxfId="63" priority="112" stopIfTrue="1">
      <formula>OR(R12=$F$56,R12=$F$57)</formula>
    </cfRule>
    <cfRule type="cellIs" dxfId="62" priority="114" stopIfTrue="1" operator="equal">
      <formula>"Sollvorgabe nicht erfüllt"</formula>
    </cfRule>
  </conditionalFormatting>
  <dataValidations count="7">
    <dataValidation type="whole" showErrorMessage="1" errorTitle="Eingabefehler" error="1. Tabellenblatt Basisdaten muss vollständig ausgefüllt sein._x000a_2. Zähler muss eine positive ganze Zahl sein._x000a_3. Zähler kann nicht größer als Nenner sein." sqref="Q33 Q30 Q27 Q21 Q39 Q42 Q45 Q48" xr:uid="{00000000-0002-0000-0600-000000000000}">
      <formula1>0</formula1>
      <formula2>IF(Q22="",5000,Q22)</formula2>
    </dataValidation>
    <dataValidation errorStyle="information" allowBlank="1" showInputMessage="1" showErrorMessage="1" errorTitle="Kennzahl" promptTitle="Kennzahl" sqref="D10:D11 B10" xr:uid="{00000000-0002-0000-0600-000001000000}"/>
    <dataValidation type="whole" showErrorMessage="1" errorTitle="Eingabefehler" error="1. Tabellenblatt Basisdaten muss vollständig ausgefüllt sein!_x000a_2. Zähler muss eine positive ganze Zahl sein." sqref="Q36" xr:uid="{00000000-0002-0000-0600-000002000000}">
      <formula1>0</formula1>
      <formula2>IF(Q37="",0,5000)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12:S17" xr:uid="{00000000-0002-0000-0600-000003000000}">
      <formula1>30</formula1>
      <formula2>500</formula2>
    </dataValidation>
    <dataValidation type="textLength" allowBlank="1" showInputMessage="1" showErrorMessage="1" errorTitle="Zeichenlänge" error="Minimal 30 Zeichen und max. 500 Zeichen." sqref="T12:T15 S18:T24 S27:T57" xr:uid="{00000000-0002-0000-0600-000004000000}">
      <formula1>30</formula1>
      <formula2>500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24" xr:uid="{00000000-0002-0000-0600-000005000000}">
      <formula1>0</formula1>
      <formula2>IF(Q25="",5000,Q25)</formula2>
    </dataValidation>
    <dataValidation type="whole" allowBlank="1" showInputMessage="1" showErrorMessage="1" errorTitle="Eingabefehler" error="1. Nenner muss eine positive ganze Zahl sein._x000a_2. Nenner kann nicht kleiner als Zähler sein." sqref="Q28" xr:uid="{00000000-0002-0000-0600-000006000000}">
      <formula1>Q27</formula1>
      <formula2>5000</formula2>
    </dataValidation>
  </dataValidations>
  <pageMargins left="3.937007874015748E-2" right="3.937007874015748E-2" top="0.27559055118110237" bottom="0.27559055118110237" header="0.11811023622047245" footer="0.11811023622047245"/>
  <pageSetup paperSize="9" fitToHeight="0" orientation="landscape" r:id="rId1"/>
  <headerFooter>
    <oddFooter>&amp;L&amp;"Arial,Standard"&amp;7
&amp;F&amp;C&amp;"Arial,Standard"&amp;7
 © DKG  Alle Rechte vorbehalten&amp;R&amp;"Arial,Standard"&amp;7
&amp;P</oddFooter>
  </headerFooter>
  <rowBreaks count="3" manualBreakCount="3">
    <brk id="23" min="1" max="17" man="1"/>
    <brk id="38" min="1" max="17" man="1"/>
    <brk id="47" min="1" max="17" man="1"/>
  </rowBreaks>
  <ignoredErrors>
    <ignoredError sqref="D36 D12 D18 D21 D30 D33" twoDigitTextYear="1"/>
  </ignoredErrors>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K24"/>
  <sheetViews>
    <sheetView showGridLines="0" zoomScaleNormal="100" workbookViewId="0">
      <selection activeCell="B2" sqref="B2"/>
    </sheetView>
  </sheetViews>
  <sheetFormatPr defaultColWidth="9.140625" defaultRowHeight="12.75" x14ac:dyDescent="0.25"/>
  <cols>
    <col min="1" max="1" width="23.7109375" style="22" customWidth="1"/>
    <col min="2" max="4" width="20.7109375" style="22" customWidth="1"/>
    <col min="5" max="5" width="9.7109375" style="22" customWidth="1"/>
    <col min="6" max="6" width="39.140625" style="22" customWidth="1"/>
    <col min="7" max="7" width="46.85546875" style="22" customWidth="1"/>
    <col min="8" max="8" width="12" style="22" customWidth="1"/>
    <col min="9" max="9" width="23" style="22" customWidth="1"/>
    <col min="10" max="10" width="23.140625" style="22" customWidth="1"/>
    <col min="11" max="11" width="25.7109375" style="22" customWidth="1"/>
    <col min="12" max="16384" width="9.140625" style="22"/>
  </cols>
  <sheetData>
    <row r="1" spans="1:11" x14ac:dyDescent="0.25">
      <c r="A1" s="20" t="s">
        <v>70</v>
      </c>
      <c r="B1" s="21">
        <v>183</v>
      </c>
    </row>
    <row r="2" spans="1:11" x14ac:dyDescent="0.25">
      <c r="A2" s="20" t="s">
        <v>66</v>
      </c>
      <c r="B2" s="21" t="str">
        <f>IF(Basisdaten!D6=0,"",Basisdaten!D6)</f>
        <v/>
      </c>
      <c r="I2" s="23"/>
    </row>
    <row r="3" spans="1:11" x14ac:dyDescent="0.25">
      <c r="A3" s="20" t="s">
        <v>71</v>
      </c>
      <c r="B3" s="24" t="str">
        <f>IF(Basisdaten!K12=0,"",Basisdaten!K12)</f>
        <v/>
      </c>
    </row>
    <row r="5" spans="1:11" x14ac:dyDescent="0.25">
      <c r="A5" s="27" t="s">
        <v>52</v>
      </c>
      <c r="B5" s="21"/>
    </row>
    <row r="6" spans="1:11" x14ac:dyDescent="0.25">
      <c r="A6" s="27" t="s">
        <v>53</v>
      </c>
      <c r="B6" s="21"/>
    </row>
    <row r="7" spans="1:11" x14ac:dyDescent="0.25">
      <c r="A7" s="27" t="s">
        <v>54</v>
      </c>
      <c r="B7" s="21"/>
    </row>
    <row r="8" spans="1:11" x14ac:dyDescent="0.25">
      <c r="A8" s="27" t="s">
        <v>55</v>
      </c>
      <c r="B8" s="21"/>
    </row>
    <row r="9" spans="1:11" ht="15" x14ac:dyDescent="0.25">
      <c r="A9" s="27" t="s">
        <v>56</v>
      </c>
      <c r="B9" s="21"/>
      <c r="F9"/>
    </row>
    <row r="11" spans="1:11" x14ac:dyDescent="0.25">
      <c r="A11" s="28" t="s">
        <v>36</v>
      </c>
      <c r="B11" s="28" t="s">
        <v>37</v>
      </c>
      <c r="C11" s="28" t="s">
        <v>24</v>
      </c>
      <c r="D11" s="28" t="s">
        <v>38</v>
      </c>
      <c r="E11" s="28" t="s">
        <v>39</v>
      </c>
      <c r="F11" s="28" t="s">
        <v>40</v>
      </c>
      <c r="G11" s="28" t="s">
        <v>41</v>
      </c>
      <c r="H11" s="28" t="s">
        <v>42</v>
      </c>
      <c r="I11" s="31" t="s">
        <v>57</v>
      </c>
      <c r="J11" s="31" t="s">
        <v>58</v>
      </c>
      <c r="K11" s="31" t="s">
        <v>59</v>
      </c>
    </row>
    <row r="12" spans="1:11" x14ac:dyDescent="0.25">
      <c r="A12" s="95" t="s">
        <v>96</v>
      </c>
      <c r="B12" s="26" t="str">
        <f>IF('Kennzahlenbogen_(KB)'!Q12= 0,"n.d.",'Kennzahlenbogen_(KB)'!Q12)</f>
        <v>n.d.</v>
      </c>
      <c r="C12" s="96"/>
      <c r="D12" s="97"/>
      <c r="E12" s="26">
        <f>Berechnung1!N27</f>
        <v>1</v>
      </c>
      <c r="F12" s="21" t="str">
        <f>IF('Kennzahlenbogen_(KB)'!S12=0,"",'Kennzahlenbogen_(KB)'!S12)</f>
        <v/>
      </c>
      <c r="G12" s="21" t="str">
        <f>IF('Kennzahlenbogen_(KB)'!T12=0,"",'Kennzahlenbogen_(KB)'!T12)</f>
        <v/>
      </c>
      <c r="H12" s="26">
        <f>Berechnung1!O27</f>
        <v>0</v>
      </c>
      <c r="I12" s="21"/>
      <c r="J12" s="21"/>
      <c r="K12" s="21"/>
    </row>
    <row r="13" spans="1:11" x14ac:dyDescent="0.25">
      <c r="A13" s="95" t="s">
        <v>97</v>
      </c>
      <c r="B13" s="270" t="str">
        <f>IF('Kennzahlenbogen_(KB)'!Q15= 0,"n.d.",'Kennzahlenbogen_(KB)'!Q15)</f>
        <v>n.d.</v>
      </c>
      <c r="C13" s="96"/>
      <c r="D13" s="97"/>
      <c r="E13" s="26">
        <f>Berechnung1!N30</f>
        <v>1</v>
      </c>
      <c r="F13" s="21" t="str">
        <f>IF('Kennzahlenbogen_(KB)'!S15=0,"",'Kennzahlenbogen_(KB)'!S15)</f>
        <v/>
      </c>
      <c r="G13" s="21" t="str">
        <f>IF('Kennzahlenbogen_(KB)'!T15=0,"",'Kennzahlenbogen_(KB)'!T15)</f>
        <v/>
      </c>
      <c r="H13" s="26">
        <f>Berechnung1!O30</f>
        <v>0</v>
      </c>
      <c r="I13" s="21"/>
      <c r="J13" s="21"/>
      <c r="K13" s="21"/>
    </row>
    <row r="14" spans="1:11" x14ac:dyDescent="0.25">
      <c r="A14" s="95" t="s">
        <v>586</v>
      </c>
      <c r="B14" s="26" t="str">
        <f>IF('Kennzahlenbogen_(KB)'!Q18= 0, "n.d.", 'Kennzahlenbogen_(KB)'!Q18)</f>
        <v>n.d.</v>
      </c>
      <c r="C14" s="96"/>
      <c r="D14" s="97"/>
      <c r="E14" s="26">
        <f>Berechnung1!N33</f>
        <v>1</v>
      </c>
      <c r="F14" s="21" t="str">
        <f>IF('Kennzahlenbogen_(KB)'!S18=0,"",'Kennzahlenbogen_(KB)'!S18)</f>
        <v/>
      </c>
      <c r="G14" s="21" t="str">
        <f>IF('Kennzahlenbogen_(KB)'!T18=0,"",'Kennzahlenbogen_(KB)'!T18)</f>
        <v/>
      </c>
      <c r="H14" s="26">
        <f>Berechnung1!O33</f>
        <v>0</v>
      </c>
      <c r="I14" s="21"/>
      <c r="J14" s="21"/>
      <c r="K14" s="21"/>
    </row>
    <row r="15" spans="1:11" x14ac:dyDescent="0.25">
      <c r="A15" s="95" t="s">
        <v>690</v>
      </c>
      <c r="B15" s="26" t="str">
        <f>IF('Kennzahlenbogen_(KB)'!Q21= "", "",'Kennzahlenbogen_(KB)'!Q21)</f>
        <v/>
      </c>
      <c r="C15" s="26">
        <f>IF('Kennzahlenbogen_(KB)'!Q22="","",'Kennzahlenbogen_(KB)'!Q22)</f>
        <v>0</v>
      </c>
      <c r="D15" s="62" t="str">
        <f>IF('Kennzahlenbogen_(KB)'!Q23="n.d.","n.d.",'Kennzahlenbogen_(KB)'!Q23*100)</f>
        <v>n.d.</v>
      </c>
      <c r="E15" s="26">
        <f>Berechnung1!N36</f>
        <v>1</v>
      </c>
      <c r="F15" s="21" t="str">
        <f>IF('Kennzahlenbogen_(KB)'!S21=0,"",'Kennzahlenbogen_(KB)'!S21)</f>
        <v/>
      </c>
      <c r="G15" s="21" t="str">
        <f>IF('Kennzahlenbogen_(KB)'!T21=0,"",'Kennzahlenbogen_(KB)'!T21)</f>
        <v/>
      </c>
      <c r="H15" s="26">
        <f>Berechnung1!O36</f>
        <v>0</v>
      </c>
      <c r="I15" s="21"/>
      <c r="J15" s="21"/>
      <c r="K15" s="21"/>
    </row>
    <row r="16" spans="1:11" x14ac:dyDescent="0.25">
      <c r="A16" s="95" t="s">
        <v>691</v>
      </c>
      <c r="B16" s="26" t="str">
        <f>IF('Kennzahlenbogen_(KB)'!Q24= "", "",'Kennzahlenbogen_(KB)'!Q24)</f>
        <v/>
      </c>
      <c r="C16" s="26">
        <f>IF('Kennzahlenbogen_(KB)'!Q25="","",'Kennzahlenbogen_(KB)'!Q25)</f>
        <v>0</v>
      </c>
      <c r="D16" s="260" t="str">
        <f>IF('Kennzahlenbogen_(KB)'!Q26="n.d.","n.d.",IF('Kennzahlenbogen_(KB)'!Q26="","n.d.",'Kennzahlenbogen_(KB)'!Q26*100))</f>
        <v>n.d.</v>
      </c>
      <c r="E16" s="26">
        <f>Berechnung1!N39</f>
        <v>1</v>
      </c>
      <c r="F16" s="21" t="str">
        <f>IF('Kennzahlenbogen_(KB)'!S24=0,"",'Kennzahlenbogen_(KB)'!S24)</f>
        <v/>
      </c>
      <c r="G16" s="21" t="str">
        <f>IF('Kennzahlenbogen_(KB)'!T24=0,"",'Kennzahlenbogen_(KB)'!T24)</f>
        <v/>
      </c>
      <c r="H16" s="26">
        <f>Berechnung1!O39</f>
        <v>0</v>
      </c>
      <c r="I16" s="21"/>
      <c r="J16" s="21"/>
      <c r="K16" s="21"/>
    </row>
    <row r="17" spans="1:11" x14ac:dyDescent="0.25">
      <c r="A17" s="95">
        <v>3</v>
      </c>
      <c r="B17" s="26" t="str">
        <f>IF('Kennzahlenbogen_(KB)'!Q27= "", "",'Kennzahlenbogen_(KB)'!Q27)</f>
        <v/>
      </c>
      <c r="C17" s="26" t="str">
        <f>IF('Kennzahlenbogen_(KB)'!Q28="","",'Kennzahlenbogen_(KB)'!Q28)</f>
        <v/>
      </c>
      <c r="D17" s="62" t="str">
        <f>IF('Kennzahlenbogen_(KB)'!Q29="n.d.","n.d.",'Kennzahlenbogen_(KB)'!Q29*100)</f>
        <v>n.d.</v>
      </c>
      <c r="E17" s="26">
        <f>Berechnung1!N42</f>
        <v>1</v>
      </c>
      <c r="F17" s="21" t="str">
        <f>IF('Kennzahlenbogen_(KB)'!S27=0,"",'Kennzahlenbogen_(KB)'!S27)</f>
        <v/>
      </c>
      <c r="G17" s="21" t="str">
        <f>IF('Kennzahlenbogen_(KB)'!T27=0,"",'Kennzahlenbogen_(KB)'!T27)</f>
        <v/>
      </c>
      <c r="H17" s="26">
        <f>Berechnung1!O42</f>
        <v>0</v>
      </c>
      <c r="I17" s="21"/>
      <c r="J17" s="21"/>
      <c r="K17" s="21"/>
    </row>
    <row r="18" spans="1:11" x14ac:dyDescent="0.25">
      <c r="A18" s="29">
        <v>4</v>
      </c>
      <c r="B18" s="26" t="str">
        <f>IF('Kennzahlenbogen_(KB)'!Q30= "", "",'Kennzahlenbogen_(KB)'!Q30)</f>
        <v/>
      </c>
      <c r="C18" s="26">
        <f>IF('Kennzahlenbogen_(KB)'!Q31="","",'Kennzahlenbogen_(KB)'!Q31)</f>
        <v>0</v>
      </c>
      <c r="D18" s="62" t="str">
        <f>IF('Kennzahlenbogen_(KB)'!Q32="n.d.","n.d.",'Kennzahlenbogen_(KB)'!Q32*100)</f>
        <v>n.d.</v>
      </c>
      <c r="E18" s="26">
        <f>Berechnung1!N45</f>
        <v>1</v>
      </c>
      <c r="F18" s="21" t="str">
        <f>IF('Kennzahlenbogen_(KB)'!S30=0,"",'Kennzahlenbogen_(KB)'!S30)</f>
        <v/>
      </c>
      <c r="G18" s="21" t="str">
        <f>IF('Kennzahlenbogen_(KB)'!T30=0,"",'Kennzahlenbogen_(KB)'!T30)</f>
        <v/>
      </c>
      <c r="H18" s="26">
        <f>Berechnung1!O45</f>
        <v>0</v>
      </c>
      <c r="I18" s="21"/>
      <c r="J18" s="21"/>
      <c r="K18" s="21"/>
    </row>
    <row r="19" spans="1:11" x14ac:dyDescent="0.25">
      <c r="A19" s="95">
        <v>5</v>
      </c>
      <c r="B19" s="26" t="str">
        <f>IF('Kennzahlenbogen_(KB)'!Q33= "", "",'Kennzahlenbogen_(KB)'!Q33)</f>
        <v/>
      </c>
      <c r="C19" s="26">
        <f>IF('Kennzahlenbogen_(KB)'!Q34="","",'Kennzahlenbogen_(KB)'!Q34)</f>
        <v>0</v>
      </c>
      <c r="D19" s="62" t="str">
        <f>IF('Kennzahlenbogen_(KB)'!Q35="n.d.","n.d.",'Kennzahlenbogen_(KB)'!Q35*100)</f>
        <v>n.d.</v>
      </c>
      <c r="E19" s="26">
        <f>Berechnung1!N48</f>
        <v>1</v>
      </c>
      <c r="F19" s="21" t="str">
        <f>IF('Kennzahlenbogen_(KB)'!S33=0,"",'Kennzahlenbogen_(KB)'!S33)</f>
        <v/>
      </c>
      <c r="G19" s="21" t="str">
        <f>IF('Kennzahlenbogen_(KB)'!T33=0,"",'Kennzahlenbogen_(KB)'!T33)</f>
        <v/>
      </c>
      <c r="H19" s="26">
        <f>Berechnung1!O48</f>
        <v>0</v>
      </c>
      <c r="I19" s="21"/>
      <c r="J19" s="21"/>
      <c r="K19" s="21"/>
    </row>
    <row r="20" spans="1:11" x14ac:dyDescent="0.25">
      <c r="A20" s="95">
        <v>6</v>
      </c>
      <c r="B20" s="26" t="str">
        <f>IF('Kennzahlenbogen_(KB)'!Q36= "", "",'Kennzahlenbogen_(KB)'!Q36)</f>
        <v/>
      </c>
      <c r="C20" s="26">
        <f>IF('Kennzahlenbogen_(KB)'!Q37="","",'Kennzahlenbogen_(KB)'!Q37)</f>
        <v>0</v>
      </c>
      <c r="D20" s="62" t="str">
        <f>IF('Kennzahlenbogen_(KB)'!Q38="n.d.","n.d.",'Kennzahlenbogen_(KB)'!Q38*100)</f>
        <v>n.d.</v>
      </c>
      <c r="E20" s="26">
        <f>Berechnung1!N51</f>
        <v>1</v>
      </c>
      <c r="F20" s="21" t="str">
        <f>IF('Kennzahlenbogen_(KB)'!S36=0,"",'Kennzahlenbogen_(KB)'!S36)</f>
        <v/>
      </c>
      <c r="G20" s="21" t="str">
        <f>IF('Kennzahlenbogen_(KB)'!T36=0,"",'Kennzahlenbogen_(KB)'!T36)</f>
        <v/>
      </c>
      <c r="H20" s="26">
        <f>Berechnung1!O51</f>
        <v>0</v>
      </c>
      <c r="I20" s="21"/>
      <c r="J20" s="21"/>
      <c r="K20" s="21"/>
    </row>
    <row r="21" spans="1:11" x14ac:dyDescent="0.25">
      <c r="A21" s="95">
        <v>7</v>
      </c>
      <c r="B21" s="26" t="str">
        <f>IF('Kennzahlenbogen_(KB)'!Q39= "", "",'Kennzahlenbogen_(KB)'!Q39)</f>
        <v/>
      </c>
      <c r="C21" s="26">
        <f>IF('Kennzahlenbogen_(KB)'!Q40="","",'Kennzahlenbogen_(KB)'!Q40)</f>
        <v>0</v>
      </c>
      <c r="D21" s="62" t="str">
        <f>IF('Kennzahlenbogen_(KB)'!Q41="n.d.","n.d.",'Kennzahlenbogen_(KB)'!Q41*100)</f>
        <v>n.d.</v>
      </c>
      <c r="E21" s="26">
        <f>Berechnung1!N54</f>
        <v>1</v>
      </c>
      <c r="F21" s="21" t="str">
        <f>IF('Kennzahlenbogen_(KB)'!S39=0,"",'Kennzahlenbogen_(KB)'!S39)</f>
        <v/>
      </c>
      <c r="G21" s="21" t="str">
        <f>IF('Kennzahlenbogen_(KB)'!T39=0,"",'Kennzahlenbogen_(KB)'!T39)</f>
        <v/>
      </c>
      <c r="H21" s="26">
        <f>Berechnung1!O54</f>
        <v>0</v>
      </c>
      <c r="I21" s="21"/>
      <c r="J21" s="21"/>
      <c r="K21" s="21"/>
    </row>
    <row r="22" spans="1:11" x14ac:dyDescent="0.25">
      <c r="A22" s="95">
        <v>8</v>
      </c>
      <c r="B22" s="26" t="str">
        <f>IF('Kennzahlenbogen_(KB)'!Q42= "", "",'Kennzahlenbogen_(KB)'!Q42)</f>
        <v/>
      </c>
      <c r="C22" s="26">
        <f>IF('Kennzahlenbogen_(KB)'!Q43="","",'Kennzahlenbogen_(KB)'!Q43)</f>
        <v>0</v>
      </c>
      <c r="D22" s="62" t="str">
        <f>IF('Kennzahlenbogen_(KB)'!Q44="n.d.","n.d.",'Kennzahlenbogen_(KB)'!Q44*100)</f>
        <v>n.d.</v>
      </c>
      <c r="E22" s="26">
        <f>Berechnung1!N57</f>
        <v>1</v>
      </c>
      <c r="F22" s="21" t="str">
        <f>IF('Kennzahlenbogen_(KB)'!S42=0,"",'Kennzahlenbogen_(KB)'!S42)</f>
        <v/>
      </c>
      <c r="G22" s="21" t="str">
        <f>IF('Kennzahlenbogen_(KB)'!T42=0,"",'Kennzahlenbogen_(KB)'!T42)</f>
        <v/>
      </c>
      <c r="H22" s="26">
        <f>Berechnung1!O57</f>
        <v>0</v>
      </c>
      <c r="I22" s="21"/>
      <c r="J22" s="21"/>
      <c r="K22" s="21"/>
    </row>
    <row r="23" spans="1:11" x14ac:dyDescent="0.25">
      <c r="A23" s="95">
        <v>9</v>
      </c>
      <c r="B23" s="26" t="str">
        <f>IF('Kennzahlenbogen_(KB)'!Q45= "", "",'Kennzahlenbogen_(KB)'!Q45)</f>
        <v/>
      </c>
      <c r="C23" s="26">
        <f>IF('Kennzahlenbogen_(KB)'!Q46="","",'Kennzahlenbogen_(KB)'!Q46)</f>
        <v>0</v>
      </c>
      <c r="D23" s="62" t="str">
        <f>IF('Kennzahlenbogen_(KB)'!Q47="n.d.","n.d.",'Kennzahlenbogen_(KB)'!Q47*100)</f>
        <v>n.d.</v>
      </c>
      <c r="E23" s="26">
        <f>Berechnung1!N60</f>
        <v>1</v>
      </c>
      <c r="F23" s="21" t="str">
        <f>IF('Kennzahlenbogen_(KB)'!S45=0,"",'Kennzahlenbogen_(KB)'!S45)</f>
        <v/>
      </c>
      <c r="G23" s="21" t="str">
        <f>IF('Kennzahlenbogen_(KB)'!T45=0,"",'Kennzahlenbogen_(KB)'!T45)</f>
        <v/>
      </c>
      <c r="H23" s="26">
        <f>Berechnung1!O60</f>
        <v>0</v>
      </c>
      <c r="I23" s="21"/>
      <c r="J23" s="21"/>
      <c r="K23" s="21"/>
    </row>
    <row r="24" spans="1:11" x14ac:dyDescent="0.25">
      <c r="A24" s="95">
        <v>10</v>
      </c>
      <c r="B24" s="26" t="str">
        <f>IF('Kennzahlenbogen_(KB)'!Q48= "", "",'Kennzahlenbogen_(KB)'!Q48)</f>
        <v/>
      </c>
      <c r="C24" s="26">
        <f>IF('Kennzahlenbogen_(KB)'!Q49="","",'Kennzahlenbogen_(KB)'!Q49)</f>
        <v>0</v>
      </c>
      <c r="D24" s="260" t="str">
        <f>IF('Kennzahlenbogen_(KB)'!Q50="n.d.","n.d.",IF('Kennzahlenbogen_(KB)'!Q50="","n.d.",'Kennzahlenbogen_(KB)'!Q50*100))</f>
        <v>n.d.</v>
      </c>
      <c r="E24" s="26">
        <f>Berechnung1!N63</f>
        <v>1</v>
      </c>
      <c r="F24" s="21" t="str">
        <f>IF('Kennzahlenbogen_(KB)'!S48=0,"",'Kennzahlenbogen_(KB)'!S48)</f>
        <v/>
      </c>
      <c r="G24" s="21" t="str">
        <f>IF('Kennzahlenbogen_(KB)'!T48=0,"",'Kennzahlenbogen_(KB)'!T48)</f>
        <v/>
      </c>
      <c r="H24" s="26">
        <f>Berechnung1!O63</f>
        <v>0</v>
      </c>
      <c r="I24" s="21"/>
      <c r="J24" s="21"/>
      <c r="K24" s="21"/>
    </row>
  </sheetData>
  <phoneticPr fontId="56"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3:O102"/>
  <sheetViews>
    <sheetView showGridLines="0" zoomScaleNormal="100" workbookViewId="0">
      <selection activeCell="H5" sqref="H5"/>
    </sheetView>
  </sheetViews>
  <sheetFormatPr defaultColWidth="9.140625" defaultRowHeight="14.25" x14ac:dyDescent="0.25"/>
  <cols>
    <col min="1" max="1" width="9.140625" style="84" customWidth="1"/>
    <col min="2" max="2" width="14.85546875" style="84" customWidth="1"/>
    <col min="3" max="3" width="9.140625" style="84" customWidth="1"/>
    <col min="4" max="4" width="13.7109375" style="84" customWidth="1"/>
    <col min="5" max="5" width="18.42578125" style="84" customWidth="1"/>
    <col min="6" max="6" width="15.42578125" style="84" customWidth="1"/>
    <col min="7" max="7" width="21.140625" style="84" customWidth="1"/>
    <col min="8" max="9" width="20.28515625" style="84" customWidth="1"/>
    <col min="10" max="10" width="14.5703125" style="84" customWidth="1"/>
    <col min="11" max="11" width="15.42578125" style="84" customWidth="1"/>
    <col min="12" max="12" width="16.28515625" style="84" customWidth="1"/>
    <col min="13" max="18" width="9.140625" style="84" customWidth="1"/>
    <col min="19" max="19" width="20.7109375" style="84" customWidth="1"/>
    <col min="20" max="20" width="24.140625" style="84" customWidth="1"/>
    <col min="21" max="21" width="20.7109375" style="84" customWidth="1"/>
    <col min="22" max="16384" width="9.140625" style="84"/>
  </cols>
  <sheetData>
    <row r="3" spans="2:15" s="70" customFormat="1" ht="15" x14ac:dyDescent="0.25">
      <c r="C3" s="69" t="s">
        <v>2</v>
      </c>
      <c r="M3" s="71"/>
      <c r="N3" s="71"/>
      <c r="O3" s="71"/>
    </row>
    <row r="4" spans="2:15" s="70" customFormat="1" ht="27" customHeight="1" x14ac:dyDescent="0.25">
      <c r="C4" s="82"/>
      <c r="D4" s="47" t="s">
        <v>72</v>
      </c>
      <c r="E4" s="82"/>
      <c r="F4" s="82"/>
      <c r="G4" s="82"/>
      <c r="H4" s="82"/>
      <c r="I4" s="82"/>
      <c r="K4" s="82"/>
      <c r="M4" s="71"/>
      <c r="N4" s="71"/>
      <c r="O4" s="71"/>
    </row>
    <row r="5" spans="2:15" s="70" customFormat="1" ht="22.5" x14ac:dyDescent="0.25">
      <c r="C5" s="47" t="s">
        <v>75</v>
      </c>
      <c r="D5" s="47" t="s">
        <v>3</v>
      </c>
      <c r="E5" s="47" t="s">
        <v>64</v>
      </c>
      <c r="F5" s="47" t="s">
        <v>77</v>
      </c>
      <c r="G5" s="47" t="s">
        <v>76</v>
      </c>
      <c r="H5" s="47" t="s">
        <v>559</v>
      </c>
      <c r="I5" s="47" t="s">
        <v>4</v>
      </c>
      <c r="K5" s="47" t="s">
        <v>607</v>
      </c>
      <c r="M5" s="71"/>
      <c r="N5" s="71"/>
      <c r="O5" s="71"/>
    </row>
    <row r="6" spans="2:15" s="70" customFormat="1" x14ac:dyDescent="0.25">
      <c r="C6" s="47">
        <f>COUNTIF('Kennzahlenbogen_(KB)'!$R$12:$R$48,C5)</f>
        <v>0</v>
      </c>
      <c r="D6" s="47">
        <f>COUNTIF('Kennzahlenbogen_(KB)'!$R$12:$R$48,D5)</f>
        <v>0</v>
      </c>
      <c r="E6" s="47">
        <f>COUNTIF('Kennzahlenbogen_(KB)'!$R$12:$R$48,E5)</f>
        <v>0</v>
      </c>
      <c r="F6" s="47">
        <f>COUNTIF('Kennzahlenbogen_(KB)'!$R$12:$R$48,F5)</f>
        <v>13</v>
      </c>
      <c r="G6" s="47">
        <f>COUNTIF('Kennzahlenbogen_(KB)'!$R$12:$R$48,G5)</f>
        <v>0</v>
      </c>
      <c r="H6" s="47">
        <f>COUNTIF('Kennzahlenbogen_(KB)'!$R$12:$R$48,H5)</f>
        <v>0</v>
      </c>
      <c r="I6" s="47">
        <f t="shared" ref="I6:I11" si="0">SUM(C6:H6)</f>
        <v>13</v>
      </c>
      <c r="K6" s="47">
        <f>D6+H6</f>
        <v>0</v>
      </c>
      <c r="M6" s="71"/>
      <c r="N6" s="71"/>
      <c r="O6" s="71"/>
    </row>
    <row r="7" spans="2:15" s="70" customFormat="1" x14ac:dyDescent="0.25">
      <c r="C7" s="47"/>
      <c r="D7" s="47">
        <f>C6+D6+H6</f>
        <v>0</v>
      </c>
      <c r="E7" s="47">
        <f>E6</f>
        <v>0</v>
      </c>
      <c r="F7" s="47"/>
      <c r="G7" s="47">
        <f>F6+G6</f>
        <v>13</v>
      </c>
      <c r="H7" s="47">
        <f>H6+D6+C6</f>
        <v>0</v>
      </c>
      <c r="I7" s="47">
        <f t="shared" si="0"/>
        <v>13</v>
      </c>
      <c r="K7" s="82"/>
      <c r="M7" s="71"/>
      <c r="N7" s="71"/>
      <c r="O7" s="71"/>
    </row>
    <row r="8" spans="2:15" s="70" customFormat="1" x14ac:dyDescent="0.25">
      <c r="B8" s="70" t="s">
        <v>87</v>
      </c>
      <c r="C8" s="47"/>
      <c r="D8" s="47"/>
      <c r="E8" s="47">
        <f>D7+E7</f>
        <v>0</v>
      </c>
      <c r="F8" s="47"/>
      <c r="G8" s="47">
        <f>G7</f>
        <v>13</v>
      </c>
      <c r="H8" s="47"/>
      <c r="I8" s="47">
        <f t="shared" si="0"/>
        <v>13</v>
      </c>
      <c r="K8" s="82"/>
      <c r="M8" s="71"/>
      <c r="N8" s="71"/>
      <c r="O8" s="71"/>
    </row>
    <row r="9" spans="2:15" s="70" customFormat="1" x14ac:dyDescent="0.25">
      <c r="B9" s="208">
        <v>13</v>
      </c>
      <c r="C9" s="106">
        <f t="shared" ref="C9:H9" si="1">ROUND(C6/$B$9,4)</f>
        <v>0</v>
      </c>
      <c r="D9" s="106">
        <f t="shared" si="1"/>
        <v>0</v>
      </c>
      <c r="E9" s="106">
        <f t="shared" si="1"/>
        <v>0</v>
      </c>
      <c r="F9" s="106">
        <f t="shared" si="1"/>
        <v>1</v>
      </c>
      <c r="G9" s="106">
        <f t="shared" si="1"/>
        <v>0</v>
      </c>
      <c r="H9" s="106">
        <f t="shared" si="1"/>
        <v>0</v>
      </c>
      <c r="I9" s="106">
        <f t="shared" si="0"/>
        <v>1</v>
      </c>
      <c r="K9" s="106">
        <f>D9+H9</f>
        <v>0</v>
      </c>
      <c r="M9" s="71"/>
      <c r="N9" s="71"/>
      <c r="O9" s="71"/>
    </row>
    <row r="10" spans="2:15" s="70" customFormat="1" x14ac:dyDescent="0.25">
      <c r="C10" s="107"/>
      <c r="D10" s="106">
        <f>ROUND((C6+D6+H6)/$B$9,4)</f>
        <v>0</v>
      </c>
      <c r="E10" s="106">
        <f>ROUND(E6/$B$9,4)</f>
        <v>0</v>
      </c>
      <c r="F10" s="106"/>
      <c r="G10" s="106">
        <f>ROUND((F6+G6)/$B$9,4)</f>
        <v>1</v>
      </c>
      <c r="H10" s="106">
        <f>ROUND((H6+D6+C6)/$B$9,4)</f>
        <v>0</v>
      </c>
      <c r="I10" s="106">
        <f>SUM(C10:G10)</f>
        <v>1</v>
      </c>
      <c r="K10" s="82"/>
      <c r="M10" s="71"/>
      <c r="N10" s="71"/>
      <c r="O10" s="71"/>
    </row>
    <row r="11" spans="2:15" s="70" customFormat="1" x14ac:dyDescent="0.25">
      <c r="C11" s="82"/>
      <c r="D11" s="108"/>
      <c r="E11" s="106">
        <f>ROUND((C6+D6+E6+H6)/$B$9,4)</f>
        <v>0</v>
      </c>
      <c r="F11" s="108"/>
      <c r="G11" s="106">
        <f>G10</f>
        <v>1</v>
      </c>
      <c r="H11" s="106"/>
      <c r="I11" s="106">
        <f t="shared" si="0"/>
        <v>1</v>
      </c>
      <c r="K11" s="82"/>
      <c r="M11" s="71"/>
      <c r="N11" s="71"/>
      <c r="O11" s="71"/>
    </row>
    <row r="12" spans="2:15" s="70" customFormat="1" x14ac:dyDescent="0.25">
      <c r="E12" s="72"/>
      <c r="G12" s="72"/>
      <c r="H12" s="72"/>
      <c r="I12" s="72"/>
      <c r="M12" s="71"/>
      <c r="N12" s="71"/>
      <c r="O12" s="71"/>
    </row>
    <row r="13" spans="2:15" s="70" customFormat="1" x14ac:dyDescent="0.25">
      <c r="M13" s="71"/>
      <c r="N13" s="71"/>
      <c r="O13" s="71"/>
    </row>
    <row r="14" spans="2:15" s="70" customFormat="1" x14ac:dyDescent="0.25">
      <c r="M14" s="71"/>
      <c r="N14" s="71"/>
      <c r="O14" s="71"/>
    </row>
    <row r="15" spans="2:15" s="70" customFormat="1" x14ac:dyDescent="0.25">
      <c r="M15" s="71"/>
      <c r="N15" s="71"/>
      <c r="O15" s="71"/>
    </row>
    <row r="16" spans="2:15" s="70" customFormat="1" ht="15" x14ac:dyDescent="0.25">
      <c r="C16" s="87" t="s">
        <v>5</v>
      </c>
      <c r="D16" s="88"/>
      <c r="E16" s="88"/>
      <c r="F16" s="88"/>
      <c r="G16" s="88"/>
      <c r="H16" s="88"/>
      <c r="M16" s="71"/>
      <c r="N16" s="71"/>
      <c r="O16" s="71"/>
    </row>
    <row r="17" spans="1:15" s="70" customFormat="1" ht="33.75" x14ac:dyDescent="0.25">
      <c r="C17" s="89" t="s">
        <v>6</v>
      </c>
      <c r="D17" s="89" t="s">
        <v>7</v>
      </c>
      <c r="E17" s="89" t="s">
        <v>8</v>
      </c>
      <c r="F17" s="89" t="s">
        <v>9</v>
      </c>
      <c r="G17" s="89" t="s">
        <v>10</v>
      </c>
      <c r="H17" s="89" t="s">
        <v>697</v>
      </c>
      <c r="M17" s="71"/>
      <c r="N17" s="71"/>
      <c r="O17" s="71"/>
    </row>
    <row r="18" spans="1:15" s="70" customFormat="1" ht="15" x14ac:dyDescent="0.25">
      <c r="C18" s="73"/>
      <c r="D18" s="73"/>
      <c r="E18" s="73"/>
      <c r="F18" s="73"/>
      <c r="G18" s="73"/>
      <c r="M18"/>
      <c r="N18"/>
      <c r="O18"/>
    </row>
    <row r="19" spans="1:15" s="70" customFormat="1" x14ac:dyDescent="0.25">
      <c r="C19" s="73"/>
      <c r="D19" s="73"/>
      <c r="E19" s="73"/>
      <c r="F19" s="73"/>
      <c r="G19" s="73"/>
      <c r="M19" s="71"/>
      <c r="N19" s="71"/>
      <c r="O19" s="71"/>
    </row>
    <row r="20" spans="1:15" s="70" customFormat="1" x14ac:dyDescent="0.25">
      <c r="C20" s="73"/>
      <c r="D20" s="73"/>
      <c r="E20" s="73"/>
      <c r="F20" s="73"/>
      <c r="G20" s="73"/>
      <c r="M20" s="71"/>
      <c r="N20" s="71"/>
      <c r="O20" s="71"/>
    </row>
    <row r="21" spans="1:15" s="70" customFormat="1" x14ac:dyDescent="0.25">
      <c r="B21" s="73"/>
      <c r="C21" s="73"/>
      <c r="D21" s="73"/>
      <c r="E21" s="73"/>
      <c r="F21" s="73"/>
      <c r="M21" s="71"/>
      <c r="N21" s="71"/>
      <c r="O21" s="71"/>
    </row>
    <row r="22" spans="1:15" s="70" customFormat="1" ht="15.75" x14ac:dyDescent="0.25">
      <c r="B22" s="73"/>
      <c r="C22" s="74" t="s">
        <v>11</v>
      </c>
      <c r="D22" s="73"/>
      <c r="E22" s="73"/>
      <c r="F22" s="73"/>
      <c r="M22" s="71"/>
      <c r="N22" s="71"/>
      <c r="O22" s="71"/>
    </row>
    <row r="23" spans="1:15" s="70" customFormat="1" x14ac:dyDescent="0.25">
      <c r="M23" s="71"/>
      <c r="N23" s="71"/>
      <c r="O23" s="71"/>
    </row>
    <row r="24" spans="1:15" s="70" customFormat="1" x14ac:dyDescent="0.25">
      <c r="C24" s="68" t="s">
        <v>12</v>
      </c>
      <c r="D24" s="68" t="s">
        <v>13</v>
      </c>
      <c r="E24" s="68" t="s">
        <v>80</v>
      </c>
      <c r="F24" s="68" t="s">
        <v>79</v>
      </c>
      <c r="G24" s="68" t="s">
        <v>14</v>
      </c>
      <c r="H24" s="68" t="s">
        <v>15</v>
      </c>
      <c r="I24" s="68"/>
      <c r="J24" s="68" t="s">
        <v>16</v>
      </c>
      <c r="K24" s="68" t="s">
        <v>17</v>
      </c>
      <c r="L24" s="68" t="s">
        <v>18</v>
      </c>
      <c r="M24" s="68" t="s">
        <v>19</v>
      </c>
      <c r="N24" s="68" t="s">
        <v>20</v>
      </c>
      <c r="O24" s="68" t="s">
        <v>21</v>
      </c>
    </row>
    <row r="25" spans="1:15" s="70" customFormat="1" x14ac:dyDescent="0.25">
      <c r="A25" s="4"/>
      <c r="C25" s="68"/>
      <c r="D25" s="68"/>
      <c r="E25" s="68"/>
      <c r="F25" s="68"/>
      <c r="G25" s="68"/>
      <c r="H25" s="68"/>
      <c r="I25" s="68"/>
      <c r="J25" s="68"/>
      <c r="K25" s="68"/>
      <c r="L25" s="68"/>
      <c r="M25" s="68"/>
      <c r="N25" s="68"/>
      <c r="O25" s="75"/>
    </row>
    <row r="26" spans="1:15" s="70" customFormat="1" x14ac:dyDescent="0.25">
      <c r="A26" s="4"/>
      <c r="C26" s="68"/>
      <c r="D26" s="68"/>
      <c r="E26" s="68"/>
      <c r="F26" s="68"/>
      <c r="G26" s="68"/>
      <c r="H26" s="68"/>
      <c r="I26" s="68"/>
      <c r="J26" s="68"/>
      <c r="K26" s="68"/>
      <c r="L26" s="68"/>
      <c r="M26" s="68"/>
      <c r="N26" s="68"/>
      <c r="O26" s="75"/>
    </row>
    <row r="27" spans="1:15" s="70" customFormat="1" x14ac:dyDescent="0.25">
      <c r="A27" s="4"/>
      <c r="C27" s="76" t="s">
        <v>94</v>
      </c>
      <c r="D27" s="77">
        <v>0</v>
      </c>
      <c r="E27" s="78">
        <v>0</v>
      </c>
      <c r="F27" s="78">
        <v>1000000000000</v>
      </c>
      <c r="G27" s="92">
        <v>-10000000000</v>
      </c>
      <c r="H27" s="79">
        <v>1000000000000000</v>
      </c>
      <c r="I27" s="78"/>
      <c r="J27" s="79">
        <v>-10000000000</v>
      </c>
      <c r="K27" s="79">
        <v>10000000000</v>
      </c>
      <c r="L27" s="91">
        <f>'Kennzahlenbogen_(KB)'!Q12</f>
        <v>0</v>
      </c>
      <c r="M27" s="79">
        <f>IF('Kennzahlenbogen_(KB)'!R12=Berechnung1!$G$5,1,IF('Kennzahlenbogen_(KB)'!R12=Berechnung1!$F$5,1,IF('Kennzahlenbogen_(KB)'!R12=Berechnung1!$E$5,2,IF('Kennzahlenbogen_(KB)'!R12=Berechnung1!$D$5,3,IF('Kennzahlenbogen_(KB)'!R12=Berechnung1!$C$5,4,"")))))</f>
        <v>1</v>
      </c>
      <c r="N27" s="79">
        <f>IF(M27&gt;1,M27+3,M27)</f>
        <v>1</v>
      </c>
      <c r="O27" s="79">
        <f>IF('Kennzahlenbogen_(KB)'!T12="",0,1)</f>
        <v>0</v>
      </c>
    </row>
    <row r="28" spans="1:15" s="70" customFormat="1" x14ac:dyDescent="0.25">
      <c r="A28" s="4"/>
      <c r="C28" s="17"/>
      <c r="D28" s="18"/>
      <c r="E28" s="94"/>
      <c r="F28" s="94"/>
      <c r="G28" s="268"/>
      <c r="H28" s="83"/>
      <c r="I28" s="94"/>
      <c r="J28" s="83"/>
      <c r="K28" s="83"/>
      <c r="L28" s="93"/>
      <c r="M28" s="83"/>
      <c r="N28" s="83"/>
      <c r="O28" s="83"/>
    </row>
    <row r="29" spans="1:15" s="70" customFormat="1" x14ac:dyDescent="0.25">
      <c r="A29" s="4"/>
      <c r="C29" s="17"/>
      <c r="D29" s="18"/>
      <c r="E29" s="94"/>
      <c r="F29" s="94"/>
      <c r="G29" s="268"/>
      <c r="H29" s="83"/>
      <c r="I29" s="94"/>
      <c r="J29" s="83"/>
      <c r="K29" s="83"/>
      <c r="L29" s="93"/>
      <c r="M29" s="83"/>
      <c r="N29" s="83"/>
      <c r="O29" s="83"/>
    </row>
    <row r="30" spans="1:15" s="70" customFormat="1" x14ac:dyDescent="0.25">
      <c r="A30" s="4"/>
      <c r="B30" s="19" t="s">
        <v>560</v>
      </c>
      <c r="C30" s="273" t="s">
        <v>95</v>
      </c>
      <c r="D30" s="257">
        <v>0</v>
      </c>
      <c r="E30" s="258">
        <v>0</v>
      </c>
      <c r="F30" s="258">
        <v>1000000000000</v>
      </c>
      <c r="G30" s="274">
        <v>-10000000000</v>
      </c>
      <c r="H30" s="259">
        <v>1000000000000000</v>
      </c>
      <c r="I30" s="258"/>
      <c r="J30" s="259">
        <v>-10000000000</v>
      </c>
      <c r="K30" s="259">
        <v>10000000000</v>
      </c>
      <c r="L30" s="275">
        <f>'Kennzahlenbogen_(KB)'!Q15</f>
        <v>0</v>
      </c>
      <c r="M30" s="259">
        <f>IF('Kennzahlenbogen_(KB)'!R15=Berechnung1!$H$5,5,IF('Kennzahlenbogen_(KB)'!R15=Berechnung1!$G$5,1,IF('Kennzahlenbogen_(KB)'!R15=Berechnung1!$F$5,1,IF('Kennzahlenbogen_(KB)'!R15=Berechnung1!$E$5,2,IF('Kennzahlenbogen_(KB)'!R15=Berechnung1!$D$5,3,IF('Kennzahlenbogen_(KB)'!R15=Berechnung1!$C$5,4,""))))))</f>
        <v>1</v>
      </c>
      <c r="N30" s="259">
        <f t="shared" ref="N30" si="2">IF(M30&gt;1,M30+3,M30)</f>
        <v>1</v>
      </c>
      <c r="O30" s="259">
        <f>IF('Kennzahlenbogen_(KB)'!T15="",0,1)</f>
        <v>0</v>
      </c>
    </row>
    <row r="31" spans="1:15" s="70" customFormat="1" x14ac:dyDescent="0.25">
      <c r="A31" s="4"/>
      <c r="C31" s="17"/>
      <c r="D31" s="18"/>
      <c r="E31" s="80"/>
      <c r="F31" s="80"/>
      <c r="G31" s="80"/>
      <c r="H31" s="80"/>
      <c r="I31" s="80"/>
      <c r="J31" s="80"/>
      <c r="K31" s="80"/>
      <c r="L31" s="93"/>
      <c r="M31" s="83"/>
      <c r="N31" s="83"/>
      <c r="O31" s="83"/>
    </row>
    <row r="32" spans="1:15" s="70" customFormat="1" x14ac:dyDescent="0.25">
      <c r="A32" s="4"/>
      <c r="C32" s="17"/>
      <c r="D32" s="18"/>
      <c r="E32" s="80"/>
      <c r="F32" s="80"/>
      <c r="G32" s="80"/>
      <c r="H32" s="80"/>
      <c r="I32" s="80"/>
      <c r="J32" s="80"/>
      <c r="K32" s="80"/>
      <c r="L32" s="93"/>
      <c r="M32" s="83"/>
      <c r="N32" s="83"/>
      <c r="O32" s="83"/>
    </row>
    <row r="33" spans="1:15" s="70" customFormat="1" x14ac:dyDescent="0.25">
      <c r="A33" s="4"/>
      <c r="C33" s="76" t="s">
        <v>587</v>
      </c>
      <c r="D33" s="77">
        <v>0</v>
      </c>
      <c r="E33" s="78">
        <v>0</v>
      </c>
      <c r="F33" s="78">
        <v>1000000000000</v>
      </c>
      <c r="G33" s="79">
        <v>50</v>
      </c>
      <c r="H33" s="79">
        <v>1000000000000000</v>
      </c>
      <c r="I33" s="78"/>
      <c r="J33" s="79">
        <v>-10000000000</v>
      </c>
      <c r="K33" s="79">
        <v>1000000000</v>
      </c>
      <c r="L33" s="91">
        <f>'Kennzahlenbogen_(KB)'!Q18</f>
        <v>0</v>
      </c>
      <c r="M33" s="79">
        <f>IF('Kennzahlenbogen_(KB)'!R18=Berechnung1!$G$5,1,IF('Kennzahlenbogen_(KB)'!R18=Berechnung1!$F$5,1,IF('Kennzahlenbogen_(KB)'!R18=Berechnung1!$E$5,2,IF('Kennzahlenbogen_(KB)'!R18=Berechnung1!$D$5,3,IF('Kennzahlenbogen_(KB)'!R18=Berechnung1!$C$5,4,"")))))</f>
        <v>1</v>
      </c>
      <c r="N33" s="79">
        <f t="shared" ref="N33" si="3">IF(M33&gt;1,M33+3,M33)</f>
        <v>1</v>
      </c>
      <c r="O33" s="79">
        <f>IF('Kennzahlenbogen_(KB)'!T18="",0,1)</f>
        <v>0</v>
      </c>
    </row>
    <row r="34" spans="1:15" s="70" customFormat="1" x14ac:dyDescent="0.25">
      <c r="A34" s="4"/>
      <c r="C34" s="82"/>
      <c r="D34" s="82"/>
      <c r="E34" s="82"/>
      <c r="F34" s="82"/>
      <c r="G34" s="82"/>
      <c r="H34" s="82"/>
      <c r="I34" s="82"/>
      <c r="J34" s="82"/>
      <c r="K34" s="82"/>
      <c r="L34" s="82"/>
      <c r="M34" s="82"/>
      <c r="N34" s="82"/>
      <c r="O34" s="82"/>
    </row>
    <row r="35" spans="1:15" s="70" customFormat="1" x14ac:dyDescent="0.25">
      <c r="A35" s="4"/>
      <c r="C35" s="17"/>
      <c r="D35" s="18"/>
      <c r="E35" s="80"/>
      <c r="F35" s="80"/>
      <c r="G35" s="80"/>
      <c r="H35" s="80"/>
      <c r="I35" s="80"/>
      <c r="J35" s="80"/>
      <c r="K35" s="80"/>
      <c r="L35" s="80"/>
      <c r="M35" s="80"/>
      <c r="N35" s="80"/>
      <c r="O35" s="81"/>
    </row>
    <row r="36" spans="1:15" s="70" customFormat="1" x14ac:dyDescent="0.25">
      <c r="A36" s="4"/>
      <c r="C36" s="77" t="s">
        <v>692</v>
      </c>
      <c r="D36" s="77" t="s">
        <v>22</v>
      </c>
      <c r="E36" s="78">
        <v>0</v>
      </c>
      <c r="F36" s="78">
        <v>1</v>
      </c>
      <c r="G36" s="78">
        <v>0.95</v>
      </c>
      <c r="H36" s="78">
        <v>10000</v>
      </c>
      <c r="I36" s="78"/>
      <c r="J36" s="78">
        <v>-10000</v>
      </c>
      <c r="K36" s="78">
        <v>1000000</v>
      </c>
      <c r="L36" s="78" t="str">
        <f>'Kennzahlenbogen_(KB)'!Q23</f>
        <v>n.d.</v>
      </c>
      <c r="M36" s="79">
        <f>IF('Kennzahlenbogen_(KB)'!R21=Berechnung1!$G$5,1,IF('Kennzahlenbogen_(KB)'!R21=Berechnung1!$F$5,1,IF('Kennzahlenbogen_(KB)'!R21=Berechnung1!$E$5,2,IF('Kennzahlenbogen_(KB)'!R21=Berechnung1!$D$5,3,IF('Kennzahlenbogen_(KB)'!R21=Berechnung1!$C$5,4,"")))))</f>
        <v>1</v>
      </c>
      <c r="N36" s="79">
        <f>IF(M36&gt;1,M36+3,M36)</f>
        <v>1</v>
      </c>
      <c r="O36" s="79">
        <f>IF('Kennzahlenbogen_(KB)'!T21="",0,1)</f>
        <v>0</v>
      </c>
    </row>
    <row r="37" spans="1:15" s="70" customFormat="1" x14ac:dyDescent="0.25">
      <c r="A37" s="4"/>
      <c r="C37" s="17"/>
      <c r="D37" s="18"/>
      <c r="E37" s="80"/>
      <c r="F37" s="80"/>
      <c r="G37" s="80"/>
      <c r="H37" s="80"/>
      <c r="I37" s="80"/>
      <c r="J37" s="80"/>
      <c r="K37" s="80"/>
      <c r="L37" s="94"/>
      <c r="M37" s="83"/>
      <c r="N37" s="83"/>
      <c r="O37" s="83"/>
    </row>
    <row r="38" spans="1:15" s="70" customFormat="1" x14ac:dyDescent="0.25">
      <c r="A38" s="4"/>
      <c r="C38" s="17"/>
      <c r="D38" s="18"/>
      <c r="E38" s="80"/>
      <c r="F38" s="80"/>
      <c r="G38" s="80"/>
      <c r="H38" s="80"/>
      <c r="I38" s="80"/>
      <c r="J38" s="80"/>
      <c r="K38" s="80"/>
      <c r="L38" s="94"/>
      <c r="M38" s="83"/>
      <c r="N38" s="83"/>
      <c r="O38" s="83"/>
    </row>
    <row r="39" spans="1:15" s="70" customFormat="1" x14ac:dyDescent="0.25">
      <c r="A39" s="4"/>
      <c r="B39" s="19" t="s">
        <v>560</v>
      </c>
      <c r="C39" s="257" t="s">
        <v>693</v>
      </c>
      <c r="D39" s="257" t="s">
        <v>22</v>
      </c>
      <c r="E39" s="258">
        <v>0</v>
      </c>
      <c r="F39" s="258">
        <v>1</v>
      </c>
      <c r="G39" s="258">
        <v>0.95</v>
      </c>
      <c r="H39" s="258">
        <v>10000</v>
      </c>
      <c r="I39" s="258"/>
      <c r="J39" s="258">
        <v>-10000</v>
      </c>
      <c r="K39" s="258">
        <v>1000000</v>
      </c>
      <c r="L39" s="258" t="str">
        <f>'Kennzahlenbogen_(KB)'!Q26</f>
        <v>n.d.</v>
      </c>
      <c r="M39" s="259">
        <f>IF('Kennzahlenbogen_(KB)'!R24=Berechnung1!$H$5,5,IF('Kennzahlenbogen_(KB)'!R24=Berechnung1!$G$5,1,IF('Kennzahlenbogen_(KB)'!R24=Berechnung1!$F$5,1,IF('Kennzahlenbogen_(KB)'!R24=Berechnung1!$E$5,2,IF('Kennzahlenbogen_(KB)'!R24=Berechnung1!$D$5,3,IF('Kennzahlenbogen_(KB)'!R24=Berechnung1!$C$5,4,""))))))</f>
        <v>1</v>
      </c>
      <c r="N39" s="259">
        <f>IF(M39&gt;1,M39+3,M39)</f>
        <v>1</v>
      </c>
      <c r="O39" s="259">
        <f>IF('Kennzahlenbogen_(KB)'!T24="",0,1)</f>
        <v>0</v>
      </c>
    </row>
    <row r="40" spans="1:15" s="70" customFormat="1" x14ac:dyDescent="0.25">
      <c r="A40" s="4"/>
      <c r="C40" s="17"/>
      <c r="D40" s="18"/>
      <c r="E40" s="80"/>
      <c r="F40" s="80"/>
      <c r="G40" s="80"/>
      <c r="H40" s="80"/>
      <c r="I40" s="80"/>
      <c r="J40" s="80"/>
      <c r="K40" s="80"/>
      <c r="L40" s="94"/>
      <c r="M40" s="83"/>
      <c r="N40" s="83"/>
      <c r="O40" s="83"/>
    </row>
    <row r="41" spans="1:15" s="70" customFormat="1" x14ac:dyDescent="0.25">
      <c r="A41" s="4"/>
      <c r="C41" s="17"/>
      <c r="D41" s="18"/>
      <c r="E41" s="80"/>
      <c r="F41" s="80"/>
      <c r="G41" s="80"/>
      <c r="H41" s="80"/>
      <c r="I41" s="80"/>
      <c r="J41" s="80"/>
      <c r="K41" s="80"/>
      <c r="L41" s="94"/>
      <c r="M41" s="83"/>
      <c r="N41" s="83"/>
      <c r="O41" s="83"/>
    </row>
    <row r="42" spans="1:15" s="70" customFormat="1" x14ac:dyDescent="0.25">
      <c r="A42" s="4"/>
      <c r="C42" s="77">
        <v>3</v>
      </c>
      <c r="D42" s="77" t="s">
        <v>22</v>
      </c>
      <c r="E42" s="78">
        <v>0</v>
      </c>
      <c r="F42" s="78">
        <v>1</v>
      </c>
      <c r="G42" s="78">
        <v>0.95</v>
      </c>
      <c r="H42" s="78">
        <v>10000</v>
      </c>
      <c r="I42" s="78"/>
      <c r="J42" s="78">
        <v>-10000</v>
      </c>
      <c r="K42" s="78">
        <v>1000000</v>
      </c>
      <c r="L42" s="78" t="str">
        <f>'Kennzahlenbogen_(KB)'!Q29</f>
        <v>n.d.</v>
      </c>
      <c r="M42" s="79">
        <f>IF('Kennzahlenbogen_(KB)'!R27=Berechnung1!$G$5,1,IF('Kennzahlenbogen_(KB)'!R27=Berechnung1!$F$5,1,IF('Kennzahlenbogen_(KB)'!R27=Berechnung1!$E$5,2,IF('Kennzahlenbogen_(KB)'!R27=Berechnung1!$D$5,3,IF('Kennzahlenbogen_(KB)'!R27=Berechnung1!$C$5,4,"")))))</f>
        <v>1</v>
      </c>
      <c r="N42" s="79">
        <f t="shared" ref="N42:N51" si="4">IF(M42&gt;1,M42+3,M42)</f>
        <v>1</v>
      </c>
      <c r="O42" s="79">
        <f>IF('Kennzahlenbogen_(KB)'!T27="",0,1)</f>
        <v>0</v>
      </c>
    </row>
    <row r="43" spans="1:15" s="70" customFormat="1" x14ac:dyDescent="0.25">
      <c r="A43" s="4"/>
      <c r="C43" s="17"/>
      <c r="D43" s="18"/>
      <c r="E43" s="80"/>
      <c r="F43" s="80"/>
      <c r="G43" s="80"/>
      <c r="H43" s="80"/>
      <c r="I43" s="80"/>
      <c r="J43" s="80"/>
      <c r="K43" s="80"/>
      <c r="L43" s="94"/>
      <c r="M43" s="83"/>
      <c r="N43" s="83"/>
      <c r="O43" s="83"/>
    </row>
    <row r="44" spans="1:15" s="70" customFormat="1" x14ac:dyDescent="0.25">
      <c r="A44" s="4"/>
      <c r="C44" s="17"/>
      <c r="D44" s="18"/>
      <c r="E44" s="80"/>
      <c r="F44" s="80"/>
      <c r="G44" s="80"/>
      <c r="H44" s="80"/>
      <c r="I44" s="80"/>
      <c r="J44" s="80"/>
      <c r="K44" s="80"/>
      <c r="L44" s="94"/>
      <c r="M44" s="83"/>
      <c r="N44" s="83"/>
      <c r="O44" s="83"/>
    </row>
    <row r="45" spans="1:15" s="70" customFormat="1" x14ac:dyDescent="0.25">
      <c r="A45" s="4"/>
      <c r="C45" s="77">
        <v>4</v>
      </c>
      <c r="D45" s="77" t="s">
        <v>22</v>
      </c>
      <c r="E45" s="78">
        <v>0</v>
      </c>
      <c r="F45" s="78">
        <v>1</v>
      </c>
      <c r="G45" s="78">
        <v>-10000</v>
      </c>
      <c r="H45" s="78">
        <v>10000</v>
      </c>
      <c r="I45" s="78"/>
      <c r="J45" s="78">
        <v>0.05</v>
      </c>
      <c r="K45" s="78">
        <v>0.6</v>
      </c>
      <c r="L45" s="78" t="str">
        <f>'Kennzahlenbogen_(KB)'!Q32</f>
        <v>n.d.</v>
      </c>
      <c r="M45" s="79">
        <f>IF('Kennzahlenbogen_(KB)'!R30=Berechnung1!$G$5,1,IF('Kennzahlenbogen_(KB)'!R30=Berechnung1!$F$5,1,IF('Kennzahlenbogen_(KB)'!R30=Berechnung1!$E$5,2,IF('Kennzahlenbogen_(KB)'!R30=Berechnung1!$D$5,3,IF('Kennzahlenbogen_(KB)'!R30=Berechnung1!$C$5,4,"")))))</f>
        <v>1</v>
      </c>
      <c r="N45" s="79">
        <f t="shared" si="4"/>
        <v>1</v>
      </c>
      <c r="O45" s="79">
        <f>IF('Kennzahlenbogen_(KB)'!T30="",0,1)</f>
        <v>0</v>
      </c>
    </row>
    <row r="46" spans="1:15" s="70" customFormat="1" x14ac:dyDescent="0.25">
      <c r="A46" s="4"/>
      <c r="C46" s="17"/>
      <c r="D46" s="18"/>
      <c r="E46" s="80"/>
      <c r="F46" s="80"/>
      <c r="G46" s="80"/>
      <c r="H46" s="80"/>
      <c r="I46" s="80"/>
      <c r="J46" s="80"/>
      <c r="K46" s="80"/>
      <c r="L46" s="94"/>
      <c r="M46" s="83"/>
      <c r="N46" s="83"/>
      <c r="O46" s="83"/>
    </row>
    <row r="47" spans="1:15" s="70" customFormat="1" x14ac:dyDescent="0.25">
      <c r="A47" s="4"/>
      <c r="C47" s="17"/>
      <c r="D47" s="18"/>
      <c r="E47" s="80"/>
      <c r="F47" s="80"/>
      <c r="G47" s="80"/>
      <c r="H47" s="80"/>
      <c r="I47" s="80"/>
      <c r="J47" s="80"/>
      <c r="K47" s="80"/>
      <c r="L47" s="94"/>
      <c r="M47" s="83"/>
      <c r="N47" s="83"/>
      <c r="O47" s="83"/>
    </row>
    <row r="48" spans="1:15" s="70" customFormat="1" x14ac:dyDescent="0.25">
      <c r="A48" s="4"/>
      <c r="C48" s="77">
        <v>5</v>
      </c>
      <c r="D48" s="77" t="s">
        <v>22</v>
      </c>
      <c r="E48" s="78">
        <v>0</v>
      </c>
      <c r="F48" s="78">
        <v>1</v>
      </c>
      <c r="G48" s="78">
        <v>-10000</v>
      </c>
      <c r="H48" s="78">
        <v>10000</v>
      </c>
      <c r="I48" s="78"/>
      <c r="J48" s="78">
        <v>0.4</v>
      </c>
      <c r="K48" s="78">
        <v>1000000</v>
      </c>
      <c r="L48" s="78" t="str">
        <f>'Kennzahlenbogen_(KB)'!Q35</f>
        <v>n.d.</v>
      </c>
      <c r="M48" s="79">
        <f>IF('Kennzahlenbogen_(KB)'!R33=Berechnung1!$G$5,1,IF('Kennzahlenbogen_(KB)'!R33=Berechnung1!$F$5,1,IF('Kennzahlenbogen_(KB)'!R33=Berechnung1!$E$5,2,IF('Kennzahlenbogen_(KB)'!R33=Berechnung1!$D$5,3,IF('Kennzahlenbogen_(KB)'!R33=Berechnung1!$C$5,4,"")))))</f>
        <v>1</v>
      </c>
      <c r="N48" s="79">
        <f t="shared" si="4"/>
        <v>1</v>
      </c>
      <c r="O48" s="79">
        <f>IF('Kennzahlenbogen_(KB)'!T33="",0,1)</f>
        <v>0</v>
      </c>
    </row>
    <row r="49" spans="1:15" s="70" customFormat="1" x14ac:dyDescent="0.25">
      <c r="A49" s="4"/>
      <c r="C49" s="17"/>
      <c r="D49" s="18"/>
      <c r="E49" s="80"/>
      <c r="F49" s="80"/>
      <c r="G49" s="80"/>
      <c r="H49" s="80"/>
      <c r="I49" s="80"/>
      <c r="J49" s="80"/>
      <c r="K49" s="80"/>
      <c r="L49" s="94"/>
      <c r="M49" s="83"/>
      <c r="N49" s="83"/>
      <c r="O49" s="83"/>
    </row>
    <row r="50" spans="1:15" s="70" customFormat="1" x14ac:dyDescent="0.25">
      <c r="A50" s="4"/>
      <c r="C50" s="17"/>
      <c r="D50" s="18"/>
      <c r="E50" s="80"/>
      <c r="F50" s="80"/>
      <c r="G50" s="80"/>
      <c r="H50" s="80"/>
      <c r="I50" s="80"/>
      <c r="J50" s="80"/>
      <c r="K50" s="80"/>
      <c r="L50" s="94"/>
      <c r="M50" s="83"/>
      <c r="N50" s="83"/>
      <c r="O50" s="83"/>
    </row>
    <row r="51" spans="1:15" ht="15" x14ac:dyDescent="0.25">
      <c r="A51" s="69"/>
      <c r="B51" s="69"/>
      <c r="C51" s="77">
        <v>6</v>
      </c>
      <c r="D51" s="77" t="s">
        <v>22</v>
      </c>
      <c r="E51" s="78">
        <v>0</v>
      </c>
      <c r="F51" s="78">
        <v>1000000000000</v>
      </c>
      <c r="G51" s="78">
        <v>0.05</v>
      </c>
      <c r="H51" s="78">
        <v>10000</v>
      </c>
      <c r="I51" s="78"/>
      <c r="J51" s="78">
        <v>-10000</v>
      </c>
      <c r="K51" s="78">
        <v>0.8</v>
      </c>
      <c r="L51" s="78" t="str">
        <f>'Kennzahlenbogen_(KB)'!Q38</f>
        <v>n.d.</v>
      </c>
      <c r="M51" s="79">
        <f>IF('Kennzahlenbogen_(KB)'!R36=Berechnung1!$G$5,1,IF('Kennzahlenbogen_(KB)'!R36=Berechnung1!$F$5,1,IF('Kennzahlenbogen_(KB)'!R36=Berechnung1!$E$5,2,IF('Kennzahlenbogen_(KB)'!R36=Berechnung1!$D$5,3,IF('Kennzahlenbogen_(KB)'!R36=Berechnung1!$C$5,4,"")))))</f>
        <v>1</v>
      </c>
      <c r="N51" s="79">
        <f t="shared" si="4"/>
        <v>1</v>
      </c>
      <c r="O51" s="79">
        <f>IF('Kennzahlenbogen_(KB)'!T36="",0,1)</f>
        <v>0</v>
      </c>
    </row>
    <row r="52" spans="1:15" x14ac:dyDescent="0.25">
      <c r="C52" s="17"/>
      <c r="D52" s="18"/>
      <c r="E52" s="80"/>
      <c r="F52" s="80"/>
      <c r="G52" s="80"/>
      <c r="H52" s="80"/>
      <c r="I52" s="80"/>
      <c r="J52" s="80"/>
      <c r="K52" s="80"/>
      <c r="L52" s="94"/>
      <c r="M52" s="83"/>
      <c r="N52" s="83"/>
      <c r="O52" s="83"/>
    </row>
    <row r="53" spans="1:15" x14ac:dyDescent="0.25">
      <c r="C53" s="17"/>
      <c r="D53" s="18"/>
      <c r="E53" s="80"/>
      <c r="F53" s="80"/>
      <c r="G53" s="80"/>
      <c r="H53" s="80"/>
      <c r="I53" s="80"/>
      <c r="J53" s="80"/>
      <c r="K53" s="80"/>
      <c r="L53" s="94"/>
      <c r="M53" s="83"/>
      <c r="N53" s="83"/>
      <c r="O53" s="83"/>
    </row>
    <row r="54" spans="1:15" x14ac:dyDescent="0.25">
      <c r="A54" s="19"/>
      <c r="C54" s="77">
        <v>7</v>
      </c>
      <c r="D54" s="77" t="s">
        <v>22</v>
      </c>
      <c r="E54" s="78">
        <v>0</v>
      </c>
      <c r="F54" s="78">
        <v>1</v>
      </c>
      <c r="G54" s="78">
        <v>-10000</v>
      </c>
      <c r="H54" s="78">
        <v>10000</v>
      </c>
      <c r="I54" s="78"/>
      <c r="J54" s="78">
        <v>0.8</v>
      </c>
      <c r="K54" s="78">
        <v>1000000</v>
      </c>
      <c r="L54" s="78" t="str">
        <f>'Kennzahlenbogen_(KB)'!Q41</f>
        <v>n.d.</v>
      </c>
      <c r="M54" s="79">
        <f>IF('Kennzahlenbogen_(KB)'!R39=Berechnung1!$G$5,1,IF('Kennzahlenbogen_(KB)'!R39=Berechnung1!$F$5,1,IF('Kennzahlenbogen_(KB)'!R39=Berechnung1!$E$5,2,IF('Kennzahlenbogen_(KB)'!R39=Berechnung1!$D$5,3,IF('Kennzahlenbogen_(KB)'!R39=Berechnung1!$C$5,4,"")))))</f>
        <v>1</v>
      </c>
      <c r="N54" s="79">
        <f t="shared" ref="N54:N100" si="5">IF(M54&gt;1,M54+3,M54)</f>
        <v>1</v>
      </c>
      <c r="O54" s="79">
        <f>IF('Kennzahlenbogen_(KB)'!T39="",0,1)</f>
        <v>0</v>
      </c>
    </row>
    <row r="55" spans="1:15" x14ac:dyDescent="0.25">
      <c r="A55" s="19"/>
      <c r="C55" s="17"/>
      <c r="D55" s="18"/>
      <c r="E55" s="80"/>
      <c r="F55" s="80"/>
      <c r="G55" s="80"/>
      <c r="H55" s="80"/>
      <c r="I55" s="80"/>
      <c r="J55" s="80"/>
      <c r="K55" s="80"/>
      <c r="L55" s="80"/>
      <c r="M55" s="80"/>
      <c r="N55" s="80"/>
      <c r="O55" s="81"/>
    </row>
    <row r="56" spans="1:15" x14ac:dyDescent="0.25">
      <c r="A56" s="19"/>
      <c r="C56" s="17"/>
      <c r="D56" s="18"/>
      <c r="E56" s="80"/>
      <c r="F56" s="80"/>
      <c r="G56" s="80"/>
      <c r="H56" s="80"/>
      <c r="I56" s="80"/>
      <c r="J56" s="80"/>
      <c r="K56" s="80"/>
      <c r="L56" s="80"/>
      <c r="M56" s="80"/>
      <c r="N56" s="80"/>
      <c r="O56" s="81"/>
    </row>
    <row r="57" spans="1:15" x14ac:dyDescent="0.25">
      <c r="A57" s="19"/>
      <c r="C57" s="77">
        <v>8</v>
      </c>
      <c r="D57" s="77" t="s">
        <v>22</v>
      </c>
      <c r="E57" s="78">
        <v>0</v>
      </c>
      <c r="F57" s="78">
        <v>1</v>
      </c>
      <c r="G57" s="78">
        <v>0.8</v>
      </c>
      <c r="H57" s="78">
        <v>10000</v>
      </c>
      <c r="I57" s="78"/>
      <c r="J57" s="78">
        <v>-10000</v>
      </c>
      <c r="K57" s="78">
        <v>1000000</v>
      </c>
      <c r="L57" s="78" t="str">
        <f>'Kennzahlenbogen_(KB)'!Q44</f>
        <v>n.d.</v>
      </c>
      <c r="M57" s="79">
        <f>IF('Kennzahlenbogen_(KB)'!R42=Berechnung1!$G$5,1,IF('Kennzahlenbogen_(KB)'!R42=Berechnung1!$F$5,1,IF('Kennzahlenbogen_(KB)'!R42=Berechnung1!$E$5,2,IF('Kennzahlenbogen_(KB)'!R42=Berechnung1!$D$5,3,IF('Kennzahlenbogen_(KB)'!R42=Berechnung1!$C$5,4,"")))))</f>
        <v>1</v>
      </c>
      <c r="N57" s="79">
        <f t="shared" si="5"/>
        <v>1</v>
      </c>
      <c r="O57" s="79">
        <f>IF('Kennzahlenbogen_(KB)'!T42="",0,1)</f>
        <v>0</v>
      </c>
    </row>
    <row r="58" spans="1:15" x14ac:dyDescent="0.25">
      <c r="A58" s="19"/>
      <c r="C58" s="18"/>
      <c r="D58" s="18"/>
      <c r="E58" s="94"/>
      <c r="F58" s="94"/>
      <c r="G58" s="94"/>
      <c r="H58" s="94"/>
      <c r="I58" s="94"/>
      <c r="J58" s="94"/>
      <c r="K58" s="94"/>
      <c r="L58" s="94"/>
      <c r="M58" s="83"/>
      <c r="N58" s="83"/>
      <c r="O58" s="83"/>
    </row>
    <row r="59" spans="1:15" x14ac:dyDescent="0.25">
      <c r="A59" s="19"/>
      <c r="C59" s="18"/>
      <c r="D59" s="18"/>
      <c r="E59" s="94"/>
      <c r="F59" s="94"/>
      <c r="G59" s="94"/>
      <c r="H59" s="94"/>
      <c r="I59" s="94"/>
      <c r="J59" s="94"/>
      <c r="K59" s="94"/>
      <c r="L59" s="94"/>
      <c r="M59" s="83"/>
      <c r="N59" s="83"/>
      <c r="O59" s="83"/>
    </row>
    <row r="60" spans="1:15" x14ac:dyDescent="0.25">
      <c r="C60" s="77">
        <v>9</v>
      </c>
      <c r="D60" s="77" t="s">
        <v>22</v>
      </c>
      <c r="E60" s="78">
        <v>0</v>
      </c>
      <c r="F60" s="78">
        <v>1</v>
      </c>
      <c r="G60" s="78">
        <v>0.9</v>
      </c>
      <c r="H60" s="78">
        <v>10000</v>
      </c>
      <c r="I60" s="78"/>
      <c r="J60" s="78">
        <v>-10000</v>
      </c>
      <c r="K60" s="78">
        <v>1000000</v>
      </c>
      <c r="L60" s="78" t="str">
        <f>'Kennzahlenbogen_(KB)'!Q47</f>
        <v>n.d.</v>
      </c>
      <c r="M60" s="79">
        <f>IF('Kennzahlenbogen_(KB)'!R45=Berechnung1!$G$5,1,IF('Kennzahlenbogen_(KB)'!R45=Berechnung1!$F$5,1,IF('Kennzahlenbogen_(KB)'!R45=Berechnung1!$E$5,2,IF('Kennzahlenbogen_(KB)'!R45=Berechnung1!$D$5,3,IF('Kennzahlenbogen_(KB)'!R45=Berechnung1!$C$5,4,"")))))</f>
        <v>1</v>
      </c>
      <c r="N60" s="79">
        <f t="shared" si="5"/>
        <v>1</v>
      </c>
      <c r="O60" s="79">
        <f>IF('Kennzahlenbogen_(KB)'!T45="",0,1)</f>
        <v>0</v>
      </c>
    </row>
    <row r="61" spans="1:15" x14ac:dyDescent="0.25">
      <c r="C61" s="18"/>
      <c r="D61" s="18"/>
      <c r="E61" s="94"/>
      <c r="F61" s="94"/>
      <c r="G61" s="94"/>
      <c r="H61" s="94"/>
      <c r="I61" s="94"/>
      <c r="J61" s="94"/>
      <c r="K61" s="94"/>
      <c r="L61" s="94"/>
      <c r="M61" s="83"/>
      <c r="N61" s="83"/>
      <c r="O61" s="83"/>
    </row>
    <row r="62" spans="1:15" x14ac:dyDescent="0.25">
      <c r="C62" s="18"/>
      <c r="D62" s="18"/>
      <c r="E62" s="94"/>
      <c r="F62" s="94"/>
      <c r="G62" s="94"/>
      <c r="H62" s="94"/>
      <c r="I62" s="94"/>
      <c r="J62" s="94"/>
      <c r="K62" s="94"/>
      <c r="L62" s="94"/>
      <c r="M62" s="83"/>
      <c r="N62" s="83"/>
      <c r="O62" s="83"/>
    </row>
    <row r="63" spans="1:15" x14ac:dyDescent="0.25">
      <c r="B63" s="19" t="s">
        <v>560</v>
      </c>
      <c r="C63" s="257">
        <v>10</v>
      </c>
      <c r="D63" s="257" t="s">
        <v>22</v>
      </c>
      <c r="E63" s="258">
        <v>0</v>
      </c>
      <c r="F63" s="258">
        <v>1</v>
      </c>
      <c r="G63" s="258">
        <v>0.85</v>
      </c>
      <c r="H63" s="258">
        <v>10000</v>
      </c>
      <c r="I63" s="258"/>
      <c r="J63" s="258">
        <v>-10000</v>
      </c>
      <c r="K63" s="258">
        <v>1000000</v>
      </c>
      <c r="L63" s="258" t="str">
        <f>'Kennzahlenbogen_(KB)'!Q50</f>
        <v>n.d.</v>
      </c>
      <c r="M63" s="259">
        <f>IF('Kennzahlenbogen_(KB)'!R48=Berechnung1!$H$5,5,IF('Kennzahlenbogen_(KB)'!R48=Berechnung1!$G$5,1,IF('Kennzahlenbogen_(KB)'!R48=Berechnung1!$F$5,1,IF('Kennzahlenbogen_(KB)'!R48=Berechnung1!$E$5,2,IF('Kennzahlenbogen_(KB)'!R48=Berechnung1!$D$5,3,IF('Kennzahlenbogen_(KB)'!R48=Berechnung1!$C$5,4,""))))))</f>
        <v>1</v>
      </c>
      <c r="N63" s="259">
        <f>IF(M63&gt;1,M63+3,M63)</f>
        <v>1</v>
      </c>
      <c r="O63" s="259">
        <f>IF('Kennzahlenbogen_(KB)'!T48="",0,1)</f>
        <v>0</v>
      </c>
    </row>
    <row r="64" spans="1:15" x14ac:dyDescent="0.25">
      <c r="A64" s="19"/>
      <c r="C64" s="18"/>
      <c r="D64" s="18"/>
      <c r="E64" s="94"/>
      <c r="F64" s="94"/>
      <c r="G64" s="94"/>
      <c r="H64" s="94"/>
      <c r="I64" s="94"/>
      <c r="J64" s="94"/>
      <c r="K64" s="94"/>
      <c r="L64" s="94"/>
      <c r="M64" s="83"/>
      <c r="N64" s="83"/>
      <c r="O64" s="83"/>
    </row>
    <row r="65" spans="1:15" x14ac:dyDescent="0.25">
      <c r="C65" s="18"/>
      <c r="D65" s="18"/>
      <c r="E65" s="94"/>
      <c r="F65" s="94"/>
      <c r="G65" s="94"/>
      <c r="H65" s="94"/>
      <c r="I65" s="94"/>
      <c r="J65" s="94"/>
      <c r="K65" s="94"/>
      <c r="L65" s="94"/>
      <c r="M65" s="83"/>
      <c r="N65" s="83"/>
      <c r="O65" s="83"/>
    </row>
    <row r="66" spans="1:15" hidden="1" x14ac:dyDescent="0.25">
      <c r="C66" s="77">
        <v>25</v>
      </c>
      <c r="D66" s="77" t="s">
        <v>22</v>
      </c>
      <c r="E66" s="78">
        <v>0</v>
      </c>
      <c r="F66" s="78">
        <v>1</v>
      </c>
      <c r="G66" s="78">
        <v>0.05</v>
      </c>
      <c r="H66" s="78">
        <v>10000</v>
      </c>
      <c r="I66" s="78"/>
      <c r="J66" s="78">
        <v>-10000</v>
      </c>
      <c r="K66" s="78">
        <v>1000000</v>
      </c>
      <c r="L66" s="78">
        <f>'Kennzahlenbogen_(KB)'!Q62</f>
        <v>0</v>
      </c>
      <c r="M66" s="79" t="str">
        <f>IF('Kennzahlenbogen_(KB)'!R61=Berechnung1!$G$5,1,IF('Kennzahlenbogen_(KB)'!R61=Berechnung1!$F$5,1,IF('Kennzahlenbogen_(KB)'!R61=Berechnung1!$E$5,2,IF('Kennzahlenbogen_(KB)'!R61=Berechnung1!$D$5,3,IF('Kennzahlenbogen_(KB)'!R61=Berechnung1!$C$5,4,"")))))</f>
        <v/>
      </c>
      <c r="N66" s="79" t="e">
        <f t="shared" si="5"/>
        <v>#VALUE!</v>
      </c>
      <c r="O66" s="79">
        <f>IF('Kennzahlenbogen_(KB)'!T61="",0,1)</f>
        <v>0</v>
      </c>
    </row>
    <row r="67" spans="1:15" hidden="1" x14ac:dyDescent="0.25">
      <c r="C67" s="77">
        <v>26</v>
      </c>
      <c r="D67" s="77" t="s">
        <v>22</v>
      </c>
      <c r="E67" s="78">
        <v>0</v>
      </c>
      <c r="F67" s="78">
        <v>1</v>
      </c>
      <c r="G67" s="78">
        <v>0.05</v>
      </c>
      <c r="H67" s="78">
        <v>10000</v>
      </c>
      <c r="I67" s="78"/>
      <c r="J67" s="78">
        <v>-10000</v>
      </c>
      <c r="K67" s="78">
        <v>1000000</v>
      </c>
      <c r="L67" s="78">
        <f>'Kennzahlenbogen_(KB)'!Q63</f>
        <v>0</v>
      </c>
      <c r="M67" s="79" t="e">
        <f>IF('Kennzahlenbogen_(KB)'!#REF!=Berechnung1!$G$5,1,IF('Kennzahlenbogen_(KB)'!#REF!=Berechnung1!$F$5,1,IF('Kennzahlenbogen_(KB)'!#REF!=Berechnung1!$E$5,2,IF('Kennzahlenbogen_(KB)'!#REF!=Berechnung1!$D$5,3,IF('Kennzahlenbogen_(KB)'!#REF!=Berechnung1!$C$5,4,"")))))</f>
        <v>#REF!</v>
      </c>
      <c r="N67" s="79" t="e">
        <f t="shared" si="5"/>
        <v>#REF!</v>
      </c>
      <c r="O67" s="79" t="e">
        <f>IF('Kennzahlenbogen_(KB)'!#REF!="",0,1)</f>
        <v>#REF!</v>
      </c>
    </row>
    <row r="68" spans="1:15" hidden="1" x14ac:dyDescent="0.25">
      <c r="C68" s="77">
        <v>27</v>
      </c>
      <c r="D68" s="77" t="s">
        <v>22</v>
      </c>
      <c r="E68" s="78">
        <v>0</v>
      </c>
      <c r="F68" s="78">
        <v>1</v>
      </c>
      <c r="G68" s="78">
        <v>0.05</v>
      </c>
      <c r="H68" s="78">
        <v>10000</v>
      </c>
      <c r="I68" s="78"/>
      <c r="J68" s="78">
        <v>-10000</v>
      </c>
      <c r="K68" s="78">
        <v>1000000</v>
      </c>
      <c r="L68" s="78">
        <f>'Kennzahlenbogen_(KB)'!Q64</f>
        <v>0</v>
      </c>
      <c r="M68" s="79" t="str">
        <f>IF('Kennzahlenbogen_(KB)'!R62=Berechnung1!$G$5,1,IF('Kennzahlenbogen_(KB)'!R62=Berechnung1!$F$5,1,IF('Kennzahlenbogen_(KB)'!R62=Berechnung1!$E$5,2,IF('Kennzahlenbogen_(KB)'!R62=Berechnung1!$D$5,3,IF('Kennzahlenbogen_(KB)'!R62=Berechnung1!$C$5,4,"")))))</f>
        <v/>
      </c>
      <c r="N68" s="79" t="e">
        <f t="shared" si="5"/>
        <v>#VALUE!</v>
      </c>
      <c r="O68" s="79">
        <f>IF('Kennzahlenbogen_(KB)'!T62="",0,1)</f>
        <v>0</v>
      </c>
    </row>
    <row r="69" spans="1:15" hidden="1" x14ac:dyDescent="0.25">
      <c r="A69" s="19"/>
      <c r="C69" s="77">
        <v>28</v>
      </c>
      <c r="D69" s="77" t="s">
        <v>22</v>
      </c>
      <c r="E69" s="78">
        <v>0</v>
      </c>
      <c r="F69" s="78">
        <v>1</v>
      </c>
      <c r="G69" s="78">
        <v>0.05</v>
      </c>
      <c r="H69" s="78">
        <v>10000</v>
      </c>
      <c r="I69" s="78"/>
      <c r="J69" s="78">
        <v>-10000</v>
      </c>
      <c r="K69" s="78">
        <v>1000000</v>
      </c>
      <c r="L69" s="78">
        <f>'Kennzahlenbogen_(KB)'!Q65</f>
        <v>0</v>
      </c>
      <c r="M69" s="79" t="str">
        <f>IF('Kennzahlenbogen_(KB)'!R63=Berechnung1!$G$5,1,IF('Kennzahlenbogen_(KB)'!R63=Berechnung1!$F$5,1,IF('Kennzahlenbogen_(KB)'!R63=Berechnung1!$E$5,2,IF('Kennzahlenbogen_(KB)'!R63=Berechnung1!$D$5,3,IF('Kennzahlenbogen_(KB)'!R63=Berechnung1!$C$5,4,"")))))</f>
        <v/>
      </c>
      <c r="N69" s="79" t="e">
        <f t="shared" si="5"/>
        <v>#VALUE!</v>
      </c>
      <c r="O69" s="79">
        <f>IF('Kennzahlenbogen_(KB)'!T63="",0,1)</f>
        <v>0</v>
      </c>
    </row>
    <row r="70" spans="1:15" hidden="1" x14ac:dyDescent="0.25">
      <c r="C70" s="77">
        <v>29</v>
      </c>
      <c r="D70" s="77" t="s">
        <v>22</v>
      </c>
      <c r="E70" s="78">
        <v>0</v>
      </c>
      <c r="F70" s="78">
        <v>1</v>
      </c>
      <c r="G70" s="78">
        <v>0.05</v>
      </c>
      <c r="H70" s="78">
        <v>10000</v>
      </c>
      <c r="I70" s="78"/>
      <c r="J70" s="78">
        <v>-10000</v>
      </c>
      <c r="K70" s="78">
        <v>1000000</v>
      </c>
      <c r="L70" s="78">
        <f>'Kennzahlenbogen_(KB)'!Q66</f>
        <v>0</v>
      </c>
      <c r="M70" s="79" t="str">
        <f>IF('Kennzahlenbogen_(KB)'!R64=Berechnung1!$G$5,1,IF('Kennzahlenbogen_(KB)'!R64=Berechnung1!$F$5,1,IF('Kennzahlenbogen_(KB)'!R64=Berechnung1!$E$5,2,IF('Kennzahlenbogen_(KB)'!R64=Berechnung1!$D$5,3,IF('Kennzahlenbogen_(KB)'!R64=Berechnung1!$C$5,4,"")))))</f>
        <v/>
      </c>
      <c r="N70" s="79" t="e">
        <f t="shared" si="5"/>
        <v>#VALUE!</v>
      </c>
      <c r="O70" s="79">
        <f>IF('Kennzahlenbogen_(KB)'!T64="",0,1)</f>
        <v>0</v>
      </c>
    </row>
    <row r="71" spans="1:15" hidden="1" x14ac:dyDescent="0.25">
      <c r="C71" s="77">
        <v>30</v>
      </c>
      <c r="D71" s="77" t="s">
        <v>22</v>
      </c>
      <c r="E71" s="78">
        <v>0</v>
      </c>
      <c r="F71" s="78">
        <v>1</v>
      </c>
      <c r="G71" s="78">
        <v>0.05</v>
      </c>
      <c r="H71" s="78">
        <v>10000</v>
      </c>
      <c r="I71" s="78"/>
      <c r="J71" s="78">
        <v>-10000</v>
      </c>
      <c r="K71" s="78">
        <v>1000000</v>
      </c>
      <c r="L71" s="78">
        <f>'Kennzahlenbogen_(KB)'!Q67</f>
        <v>0</v>
      </c>
      <c r="M71" s="79" t="str">
        <f>IF('Kennzahlenbogen_(KB)'!R65=Berechnung1!$G$5,1,IF('Kennzahlenbogen_(KB)'!R65=Berechnung1!$F$5,1,IF('Kennzahlenbogen_(KB)'!R65=Berechnung1!$E$5,2,IF('Kennzahlenbogen_(KB)'!R65=Berechnung1!$D$5,3,IF('Kennzahlenbogen_(KB)'!R65=Berechnung1!$C$5,4,"")))))</f>
        <v/>
      </c>
      <c r="N71" s="79" t="e">
        <f t="shared" si="5"/>
        <v>#VALUE!</v>
      </c>
      <c r="O71" s="79">
        <f>IF('Kennzahlenbogen_(KB)'!T65="",0,1)</f>
        <v>0</v>
      </c>
    </row>
    <row r="72" spans="1:15" hidden="1" x14ac:dyDescent="0.25">
      <c r="C72" s="77">
        <v>31</v>
      </c>
      <c r="D72" s="77" t="s">
        <v>22</v>
      </c>
      <c r="E72" s="78">
        <v>0</v>
      </c>
      <c r="F72" s="78">
        <v>1</v>
      </c>
      <c r="G72" s="78">
        <v>0.05</v>
      </c>
      <c r="H72" s="78">
        <v>10000</v>
      </c>
      <c r="I72" s="78"/>
      <c r="J72" s="78">
        <v>-10000</v>
      </c>
      <c r="K72" s="78">
        <v>1000000</v>
      </c>
      <c r="L72" s="78">
        <f>'Kennzahlenbogen_(KB)'!Q68</f>
        <v>0</v>
      </c>
      <c r="M72" s="79" t="str">
        <f>IF('Kennzahlenbogen_(KB)'!R66=Berechnung1!$G$5,1,IF('Kennzahlenbogen_(KB)'!R66=Berechnung1!$F$5,1,IF('Kennzahlenbogen_(KB)'!R66=Berechnung1!$E$5,2,IF('Kennzahlenbogen_(KB)'!R66=Berechnung1!$D$5,3,IF('Kennzahlenbogen_(KB)'!R66=Berechnung1!$C$5,4,"")))))</f>
        <v/>
      </c>
      <c r="N72" s="79" t="e">
        <f t="shared" si="5"/>
        <v>#VALUE!</v>
      </c>
      <c r="O72" s="79">
        <f>IF('Kennzahlenbogen_(KB)'!T66="",0,1)</f>
        <v>0</v>
      </c>
    </row>
    <row r="73" spans="1:15" hidden="1" x14ac:dyDescent="0.25">
      <c r="A73" s="19"/>
      <c r="C73" s="77">
        <v>32</v>
      </c>
      <c r="D73" s="77" t="s">
        <v>22</v>
      </c>
      <c r="E73" s="78">
        <v>0</v>
      </c>
      <c r="F73" s="78">
        <v>1</v>
      </c>
      <c r="G73" s="78">
        <v>0.05</v>
      </c>
      <c r="H73" s="78">
        <v>10000</v>
      </c>
      <c r="I73" s="78"/>
      <c r="J73" s="78">
        <v>-10000</v>
      </c>
      <c r="K73" s="78">
        <v>1000000</v>
      </c>
      <c r="L73" s="78">
        <f>'Kennzahlenbogen_(KB)'!Q69</f>
        <v>0</v>
      </c>
      <c r="M73" s="79" t="str">
        <f>IF('Kennzahlenbogen_(KB)'!R67=Berechnung1!$G$5,1,IF('Kennzahlenbogen_(KB)'!R67=Berechnung1!$F$5,1,IF('Kennzahlenbogen_(KB)'!R67=Berechnung1!$E$5,2,IF('Kennzahlenbogen_(KB)'!R67=Berechnung1!$D$5,3,IF('Kennzahlenbogen_(KB)'!R67=Berechnung1!$C$5,4,"")))))</f>
        <v/>
      </c>
      <c r="N73" s="79" t="e">
        <f t="shared" si="5"/>
        <v>#VALUE!</v>
      </c>
      <c r="O73" s="79">
        <f>IF('Kennzahlenbogen_(KB)'!T67="",0,1)</f>
        <v>0</v>
      </c>
    </row>
    <row r="74" spans="1:15" hidden="1" x14ac:dyDescent="0.25">
      <c r="C74" s="77">
        <v>33</v>
      </c>
      <c r="D74" s="77" t="s">
        <v>22</v>
      </c>
      <c r="E74" s="78">
        <v>0</v>
      </c>
      <c r="F74" s="78">
        <v>1</v>
      </c>
      <c r="G74" s="78">
        <v>0.05</v>
      </c>
      <c r="H74" s="78">
        <v>10000</v>
      </c>
      <c r="I74" s="78"/>
      <c r="J74" s="78">
        <v>-10000</v>
      </c>
      <c r="K74" s="78">
        <v>1000000</v>
      </c>
      <c r="L74" s="78">
        <f>'Kennzahlenbogen_(KB)'!Q70</f>
        <v>0</v>
      </c>
      <c r="M74" s="79" t="str">
        <f>IF('Kennzahlenbogen_(KB)'!R68=Berechnung1!$G$5,1,IF('Kennzahlenbogen_(KB)'!R68=Berechnung1!$F$5,1,IF('Kennzahlenbogen_(KB)'!R68=Berechnung1!$E$5,2,IF('Kennzahlenbogen_(KB)'!R68=Berechnung1!$D$5,3,IF('Kennzahlenbogen_(KB)'!R68=Berechnung1!$C$5,4,"")))))</f>
        <v/>
      </c>
      <c r="N74" s="79" t="e">
        <f t="shared" si="5"/>
        <v>#VALUE!</v>
      </c>
      <c r="O74" s="79">
        <f>IF('Kennzahlenbogen_(KB)'!T68="",0,1)</f>
        <v>0</v>
      </c>
    </row>
    <row r="75" spans="1:15" hidden="1" x14ac:dyDescent="0.25">
      <c r="C75" s="77">
        <v>34</v>
      </c>
      <c r="D75" s="77" t="s">
        <v>22</v>
      </c>
      <c r="E75" s="78">
        <v>0</v>
      </c>
      <c r="F75" s="78">
        <v>1</v>
      </c>
      <c r="G75" s="78">
        <v>0.05</v>
      </c>
      <c r="H75" s="78">
        <v>10000</v>
      </c>
      <c r="I75" s="78"/>
      <c r="J75" s="78">
        <v>-10000</v>
      </c>
      <c r="K75" s="78">
        <v>1000000</v>
      </c>
      <c r="L75" s="78">
        <f>'Kennzahlenbogen_(KB)'!Q71</f>
        <v>0</v>
      </c>
      <c r="M75" s="79" t="str">
        <f>IF('Kennzahlenbogen_(KB)'!R69=Berechnung1!$G$5,1,IF('Kennzahlenbogen_(KB)'!R69=Berechnung1!$F$5,1,IF('Kennzahlenbogen_(KB)'!R69=Berechnung1!$E$5,2,IF('Kennzahlenbogen_(KB)'!R69=Berechnung1!$D$5,3,IF('Kennzahlenbogen_(KB)'!R69=Berechnung1!$C$5,4,"")))))</f>
        <v/>
      </c>
      <c r="N75" s="79" t="e">
        <f t="shared" si="5"/>
        <v>#VALUE!</v>
      </c>
      <c r="O75" s="79">
        <f>IF('Kennzahlenbogen_(KB)'!T69="",0,1)</f>
        <v>0</v>
      </c>
    </row>
    <row r="76" spans="1:15" hidden="1" x14ac:dyDescent="0.25">
      <c r="C76" s="77">
        <v>35</v>
      </c>
      <c r="D76" s="77" t="s">
        <v>22</v>
      </c>
      <c r="E76" s="78">
        <v>0</v>
      </c>
      <c r="F76" s="78">
        <v>1</v>
      </c>
      <c r="G76" s="78">
        <v>0.05</v>
      </c>
      <c r="H76" s="78">
        <v>10000</v>
      </c>
      <c r="I76" s="78"/>
      <c r="J76" s="78">
        <v>-10000</v>
      </c>
      <c r="K76" s="78">
        <v>1000000</v>
      </c>
      <c r="L76" s="78">
        <f>'Kennzahlenbogen_(KB)'!Q72</f>
        <v>0</v>
      </c>
      <c r="M76" s="79" t="str">
        <f>IF('Kennzahlenbogen_(KB)'!R70=Berechnung1!$G$5,1,IF('Kennzahlenbogen_(KB)'!R70=Berechnung1!$F$5,1,IF('Kennzahlenbogen_(KB)'!R70=Berechnung1!$E$5,2,IF('Kennzahlenbogen_(KB)'!R70=Berechnung1!$D$5,3,IF('Kennzahlenbogen_(KB)'!R70=Berechnung1!$C$5,4,"")))))</f>
        <v/>
      </c>
      <c r="N76" s="79" t="e">
        <f t="shared" si="5"/>
        <v>#VALUE!</v>
      </c>
      <c r="O76" s="79">
        <f>IF('Kennzahlenbogen_(KB)'!T70="",0,1)</f>
        <v>0</v>
      </c>
    </row>
    <row r="77" spans="1:15" hidden="1" x14ac:dyDescent="0.25">
      <c r="C77" s="77">
        <v>36</v>
      </c>
      <c r="D77" s="77" t="s">
        <v>22</v>
      </c>
      <c r="E77" s="78">
        <v>0</v>
      </c>
      <c r="F77" s="78">
        <v>1</v>
      </c>
      <c r="G77" s="78">
        <v>0.05</v>
      </c>
      <c r="H77" s="78">
        <v>10000</v>
      </c>
      <c r="I77" s="78"/>
      <c r="J77" s="78">
        <v>-10000</v>
      </c>
      <c r="K77" s="78">
        <v>1000000</v>
      </c>
      <c r="L77" s="78">
        <f>'Kennzahlenbogen_(KB)'!Q73</f>
        <v>0</v>
      </c>
      <c r="M77" s="79" t="str">
        <f>IF('Kennzahlenbogen_(KB)'!R71=Berechnung1!$G$5,1,IF('Kennzahlenbogen_(KB)'!R71=Berechnung1!$F$5,1,IF('Kennzahlenbogen_(KB)'!R71=Berechnung1!$E$5,2,IF('Kennzahlenbogen_(KB)'!R71=Berechnung1!$D$5,3,IF('Kennzahlenbogen_(KB)'!R71=Berechnung1!$C$5,4,"")))))</f>
        <v/>
      </c>
      <c r="N77" s="79" t="e">
        <f t="shared" si="5"/>
        <v>#VALUE!</v>
      </c>
      <c r="O77" s="79">
        <f>IF('Kennzahlenbogen_(KB)'!T71="",0,1)</f>
        <v>0</v>
      </c>
    </row>
    <row r="78" spans="1:15" hidden="1" x14ac:dyDescent="0.25">
      <c r="A78" s="19"/>
      <c r="C78" s="77">
        <v>37</v>
      </c>
      <c r="D78" s="77" t="s">
        <v>22</v>
      </c>
      <c r="E78" s="78">
        <v>0</v>
      </c>
      <c r="F78" s="78">
        <v>1</v>
      </c>
      <c r="G78" s="78">
        <v>0.05</v>
      </c>
      <c r="H78" s="78">
        <v>10000</v>
      </c>
      <c r="I78" s="78"/>
      <c r="J78" s="78">
        <v>-10000</v>
      </c>
      <c r="K78" s="78">
        <v>1000000</v>
      </c>
      <c r="L78" s="78">
        <f>'Kennzahlenbogen_(KB)'!Q74</f>
        <v>0</v>
      </c>
      <c r="M78" s="79" t="str">
        <f>IF('Kennzahlenbogen_(KB)'!R72=Berechnung1!$G$5,1,IF('Kennzahlenbogen_(KB)'!R72=Berechnung1!$F$5,1,IF('Kennzahlenbogen_(KB)'!R72=Berechnung1!$E$5,2,IF('Kennzahlenbogen_(KB)'!R72=Berechnung1!$D$5,3,IF('Kennzahlenbogen_(KB)'!R72=Berechnung1!$C$5,4,"")))))</f>
        <v/>
      </c>
      <c r="N78" s="79" t="e">
        <f t="shared" si="5"/>
        <v>#VALUE!</v>
      </c>
      <c r="O78" s="79">
        <f>IF('Kennzahlenbogen_(KB)'!T72="",0,1)</f>
        <v>0</v>
      </c>
    </row>
    <row r="79" spans="1:15" hidden="1" x14ac:dyDescent="0.25">
      <c r="A79" s="19"/>
      <c r="B79" s="19"/>
      <c r="C79" s="77">
        <v>38</v>
      </c>
      <c r="D79" s="77" t="s">
        <v>22</v>
      </c>
      <c r="E79" s="78">
        <v>0</v>
      </c>
      <c r="F79" s="78">
        <v>1</v>
      </c>
      <c r="G79" s="78">
        <v>0.05</v>
      </c>
      <c r="H79" s="78">
        <v>10000</v>
      </c>
      <c r="I79" s="78"/>
      <c r="J79" s="78">
        <v>-10000</v>
      </c>
      <c r="K79" s="78">
        <v>1000000</v>
      </c>
      <c r="L79" s="78">
        <f>'Kennzahlenbogen_(KB)'!Q75</f>
        <v>0</v>
      </c>
      <c r="M79" s="79" t="str">
        <f>IF('Kennzahlenbogen_(KB)'!R73=Berechnung1!$G$5,1,IF('Kennzahlenbogen_(KB)'!R73=Berechnung1!$F$5,1,IF('Kennzahlenbogen_(KB)'!R73=Berechnung1!$E$5,2,IF('Kennzahlenbogen_(KB)'!R73=Berechnung1!$D$5,3,IF('Kennzahlenbogen_(KB)'!R73=Berechnung1!$C$5,4,"")))))</f>
        <v/>
      </c>
      <c r="N79" s="79" t="e">
        <f t="shared" si="5"/>
        <v>#VALUE!</v>
      </c>
      <c r="O79" s="79">
        <f>IF('Kennzahlenbogen_(KB)'!T73="",0,1)</f>
        <v>0</v>
      </c>
    </row>
    <row r="80" spans="1:15" hidden="1" x14ac:dyDescent="0.25">
      <c r="A80" s="19"/>
      <c r="B80" s="19"/>
      <c r="C80" s="77">
        <v>39</v>
      </c>
      <c r="D80" s="77" t="s">
        <v>22</v>
      </c>
      <c r="E80" s="78">
        <v>0</v>
      </c>
      <c r="F80" s="78">
        <v>1</v>
      </c>
      <c r="G80" s="78">
        <v>0.05</v>
      </c>
      <c r="H80" s="78">
        <v>10000</v>
      </c>
      <c r="I80" s="78"/>
      <c r="J80" s="78">
        <v>-10000</v>
      </c>
      <c r="K80" s="78">
        <v>1000000</v>
      </c>
      <c r="L80" s="78">
        <f>'Kennzahlenbogen_(KB)'!Q76</f>
        <v>0</v>
      </c>
      <c r="M80" s="79" t="str">
        <f>IF('Kennzahlenbogen_(KB)'!R74=Berechnung1!$G$5,1,IF('Kennzahlenbogen_(KB)'!R74=Berechnung1!$F$5,1,IF('Kennzahlenbogen_(KB)'!R74=Berechnung1!$E$5,2,IF('Kennzahlenbogen_(KB)'!R74=Berechnung1!$D$5,3,IF('Kennzahlenbogen_(KB)'!R74=Berechnung1!$C$5,4,"")))))</f>
        <v/>
      </c>
      <c r="N80" s="79" t="e">
        <f t="shared" si="5"/>
        <v>#VALUE!</v>
      </c>
      <c r="O80" s="79">
        <f>IF('Kennzahlenbogen_(KB)'!T74="",0,1)</f>
        <v>0</v>
      </c>
    </row>
    <row r="81" spans="1:15" hidden="1" x14ac:dyDescent="0.25">
      <c r="A81" s="19"/>
      <c r="B81" s="19"/>
      <c r="C81" s="77">
        <v>40</v>
      </c>
      <c r="D81" s="77" t="s">
        <v>22</v>
      </c>
      <c r="E81" s="78">
        <v>0</v>
      </c>
      <c r="F81" s="78">
        <v>1</v>
      </c>
      <c r="G81" s="78">
        <v>0.05</v>
      </c>
      <c r="H81" s="78">
        <v>10000</v>
      </c>
      <c r="I81" s="78"/>
      <c r="J81" s="78">
        <v>-10000</v>
      </c>
      <c r="K81" s="78">
        <v>1000000</v>
      </c>
      <c r="L81" s="78">
        <f>'Kennzahlenbogen_(KB)'!Q77</f>
        <v>0</v>
      </c>
      <c r="M81" s="79" t="str">
        <f>IF('Kennzahlenbogen_(KB)'!R75=Berechnung1!$G$5,1,IF('Kennzahlenbogen_(KB)'!R75=Berechnung1!$F$5,1,IF('Kennzahlenbogen_(KB)'!R75=Berechnung1!$E$5,2,IF('Kennzahlenbogen_(KB)'!R75=Berechnung1!$D$5,3,IF('Kennzahlenbogen_(KB)'!R75=Berechnung1!$C$5,4,"")))))</f>
        <v/>
      </c>
      <c r="N81" s="79" t="e">
        <f t="shared" si="5"/>
        <v>#VALUE!</v>
      </c>
      <c r="O81" s="79">
        <f>IF('Kennzahlenbogen_(KB)'!T75="",0,1)</f>
        <v>0</v>
      </c>
    </row>
    <row r="82" spans="1:15" hidden="1" x14ac:dyDescent="0.25">
      <c r="A82" s="19"/>
      <c r="B82" s="19"/>
      <c r="C82" s="77">
        <v>41</v>
      </c>
      <c r="D82" s="77" t="s">
        <v>22</v>
      </c>
      <c r="E82" s="78">
        <v>0</v>
      </c>
      <c r="F82" s="78">
        <v>1</v>
      </c>
      <c r="G82" s="78">
        <v>0.05</v>
      </c>
      <c r="H82" s="78">
        <v>10000</v>
      </c>
      <c r="I82" s="78"/>
      <c r="J82" s="78">
        <v>-10000</v>
      </c>
      <c r="K82" s="78">
        <v>1000000</v>
      </c>
      <c r="L82" s="78">
        <f>'Kennzahlenbogen_(KB)'!Q78</f>
        <v>0</v>
      </c>
      <c r="M82" s="79" t="str">
        <f>IF('Kennzahlenbogen_(KB)'!R76=Berechnung1!$G$5,1,IF('Kennzahlenbogen_(KB)'!R76=Berechnung1!$F$5,1,IF('Kennzahlenbogen_(KB)'!R76=Berechnung1!$E$5,2,IF('Kennzahlenbogen_(KB)'!R76=Berechnung1!$D$5,3,IF('Kennzahlenbogen_(KB)'!R76=Berechnung1!$C$5,4,"")))))</f>
        <v/>
      </c>
      <c r="N82" s="79" t="e">
        <f t="shared" si="5"/>
        <v>#VALUE!</v>
      </c>
      <c r="O82" s="79">
        <f>IF('Kennzahlenbogen_(KB)'!T76="",0,1)</f>
        <v>0</v>
      </c>
    </row>
    <row r="83" spans="1:15" hidden="1" x14ac:dyDescent="0.25">
      <c r="A83" s="85"/>
      <c r="B83" s="19"/>
      <c r="C83" s="77">
        <v>42</v>
      </c>
      <c r="D83" s="77" t="s">
        <v>22</v>
      </c>
      <c r="E83" s="78">
        <v>0</v>
      </c>
      <c r="F83" s="78">
        <v>1</v>
      </c>
      <c r="G83" s="78">
        <v>0.05</v>
      </c>
      <c r="H83" s="78">
        <v>10000</v>
      </c>
      <c r="I83" s="78"/>
      <c r="J83" s="78">
        <v>-10000</v>
      </c>
      <c r="K83" s="78">
        <v>1000000</v>
      </c>
      <c r="L83" s="78">
        <f>'Kennzahlenbogen_(KB)'!Q79</f>
        <v>0</v>
      </c>
      <c r="M83" s="79" t="str">
        <f>IF('Kennzahlenbogen_(KB)'!R77=Berechnung1!$G$5,1,IF('Kennzahlenbogen_(KB)'!R77=Berechnung1!$F$5,1,IF('Kennzahlenbogen_(KB)'!R77=Berechnung1!$E$5,2,IF('Kennzahlenbogen_(KB)'!R77=Berechnung1!$D$5,3,IF('Kennzahlenbogen_(KB)'!R77=Berechnung1!$C$5,4,"")))))</f>
        <v/>
      </c>
      <c r="N83" s="79" t="e">
        <f t="shared" si="5"/>
        <v>#VALUE!</v>
      </c>
      <c r="O83" s="79">
        <f>IF('Kennzahlenbogen_(KB)'!T77="",0,1)</f>
        <v>0</v>
      </c>
    </row>
    <row r="84" spans="1:15" hidden="1" x14ac:dyDescent="0.25">
      <c r="A84" s="85"/>
      <c r="B84" s="19"/>
      <c r="C84" s="77">
        <v>43</v>
      </c>
      <c r="D84" s="77" t="s">
        <v>22</v>
      </c>
      <c r="E84" s="78">
        <v>0</v>
      </c>
      <c r="F84" s="78">
        <v>1</v>
      </c>
      <c r="G84" s="78">
        <v>0.05</v>
      </c>
      <c r="H84" s="78">
        <v>10000</v>
      </c>
      <c r="I84" s="78"/>
      <c r="J84" s="78">
        <v>-10000</v>
      </c>
      <c r="K84" s="78">
        <v>1000000</v>
      </c>
      <c r="L84" s="78">
        <f>'Kennzahlenbogen_(KB)'!Q80</f>
        <v>0</v>
      </c>
      <c r="M84" s="79" t="str">
        <f>IF('Kennzahlenbogen_(KB)'!R78=Berechnung1!$G$5,1,IF('Kennzahlenbogen_(KB)'!R78=Berechnung1!$F$5,1,IF('Kennzahlenbogen_(KB)'!R78=Berechnung1!$E$5,2,IF('Kennzahlenbogen_(KB)'!R78=Berechnung1!$D$5,3,IF('Kennzahlenbogen_(KB)'!R78=Berechnung1!$C$5,4,"")))))</f>
        <v/>
      </c>
      <c r="N84" s="79" t="e">
        <f t="shared" si="5"/>
        <v>#VALUE!</v>
      </c>
      <c r="O84" s="79">
        <f>IF('Kennzahlenbogen_(KB)'!T78="",0,1)</f>
        <v>0</v>
      </c>
    </row>
    <row r="85" spans="1:15" hidden="1" x14ac:dyDescent="0.25">
      <c r="A85" s="85"/>
      <c r="B85" s="19"/>
      <c r="C85" s="77">
        <v>44</v>
      </c>
      <c r="D85" s="77" t="s">
        <v>22</v>
      </c>
      <c r="E85" s="78">
        <v>0</v>
      </c>
      <c r="F85" s="78">
        <v>1</v>
      </c>
      <c r="G85" s="78">
        <v>0.05</v>
      </c>
      <c r="H85" s="78">
        <v>10000</v>
      </c>
      <c r="I85" s="78"/>
      <c r="J85" s="78">
        <v>-10000</v>
      </c>
      <c r="K85" s="78">
        <v>1000000</v>
      </c>
      <c r="L85" s="78">
        <f>'Kennzahlenbogen_(KB)'!Q81</f>
        <v>0</v>
      </c>
      <c r="M85" s="79" t="str">
        <f>IF('Kennzahlenbogen_(KB)'!R79=Berechnung1!$G$5,1,IF('Kennzahlenbogen_(KB)'!R79=Berechnung1!$F$5,1,IF('Kennzahlenbogen_(KB)'!R79=Berechnung1!$E$5,2,IF('Kennzahlenbogen_(KB)'!R79=Berechnung1!$D$5,3,IF('Kennzahlenbogen_(KB)'!R79=Berechnung1!$C$5,4,"")))))</f>
        <v/>
      </c>
      <c r="N85" s="79" t="e">
        <f t="shared" si="5"/>
        <v>#VALUE!</v>
      </c>
      <c r="O85" s="79">
        <f>IF('Kennzahlenbogen_(KB)'!T79="",0,1)</f>
        <v>0</v>
      </c>
    </row>
    <row r="86" spans="1:15" hidden="1" x14ac:dyDescent="0.25">
      <c r="A86" s="85"/>
      <c r="B86" s="19"/>
      <c r="C86" s="77">
        <v>45</v>
      </c>
      <c r="D86" s="77" t="s">
        <v>22</v>
      </c>
      <c r="E86" s="78">
        <v>0</v>
      </c>
      <c r="F86" s="78">
        <v>1</v>
      </c>
      <c r="G86" s="78">
        <v>0.05</v>
      </c>
      <c r="H86" s="78">
        <v>10000</v>
      </c>
      <c r="I86" s="78"/>
      <c r="J86" s="78">
        <v>-10000</v>
      </c>
      <c r="K86" s="78">
        <v>1000000</v>
      </c>
      <c r="L86" s="78">
        <f>'Kennzahlenbogen_(KB)'!Q82</f>
        <v>0</v>
      </c>
      <c r="M86" s="79" t="str">
        <f>IF('Kennzahlenbogen_(KB)'!R80=Berechnung1!$G$5,1,IF('Kennzahlenbogen_(KB)'!R80=Berechnung1!$F$5,1,IF('Kennzahlenbogen_(KB)'!R80=Berechnung1!$E$5,2,IF('Kennzahlenbogen_(KB)'!R80=Berechnung1!$D$5,3,IF('Kennzahlenbogen_(KB)'!R80=Berechnung1!$C$5,4,"")))))</f>
        <v/>
      </c>
      <c r="N86" s="79" t="e">
        <f t="shared" si="5"/>
        <v>#VALUE!</v>
      </c>
      <c r="O86" s="79">
        <f>IF('Kennzahlenbogen_(KB)'!T80="",0,1)</f>
        <v>0</v>
      </c>
    </row>
    <row r="87" spans="1:15" hidden="1" x14ac:dyDescent="0.25">
      <c r="A87" s="85"/>
      <c r="B87" s="19"/>
      <c r="C87" s="77">
        <v>46</v>
      </c>
      <c r="D87" s="77" t="s">
        <v>22</v>
      </c>
      <c r="E87" s="78">
        <v>0</v>
      </c>
      <c r="F87" s="78">
        <v>1</v>
      </c>
      <c r="G87" s="78">
        <v>0.05</v>
      </c>
      <c r="H87" s="78">
        <v>10000</v>
      </c>
      <c r="I87" s="78"/>
      <c r="J87" s="78">
        <v>-10000</v>
      </c>
      <c r="K87" s="78">
        <v>1000000</v>
      </c>
      <c r="L87" s="78">
        <f>'Kennzahlenbogen_(KB)'!Q83</f>
        <v>0</v>
      </c>
      <c r="M87" s="79" t="str">
        <f>IF('Kennzahlenbogen_(KB)'!R81=Berechnung1!$G$5,1,IF('Kennzahlenbogen_(KB)'!R81=Berechnung1!$F$5,1,IF('Kennzahlenbogen_(KB)'!R81=Berechnung1!$E$5,2,IF('Kennzahlenbogen_(KB)'!R81=Berechnung1!$D$5,3,IF('Kennzahlenbogen_(KB)'!R81=Berechnung1!$C$5,4,"")))))</f>
        <v/>
      </c>
      <c r="N87" s="79" t="e">
        <f t="shared" si="5"/>
        <v>#VALUE!</v>
      </c>
      <c r="O87" s="79">
        <f>IF('Kennzahlenbogen_(KB)'!T81="",0,1)</f>
        <v>0</v>
      </c>
    </row>
    <row r="88" spans="1:15" hidden="1" x14ac:dyDescent="0.25">
      <c r="A88" s="85"/>
      <c r="B88" s="19"/>
      <c r="C88" s="77">
        <v>47</v>
      </c>
      <c r="D88" s="77" t="s">
        <v>22</v>
      </c>
      <c r="E88" s="78">
        <v>0</v>
      </c>
      <c r="F88" s="78">
        <v>1</v>
      </c>
      <c r="G88" s="78">
        <v>0.05</v>
      </c>
      <c r="H88" s="78">
        <v>10000</v>
      </c>
      <c r="I88" s="78"/>
      <c r="J88" s="78">
        <v>-10000</v>
      </c>
      <c r="K88" s="78">
        <v>1000000</v>
      </c>
      <c r="L88" s="78">
        <f>'Kennzahlenbogen_(KB)'!Q84</f>
        <v>0</v>
      </c>
      <c r="M88" s="79" t="str">
        <f>IF('Kennzahlenbogen_(KB)'!R82=Berechnung1!$G$5,1,IF('Kennzahlenbogen_(KB)'!R82=Berechnung1!$F$5,1,IF('Kennzahlenbogen_(KB)'!R82=Berechnung1!$E$5,2,IF('Kennzahlenbogen_(KB)'!R82=Berechnung1!$D$5,3,IF('Kennzahlenbogen_(KB)'!R82=Berechnung1!$C$5,4,"")))))</f>
        <v/>
      </c>
      <c r="N88" s="79" t="e">
        <f t="shared" si="5"/>
        <v>#VALUE!</v>
      </c>
      <c r="O88" s="79">
        <f>IF('Kennzahlenbogen_(KB)'!T82="",0,1)</f>
        <v>0</v>
      </c>
    </row>
    <row r="89" spans="1:15" hidden="1" x14ac:dyDescent="0.25">
      <c r="A89" s="85"/>
      <c r="B89" s="19"/>
      <c r="C89" s="77">
        <v>48</v>
      </c>
      <c r="D89" s="77" t="s">
        <v>22</v>
      </c>
      <c r="E89" s="78">
        <v>0</v>
      </c>
      <c r="F89" s="78">
        <v>1</v>
      </c>
      <c r="G89" s="78">
        <v>0.05</v>
      </c>
      <c r="H89" s="78">
        <v>10000</v>
      </c>
      <c r="I89" s="78"/>
      <c r="J89" s="78">
        <v>-10000</v>
      </c>
      <c r="K89" s="78">
        <v>1000000</v>
      </c>
      <c r="L89" s="78">
        <f>'Kennzahlenbogen_(KB)'!Q85</f>
        <v>0</v>
      </c>
      <c r="M89" s="79" t="str">
        <f>IF('Kennzahlenbogen_(KB)'!R83=Berechnung1!$G$5,1,IF('Kennzahlenbogen_(KB)'!R83=Berechnung1!$F$5,1,IF('Kennzahlenbogen_(KB)'!R83=Berechnung1!$E$5,2,IF('Kennzahlenbogen_(KB)'!R83=Berechnung1!$D$5,3,IF('Kennzahlenbogen_(KB)'!R83=Berechnung1!$C$5,4,"")))))</f>
        <v/>
      </c>
      <c r="N89" s="79" t="e">
        <f t="shared" si="5"/>
        <v>#VALUE!</v>
      </c>
      <c r="O89" s="79">
        <f>IF('Kennzahlenbogen_(KB)'!T83="",0,1)</f>
        <v>0</v>
      </c>
    </row>
    <row r="90" spans="1:15" hidden="1" x14ac:dyDescent="0.25">
      <c r="A90" s="85"/>
      <c r="B90" s="19"/>
      <c r="C90" s="77">
        <v>49</v>
      </c>
      <c r="D90" s="77" t="s">
        <v>22</v>
      </c>
      <c r="E90" s="78">
        <v>0</v>
      </c>
      <c r="F90" s="78">
        <v>1</v>
      </c>
      <c r="G90" s="78">
        <v>0.05</v>
      </c>
      <c r="H90" s="78">
        <v>10000</v>
      </c>
      <c r="I90" s="78"/>
      <c r="J90" s="78">
        <v>-10000</v>
      </c>
      <c r="K90" s="78">
        <v>1000000</v>
      </c>
      <c r="L90" s="78">
        <f>'Kennzahlenbogen_(KB)'!Q86</f>
        <v>0</v>
      </c>
      <c r="M90" s="79" t="str">
        <f>IF('Kennzahlenbogen_(KB)'!R84=Berechnung1!$G$5,1,IF('Kennzahlenbogen_(KB)'!R84=Berechnung1!$F$5,1,IF('Kennzahlenbogen_(KB)'!R84=Berechnung1!$E$5,2,IF('Kennzahlenbogen_(KB)'!R84=Berechnung1!$D$5,3,IF('Kennzahlenbogen_(KB)'!R84=Berechnung1!$C$5,4,"")))))</f>
        <v/>
      </c>
      <c r="N90" s="79" t="e">
        <f t="shared" si="5"/>
        <v>#VALUE!</v>
      </c>
      <c r="O90" s="79">
        <f>IF('Kennzahlenbogen_(KB)'!T84="",0,1)</f>
        <v>0</v>
      </c>
    </row>
    <row r="91" spans="1:15" hidden="1" x14ac:dyDescent="0.25">
      <c r="A91" s="85"/>
      <c r="B91" s="19"/>
      <c r="C91" s="77">
        <v>50</v>
      </c>
      <c r="D91" s="77" t="s">
        <v>22</v>
      </c>
      <c r="E91" s="78">
        <v>0</v>
      </c>
      <c r="F91" s="78">
        <v>1</v>
      </c>
      <c r="G91" s="78">
        <v>0.05</v>
      </c>
      <c r="H91" s="78">
        <v>10000</v>
      </c>
      <c r="I91" s="78"/>
      <c r="J91" s="78">
        <v>-10000</v>
      </c>
      <c r="K91" s="78">
        <v>1000000</v>
      </c>
      <c r="L91" s="78">
        <f>'Kennzahlenbogen_(KB)'!Q87</f>
        <v>0</v>
      </c>
      <c r="M91" s="79" t="str">
        <f>IF('Kennzahlenbogen_(KB)'!R85=Berechnung1!$G$5,1,IF('Kennzahlenbogen_(KB)'!R85=Berechnung1!$F$5,1,IF('Kennzahlenbogen_(KB)'!R85=Berechnung1!$E$5,2,IF('Kennzahlenbogen_(KB)'!R85=Berechnung1!$D$5,3,IF('Kennzahlenbogen_(KB)'!R85=Berechnung1!$C$5,4,"")))))</f>
        <v/>
      </c>
      <c r="N91" s="79" t="e">
        <f t="shared" si="5"/>
        <v>#VALUE!</v>
      </c>
      <c r="O91" s="79">
        <f>IF('Kennzahlenbogen_(KB)'!T85="",0,1)</f>
        <v>0</v>
      </c>
    </row>
    <row r="92" spans="1:15" hidden="1" x14ac:dyDescent="0.25">
      <c r="A92" s="85"/>
      <c r="B92" s="19"/>
      <c r="C92" s="77">
        <v>51</v>
      </c>
      <c r="D92" s="77" t="s">
        <v>22</v>
      </c>
      <c r="E92" s="78">
        <v>0</v>
      </c>
      <c r="F92" s="78">
        <v>1</v>
      </c>
      <c r="G92" s="78">
        <v>0.05</v>
      </c>
      <c r="H92" s="78">
        <v>10000</v>
      </c>
      <c r="I92" s="78"/>
      <c r="J92" s="78">
        <v>-10000</v>
      </c>
      <c r="K92" s="78">
        <v>1000000</v>
      </c>
      <c r="L92" s="78">
        <f>'Kennzahlenbogen_(KB)'!Q88</f>
        <v>0</v>
      </c>
      <c r="M92" s="79" t="str">
        <f>IF('Kennzahlenbogen_(KB)'!R86=Berechnung1!$G$5,1,IF('Kennzahlenbogen_(KB)'!R86=Berechnung1!$F$5,1,IF('Kennzahlenbogen_(KB)'!R86=Berechnung1!$E$5,2,IF('Kennzahlenbogen_(KB)'!R86=Berechnung1!$D$5,3,IF('Kennzahlenbogen_(KB)'!R86=Berechnung1!$C$5,4,"")))))</f>
        <v/>
      </c>
      <c r="N92" s="79" t="e">
        <f t="shared" si="5"/>
        <v>#VALUE!</v>
      </c>
      <c r="O92" s="79">
        <f>IF('Kennzahlenbogen_(KB)'!T86="",0,1)</f>
        <v>0</v>
      </c>
    </row>
    <row r="93" spans="1:15" hidden="1" x14ac:dyDescent="0.25">
      <c r="A93" s="85"/>
      <c r="B93" s="19"/>
      <c r="C93" s="77">
        <v>52</v>
      </c>
      <c r="D93" s="77" t="s">
        <v>22</v>
      </c>
      <c r="E93" s="78">
        <v>0</v>
      </c>
      <c r="F93" s="78">
        <v>1</v>
      </c>
      <c r="G93" s="78">
        <v>0.05</v>
      </c>
      <c r="H93" s="78">
        <v>10000</v>
      </c>
      <c r="I93" s="78"/>
      <c r="J93" s="78">
        <v>-10000</v>
      </c>
      <c r="K93" s="78">
        <v>1000000</v>
      </c>
      <c r="L93" s="78">
        <f>'Kennzahlenbogen_(KB)'!Q89</f>
        <v>0</v>
      </c>
      <c r="M93" s="79" t="str">
        <f>IF('Kennzahlenbogen_(KB)'!R87=Berechnung1!$G$5,1,IF('Kennzahlenbogen_(KB)'!R87=Berechnung1!$F$5,1,IF('Kennzahlenbogen_(KB)'!R87=Berechnung1!$E$5,2,IF('Kennzahlenbogen_(KB)'!R87=Berechnung1!$D$5,3,IF('Kennzahlenbogen_(KB)'!R87=Berechnung1!$C$5,4,"")))))</f>
        <v/>
      </c>
      <c r="N93" s="79" t="e">
        <f t="shared" si="5"/>
        <v>#VALUE!</v>
      </c>
      <c r="O93" s="79">
        <f>IF('Kennzahlenbogen_(KB)'!T87="",0,1)</f>
        <v>0</v>
      </c>
    </row>
    <row r="94" spans="1:15" hidden="1" x14ac:dyDescent="0.25">
      <c r="A94" s="85"/>
      <c r="B94" s="19"/>
      <c r="C94" s="77">
        <v>53</v>
      </c>
      <c r="D94" s="77" t="s">
        <v>22</v>
      </c>
      <c r="E94" s="78">
        <v>0</v>
      </c>
      <c r="F94" s="78">
        <v>1</v>
      </c>
      <c r="G94" s="78">
        <v>0.05</v>
      </c>
      <c r="H94" s="78">
        <v>10000</v>
      </c>
      <c r="I94" s="78"/>
      <c r="J94" s="78">
        <v>-10000</v>
      </c>
      <c r="K94" s="78">
        <v>1000000</v>
      </c>
      <c r="L94" s="78">
        <f>'Kennzahlenbogen_(KB)'!Q90</f>
        <v>0</v>
      </c>
      <c r="M94" s="79" t="str">
        <f>IF('Kennzahlenbogen_(KB)'!R88=Berechnung1!$G$5,1,IF('Kennzahlenbogen_(KB)'!R88=Berechnung1!$F$5,1,IF('Kennzahlenbogen_(KB)'!R88=Berechnung1!$E$5,2,IF('Kennzahlenbogen_(KB)'!R88=Berechnung1!$D$5,3,IF('Kennzahlenbogen_(KB)'!R88=Berechnung1!$C$5,4,"")))))</f>
        <v/>
      </c>
      <c r="N94" s="79" t="e">
        <f t="shared" si="5"/>
        <v>#VALUE!</v>
      </c>
      <c r="O94" s="79">
        <f>IF('Kennzahlenbogen_(KB)'!T88="",0,1)</f>
        <v>0</v>
      </c>
    </row>
    <row r="95" spans="1:15" hidden="1" x14ac:dyDescent="0.25">
      <c r="A95" s="85"/>
      <c r="B95" s="19"/>
      <c r="C95" s="77">
        <v>54</v>
      </c>
      <c r="D95" s="77" t="s">
        <v>22</v>
      </c>
      <c r="E95" s="78">
        <v>0</v>
      </c>
      <c r="F95" s="78">
        <v>1</v>
      </c>
      <c r="G95" s="78">
        <v>0.05</v>
      </c>
      <c r="H95" s="78">
        <v>10000</v>
      </c>
      <c r="I95" s="78"/>
      <c r="J95" s="78">
        <v>-10000</v>
      </c>
      <c r="K95" s="78">
        <v>1000000</v>
      </c>
      <c r="L95" s="78">
        <f>'Kennzahlenbogen_(KB)'!Q91</f>
        <v>0</v>
      </c>
      <c r="M95" s="79" t="str">
        <f>IF('Kennzahlenbogen_(KB)'!R89=Berechnung1!$G$5,1,IF('Kennzahlenbogen_(KB)'!R89=Berechnung1!$F$5,1,IF('Kennzahlenbogen_(KB)'!R89=Berechnung1!$E$5,2,IF('Kennzahlenbogen_(KB)'!R89=Berechnung1!$D$5,3,IF('Kennzahlenbogen_(KB)'!R89=Berechnung1!$C$5,4,"")))))</f>
        <v/>
      </c>
      <c r="N95" s="79" t="e">
        <f t="shared" si="5"/>
        <v>#VALUE!</v>
      </c>
      <c r="O95" s="79">
        <f>IF('Kennzahlenbogen_(KB)'!T89="",0,1)</f>
        <v>0</v>
      </c>
    </row>
    <row r="96" spans="1:15" hidden="1" x14ac:dyDescent="0.25">
      <c r="A96" s="85"/>
      <c r="B96" s="19"/>
      <c r="C96" s="77">
        <v>55</v>
      </c>
      <c r="D96" s="77" t="s">
        <v>22</v>
      </c>
      <c r="E96" s="78">
        <v>0</v>
      </c>
      <c r="F96" s="78">
        <v>1</v>
      </c>
      <c r="G96" s="78">
        <v>0.05</v>
      </c>
      <c r="H96" s="78">
        <v>10000</v>
      </c>
      <c r="I96" s="78"/>
      <c r="J96" s="78">
        <v>-10000</v>
      </c>
      <c r="K96" s="78">
        <v>1000000</v>
      </c>
      <c r="L96" s="78">
        <f>'Kennzahlenbogen_(KB)'!Q92</f>
        <v>0</v>
      </c>
      <c r="M96" s="79" t="str">
        <f>IF('Kennzahlenbogen_(KB)'!R90=Berechnung1!$G$5,1,IF('Kennzahlenbogen_(KB)'!R90=Berechnung1!$F$5,1,IF('Kennzahlenbogen_(KB)'!R90=Berechnung1!$E$5,2,IF('Kennzahlenbogen_(KB)'!R90=Berechnung1!$D$5,3,IF('Kennzahlenbogen_(KB)'!R90=Berechnung1!$C$5,4,"")))))</f>
        <v/>
      </c>
      <c r="N96" s="79" t="e">
        <f t="shared" si="5"/>
        <v>#VALUE!</v>
      </c>
      <c r="O96" s="79">
        <f>IF('Kennzahlenbogen_(KB)'!T90="",0,1)</f>
        <v>0</v>
      </c>
    </row>
    <row r="97" spans="1:15" hidden="1" x14ac:dyDescent="0.25">
      <c r="A97" s="85"/>
      <c r="B97" s="19"/>
      <c r="C97" s="77">
        <v>56</v>
      </c>
      <c r="D97" s="77" t="s">
        <v>22</v>
      </c>
      <c r="E97" s="78">
        <v>0</v>
      </c>
      <c r="F97" s="78">
        <v>1</v>
      </c>
      <c r="G97" s="78">
        <v>0.05</v>
      </c>
      <c r="H97" s="78">
        <v>10000</v>
      </c>
      <c r="I97" s="78"/>
      <c r="J97" s="78">
        <v>-10000</v>
      </c>
      <c r="K97" s="78">
        <v>1000000</v>
      </c>
      <c r="L97" s="78">
        <f>'Kennzahlenbogen_(KB)'!Q93</f>
        <v>0</v>
      </c>
      <c r="M97" s="79" t="str">
        <f>IF('Kennzahlenbogen_(KB)'!R91=Berechnung1!$G$5,1,IF('Kennzahlenbogen_(KB)'!R91=Berechnung1!$F$5,1,IF('Kennzahlenbogen_(KB)'!R91=Berechnung1!$E$5,2,IF('Kennzahlenbogen_(KB)'!R91=Berechnung1!$D$5,3,IF('Kennzahlenbogen_(KB)'!R91=Berechnung1!$C$5,4,"")))))</f>
        <v/>
      </c>
      <c r="N97" s="79" t="e">
        <f t="shared" si="5"/>
        <v>#VALUE!</v>
      </c>
      <c r="O97" s="79">
        <f>IF('Kennzahlenbogen_(KB)'!T91="",0,1)</f>
        <v>0</v>
      </c>
    </row>
    <row r="98" spans="1:15" hidden="1" x14ac:dyDescent="0.25">
      <c r="A98" s="85"/>
      <c r="B98" s="19"/>
      <c r="C98" s="77">
        <v>57</v>
      </c>
      <c r="D98" s="77" t="s">
        <v>22</v>
      </c>
      <c r="E98" s="78">
        <v>0</v>
      </c>
      <c r="F98" s="78">
        <v>1</v>
      </c>
      <c r="G98" s="78">
        <v>0.05</v>
      </c>
      <c r="H98" s="78">
        <v>10000</v>
      </c>
      <c r="I98" s="78"/>
      <c r="J98" s="78">
        <v>-10000</v>
      </c>
      <c r="K98" s="78">
        <v>1000000</v>
      </c>
      <c r="L98" s="78">
        <f>'Kennzahlenbogen_(KB)'!Q94</f>
        <v>0</v>
      </c>
      <c r="M98" s="79" t="str">
        <f>IF('Kennzahlenbogen_(KB)'!R92=Berechnung1!$G$5,1,IF('Kennzahlenbogen_(KB)'!R92=Berechnung1!$F$5,1,IF('Kennzahlenbogen_(KB)'!R92=Berechnung1!$E$5,2,IF('Kennzahlenbogen_(KB)'!R92=Berechnung1!$D$5,3,IF('Kennzahlenbogen_(KB)'!R92=Berechnung1!$C$5,4,"")))))</f>
        <v/>
      </c>
      <c r="N98" s="79" t="e">
        <f t="shared" si="5"/>
        <v>#VALUE!</v>
      </c>
      <c r="O98" s="79">
        <f>IF('Kennzahlenbogen_(KB)'!T92="",0,1)</f>
        <v>0</v>
      </c>
    </row>
    <row r="99" spans="1:15" hidden="1" x14ac:dyDescent="0.25">
      <c r="A99" s="85"/>
      <c r="B99" s="19"/>
      <c r="C99" s="77">
        <v>58</v>
      </c>
      <c r="D99" s="77" t="s">
        <v>22</v>
      </c>
      <c r="E99" s="78">
        <v>0</v>
      </c>
      <c r="F99" s="78">
        <v>1</v>
      </c>
      <c r="G99" s="78">
        <v>0.05</v>
      </c>
      <c r="H99" s="78">
        <v>10000</v>
      </c>
      <c r="I99" s="78"/>
      <c r="J99" s="78">
        <v>-10000</v>
      </c>
      <c r="K99" s="78">
        <v>1000000</v>
      </c>
      <c r="L99" s="78">
        <f>'Kennzahlenbogen_(KB)'!Q95</f>
        <v>0</v>
      </c>
      <c r="M99" s="79" t="str">
        <f>IF('Kennzahlenbogen_(KB)'!R93=Berechnung1!$G$5,1,IF('Kennzahlenbogen_(KB)'!R93=Berechnung1!$F$5,1,IF('Kennzahlenbogen_(KB)'!R93=Berechnung1!$E$5,2,IF('Kennzahlenbogen_(KB)'!R93=Berechnung1!$D$5,3,IF('Kennzahlenbogen_(KB)'!R93=Berechnung1!$C$5,4,"")))))</f>
        <v/>
      </c>
      <c r="N99" s="79" t="e">
        <f t="shared" si="5"/>
        <v>#VALUE!</v>
      </c>
      <c r="O99" s="79">
        <f>IF('Kennzahlenbogen_(KB)'!T93="",0,1)</f>
        <v>0</v>
      </c>
    </row>
    <row r="100" spans="1:15" hidden="1" x14ac:dyDescent="0.25">
      <c r="A100" s="85"/>
      <c r="B100" s="19"/>
      <c r="C100" s="77">
        <v>59</v>
      </c>
      <c r="D100" s="77" t="s">
        <v>22</v>
      </c>
      <c r="E100" s="78">
        <v>0</v>
      </c>
      <c r="F100" s="78">
        <v>1</v>
      </c>
      <c r="G100" s="78">
        <v>0.05</v>
      </c>
      <c r="H100" s="78">
        <v>10000</v>
      </c>
      <c r="I100" s="78"/>
      <c r="J100" s="78">
        <v>-10000</v>
      </c>
      <c r="K100" s="78">
        <v>1000000</v>
      </c>
      <c r="L100" s="78">
        <f>'Kennzahlenbogen_(KB)'!Q96</f>
        <v>0</v>
      </c>
      <c r="M100" s="79" t="str">
        <f>IF('Kennzahlenbogen_(KB)'!R94=Berechnung1!$G$5,1,IF('Kennzahlenbogen_(KB)'!R94=Berechnung1!$F$5,1,IF('Kennzahlenbogen_(KB)'!R94=Berechnung1!$E$5,2,IF('Kennzahlenbogen_(KB)'!R94=Berechnung1!$D$5,3,IF('Kennzahlenbogen_(KB)'!R94=Berechnung1!$C$5,4,"")))))</f>
        <v/>
      </c>
      <c r="N100" s="79" t="e">
        <f t="shared" si="5"/>
        <v>#VALUE!</v>
      </c>
      <c r="O100" s="79">
        <f>IF('Kennzahlenbogen_(KB)'!T94="",0,1)</f>
        <v>0</v>
      </c>
    </row>
    <row r="101" spans="1:15" hidden="1" x14ac:dyDescent="0.25">
      <c r="A101" s="86"/>
      <c r="C101" s="77">
        <v>60</v>
      </c>
      <c r="D101" s="77" t="s">
        <v>22</v>
      </c>
      <c r="E101" s="78">
        <v>0</v>
      </c>
      <c r="F101" s="78">
        <v>1</v>
      </c>
      <c r="G101" s="78">
        <v>0.05</v>
      </c>
      <c r="H101" s="78">
        <v>10000</v>
      </c>
      <c r="I101" s="78"/>
      <c r="J101" s="78">
        <v>-10000</v>
      </c>
      <c r="K101" s="78">
        <v>1000000</v>
      </c>
      <c r="L101" s="78">
        <f>'Kennzahlenbogen_(KB)'!Q97</f>
        <v>0</v>
      </c>
      <c r="M101" s="79" t="str">
        <f>IF('Kennzahlenbogen_(KB)'!R95=Berechnung1!$G$5,1,IF('Kennzahlenbogen_(KB)'!R95=Berechnung1!$F$5,1,IF('Kennzahlenbogen_(KB)'!R95=Berechnung1!$E$5,2,IF('Kennzahlenbogen_(KB)'!R95=Berechnung1!$D$5,3,IF('Kennzahlenbogen_(KB)'!R95=Berechnung1!$C$5,4,"")))))</f>
        <v/>
      </c>
      <c r="N101" s="79" t="e">
        <f t="shared" ref="N101" si="6">IF(M101&gt;1,M101+3,M101)</f>
        <v>#VALUE!</v>
      </c>
      <c r="O101" s="79">
        <f>IF('Kennzahlenbogen_(KB)'!T95="",0,1)</f>
        <v>0</v>
      </c>
    </row>
    <row r="102" spans="1:15" hidden="1" x14ac:dyDescent="0.25"/>
  </sheetData>
  <phoneticPr fontId="56" type="noConversion"/>
  <pageMargins left="0.7" right="0.7" top="0.78740157499999996" bottom="0.78740157499999996"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B1:N26"/>
  <sheetViews>
    <sheetView showGridLines="0" showRuler="0" showWhiteSpace="0" zoomScaleNormal="100" zoomScaleSheetLayoutView="100" workbookViewId="0">
      <selection activeCell="C49" sqref="C49"/>
    </sheetView>
  </sheetViews>
  <sheetFormatPr defaultColWidth="9.140625" defaultRowHeight="15" x14ac:dyDescent="0.25"/>
  <cols>
    <col min="1" max="1" width="0.85546875" customWidth="1"/>
    <col min="2" max="2" width="3.140625" customWidth="1"/>
    <col min="3" max="3" width="20.85546875" customWidth="1"/>
    <col min="4" max="4" width="6.5703125" customWidth="1"/>
    <col min="5" max="5" width="8.85546875" customWidth="1"/>
    <col min="6" max="6" width="6.85546875" customWidth="1"/>
    <col min="7" max="7" width="6.28515625" customWidth="1"/>
    <col min="8" max="8" width="6.42578125" customWidth="1"/>
    <col min="9" max="9" width="7" customWidth="1"/>
    <col min="10" max="10" width="10" customWidth="1"/>
    <col min="11" max="11" width="29.5703125" customWidth="1"/>
    <col min="12" max="12" width="28.7109375" customWidth="1"/>
    <col min="13" max="13" width="5.42578125" customWidth="1"/>
    <col min="14" max="14" width="14.5703125" style="12" hidden="1" customWidth="1"/>
    <col min="15" max="15" width="9.140625" customWidth="1"/>
  </cols>
  <sheetData>
    <row r="1" spans="2:14" s="1" customFormat="1" ht="6.95" customHeight="1" x14ac:dyDescent="0.2">
      <c r="B1" s="2"/>
      <c r="C1" s="120" t="str">
        <f t="array" aca="1" ref="C1" ca="1">IF(N11=TRUE,"A1:L15",CONCATENATE("A1:L",(MATCH("",B:B,-1)-1)))</f>
        <v>A1:L25</v>
      </c>
      <c r="N1" s="4"/>
    </row>
    <row r="2" spans="2:14" s="1" customFormat="1" ht="15.95" customHeight="1" x14ac:dyDescent="0.2">
      <c r="B2" s="65" t="s">
        <v>712</v>
      </c>
      <c r="N2" s="4"/>
    </row>
    <row r="3" spans="2:14" s="1" customFormat="1" ht="15.95" customHeight="1" x14ac:dyDescent="0.25">
      <c r="B3" s="127" t="s">
        <v>335</v>
      </c>
      <c r="L3" s="5"/>
      <c r="N3" s="4"/>
    </row>
    <row r="4" spans="2:14" s="1" customFormat="1" ht="15.95" customHeight="1" x14ac:dyDescent="0.2">
      <c r="L4" s="5"/>
      <c r="N4" s="4"/>
    </row>
    <row r="5" spans="2:14" s="1" customFormat="1" ht="15.95" customHeight="1" x14ac:dyDescent="0.2">
      <c r="D5" s="3"/>
      <c r="E5" s="3"/>
      <c r="F5" s="3"/>
      <c r="G5" s="3"/>
      <c r="H5" s="3"/>
      <c r="I5" s="3"/>
      <c r="J5" s="3"/>
      <c r="K5" s="3"/>
      <c r="L5" s="5"/>
      <c r="N5" s="4"/>
    </row>
    <row r="6" spans="2:14" s="6" customFormat="1" ht="15" customHeight="1" x14ac:dyDescent="0.25">
      <c r="C6" s="10" t="s">
        <v>82</v>
      </c>
      <c r="D6" s="511" t="str">
        <f>IF(Basisdaten!D8=0,"",Basisdaten!D8)</f>
        <v/>
      </c>
      <c r="E6" s="560"/>
      <c r="F6" s="560"/>
      <c r="G6" s="560"/>
      <c r="H6" s="560"/>
      <c r="I6" s="560"/>
      <c r="J6" s="560"/>
      <c r="K6" s="561"/>
      <c r="L6" s="5"/>
      <c r="N6" s="53"/>
    </row>
    <row r="7" spans="2:14" s="6" customFormat="1" ht="6.95" customHeight="1" x14ac:dyDescent="0.2">
      <c r="C7" s="16"/>
      <c r="D7" s="3"/>
      <c r="E7" s="3"/>
      <c r="F7" s="3"/>
      <c r="G7" s="3"/>
      <c r="H7" s="3"/>
      <c r="I7" s="3"/>
      <c r="J7" s="3"/>
      <c r="K7" s="3"/>
      <c r="L7" s="5"/>
      <c r="N7" s="53"/>
    </row>
    <row r="8" spans="2:14" s="6" customFormat="1" ht="15" customHeight="1" x14ac:dyDescent="0.25">
      <c r="C8" s="10" t="s">
        <v>73</v>
      </c>
      <c r="D8" s="511" t="str">
        <f>IF(Basisdaten!D6=0,"",Basisdaten!D6)</f>
        <v/>
      </c>
      <c r="E8" s="562"/>
      <c r="F8" s="561"/>
      <c r="G8" s="5"/>
      <c r="I8" s="7" t="s">
        <v>71</v>
      </c>
      <c r="K8" s="9" t="str">
        <f>IF(Basisdaten!K12=0,"",Basisdaten!K12)</f>
        <v/>
      </c>
      <c r="L8" s="5"/>
      <c r="N8" s="53"/>
    </row>
    <row r="9" spans="2:14" s="1" customFormat="1" ht="10.5" customHeight="1" x14ac:dyDescent="0.2">
      <c r="L9" s="5"/>
      <c r="N9" s="4"/>
    </row>
    <row r="10" spans="2:14" s="1" customFormat="1" ht="13.5" customHeight="1" x14ac:dyDescent="0.2">
      <c r="C10" s="63" t="str">
        <f ca="1">IF(N11=TRUE,"Kein Datendefizit vorhanden","")</f>
        <v/>
      </c>
      <c r="L10" s="5"/>
      <c r="N10" s="54" t="s">
        <v>60</v>
      </c>
    </row>
    <row r="11" spans="2:14" s="1" customFormat="1" ht="15.75" customHeight="1" x14ac:dyDescent="0.2">
      <c r="C11" s="38" t="str">
        <f ca="1">IF($N$11=TRUE,"","Übertragung erfolgt automatisch aus Kennzahlenbogen (Ist-Werte, Begründungen und Aktionen)")</f>
        <v>Übertragung erfolgt automatisch aus Kennzahlenbogen (Ist-Werte, Begründungen und Aktionen)</v>
      </c>
      <c r="L11" s="5"/>
      <c r="N11" s="54" t="b">
        <f t="array" aca="1" ref="N11" ca="1">$B$14:$L$24=""</f>
        <v>0</v>
      </c>
    </row>
    <row r="12" spans="2:14" ht="15.75" customHeight="1" x14ac:dyDescent="0.25">
      <c r="B12" s="563" t="str">
        <f ca="1">IF($N$11=TRUE,"","KN")</f>
        <v>KN</v>
      </c>
      <c r="C12" s="565" t="str">
        <f ca="1">IF($N$11=TRUE,"","Kennzahlendefinition")</f>
        <v>Kennzahlendefinition</v>
      </c>
      <c r="D12" s="563" t="str">
        <f ca="1">IF($N$11=TRUE,"","Vorgaben Datenqualität")</f>
        <v>Vorgaben Datenqualität</v>
      </c>
      <c r="E12" s="567"/>
      <c r="F12" s="567"/>
      <c r="G12" s="563" t="str">
        <f ca="1">IF($N$11=TRUE,"","Ist-Werte")</f>
        <v>Ist-Werte</v>
      </c>
      <c r="H12" s="567"/>
      <c r="I12" s="567"/>
      <c r="J12" s="563" t="str">
        <f ca="1">IF($N$11=TRUE,"","Daten-qualität")</f>
        <v>Daten-qualität</v>
      </c>
      <c r="K12" s="563" t="str">
        <f ca="1">IF($N$11=TRUE,"","Verifizierung Zentrum")</f>
        <v>Verifizierung Zentrum</v>
      </c>
      <c r="L12" s="563"/>
    </row>
    <row r="13" spans="2:14" ht="21" customHeight="1" x14ac:dyDescent="0.25">
      <c r="B13" s="564"/>
      <c r="C13" s="566"/>
      <c r="D13" s="67" t="str">
        <f ca="1">IF($N$11=TRUE,"","Plausi unklar")</f>
        <v>Plausi unklar</v>
      </c>
      <c r="E13" s="67" t="str">
        <f ca="1">IF($N$11=TRUE,"","Sollvorgabe")</f>
        <v>Sollvorgabe</v>
      </c>
      <c r="F13" s="67" t="str">
        <f ca="1">IF($N$11=TRUE,"","Plausi unklar")</f>
        <v>Plausi unklar</v>
      </c>
      <c r="G13" s="67" t="str">
        <f ca="1">IF($N$11=TRUE,"","Zähler / Anzahl")</f>
        <v>Zähler / Anzahl</v>
      </c>
      <c r="H13" s="33" t="str">
        <f ca="1">IF($N$11=TRUE,"","Nenner")</f>
        <v>Nenner</v>
      </c>
      <c r="I13" s="33" t="str">
        <f ca="1">IF($N$11=TRUE,"","Quote")</f>
        <v>Quote</v>
      </c>
      <c r="J13" s="564"/>
      <c r="K13" s="33" t="str">
        <f ca="1">IF($N$11=TRUE,"","Begründung / Ursache")</f>
        <v>Begründung / Ursache</v>
      </c>
      <c r="L13" s="33" t="str">
        <f ca="1">IF($N$11=TRUE,"","Eingeleitete / geplante Aktionen")</f>
        <v>Eingeleitete / geplante Aktionen</v>
      </c>
    </row>
    <row r="14" spans="2:14" ht="170.1" customHeight="1" x14ac:dyDescent="0.25">
      <c r="B14" s="33" t="str">
        <f ca="1">'Hilfstabelle DatendefKB'!O2</f>
        <v>1a)</v>
      </c>
      <c r="C14" s="34" t="str">
        <f ca="1">'Hilfstabelle DatendefKB'!P2</f>
        <v>Anzahl Primärfälle</v>
      </c>
      <c r="D14" s="59" t="str">
        <f ca="1">'Hilfstabelle DatendefKB'!Q2</f>
        <v>-----</v>
      </c>
      <c r="E14" s="59" t="str">
        <f ca="1">'Hilfstabelle DatendefKB'!R2</f>
        <v>Derzeit keine Vorgaben</v>
      </c>
      <c r="F14" s="59" t="str">
        <f ca="1">'Hilfstabelle DatendefKB'!S2</f>
        <v>-----</v>
      </c>
      <c r="G14" s="39">
        <f ca="1">'Hilfstabelle DatendefKB'!T2</f>
        <v>0</v>
      </c>
      <c r="H14" s="35" t="str">
        <f ca="1">'Hilfstabelle DatendefKB'!U2</f>
        <v>-----</v>
      </c>
      <c r="I14" s="58" t="str">
        <f ca="1">'Hilfstabelle DatendefKB'!V2</f>
        <v>-----</v>
      </c>
      <c r="J14" s="36" t="str">
        <f ca="1">'Hilfstabelle DatendefKB'!W2</f>
        <v>Unvollständig</v>
      </c>
      <c r="K14" s="37" t="str">
        <f ca="1">'Hilfstabelle DatendefKB'!X2</f>
        <v>-----</v>
      </c>
      <c r="L14" s="37" t="str">
        <f ca="1">'Hilfstabelle DatendefKB'!Y2</f>
        <v>-----</v>
      </c>
    </row>
    <row r="15" spans="2:14" ht="170.1" customHeight="1" x14ac:dyDescent="0.25">
      <c r="B15" s="33" t="str">
        <f ca="1">'Hilfstabelle DatendefKB'!O3</f>
        <v>1b)</v>
      </c>
      <c r="C15" s="34" t="str">
        <f ca="1">'Hilfstabelle DatendefKB'!P3</f>
        <v>Zentrumspat. mit neuaufgetretenem (Lokal-) Rezidiv und/oder Fernmetastasen</v>
      </c>
      <c r="D15" s="59" t="str">
        <f ca="1">'Hilfstabelle DatendefKB'!Q3</f>
        <v>-----</v>
      </c>
      <c r="E15" s="59" t="str">
        <f ca="1">'Hilfstabelle DatendefKB'!R3</f>
        <v>Derzeit keine Vorgaben</v>
      </c>
      <c r="F15" s="59" t="str">
        <f ca="1">'Hilfstabelle DatendefKB'!S3</f>
        <v>-----</v>
      </c>
      <c r="G15" s="39">
        <f ca="1">'Hilfstabelle DatendefKB'!T3</f>
        <v>0</v>
      </c>
      <c r="H15" s="35" t="str">
        <f ca="1">'Hilfstabelle DatendefKB'!U3</f>
        <v>-----</v>
      </c>
      <c r="I15" s="58" t="str">
        <f ca="1">'Hilfstabelle DatendefKB'!V3</f>
        <v>-----</v>
      </c>
      <c r="J15" s="36" t="str">
        <f ca="1">'Hilfstabelle DatendefKB'!W3</f>
        <v>Unvollständig</v>
      </c>
      <c r="K15" s="37" t="str">
        <f ca="1">'Hilfstabelle DatendefKB'!X3</f>
        <v>-----</v>
      </c>
      <c r="L15" s="37" t="str">
        <f ca="1">'Hilfstabelle DatendefKB'!Y3</f>
        <v>-----</v>
      </c>
    </row>
    <row r="16" spans="2:14" ht="170.1" customHeight="1" x14ac:dyDescent="0.25">
      <c r="B16" s="33" t="str">
        <f ca="1">'Hilfstabelle DatendefKB'!O4</f>
        <v>1c)</v>
      </c>
      <c r="C16" s="34" t="str">
        <f ca="1">'Hilfstabelle DatendefKB'!P4</f>
        <v>Anzahl Zentrumsfälle</v>
      </c>
      <c r="D16" s="59" t="str">
        <f ca="1">'Hilfstabelle DatendefKB'!Q4</f>
        <v>-----</v>
      </c>
      <c r="E16" s="59" t="str">
        <f ca="1">'Hilfstabelle DatendefKB'!R4</f>
        <v>≥ 50</v>
      </c>
      <c r="F16" s="59" t="str">
        <f ca="1">'Hilfstabelle DatendefKB'!S4</f>
        <v>-----</v>
      </c>
      <c r="G16" s="39">
        <f ca="1">'Hilfstabelle DatendefKB'!T4</f>
        <v>0</v>
      </c>
      <c r="H16" s="35" t="str">
        <f ca="1">'Hilfstabelle DatendefKB'!U4</f>
        <v>-----</v>
      </c>
      <c r="I16" s="58" t="str">
        <f ca="1">'Hilfstabelle DatendefKB'!V4</f>
        <v>-----</v>
      </c>
      <c r="J16" s="36" t="str">
        <f ca="1">'Hilfstabelle DatendefKB'!W4</f>
        <v>Unvollständig</v>
      </c>
      <c r="K16" s="37" t="str">
        <f ca="1">'Hilfstabelle DatendefKB'!X4</f>
        <v>-----</v>
      </c>
      <c r="L16" s="37" t="str">
        <f ca="1">'Hilfstabelle DatendefKB'!Y4</f>
        <v>-----</v>
      </c>
    </row>
    <row r="17" spans="2:14" ht="170.1" customHeight="1" x14ac:dyDescent="0.25">
      <c r="B17" s="33" t="str">
        <f ca="1">'Hilfstabelle DatendefKB'!O5</f>
        <v>2a</v>
      </c>
      <c r="C17" s="34" t="str">
        <f ca="1">'Hilfstabelle DatendefKB'!P5</f>
        <v>Prätherapeutische Tumorkonferenz</v>
      </c>
      <c r="D17" s="59" t="str">
        <f ca="1">'Hilfstabelle DatendefKB'!Q5</f>
        <v>-----</v>
      </c>
      <c r="E17" s="59" t="str">
        <f ca="1">'Hilfstabelle DatendefKB'!R5</f>
        <v>≥ 95%</v>
      </c>
      <c r="F17" s="59" t="str">
        <f ca="1">'Hilfstabelle DatendefKB'!S5</f>
        <v>-----</v>
      </c>
      <c r="G17" s="39" t="str">
        <f ca="1">'Hilfstabelle DatendefKB'!T5</f>
        <v>-----</v>
      </c>
      <c r="H17" s="35">
        <f ca="1">'Hilfstabelle DatendefKB'!U5</f>
        <v>0</v>
      </c>
      <c r="I17" s="58" t="str">
        <f ca="1">'Hilfstabelle DatendefKB'!V5</f>
        <v>n.d.</v>
      </c>
      <c r="J17" s="36" t="str">
        <f ca="1">'Hilfstabelle DatendefKB'!W5</f>
        <v>Unvollständig</v>
      </c>
      <c r="K17" s="37" t="str">
        <f ca="1">'Hilfstabelle DatendefKB'!X5</f>
        <v>-----</v>
      </c>
      <c r="L17" s="37" t="str">
        <f ca="1">'Hilfstabelle DatendefKB'!Y5</f>
        <v>-----</v>
      </c>
      <c r="N17" s="4"/>
    </row>
    <row r="18" spans="2:14" ht="170.1" customHeight="1" x14ac:dyDescent="0.25">
      <c r="B18" s="33" t="str">
        <f ca="1">'Hilfstabelle DatendefKB'!O6</f>
        <v>2b</v>
      </c>
      <c r="C18" s="34" t="str">
        <f ca="1">'Hilfstabelle DatendefKB'!P6</f>
        <v>Prätherapeutische Tumorkonferenz</v>
      </c>
      <c r="D18" s="59" t="str">
        <f ca="1">'Hilfstabelle DatendefKB'!Q6</f>
        <v>-----</v>
      </c>
      <c r="E18" s="59" t="str">
        <f ca="1">'Hilfstabelle DatendefKB'!R6</f>
        <v>≥ 95%</v>
      </c>
      <c r="F18" s="59" t="str">
        <f ca="1">'Hilfstabelle DatendefKB'!S6</f>
        <v>-----</v>
      </c>
      <c r="G18" s="39" t="str">
        <f ca="1">'Hilfstabelle DatendefKB'!T6</f>
        <v>-----</v>
      </c>
      <c r="H18" s="35">
        <f ca="1">'Hilfstabelle DatendefKB'!U6</f>
        <v>0</v>
      </c>
      <c r="I18" s="58" t="str">
        <f ca="1">'Hilfstabelle DatendefKB'!V6</f>
        <v>n.d.</v>
      </c>
      <c r="J18" s="36" t="str">
        <f ca="1">'Hilfstabelle DatendefKB'!W6</f>
        <v>Unvollständig</v>
      </c>
      <c r="K18" s="37" t="str">
        <f ca="1">'Hilfstabelle DatendefKB'!X6</f>
        <v>-----</v>
      </c>
      <c r="L18" s="37" t="str">
        <f ca="1">'Hilfstabelle DatendefKB'!Y6</f>
        <v>-----</v>
      </c>
    </row>
    <row r="19" spans="2:14" ht="170.1" customHeight="1" x14ac:dyDescent="0.25">
      <c r="B19" s="33" t="str">
        <f ca="1">'Hilfstabelle DatendefKB'!O7</f>
        <v>3</v>
      </c>
      <c r="C19" s="34" t="str">
        <f ca="1">'Hilfstabelle DatendefKB'!P7</f>
        <v>Vorstellung postoperative Tumorkonferenz</v>
      </c>
      <c r="D19" s="59" t="str">
        <f ca="1">'Hilfstabelle DatendefKB'!Q7</f>
        <v>-----</v>
      </c>
      <c r="E19" s="59" t="str">
        <f ca="1">'Hilfstabelle DatendefKB'!R7</f>
        <v>≥ 95%</v>
      </c>
      <c r="F19" s="59" t="str">
        <f ca="1">'Hilfstabelle DatendefKB'!S7</f>
        <v>-----</v>
      </c>
      <c r="G19" s="39" t="str">
        <f ca="1">'Hilfstabelle DatendefKB'!T7</f>
        <v>-----</v>
      </c>
      <c r="H19" s="35" t="str">
        <f ca="1">'Hilfstabelle DatendefKB'!U7</f>
        <v>-----</v>
      </c>
      <c r="I19" s="58" t="str">
        <f ca="1">'Hilfstabelle DatendefKB'!V7</f>
        <v>n.d.</v>
      </c>
      <c r="J19" s="36" t="str">
        <f ca="1">'Hilfstabelle DatendefKB'!W7</f>
        <v>Unvollständig</v>
      </c>
      <c r="K19" s="37" t="str">
        <f ca="1">'Hilfstabelle DatendefKB'!X7</f>
        <v>-----</v>
      </c>
      <c r="L19" s="37" t="str">
        <f ca="1">'Hilfstabelle DatendefKB'!Y7</f>
        <v>-----</v>
      </c>
    </row>
    <row r="20" spans="2:14" ht="170.1" customHeight="1" x14ac:dyDescent="0.25">
      <c r="B20" s="33" t="str">
        <f ca="1">'Hilfstabelle DatendefKB'!O8</f>
        <v>4</v>
      </c>
      <c r="C20" s="34" t="str">
        <f ca="1">'Hilfstabelle DatendefKB'!P8</f>
        <v>Psychoonkologische Betreuung</v>
      </c>
      <c r="D20" s="59" t="str">
        <f ca="1">'Hilfstabelle DatendefKB'!Q8</f>
        <v>&lt; 5%</v>
      </c>
      <c r="E20" s="59" t="str">
        <f ca="1">'Hilfstabelle DatendefKB'!R8</f>
        <v>Derzeit keine Vorgaben</v>
      </c>
      <c r="F20" s="59" t="str">
        <f ca="1">'Hilfstabelle DatendefKB'!S8</f>
        <v>&gt; 60%</v>
      </c>
      <c r="G20" s="39" t="str">
        <f ca="1">'Hilfstabelle DatendefKB'!T8</f>
        <v>-----</v>
      </c>
      <c r="H20" s="35">
        <f ca="1">'Hilfstabelle DatendefKB'!U8</f>
        <v>0</v>
      </c>
      <c r="I20" s="58" t="str">
        <f ca="1">'Hilfstabelle DatendefKB'!V8</f>
        <v>n.d.</v>
      </c>
      <c r="J20" s="36" t="str">
        <f ca="1">'Hilfstabelle DatendefKB'!W8</f>
        <v>Unvollständig</v>
      </c>
      <c r="K20" s="37" t="str">
        <f ca="1">'Hilfstabelle DatendefKB'!X8</f>
        <v>-----</v>
      </c>
      <c r="L20" s="37" t="str">
        <f ca="1">'Hilfstabelle DatendefKB'!Y8</f>
        <v>-----</v>
      </c>
    </row>
    <row r="21" spans="2:14" ht="170.1" customHeight="1" x14ac:dyDescent="0.25">
      <c r="B21" s="33" t="str">
        <f ca="1">'Hilfstabelle DatendefKB'!O9</f>
        <v>5</v>
      </c>
      <c r="C21" s="34" t="str">
        <f ca="1">'Hilfstabelle DatendefKB'!P9</f>
        <v>Beratung Sozialdienst</v>
      </c>
      <c r="D21" s="59" t="str">
        <f ca="1">'Hilfstabelle DatendefKB'!Q9</f>
        <v>&lt; 40%</v>
      </c>
      <c r="E21" s="59" t="str">
        <f ca="1">'Hilfstabelle DatendefKB'!R9</f>
        <v>Derzeit keine Vorgaben</v>
      </c>
      <c r="F21" s="59" t="str">
        <f ca="1">'Hilfstabelle DatendefKB'!S9</f>
        <v>-----</v>
      </c>
      <c r="G21" s="39" t="str">
        <f ca="1">'Hilfstabelle DatendefKB'!T9</f>
        <v>-----</v>
      </c>
      <c r="H21" s="35">
        <f ca="1">'Hilfstabelle DatendefKB'!U9</f>
        <v>0</v>
      </c>
      <c r="I21" s="58" t="str">
        <f ca="1">'Hilfstabelle DatendefKB'!V9</f>
        <v>n.d.</v>
      </c>
      <c r="J21" s="36" t="str">
        <f ca="1">'Hilfstabelle DatendefKB'!W9</f>
        <v>Unvollständig</v>
      </c>
      <c r="K21" s="37" t="str">
        <f ca="1">'Hilfstabelle DatendefKB'!X9</f>
        <v>-----</v>
      </c>
      <c r="L21" s="37" t="str">
        <f ca="1">'Hilfstabelle DatendefKB'!Y9</f>
        <v>-----</v>
      </c>
    </row>
    <row r="22" spans="2:14" ht="170.1" customHeight="1" x14ac:dyDescent="0.25">
      <c r="B22" s="33" t="str">
        <f ca="1">'Hilfstabelle DatendefKB'!O10</f>
        <v>6</v>
      </c>
      <c r="C22" s="34" t="str">
        <f ca="1">'Hilfstabelle DatendefKB'!P10</f>
        <v>Anteil 
Studienpat.</v>
      </c>
      <c r="D22" s="59" t="str">
        <f ca="1">'Hilfstabelle DatendefKB'!Q10</f>
        <v>-----</v>
      </c>
      <c r="E22" s="59" t="str">
        <f ca="1">'Hilfstabelle DatendefKB'!R10</f>
        <v>≥ 5%</v>
      </c>
      <c r="F22" s="59" t="str">
        <f ca="1">'Hilfstabelle DatendefKB'!S10</f>
        <v>&gt; 80%</v>
      </c>
      <c r="G22" s="39" t="str">
        <f ca="1">'Hilfstabelle DatendefKB'!T10</f>
        <v>-----</v>
      </c>
      <c r="H22" s="35">
        <f ca="1">'Hilfstabelle DatendefKB'!U10</f>
        <v>0</v>
      </c>
      <c r="I22" s="58" t="str">
        <f ca="1">'Hilfstabelle DatendefKB'!V10</f>
        <v>n.d.</v>
      </c>
      <c r="J22" s="36" t="str">
        <f ca="1">'Hilfstabelle DatendefKB'!W10</f>
        <v>Unvollständig</v>
      </c>
      <c r="K22" s="37" t="str">
        <f ca="1">'Hilfstabelle DatendefKB'!X10</f>
        <v>-----</v>
      </c>
      <c r="L22" s="37" t="str">
        <f ca="1">'Hilfstabelle DatendefKB'!Y10</f>
        <v>-----</v>
      </c>
    </row>
    <row r="23" spans="2:14" ht="170.1" customHeight="1" x14ac:dyDescent="0.25">
      <c r="B23" s="33" t="str">
        <f ca="1">'Hilfstabelle DatendefKB'!O11</f>
        <v>7</v>
      </c>
      <c r="C23" s="34" t="str">
        <f ca="1">'Hilfstabelle DatendefKB'!P11</f>
        <v>R0-Resektion</v>
      </c>
      <c r="D23" s="59" t="str">
        <f ca="1">'Hilfstabelle DatendefKB'!Q11</f>
        <v>&lt; 80%</v>
      </c>
      <c r="E23" s="59" t="str">
        <f ca="1">'Hilfstabelle DatendefKB'!R11</f>
        <v>Derzeit keine Vorgaben</v>
      </c>
      <c r="F23" s="59" t="str">
        <f ca="1">'Hilfstabelle DatendefKB'!S11</f>
        <v>-----</v>
      </c>
      <c r="G23" s="39" t="str">
        <f ca="1">'Hilfstabelle DatendefKB'!T11</f>
        <v>-----</v>
      </c>
      <c r="H23" s="35">
        <f ca="1">'Hilfstabelle DatendefKB'!U11</f>
        <v>0</v>
      </c>
      <c r="I23" s="58" t="str">
        <f ca="1">'Hilfstabelle DatendefKB'!V11</f>
        <v>n.d.</v>
      </c>
      <c r="J23" s="36" t="str">
        <f ca="1">'Hilfstabelle DatendefKB'!W11</f>
        <v>Unvollständig</v>
      </c>
      <c r="K23" s="37" t="str">
        <f ca="1">'Hilfstabelle DatendefKB'!X11</f>
        <v>-----</v>
      </c>
      <c r="L23" s="37" t="str">
        <f ca="1">'Hilfstabelle DatendefKB'!Y11</f>
        <v>-----</v>
      </c>
    </row>
    <row r="24" spans="2:14" ht="170.1" customHeight="1" x14ac:dyDescent="0.25">
      <c r="B24" s="33" t="str">
        <f ca="1">'Hilfstabelle DatendefKB'!O12</f>
        <v>8</v>
      </c>
      <c r="C24" s="34" t="str">
        <f ca="1">'Hilfstabelle DatendefKB'!P12</f>
        <v>Prä-oder postoperative Strahlentherapie bei operierten hoch malignen WGT ohne GIST</v>
      </c>
      <c r="D24" s="59" t="str">
        <f ca="1">'Hilfstabelle DatendefKB'!Q12</f>
        <v>-----</v>
      </c>
      <c r="E24" s="59" t="str">
        <f ca="1">'Hilfstabelle DatendefKB'!R12</f>
        <v>≥ 80%</v>
      </c>
      <c r="F24" s="59" t="str">
        <f ca="1">'Hilfstabelle DatendefKB'!S12</f>
        <v>-----</v>
      </c>
      <c r="G24" s="39" t="str">
        <f ca="1">'Hilfstabelle DatendefKB'!T12</f>
        <v>-----</v>
      </c>
      <c r="H24" s="35">
        <f ca="1">'Hilfstabelle DatendefKB'!U12</f>
        <v>0</v>
      </c>
      <c r="I24" s="58" t="str">
        <f ca="1">'Hilfstabelle DatendefKB'!V12</f>
        <v>n.d.</v>
      </c>
      <c r="J24" s="36" t="str">
        <f ca="1">'Hilfstabelle DatendefKB'!W12</f>
        <v>Unvollständig</v>
      </c>
      <c r="K24" s="37" t="str">
        <f ca="1">'Hilfstabelle DatendefKB'!X12</f>
        <v>-----</v>
      </c>
      <c r="L24" s="37" t="str">
        <f ca="1">'Hilfstabelle DatendefKB'!Y12</f>
        <v>-----</v>
      </c>
    </row>
    <row r="25" spans="2:14" ht="170.1" customHeight="1" x14ac:dyDescent="0.25">
      <c r="B25" s="33" t="str">
        <f ca="1">'Hilfstabelle DatendefKB'!O13</f>
        <v>9</v>
      </c>
      <c r="C25" s="34" t="str">
        <f ca="1">'Hilfstabelle DatendefKB'!P13</f>
        <v>Prätherapeutische histologische Sicherung</v>
      </c>
      <c r="D25" s="59" t="str">
        <f ca="1">'Hilfstabelle DatendefKB'!Q13</f>
        <v>-----</v>
      </c>
      <c r="E25" s="59" t="str">
        <f ca="1">'Hilfstabelle DatendefKB'!R13</f>
        <v>≥ 90%</v>
      </c>
      <c r="F25" s="59" t="str">
        <f ca="1">'Hilfstabelle DatendefKB'!S13</f>
        <v>-----</v>
      </c>
      <c r="G25" s="39" t="str">
        <f ca="1">'Hilfstabelle DatendefKB'!T13</f>
        <v>-----</v>
      </c>
      <c r="H25" s="35">
        <f ca="1">'Hilfstabelle DatendefKB'!U13</f>
        <v>0</v>
      </c>
      <c r="I25" s="58" t="str">
        <f ca="1">'Hilfstabelle DatendefKB'!V13</f>
        <v>n.d.</v>
      </c>
      <c r="J25" s="36" t="str">
        <f ca="1">'Hilfstabelle DatendefKB'!W13</f>
        <v>Unvollständig</v>
      </c>
      <c r="K25" s="37" t="str">
        <f ca="1">'Hilfstabelle DatendefKB'!X13</f>
        <v>-----</v>
      </c>
      <c r="L25" s="37" t="str">
        <f ca="1">'Hilfstabelle DatendefKB'!Y13</f>
        <v>-----</v>
      </c>
    </row>
    <row r="26" spans="2:14" ht="170.1" customHeight="1" x14ac:dyDescent="0.25">
      <c r="B26" s="33" t="str">
        <f ca="1">'Hilfstabelle DatendefKB'!O14</f>
        <v>10</v>
      </c>
      <c r="C26" s="34" t="str">
        <f ca="1">'Hilfstabelle DatendefKB'!P14</f>
        <v>Risikogerechte adjuvante Therapie GIST</v>
      </c>
      <c r="D26" s="59" t="str">
        <f ca="1">'Hilfstabelle DatendefKB'!Q14</f>
        <v>-----</v>
      </c>
      <c r="E26" s="59" t="str">
        <f ca="1">'Hilfstabelle DatendefKB'!R14</f>
        <v>≥ 85%</v>
      </c>
      <c r="F26" s="59" t="str">
        <f ca="1">'Hilfstabelle DatendefKB'!S14</f>
        <v>-----</v>
      </c>
      <c r="G26" s="39" t="str">
        <f ca="1">'Hilfstabelle DatendefKB'!T14</f>
        <v>-----</v>
      </c>
      <c r="H26" s="35">
        <f ca="1">'Hilfstabelle DatendefKB'!U14</f>
        <v>0</v>
      </c>
      <c r="I26" s="58" t="str">
        <f ca="1">'Hilfstabelle DatendefKB'!V14</f>
        <v>n.d.</v>
      </c>
      <c r="J26" s="36" t="str">
        <f ca="1">'Hilfstabelle DatendefKB'!W14</f>
        <v>Unvollständig</v>
      </c>
      <c r="K26" s="37" t="str">
        <f ca="1">'Hilfstabelle DatendefKB'!X14</f>
        <v>-----</v>
      </c>
      <c r="L26" s="37" t="str">
        <f ca="1">'Hilfstabelle DatendefKB'!Y14</f>
        <v>-----</v>
      </c>
    </row>
  </sheetData>
  <sheetProtection algorithmName="SHA-512" hashValue="wmxWWkFAxzHhOBu4MVAqXLBURRyXbXVfLifni18b13DsDXxwZD4T76wyqJteH3+FFMQN1+aCpQDhqCwkPnUkUg==" saltValue="I8AcWioNzK26mdxPzESqJQ==" spinCount="100000" sheet="1" objects="1" scenarios="1" selectLockedCells="1"/>
  <mergeCells count="8">
    <mergeCell ref="D6:K6"/>
    <mergeCell ref="D8:F8"/>
    <mergeCell ref="B12:B13"/>
    <mergeCell ref="C12:C13"/>
    <mergeCell ref="D12:F12"/>
    <mergeCell ref="G12:I12"/>
    <mergeCell ref="J12:J13"/>
    <mergeCell ref="K12:L12"/>
  </mergeCells>
  <phoneticPr fontId="56" type="noConversion"/>
  <conditionalFormatting sqref="J14:J26">
    <cfRule type="expression" dxfId="61" priority="1" stopIfTrue="1">
      <formula>AND($J14&lt;&gt;"",$J14="Sollvorgabe nicht erfüllt")</formula>
    </cfRule>
    <cfRule type="expression" dxfId="60" priority="163" stopIfTrue="1">
      <formula>AND($J14&lt;&gt;"",$J14="I.O. (Plausibilität unklar)")</formula>
    </cfRule>
    <cfRule type="expression" dxfId="59" priority="164" stopIfTrue="1">
      <formula>OR(AND($J14&lt;&gt;"",$J14="Unvollständig"),AND($J14&lt;&gt;"",$J14="Inkorrekt"))</formula>
    </cfRule>
    <cfRule type="expression" dxfId="58" priority="168" stopIfTrue="1">
      <formula>AND($J14&lt;&gt;"",$J14="Ausnahme (Plausibilität unklar)")</formula>
    </cfRule>
  </conditionalFormatting>
  <conditionalFormatting sqref="B14:I26 K14:L26">
    <cfRule type="notContainsBlanks" dxfId="57" priority="172" stopIfTrue="1">
      <formula>LEN(TRIM(B14))&gt;0</formula>
    </cfRule>
  </conditionalFormatting>
  <conditionalFormatting sqref="B12:B13">
    <cfRule type="expression" dxfId="56" priority="15" stopIfTrue="1">
      <formula>$B12&lt;&gt;""</formula>
    </cfRule>
  </conditionalFormatting>
  <conditionalFormatting sqref="C12:C13">
    <cfRule type="expression" dxfId="55" priority="14" stopIfTrue="1">
      <formula>C12&lt;&gt;""</formula>
    </cfRule>
  </conditionalFormatting>
  <conditionalFormatting sqref="D12:F12">
    <cfRule type="expression" dxfId="54" priority="13" stopIfTrue="1">
      <formula>D12&lt;&gt;""</formula>
    </cfRule>
  </conditionalFormatting>
  <conditionalFormatting sqref="D13">
    <cfRule type="expression" dxfId="53" priority="12" stopIfTrue="1">
      <formula>D13&lt;&gt;""</formula>
    </cfRule>
  </conditionalFormatting>
  <conditionalFormatting sqref="E13">
    <cfRule type="expression" dxfId="52" priority="11" stopIfTrue="1">
      <formula>E13&lt;&gt;""</formula>
    </cfRule>
  </conditionalFormatting>
  <conditionalFormatting sqref="F13">
    <cfRule type="expression" dxfId="51" priority="10" stopIfTrue="1">
      <formula>F13&lt;&gt;""</formula>
    </cfRule>
  </conditionalFormatting>
  <conditionalFormatting sqref="G13">
    <cfRule type="expression" dxfId="50" priority="9" stopIfTrue="1">
      <formula>G13&lt;&gt;""</formula>
    </cfRule>
  </conditionalFormatting>
  <conditionalFormatting sqref="G12:I12">
    <cfRule type="expression" dxfId="49" priority="8" stopIfTrue="1">
      <formula>G12&lt;&gt;""</formula>
    </cfRule>
  </conditionalFormatting>
  <conditionalFormatting sqref="H13">
    <cfRule type="expression" dxfId="48" priority="7" stopIfTrue="1">
      <formula>H13&lt;&gt;""</formula>
    </cfRule>
  </conditionalFormatting>
  <conditionalFormatting sqref="I13">
    <cfRule type="expression" dxfId="47" priority="6" stopIfTrue="1">
      <formula>I13&lt;&gt;""</formula>
    </cfRule>
  </conditionalFormatting>
  <conditionalFormatting sqref="J12:J13">
    <cfRule type="expression" dxfId="46" priority="5" stopIfTrue="1">
      <formula>J12&lt;&gt;""</formula>
    </cfRule>
  </conditionalFormatting>
  <conditionalFormatting sqref="K13">
    <cfRule type="expression" dxfId="45" priority="4" stopIfTrue="1">
      <formula>K13&lt;&gt;""</formula>
    </cfRule>
  </conditionalFormatting>
  <conditionalFormatting sqref="L13">
    <cfRule type="expression" dxfId="44" priority="3" stopIfTrue="1">
      <formula>L13&lt;&gt;""</formula>
    </cfRule>
  </conditionalFormatting>
  <conditionalFormatting sqref="K12:L12">
    <cfRule type="expression" dxfId="43" priority="2" stopIfTrue="1">
      <formula>K12&lt;&gt;""</formula>
    </cfRule>
  </conditionalFormatting>
  <dataValidations disablePrompts="1" count="1">
    <dataValidation allowBlank="1" showInputMessage="1" showErrorMessage="1" promptTitle="Hinweis" prompt="Übertrag erfolgt _x000a_automatisch aus _x000a_Kennzahlenbogen" sqref="K13:L13" xr:uid="{00000000-0002-0000-09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E1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A1:Y14"/>
  <sheetViews>
    <sheetView showGridLines="0" showRuler="0" showWhiteSpace="0" zoomScaleNormal="100" zoomScaleSheetLayoutView="100" workbookViewId="0">
      <pane ySplit="1" topLeftCell="A4" activePane="bottomLeft" state="frozen"/>
      <selection pane="bottomLeft" activeCell="G12" sqref="G12"/>
    </sheetView>
  </sheetViews>
  <sheetFormatPr defaultColWidth="9.140625" defaultRowHeight="11.25" x14ac:dyDescent="0.25"/>
  <cols>
    <col min="1" max="1" width="13.5703125" style="40" customWidth="1"/>
    <col min="2" max="2" width="3.85546875" style="40" customWidth="1"/>
    <col min="3" max="3" width="6.5703125" style="40" customWidth="1"/>
    <col min="4" max="4" width="16.5703125" style="40" customWidth="1"/>
    <col min="5" max="5" width="6.85546875" style="40" customWidth="1"/>
    <col min="6" max="6" width="11.7109375" style="40" customWidth="1"/>
    <col min="7" max="7" width="6.85546875" style="40" customWidth="1"/>
    <col min="8" max="8" width="7.140625" style="40" customWidth="1"/>
    <col min="9" max="9" width="7.5703125" style="40" customWidth="1"/>
    <col min="10" max="10" width="7.42578125" style="40" customWidth="1"/>
    <col min="11" max="11" width="14.140625" style="40" customWidth="1"/>
    <col min="12" max="12" width="33.28515625" style="40" customWidth="1"/>
    <col min="13" max="13" width="29.85546875" style="40" customWidth="1"/>
    <col min="14" max="14" width="12.5703125" style="40" customWidth="1"/>
    <col min="15" max="15" width="9.140625" style="30" customWidth="1"/>
    <col min="16" max="16" width="17.7109375" style="30" customWidth="1"/>
    <col min="17" max="23" width="9.140625" style="30" customWidth="1"/>
    <col min="24" max="24" width="31.42578125" style="25" customWidth="1"/>
    <col min="25" max="25" width="24" style="25" customWidth="1"/>
    <col min="26" max="16384" width="9.140625" style="40"/>
  </cols>
  <sheetData>
    <row r="1" spans="1:25" ht="40.5" customHeight="1" x14ac:dyDescent="0.25">
      <c r="A1" s="109" t="s">
        <v>69</v>
      </c>
      <c r="B1" s="56"/>
      <c r="C1" s="41" t="s">
        <v>87</v>
      </c>
      <c r="D1" s="41" t="s">
        <v>28</v>
      </c>
      <c r="E1" s="98" t="s">
        <v>51</v>
      </c>
      <c r="F1" s="98" t="s">
        <v>63</v>
      </c>
      <c r="G1" s="98" t="s">
        <v>51</v>
      </c>
      <c r="H1" s="41" t="s">
        <v>43</v>
      </c>
      <c r="I1" s="41" t="s">
        <v>24</v>
      </c>
      <c r="J1" s="41" t="s">
        <v>38</v>
      </c>
      <c r="K1" s="41" t="s">
        <v>62</v>
      </c>
      <c r="L1" s="41" t="s">
        <v>45</v>
      </c>
      <c r="M1" s="41" t="s">
        <v>46</v>
      </c>
      <c r="O1" s="42" t="s">
        <v>61</v>
      </c>
    </row>
    <row r="2" spans="1:25" ht="54.95" customHeight="1" x14ac:dyDescent="0.25">
      <c r="A2" s="43" t="str">
        <f>IF('Kennzahlenbogen_(KB)'!R12=0,"",'Kennzahlenbogen_(KB)'!R12)</f>
        <v>Unvollständig</v>
      </c>
      <c r="B2" s="55"/>
      <c r="C2" s="44" t="str">
        <f>IF($A2="I.O.","",CONCATENATE('Kennzahlenbogen_(KB)'!B12,'Kennzahlenbogen_(KB)'!C12))</f>
        <v>1a)</v>
      </c>
      <c r="D2" s="45" t="str">
        <f>IF($A2="I.O.","",'Kennzahlenbogen_(KB)'!E12)</f>
        <v>Anzahl Primärfälle</v>
      </c>
      <c r="E2" s="99" t="str">
        <f>IF(AND('Kennzahlenbogen_(KB)'!L12="",$A2&lt;&gt;"I.O."),"-----",IF($A2="I.O.","",'Kennzahlenbogen_(KB)'!L12))</f>
        <v>-----</v>
      </c>
      <c r="F2" s="100" t="str">
        <f>IF($A2="I.O.","",'Kennzahlenbogen_(KB)'!M12)</f>
        <v>Derzeit keine Vorgaben</v>
      </c>
      <c r="G2" s="99" t="str">
        <f>IF(AND('Kennzahlenbogen_(KB)'!O12="",$A2&lt;&gt;"I.O."),"-----",IF($A2="I.O.","",'Kennzahlenbogen_(KB)'!O12))</f>
        <v>-----</v>
      </c>
      <c r="H2" s="101">
        <f>IF($A2="I.O.","",IF('Kennzahlenbogen_(KB)'!Q12="","-----",'Kennzahlenbogen_(KB)'!Q12))</f>
        <v>0</v>
      </c>
      <c r="I2" s="101" t="str">
        <f>IF($A2="I.O.","","-----")</f>
        <v>-----</v>
      </c>
      <c r="J2" s="46" t="str">
        <f>IF($A2="I.O.","","-----")</f>
        <v>-----</v>
      </c>
      <c r="K2" s="47" t="str">
        <f>IF($A2="I.O.","",'Kennzahlenbogen_(KB)'!R12)</f>
        <v>Unvollständig</v>
      </c>
      <c r="L2" s="48" t="str">
        <f>IF(AND('Kennzahlenbogen_(KB)'!S12="",$A2&lt;&gt;"I.O."),"-----",IF($A2="I.O.","",'Kennzahlenbogen_(KB)'!S12))</f>
        <v>-----</v>
      </c>
      <c r="M2" s="48" t="str">
        <f>IF(AND('Kennzahlenbogen_(KB)'!T12="",$A2&lt;&gt;"I.O."),"-----",IF($A2="I.O.","",'Kennzahlenbogen_(KB)'!T12))</f>
        <v>-----</v>
      </c>
      <c r="O2" s="49" t="str">
        <f t="array" aca="1" ref="O2" ca="1">IF(ROW()-ROW($D$2:$D$14)+1&gt;ROWS($C$2:$C$14)-COUNTBLANK($C$2:$C$14),"",INDIRECT(ADDRESS(SMALL((IF($C$2:$C$14&lt;&gt;"",ROW($C$2:$C$14),ROW()+ROWS($C$2:$C$14))),ROW()-ROW($D$2:$D$14)+1),COLUMN($C$2:$C$14),4)))</f>
        <v>1a)</v>
      </c>
      <c r="P2" s="50" t="str">
        <f t="array" aca="1" ref="P2" ca="1">IF(ROW()-ROW($E$2:$E$14)+1&gt;ROWS($D$2:$D$14)-COUNTBLANK($D$2:$D$14),"",INDIRECT(ADDRESS(SMALL((IF($D$2:$D$14&gt;"",ROW($D$2:$D$14),ROW()+ROWS($D$2:$D$14))),ROW()-ROW($E$2:$E$14)+1),COLUMN($D$2:$D$14),4)))</f>
        <v>Anzahl Primärfälle</v>
      </c>
      <c r="Q2" s="61" t="str">
        <f t="array" aca="1" ref="Q2" ca="1">IF(ROW()-ROW($F$2:$F$14)+1&gt;ROWS($E$2:$E$14)-COUNTBLANK($E$2:$E$14),"",INDIRECT(ADDRESS(SMALL((IF($E$2:$E$14&gt;"",ROW($E$2:$E$14),ROW()+ROWS($E$2:$E$14))),ROW()-ROW($F$2:$F$14)+1),COLUMN($E$2:$E$14),4)))</f>
        <v>-----</v>
      </c>
      <c r="R2" s="61" t="str">
        <f t="array" aca="1" ref="R2" ca="1">IF(ROW()-ROW($G$2:$G$14)+1&gt;ROWS($F$2:$F$14)-COUNTBLANK($F$2:$F$14),"",INDIRECT(ADDRESS(SMALL((IF($F$2:$F$14&gt;"",ROW($F$2:$F$14),ROW()+ROWS($F$2:$F$14))),ROW()-ROW($G$2:$G$14)+1),COLUMN($F$2:$F$14),4)))</f>
        <v>Derzeit keine Vorgaben</v>
      </c>
      <c r="S2" s="61" t="str">
        <f t="array" aca="1" ref="S2" ca="1">IF(ROW()-ROW($H$2:$H$14)+1&gt;ROWS($G$2:$G$14)-COUNTBLANK($G$2:$G$14),"",INDIRECT(ADDRESS(SMALL((IF($G$2:$G$14&lt;&gt;"",ROW($G$2:$G$14),ROW()+ROWS($G$2:$G$14))),ROW()-ROW($H$2:$H$14)+1),COLUMN($G$2:$G$14),4)))</f>
        <v>-----</v>
      </c>
      <c r="T2" s="60">
        <f t="array" aca="1" ref="T2" ca="1">IF(ROW()-ROW($I$2:$I$14)+1&gt;ROWS($H$2:$H$14)-COUNTBLANK($H$2:$H$14),"",INDIRECT(ADDRESS(SMALL((IF($H$2:$H$14&lt;&gt;"",ROW($H$2:$H$14),ROW()+ROWS($H$2:$H$14))),ROW()-ROW($I$2:$I$14)+1),COLUMN($H$2:$H$14),4)))</f>
        <v>0</v>
      </c>
      <c r="U2" s="60" t="str">
        <f t="array" aca="1" ref="U2" ca="1">IF(ROW()-ROW($J$2:$J$14)+1&gt;ROWS($I$2:$I$14)-COUNTBLANK($I$2:$I$14),"",INDIRECT(ADDRESS(SMALL((IF($I$2:$I$14&lt;&gt;"",ROW($I$2:$I$14),ROW()+ROWS($I$2:$I$14))),ROW()-ROW($J$2:$J$14)+1),COLUMN($I$2:$I$14),4)))</f>
        <v>-----</v>
      </c>
      <c r="V2" s="51" t="str">
        <f t="array" aca="1" ref="V2" ca="1">IF(ROW()-ROW($K$2:$K$14)+1&gt;ROWS($J$2:$J$14)-COUNTBLANK($J$2:$J$14),"",INDIRECT(ADDRESS(SMALL((IF($J$2:$J$14&lt;&gt;"",ROW($J$2:$J$14),ROW()+ROWS($J$2:$J$14))),ROW()-ROW($K$2:$K$14)+1),COLUMN($J$2:$J$14),4)))</f>
        <v>-----</v>
      </c>
      <c r="W2" s="52" t="str">
        <f t="array" aca="1" ref="W2" ca="1">IF(ROW()-ROW($L$2:$L$14)+1&gt;ROWS($K$2:$K$14)-COUNTBLANK($K$2:$K$14),"",INDIRECT(ADDRESS(SMALL((IF($K$2:$K$14&lt;&gt;"",ROW($K$2:$K$14),ROW()+ROWS($K$2:$K$14))),ROW()-ROW($L$2:$L$14)+1),COLUMN($K$2:$K$14),4)))</f>
        <v>Unvollständig</v>
      </c>
      <c r="X2" s="50" t="str">
        <f t="array" aca="1" ref="X2" ca="1">IF(ROW()-ROW($M$2:$M$14)+1&gt;ROWS($L$2:$L$14)-COUNTBLANK($L$2:$L$14),"",INDIRECT(ADDRESS(SMALL((IF($L$2:$L$14&lt;&gt;"",ROW($L$2:$L$14),ROW()+ROWS($L$2:$L$14))),ROW()-ROW($M$2:$M$14)+1),COLUMN($L$2:$L$14),4)))</f>
        <v>-----</v>
      </c>
      <c r="Y2" s="50" t="str">
        <f t="array" aca="1" ref="Y2" ca="1">IF(ROW()-ROW($N$2:$N$9)+1&gt;ROWS($M$2:$M$14)-COUNTBLANK($M$2:$M$14),"",INDIRECT(ADDRESS(SMALL((IF($M$2:$M$14&lt;&gt;"",ROW($M$2:$M$14),ROW()+ROWS($M$2:$M$14))),ROW()-ROW($N$2:$N$9)+1),COLUMN($M$2:$M$14),4)))</f>
        <v>-----</v>
      </c>
    </row>
    <row r="3" spans="1:25" ht="54.95" customHeight="1" x14ac:dyDescent="0.25">
      <c r="A3" s="43" t="str">
        <f>IF('Kennzahlenbogen_(KB)'!R15=0,"",'Kennzahlenbogen_(KB)'!R15)</f>
        <v>Unvollständig</v>
      </c>
      <c r="B3" s="55"/>
      <c r="C3" s="295" t="str">
        <f>IF($A3="I.O.","",CONCATENATE('Kennzahlenbogen_(KB)'!B12,'Kennzahlenbogen_(KB)'!C15))</f>
        <v>1b)</v>
      </c>
      <c r="D3" s="45" t="str">
        <f>IF($A3="I.O.","",'Kennzahlenbogen_(KB)'!E15)</f>
        <v>Zentrumspat. mit neuaufgetretenem (Lokal-) Rezidiv und/oder Fernmetastasen</v>
      </c>
      <c r="E3" s="99" t="str">
        <f>IF(AND('Kennzahlenbogen_(KB)'!L15="",$A3&lt;&gt;"I.O."),"-----",IF($A3="I.O.","",'Kennzahlenbogen_(KB)'!L15))</f>
        <v>-----</v>
      </c>
      <c r="F3" s="100" t="str">
        <f>IF($A3="I.O.","",'Kennzahlenbogen_(KB)'!M15)</f>
        <v>Derzeit keine Vorgaben</v>
      </c>
      <c r="G3" s="99" t="str">
        <f>IF(AND('Kennzahlenbogen_(KB)'!O15="",$A3&lt;&gt;"I.O."),"-----",IF($A3="I.O.","",'Kennzahlenbogen_(KB)'!O15))</f>
        <v>-----</v>
      </c>
      <c r="H3" s="101">
        <f>IF($A3="I.O.","",IF('Kennzahlenbogen_(KB)'!Q15="","-----",'Kennzahlenbogen_(KB)'!Q15))</f>
        <v>0</v>
      </c>
      <c r="I3" s="101" t="str">
        <f t="shared" ref="I3:J3" si="0">IF($A3="I.O.","","-----")</f>
        <v>-----</v>
      </c>
      <c r="J3" s="46" t="str">
        <f t="shared" si="0"/>
        <v>-----</v>
      </c>
      <c r="K3" s="47" t="str">
        <f>IF($A3="I.O.","",'Kennzahlenbogen_(KB)'!R15)</f>
        <v>Unvollständig</v>
      </c>
      <c r="L3" s="48" t="str">
        <f>IF(AND('Kennzahlenbogen_(KB)'!S15="",$A3&lt;&gt;"I.O."),"-----",IF($A3="I.O.","",'Kennzahlenbogen_(KB)'!S15))</f>
        <v>-----</v>
      </c>
      <c r="M3" s="48" t="str">
        <f>IF(AND('Kennzahlenbogen_(KB)'!T15="",$A3&lt;&gt;"I.O."),"-----",IF($A3="I.O.","",'Kennzahlenbogen_(KB)'!T15))</f>
        <v>-----</v>
      </c>
      <c r="O3" s="49" t="str">
        <f t="array" aca="1" ref="O3" ca="1">IF(ROW()-ROW($D$2:$D$14)+1&gt;ROWS($C$2:$C$14)-COUNTBLANK($C$2:$C$14),"",INDIRECT(ADDRESS(SMALL((IF($C$2:$C$14&lt;&gt;"",ROW($C$2:$C$14),ROW()+ROWS($C$2:$C$14))),ROW()-ROW($D$2:$D$14)+1),COLUMN($C$2:$C$14),4)))</f>
        <v>1b)</v>
      </c>
      <c r="P3" s="50" t="str">
        <f t="array" aca="1" ref="P3" ca="1">IF(ROW()-ROW($E$2:$E$14)+1&gt;ROWS($D$2:$D$14)-COUNTBLANK($D$2:$D$14),"",INDIRECT(ADDRESS(SMALL((IF($D$2:$D$14&gt;"",ROW($D$2:$D$14),ROW()+ROWS($D$2:$D$14))),ROW()-ROW($E$2:$E$14)+1),COLUMN($D$2:$D$14),4)))</f>
        <v>Zentrumspat. mit neuaufgetretenem (Lokal-) Rezidiv und/oder Fernmetastasen</v>
      </c>
      <c r="Q3" s="61" t="str">
        <f t="array" aca="1" ref="Q3" ca="1">IF(ROW()-ROW($F$2:$F$14)+1&gt;ROWS($E$2:$E$14)-COUNTBLANK($E$2:$E$14),"",INDIRECT(ADDRESS(SMALL((IF($E$2:$E$14&gt;"",ROW($E$2:$E$14),ROW()+ROWS($E$2:$E$14))),ROW()-ROW($F$2:$F$14)+1),COLUMN($E$2:$E$14),4)))</f>
        <v>-----</v>
      </c>
      <c r="R3" s="61" t="str">
        <f t="array" aca="1" ref="R3" ca="1">IF(ROW()-ROW($G$2:$G$14)+1&gt;ROWS($F$2:$F$14)-COUNTBLANK($F$2:$F$14),"",INDIRECT(ADDRESS(SMALL((IF($F$2:$F$14&gt;"",ROW($F$2:$F$14),ROW()+ROWS($F$2:$F$14))),ROW()-ROW($G$2:$G$14)+1),COLUMN($F$2:$F$14),4)))</f>
        <v>Derzeit keine Vorgaben</v>
      </c>
      <c r="S3" s="61" t="str">
        <f t="array" aca="1" ref="S3" ca="1">IF(ROW()-ROW($H$2:$H$14)+1&gt;ROWS($G$2:$G$14)-COUNTBLANK($G$2:$G$14),"",INDIRECT(ADDRESS(SMALL((IF($G$2:$G$14&lt;&gt;"",ROW($G$2:$G$14),ROW()+ROWS($G$2:$G$14))),ROW()-ROW($H$2:$H$14)+1),COLUMN($G$2:$G$14),4)))</f>
        <v>-----</v>
      </c>
      <c r="T3" s="60">
        <f t="array" aca="1" ref="T3" ca="1">IF(ROW()-ROW($I$2:$I$14)+1&gt;ROWS($H$2:$H$14)-COUNTBLANK($H$2:$H$14),"",INDIRECT(ADDRESS(SMALL((IF($H$2:$H$14&lt;&gt;"",ROW($H$2:$H$14),ROW()+ROWS($H$2:$H$14))),ROW()-ROW($I$2:$I$14)+1),COLUMN($H$2:$H$14),4)))</f>
        <v>0</v>
      </c>
      <c r="U3" s="60" t="str">
        <f t="array" aca="1" ref="U3" ca="1">IF(ROW()-ROW($J$2:$J$14)+1&gt;ROWS($I$2:$I$14)-COUNTBLANK($I$2:$I$14),"",INDIRECT(ADDRESS(SMALL((IF($I$2:$I$14&lt;&gt;"",ROW($I$2:$I$14),ROW()+ROWS($I$2:$I$14))),ROW()-ROW($J$2:$J$14)+1),COLUMN($I$2:$I$14),4)))</f>
        <v>-----</v>
      </c>
      <c r="V3" s="51" t="str">
        <f t="array" aca="1" ref="V3" ca="1">IF(ROW()-ROW($K$2:$K$14)+1&gt;ROWS($J$2:$J$14)-COUNTBLANK($J$2:$J$14),"",INDIRECT(ADDRESS(SMALL((IF($J$2:$J$14&lt;&gt;"",ROW($J$2:$J$14),ROW()+ROWS($J$2:$J$14))),ROW()-ROW($K$2:$K$14)+1),COLUMN($J$2:$J$14),4)))</f>
        <v>-----</v>
      </c>
      <c r="W3" s="52" t="str">
        <f t="array" aca="1" ref="W3" ca="1">IF(ROW()-ROW($L$2:$L$14)+1&gt;ROWS($K$2:$K$14)-COUNTBLANK($K$2:$K$14),"",INDIRECT(ADDRESS(SMALL((IF($K$2:$K$14&lt;&gt;"",ROW($K$2:$K$14),ROW()+ROWS($K$2:$K$14))),ROW()-ROW($L$2:$L$14)+1),COLUMN($K$2:$K$14),4)))</f>
        <v>Unvollständig</v>
      </c>
      <c r="X3" s="50" t="str">
        <f t="array" aca="1" ref="X3" ca="1">IF(ROW()-ROW($M$2:$M$14)+1&gt;ROWS($L$2:$L$14)-COUNTBLANK($L$2:$L$14),"",INDIRECT(ADDRESS(SMALL((IF($L$2:$L$14&lt;&gt;"",ROW($L$2:$L$14),ROW()+ROWS($L$2:$L$14))),ROW()-ROW($M$2:$M$14)+1),COLUMN($L$2:$L$14),4)))</f>
        <v>-----</v>
      </c>
      <c r="Y3" s="50" t="str">
        <f t="array" aca="1" ref="Y3" ca="1">IF(ROW()-ROW($N$2:$N$9)+1&gt;ROWS($M$2:$M$14)-COUNTBLANK($M$2:$M$14),"",INDIRECT(ADDRESS(SMALL((IF($M$2:$M$14&lt;&gt;"",ROW($M$2:$M$14),ROW()+ROWS($M$2:$M$14))),ROW()-ROW($N$2:$N$9)+1),COLUMN($M$2:$M$14),4)))</f>
        <v>-----</v>
      </c>
    </row>
    <row r="4" spans="1:25" ht="54.95" customHeight="1" x14ac:dyDescent="0.25">
      <c r="A4" s="43" t="str">
        <f>IF('Kennzahlenbogen_(KB)'!R18=0,"",'Kennzahlenbogen_(KB)'!R18)</f>
        <v>Unvollständig</v>
      </c>
      <c r="B4" s="55"/>
      <c r="C4" s="44" t="str">
        <f>IF($A4="I.O.","",CONCATENATE('Kennzahlenbogen_(KB)'!B12,'Kennzahlenbogen_(KB)'!C18))</f>
        <v>1c)</v>
      </c>
      <c r="D4" s="45" t="str">
        <f>IF($A4="I.O.","",'Kennzahlenbogen_(KB)'!E18)</f>
        <v>Anzahl Zentrumsfälle</v>
      </c>
      <c r="E4" s="99" t="str">
        <f>IF(AND('Kennzahlenbogen_(KB)'!L18="",$A4&lt;&gt;"I.O."),"-----",IF($A4="I.O.","",'Kennzahlenbogen_(KB)'!L18))</f>
        <v>-----</v>
      </c>
      <c r="F4" s="100" t="str">
        <f>IF($A4="I.O.","",'Kennzahlenbogen_(KB)'!M18)</f>
        <v>≥ 50</v>
      </c>
      <c r="G4" s="99" t="str">
        <f>IF(AND('Kennzahlenbogen_(KB)'!O18="",$A4&lt;&gt;"I.O."),"-----",IF($A4="I.O.","",'Kennzahlenbogen_(KB)'!O18))</f>
        <v>-----</v>
      </c>
      <c r="H4" s="101">
        <f>IF($A4="I.O.","",IF('Kennzahlenbogen_(KB)'!Q18="","-----",'Kennzahlenbogen_(KB)'!Q18))</f>
        <v>0</v>
      </c>
      <c r="I4" s="101" t="str">
        <f t="shared" ref="I4:J4" si="1">IF($A4="I.O.","","-----")</f>
        <v>-----</v>
      </c>
      <c r="J4" s="46" t="str">
        <f t="shared" si="1"/>
        <v>-----</v>
      </c>
      <c r="K4" s="47" t="str">
        <f>IF($A4="I.O.","",'Kennzahlenbogen_(KB)'!R18)</f>
        <v>Unvollständig</v>
      </c>
      <c r="L4" s="48" t="str">
        <f>IF(AND('Kennzahlenbogen_(KB)'!S18="",$A4&lt;&gt;"I.O."),"-----",IF($A4="I.O.","",'Kennzahlenbogen_(KB)'!S18))</f>
        <v>-----</v>
      </c>
      <c r="M4" s="48" t="str">
        <f>IF(AND('Kennzahlenbogen_(KB)'!T18="",$A4&lt;&gt;"I.O."),"-----",IF($A4="I.O.","",'Kennzahlenbogen_(KB)'!T18))</f>
        <v>-----</v>
      </c>
      <c r="O4" s="49" t="str">
        <f t="array" aca="1" ref="O4" ca="1">IF(ROW()-ROW($D$2:$D$14)+1&gt;ROWS($C$2:$C$14)-COUNTBLANK($C$2:$C$14),"",INDIRECT(ADDRESS(SMALL((IF($C$2:$C$14&lt;&gt;"",ROW($C$2:$C$14),ROW()+ROWS($C$2:$C$14))),ROW()-ROW($D$2:$D$14)+1),COLUMN($C$2:$C$14),4)))</f>
        <v>1c)</v>
      </c>
      <c r="P4" s="50" t="str">
        <f t="array" aca="1" ref="P4" ca="1">IF(ROW()-ROW($E$2:$E$14)+1&gt;ROWS($D$2:$D$14)-COUNTBLANK($D$2:$D$14),"",INDIRECT(ADDRESS(SMALL((IF($D$2:$D$14&gt;"",ROW($D$2:$D$14),ROW()+ROWS($D$2:$D$14))),ROW()-ROW($E$2:$E$14)+1),COLUMN($D$2:$D$14),4)))</f>
        <v>Anzahl Zentrumsfälle</v>
      </c>
      <c r="Q4" s="61" t="str">
        <f t="array" aca="1" ref="Q4" ca="1">IF(ROW()-ROW($F$2:$F$14)+1&gt;ROWS($E$2:$E$14)-COUNTBLANK($E$2:$E$14),"",INDIRECT(ADDRESS(SMALL((IF($E$2:$E$14&gt;"",ROW($E$2:$E$14),ROW()+ROWS($E$2:$E$14))),ROW()-ROW($F$2:$F$14)+1),COLUMN($E$2:$E$14),4)))</f>
        <v>-----</v>
      </c>
      <c r="R4" s="61" t="str">
        <f t="array" aca="1" ref="R4" ca="1">IF(ROW()-ROW($G$2:$G$14)+1&gt;ROWS($F$2:$F$14)-COUNTBLANK($F$2:$F$14),"",INDIRECT(ADDRESS(SMALL((IF($F$2:$F$14&gt;"",ROW($F$2:$F$14),ROW()+ROWS($F$2:$F$14))),ROW()-ROW($G$2:$G$14)+1),COLUMN($F$2:$F$14),4)))</f>
        <v>≥ 50</v>
      </c>
      <c r="S4" s="61" t="str">
        <f t="array" aca="1" ref="S4" ca="1">IF(ROW()-ROW($H$2:$H$14)+1&gt;ROWS($G$2:$G$14)-COUNTBLANK($G$2:$G$14),"",INDIRECT(ADDRESS(SMALL((IF($G$2:$G$14&lt;&gt;"",ROW($G$2:$G$14),ROW()+ROWS($G$2:$G$14))),ROW()-ROW($H$2:$H$14)+1),COLUMN($G$2:$G$14),4)))</f>
        <v>-----</v>
      </c>
      <c r="T4" s="60">
        <f t="array" aca="1" ref="T4" ca="1">IF(ROW()-ROW($I$2:$I$14)+1&gt;ROWS($H$2:$H$14)-COUNTBLANK($H$2:$H$14),"",INDIRECT(ADDRESS(SMALL((IF($H$2:$H$14&lt;&gt;"",ROW($H$2:$H$14),ROW()+ROWS($H$2:$H$14))),ROW()-ROW($I$2:$I$14)+1),COLUMN($H$2:$H$14),4)))</f>
        <v>0</v>
      </c>
      <c r="U4" s="60" t="str">
        <f t="array" aca="1" ref="U4" ca="1">IF(ROW()-ROW($J$2:$J$14)+1&gt;ROWS($I$2:$I$14)-COUNTBLANK($I$2:$I$14),"",INDIRECT(ADDRESS(SMALL((IF($I$2:$I$14&lt;&gt;"",ROW($I$2:$I$14),ROW()+ROWS($I$2:$I$14))),ROW()-ROW($J$2:$J$14)+1),COLUMN($I$2:$I$14),4)))</f>
        <v>-----</v>
      </c>
      <c r="V4" s="51" t="str">
        <f t="array" aca="1" ref="V4" ca="1">IF(ROW()-ROW($K$2:$K$14)+1&gt;ROWS($J$2:$J$14)-COUNTBLANK($J$2:$J$14),"",INDIRECT(ADDRESS(SMALL((IF($J$2:$J$14&lt;&gt;"",ROW($J$2:$J$14),ROW()+ROWS($J$2:$J$14))),ROW()-ROW($K$2:$K$14)+1),COLUMN($J$2:$J$14),4)))</f>
        <v>-----</v>
      </c>
      <c r="W4" s="52" t="str">
        <f t="array" aca="1" ref="W4" ca="1">IF(ROW()-ROW($L$2:$L$14)+1&gt;ROWS($K$2:$K$14)-COUNTBLANK($K$2:$K$14),"",INDIRECT(ADDRESS(SMALL((IF($K$2:$K$14&lt;&gt;"",ROW($K$2:$K$14),ROW()+ROWS($K$2:$K$14))),ROW()-ROW($L$2:$L$14)+1),COLUMN($K$2:$K$14),4)))</f>
        <v>Unvollständig</v>
      </c>
      <c r="X4" s="50" t="str">
        <f t="array" aca="1" ref="X4" ca="1">IF(ROW()-ROW($M$2:$M$14)+1&gt;ROWS($L$2:$L$14)-COUNTBLANK($L$2:$L$14),"",INDIRECT(ADDRESS(SMALL((IF($L$2:$L$14&lt;&gt;"",ROW($L$2:$L$14),ROW()+ROWS($L$2:$L$14))),ROW()-ROW($M$2:$M$14)+1),COLUMN($L$2:$L$14),4)))</f>
        <v>-----</v>
      </c>
      <c r="Y4" s="50" t="str">
        <f t="array" aca="1" ref="Y4" ca="1">IF(ROW()-ROW($N$2:$N$9)+1&gt;ROWS($M$2:$M$14)-COUNTBLANK($M$2:$M$14),"",INDIRECT(ADDRESS(SMALL((IF($M$2:$M$14&lt;&gt;"",ROW($M$2:$M$14),ROW()+ROWS($M$2:$M$14))),ROW()-ROW($N$2:$N$9)+1),COLUMN($M$2:$M$14),4)))</f>
        <v>-----</v>
      </c>
    </row>
    <row r="5" spans="1:25" ht="54.95" customHeight="1" x14ac:dyDescent="0.25">
      <c r="A5" s="43" t="str">
        <f>IF('Kennzahlenbogen_(KB)'!R21=0,"",'Kennzahlenbogen_(KB)'!R21)</f>
        <v>Unvollständig</v>
      </c>
      <c r="B5" s="55"/>
      <c r="C5" s="44" t="str">
        <f>IF($A5="I.O.","",CONCATENATE('Kennzahlenbogen_(KB)'!B21,'Kennzahlenbogen_(KB)'!C21))</f>
        <v>2a</v>
      </c>
      <c r="D5" s="45" t="str">
        <f>IF($A5="I.O.","",'Kennzahlenbogen_(KB)'!E21)</f>
        <v>Prätherapeutische Tumorkonferenz</v>
      </c>
      <c r="E5" s="99" t="str">
        <f>IF(AND('Kennzahlenbogen_(KB)'!L21="",$A5&lt;&gt;"I.O."),"-----",IF($A5="I.O.","",'Kennzahlenbogen_(KB)'!L21))</f>
        <v>-----</v>
      </c>
      <c r="F5" s="100" t="str">
        <f>IF($A5="I.O.","",'Kennzahlenbogen_(KB)'!M21)</f>
        <v>≥ 95%</v>
      </c>
      <c r="G5" s="99" t="str">
        <f>IF(AND('Kennzahlenbogen_(KB)'!O21="",$A5&lt;&gt;"I.O."),"-----",IF($A5="I.O.","",'Kennzahlenbogen_(KB)'!O21))</f>
        <v>-----</v>
      </c>
      <c r="H5" s="101" t="str">
        <f>IF($A5="I.O.","",IF('Kennzahlenbogen_(KB)'!Q21="","-----",'Kennzahlenbogen_(KB)'!Q21))</f>
        <v>-----</v>
      </c>
      <c r="I5" s="101">
        <f>IF($A5="I.O.","",IF('Kennzahlenbogen_(KB)'!Q22="","-----",'Kennzahlenbogen_(KB)'!Q22))</f>
        <v>0</v>
      </c>
      <c r="J5" s="46" t="str">
        <f>IF($A5="I.O.","",IF('Kennzahlenbogen_(KB)'!Q23="",0,'Kennzahlenbogen_(KB)'!Q23))</f>
        <v>n.d.</v>
      </c>
      <c r="K5" s="47" t="str">
        <f>IF($A5="I.O.","",'Kennzahlenbogen_(KB)'!R21)</f>
        <v>Unvollständig</v>
      </c>
      <c r="L5" s="48" t="str">
        <f>IF(AND('Kennzahlenbogen_(KB)'!S21="",$A5&lt;&gt;"I.O."),"-----",IF($A5="I.O.","",'Kennzahlenbogen_(KB)'!S21))</f>
        <v>-----</v>
      </c>
      <c r="M5" s="48" t="str">
        <f>IF(AND('Kennzahlenbogen_(KB)'!T21="",$A5&lt;&gt;"I.O."),"-----",IF($A5="I.O.","",'Kennzahlenbogen_(KB)'!T21))</f>
        <v>-----</v>
      </c>
      <c r="O5" s="49" t="str">
        <f t="array" aca="1" ref="O5" ca="1">IF(ROW()-ROW($D$2:$D$14)+1&gt;ROWS($C$2:$C$14)-COUNTBLANK($C$2:$C$14),"",INDIRECT(ADDRESS(SMALL((IF($C$2:$C$14&lt;&gt;"",ROW($C$2:$C$14),ROW()+ROWS($C$2:$C$14))),ROW()-ROW($D$2:$D$14)+1),COLUMN($C$2:$C$14),4)))</f>
        <v>2a</v>
      </c>
      <c r="P5" s="50" t="str">
        <f t="array" aca="1" ref="P5" ca="1">IF(ROW()-ROW($E$2:$E$14)+1&gt;ROWS($D$2:$D$14)-COUNTBLANK($D$2:$D$14),"",INDIRECT(ADDRESS(SMALL((IF($D$2:$D$14&gt;"",ROW($D$2:$D$14),ROW()+ROWS($D$2:$D$14))),ROW()-ROW($E$2:$E$14)+1),COLUMN($D$2:$D$14),4)))</f>
        <v>Prätherapeutische Tumorkonferenz</v>
      </c>
      <c r="Q5" s="61" t="str">
        <f t="array" aca="1" ref="Q5" ca="1">IF(ROW()-ROW($F$2:$F$14)+1&gt;ROWS($E$2:$E$14)-COUNTBLANK($E$2:$E$14),"",INDIRECT(ADDRESS(SMALL((IF($E$2:$E$14&gt;"",ROW($E$2:$E$14),ROW()+ROWS($E$2:$E$14))),ROW()-ROW($F$2:$F$14)+1),COLUMN($E$2:$E$14),4)))</f>
        <v>-----</v>
      </c>
      <c r="R5" s="61" t="str">
        <f t="array" aca="1" ref="R5" ca="1">IF(ROW()-ROW($G$2:$G$14)+1&gt;ROWS($F$2:$F$14)-COUNTBLANK($F$2:$F$14),"",INDIRECT(ADDRESS(SMALL((IF($F$2:$F$14&gt;"",ROW($F$2:$F$14),ROW()+ROWS($F$2:$F$14))),ROW()-ROW($G$2:$G$14)+1),COLUMN($F$2:$F$14),4)))</f>
        <v>≥ 95%</v>
      </c>
      <c r="S5" s="61" t="str">
        <f t="array" aca="1" ref="S5" ca="1">IF(ROW()-ROW($H$2:$H$14)+1&gt;ROWS($G$2:$G$14)-COUNTBLANK($G$2:$G$14),"",INDIRECT(ADDRESS(SMALL((IF($G$2:$G$14&lt;&gt;"",ROW($G$2:$G$14),ROW()+ROWS($G$2:$G$14))),ROW()-ROW($H$2:$H$14)+1),COLUMN($G$2:$G$14),4)))</f>
        <v>-----</v>
      </c>
      <c r="T5" s="60" t="str">
        <f t="array" aca="1" ref="T5" ca="1">IF(ROW()-ROW($I$2:$I$14)+1&gt;ROWS($H$2:$H$14)-COUNTBLANK($H$2:$H$14),"",INDIRECT(ADDRESS(SMALL((IF($H$2:$H$14&lt;&gt;"",ROW($H$2:$H$14),ROW()+ROWS($H$2:$H$14))),ROW()-ROW($I$2:$I$14)+1),COLUMN($H$2:$H$14),4)))</f>
        <v>-----</v>
      </c>
      <c r="U5" s="60">
        <f t="array" aca="1" ref="U5" ca="1">IF(ROW()-ROW($J$2:$J$14)+1&gt;ROWS($I$2:$I$14)-COUNTBLANK($I$2:$I$14),"",INDIRECT(ADDRESS(SMALL((IF($I$2:$I$14&lt;&gt;"",ROW($I$2:$I$14),ROW()+ROWS($I$2:$I$14))),ROW()-ROW($J$2:$J$14)+1),COLUMN($I$2:$I$14),4)))</f>
        <v>0</v>
      </c>
      <c r="V5" s="51" t="str">
        <f t="array" aca="1" ref="V5" ca="1">IF(ROW()-ROW($K$2:$K$14)+1&gt;ROWS($J$2:$J$14)-COUNTBLANK($J$2:$J$14),"",INDIRECT(ADDRESS(SMALL((IF($J$2:$J$14&lt;&gt;"",ROW($J$2:$J$14),ROW()+ROWS($J$2:$J$14))),ROW()-ROW($K$2:$K$14)+1),COLUMN($J$2:$J$14),4)))</f>
        <v>n.d.</v>
      </c>
      <c r="W5" s="52" t="str">
        <f t="array" aca="1" ref="W5" ca="1">IF(ROW()-ROW($L$2:$L$14)+1&gt;ROWS($K$2:$K$14)-COUNTBLANK($K$2:$K$14),"",INDIRECT(ADDRESS(SMALL((IF($K$2:$K$14&lt;&gt;"",ROW($K$2:$K$14),ROW()+ROWS($K$2:$K$14))),ROW()-ROW($L$2:$L$14)+1),COLUMN($K$2:$K$14),4)))</f>
        <v>Unvollständig</v>
      </c>
      <c r="X5" s="50" t="str">
        <f t="array" aca="1" ref="X5" ca="1">IF(ROW()-ROW($M$2:$M$14)+1&gt;ROWS($L$2:$L$14)-COUNTBLANK($L$2:$L$14),"",INDIRECT(ADDRESS(SMALL((IF($L$2:$L$14&lt;&gt;"",ROW($L$2:$L$14),ROW()+ROWS($L$2:$L$14))),ROW()-ROW($M$2:$M$14)+1),COLUMN($L$2:$L$14),4)))</f>
        <v>-----</v>
      </c>
      <c r="Y5" s="50" t="str">
        <f t="array" aca="1" ref="Y5" ca="1">IF(ROW()-ROW($N$2:$N$9)+1&gt;ROWS($M$2:$M$14)-COUNTBLANK($M$2:$M$14),"",INDIRECT(ADDRESS(SMALL((IF($M$2:$M$14&lt;&gt;"",ROW($M$2:$M$14),ROW()+ROWS($M$2:$M$14))),ROW()-ROW($N$2:$N$9)+1),COLUMN($M$2:$M$14),4)))</f>
        <v>-----</v>
      </c>
    </row>
    <row r="6" spans="1:25" ht="54.95" customHeight="1" x14ac:dyDescent="0.25">
      <c r="A6" s="43" t="str">
        <f>IF('Kennzahlenbogen_(KB)'!R24=0,"",'Kennzahlenbogen_(KB)'!R24)</f>
        <v>Unvollständig</v>
      </c>
      <c r="B6" s="55"/>
      <c r="C6" s="295" t="str">
        <f>IF($A6="I.O.","",CONCATENATE('Kennzahlenbogen_(KB)'!B24,'Kennzahlenbogen_(KB)'!C24))</f>
        <v>2b</v>
      </c>
      <c r="D6" s="45" t="str">
        <f>IF($A6="I.O.","",'Kennzahlenbogen_(KB)'!E24)</f>
        <v>Prätherapeutische Tumorkonferenz</v>
      </c>
      <c r="E6" s="99" t="str">
        <f>IF(AND('Kennzahlenbogen_(KB)'!L24="",$A6&lt;&gt;"I.O."),"-----",IF($A6="I.O.","",'Kennzahlenbogen_(KB)'!L24))</f>
        <v>-----</v>
      </c>
      <c r="F6" s="100" t="str">
        <f>IF($A6="I.O.","",'Kennzahlenbogen_(KB)'!M24)</f>
        <v>≥ 95%</v>
      </c>
      <c r="G6" s="99" t="str">
        <f>IF(AND('Kennzahlenbogen_(KB)'!O24="",$A6&lt;&gt;"I.O."),"-----",IF($A6="I.O.","",'Kennzahlenbogen_(KB)'!O24))</f>
        <v>-----</v>
      </c>
      <c r="H6" s="101" t="str">
        <f>IF($A6="I.O.","",IF('Kennzahlenbogen_(KB)'!Q24="","-----",'Kennzahlenbogen_(KB)'!Q24))</f>
        <v>-----</v>
      </c>
      <c r="I6" s="101">
        <f>IF($A6="I.O.","",IF('Kennzahlenbogen_(KB)'!Q25="","-----",'Kennzahlenbogen_(KB)'!Q25))</f>
        <v>0</v>
      </c>
      <c r="J6" s="46" t="str">
        <f>IF($A6="I.O.","",IF('Kennzahlenbogen_(KB)'!Q26="","-----",'Kennzahlenbogen_(KB)'!Q26))</f>
        <v>n.d.</v>
      </c>
      <c r="K6" s="47" t="str">
        <f>IF($A6="I.O.","",'Kennzahlenbogen_(KB)'!R24)</f>
        <v>Unvollständig</v>
      </c>
      <c r="L6" s="48" t="str">
        <f>IF(AND('Kennzahlenbogen_(KB)'!S24="",$A6&lt;&gt;"I.O."),"-----",IF($A6="I.O.","",'Kennzahlenbogen_(KB)'!S24))</f>
        <v>-----</v>
      </c>
      <c r="M6" s="48" t="str">
        <f>IF(AND('Kennzahlenbogen_(KB)'!T24="",$A6&lt;&gt;"I.O."),"-----",IF($A6="I.O.","",'Kennzahlenbogen_(KB)'!T24))</f>
        <v>-----</v>
      </c>
      <c r="O6" s="49" t="str">
        <f t="array" aca="1" ref="O6" ca="1">IF(ROW()-ROW($D$2:$D$14)+1&gt;ROWS($C$2:$C$14)-COUNTBLANK($C$2:$C$14),"",INDIRECT(ADDRESS(SMALL((IF($C$2:$C$14&lt;&gt;"",ROW($C$2:$C$14),ROW()+ROWS($C$2:$C$14))),ROW()-ROW($D$2:$D$14)+1),COLUMN($C$2:$C$14),4)))</f>
        <v>2b</v>
      </c>
      <c r="P6" s="50" t="str">
        <f t="array" aca="1" ref="P6" ca="1">IF(ROW()-ROW($E$2:$E$14)+1&gt;ROWS($D$2:$D$14)-COUNTBLANK($D$2:$D$14),"",INDIRECT(ADDRESS(SMALL((IF($D$2:$D$14&gt;"",ROW($D$2:$D$14),ROW()+ROWS($D$2:$D$14))),ROW()-ROW($E$2:$E$14)+1),COLUMN($D$2:$D$14),4)))</f>
        <v>Prätherapeutische Tumorkonferenz</v>
      </c>
      <c r="Q6" s="61" t="str">
        <f t="array" aca="1" ref="Q6" ca="1">IF(ROW()-ROW($F$2:$F$14)+1&gt;ROWS($E$2:$E$14)-COUNTBLANK($E$2:$E$14),"",INDIRECT(ADDRESS(SMALL((IF($E$2:$E$14&gt;"",ROW($E$2:$E$14),ROW()+ROWS($E$2:$E$14))),ROW()-ROW($F$2:$F$14)+1),COLUMN($E$2:$E$14),4)))</f>
        <v>-----</v>
      </c>
      <c r="R6" s="61" t="str">
        <f t="array" aca="1" ref="R6" ca="1">IF(ROW()-ROW($G$2:$G$14)+1&gt;ROWS($F$2:$F$14)-COUNTBLANK($F$2:$F$14),"",INDIRECT(ADDRESS(SMALL((IF($F$2:$F$14&gt;"",ROW($F$2:$F$14),ROW()+ROWS($F$2:$F$14))),ROW()-ROW($G$2:$G$14)+1),COLUMN($F$2:$F$14),4)))</f>
        <v>≥ 95%</v>
      </c>
      <c r="S6" s="61" t="str">
        <f t="array" aca="1" ref="S6" ca="1">IF(ROW()-ROW($H$2:$H$14)+1&gt;ROWS($G$2:$G$14)-COUNTBLANK($G$2:$G$14),"",INDIRECT(ADDRESS(SMALL((IF($G$2:$G$14&lt;&gt;"",ROW($G$2:$G$14),ROW()+ROWS($G$2:$G$14))),ROW()-ROW($H$2:$H$14)+1),COLUMN($G$2:$G$14),4)))</f>
        <v>-----</v>
      </c>
      <c r="T6" s="60" t="str">
        <f t="array" aca="1" ref="T6" ca="1">IF(ROW()-ROW($I$2:$I$14)+1&gt;ROWS($H$2:$H$14)-COUNTBLANK($H$2:$H$14),"",INDIRECT(ADDRESS(SMALL((IF($H$2:$H$14&lt;&gt;"",ROW($H$2:$H$14),ROW()+ROWS($H$2:$H$14))),ROW()-ROW($I$2:$I$14)+1),COLUMN($H$2:$H$14),4)))</f>
        <v>-----</v>
      </c>
      <c r="U6" s="60">
        <f t="array" aca="1" ref="U6" ca="1">IF(ROW()-ROW($J$2:$J$14)+1&gt;ROWS($I$2:$I$14)-COUNTBLANK($I$2:$I$14),"",INDIRECT(ADDRESS(SMALL((IF($I$2:$I$14&lt;&gt;"",ROW($I$2:$I$14),ROW()+ROWS($I$2:$I$14))),ROW()-ROW($J$2:$J$14)+1),COLUMN($I$2:$I$14),4)))</f>
        <v>0</v>
      </c>
      <c r="V6" s="51" t="str">
        <f t="array" aca="1" ref="V6" ca="1">IF(ROW()-ROW($K$2:$K$14)+1&gt;ROWS($J$2:$J$14)-COUNTBLANK($J$2:$J$14),"",INDIRECT(ADDRESS(SMALL((IF($J$2:$J$14&lt;&gt;"",ROW($J$2:$J$14),ROW()+ROWS($J$2:$J$14))),ROW()-ROW($K$2:$K$14)+1),COLUMN($J$2:$J$14),4)))</f>
        <v>n.d.</v>
      </c>
      <c r="W6" s="52" t="str">
        <f t="array" aca="1" ref="W6" ca="1">IF(ROW()-ROW($L$2:$L$14)+1&gt;ROWS($K$2:$K$14)-COUNTBLANK($K$2:$K$14),"",INDIRECT(ADDRESS(SMALL((IF($K$2:$K$14&lt;&gt;"",ROW($K$2:$K$14),ROW()+ROWS($K$2:$K$14))),ROW()-ROW($L$2:$L$14)+1),COLUMN($K$2:$K$14),4)))</f>
        <v>Unvollständig</v>
      </c>
      <c r="X6" s="50" t="str">
        <f t="array" aca="1" ref="X6" ca="1">IF(ROW()-ROW($M$2:$M$14)+1&gt;ROWS($L$2:$L$14)-COUNTBLANK($L$2:$L$14),"",INDIRECT(ADDRESS(SMALL((IF($L$2:$L$14&lt;&gt;"",ROW($L$2:$L$14),ROW()+ROWS($L$2:$L$14))),ROW()-ROW($M$2:$M$14)+1),COLUMN($L$2:$L$14),4)))</f>
        <v>-----</v>
      </c>
      <c r="Y6" s="50" t="str">
        <f t="array" aca="1" ref="Y6" ca="1">IF(ROW()-ROW($N$2:$N$9)+1&gt;ROWS($M$2:$M$14)-COUNTBLANK($M$2:$M$14),"",INDIRECT(ADDRESS(SMALL((IF($M$2:$M$14&lt;&gt;"",ROW($M$2:$M$14),ROW()+ROWS($M$2:$M$14))),ROW()-ROW($N$2:$N$9)+1),COLUMN($M$2:$M$14),4)))</f>
        <v>-----</v>
      </c>
    </row>
    <row r="7" spans="1:25" ht="54.95" customHeight="1" x14ac:dyDescent="0.25">
      <c r="A7" s="43" t="str">
        <f>IF('Kennzahlenbogen_(KB)'!R27=0,"",'Kennzahlenbogen_(KB)'!R27)</f>
        <v>Unvollständig</v>
      </c>
      <c r="B7" s="55"/>
      <c r="C7" s="44" t="str">
        <f>IF($A7="I.O.","",CONCATENATE('Kennzahlenbogen_(KB)'!B27,'Kennzahlenbogen_(KB)'!C27))</f>
        <v>3</v>
      </c>
      <c r="D7" s="45" t="str">
        <f>IF($A7="I.O.","",'Kennzahlenbogen_(KB)'!E27)</f>
        <v>Vorstellung postoperative Tumorkonferenz</v>
      </c>
      <c r="E7" s="99" t="str">
        <f>IF(AND('Kennzahlenbogen_(KB)'!L27="",$A7&lt;&gt;"I.O."),"-----",IF($A7="I.O.","",'Kennzahlenbogen_(KB)'!L27))</f>
        <v>-----</v>
      </c>
      <c r="F7" s="100" t="str">
        <f>IF($A7="I.O.","",'Kennzahlenbogen_(KB)'!M27)</f>
        <v>≥ 95%</v>
      </c>
      <c r="G7" s="99" t="str">
        <f>IF(AND('Kennzahlenbogen_(KB)'!O27="",$A7&lt;&gt;"I.O."),"-----",IF($A7="I.O.","",'Kennzahlenbogen_(KB)'!O27))</f>
        <v>-----</v>
      </c>
      <c r="H7" s="101" t="str">
        <f>IF($A7="I.O.","",IF('Kennzahlenbogen_(KB)'!Q27="","-----",'Kennzahlenbogen_(KB)'!Q27))</f>
        <v>-----</v>
      </c>
      <c r="I7" s="101" t="str">
        <f>IF($A7="I.O.","",IF('Kennzahlenbogen_(KB)'!Q28="","-----",'Kennzahlenbogen_(KB)'!Q28))</f>
        <v>-----</v>
      </c>
      <c r="J7" s="46" t="str">
        <f>IF($A7="I.O.","",IF('Kennzahlenbogen_(KB)'!Q29="",0,'Kennzahlenbogen_(KB)'!Q29))</f>
        <v>n.d.</v>
      </c>
      <c r="K7" s="47" t="str">
        <f>IF($A7="I.O.","",'Kennzahlenbogen_(KB)'!R27)</f>
        <v>Unvollständig</v>
      </c>
      <c r="L7" s="48" t="str">
        <f>IF(AND('Kennzahlenbogen_(KB)'!S27="",$A7&lt;&gt;"I.O."),"-----",IF($A7="I.O.","",'Kennzahlenbogen_(KB)'!S27))</f>
        <v>-----</v>
      </c>
      <c r="M7" s="48" t="str">
        <f>IF(AND('Kennzahlenbogen_(KB)'!T27="",$A7&lt;&gt;"I.O."),"-----",IF($A7="I.O.","",'Kennzahlenbogen_(KB)'!T27))</f>
        <v>-----</v>
      </c>
      <c r="O7" s="49" t="str">
        <f t="array" aca="1" ref="O7" ca="1">IF(ROW()-ROW($D$2:$D$14)+1&gt;ROWS($C$2:$C$14)-COUNTBLANK($C$2:$C$14),"",INDIRECT(ADDRESS(SMALL((IF($C$2:$C$14&lt;&gt;"",ROW($C$2:$C$14),ROW()+ROWS($C$2:$C$14))),ROW()-ROW($D$2:$D$14)+1),COLUMN($C$2:$C$14),4)))</f>
        <v>3</v>
      </c>
      <c r="P7" s="50" t="str">
        <f t="array" aca="1" ref="P7" ca="1">IF(ROW()-ROW($E$2:$E$14)+1&gt;ROWS($D$2:$D$14)-COUNTBLANK($D$2:$D$14),"",INDIRECT(ADDRESS(SMALL((IF($D$2:$D$14&gt;"",ROW($D$2:$D$14),ROW()+ROWS($D$2:$D$14))),ROW()-ROW($E$2:$E$14)+1),COLUMN($D$2:$D$14),4)))</f>
        <v>Vorstellung postoperative Tumorkonferenz</v>
      </c>
      <c r="Q7" s="61" t="str">
        <f t="array" aca="1" ref="Q7" ca="1">IF(ROW()-ROW($F$2:$F$14)+1&gt;ROWS($E$2:$E$14)-COUNTBLANK($E$2:$E$14),"",INDIRECT(ADDRESS(SMALL((IF($E$2:$E$14&gt;"",ROW($E$2:$E$14),ROW()+ROWS($E$2:$E$14))),ROW()-ROW($F$2:$F$14)+1),COLUMN($E$2:$E$14),4)))</f>
        <v>-----</v>
      </c>
      <c r="R7" s="61" t="str">
        <f t="array" aca="1" ref="R7" ca="1">IF(ROW()-ROW($G$2:$G$14)+1&gt;ROWS($F$2:$F$14)-COUNTBLANK($F$2:$F$14),"",INDIRECT(ADDRESS(SMALL((IF($F$2:$F$14&gt;"",ROW($F$2:$F$14),ROW()+ROWS($F$2:$F$14))),ROW()-ROW($G$2:$G$14)+1),COLUMN($F$2:$F$14),4)))</f>
        <v>≥ 95%</v>
      </c>
      <c r="S7" s="61" t="str">
        <f t="array" aca="1" ref="S7" ca="1">IF(ROW()-ROW($H$2:$H$14)+1&gt;ROWS($G$2:$G$14)-COUNTBLANK($G$2:$G$14),"",INDIRECT(ADDRESS(SMALL((IF($G$2:$G$14&lt;&gt;"",ROW($G$2:$G$14),ROW()+ROWS($G$2:$G$14))),ROW()-ROW($H$2:$H$14)+1),COLUMN($G$2:$G$14),4)))</f>
        <v>-----</v>
      </c>
      <c r="T7" s="60" t="str">
        <f t="array" aca="1" ref="T7" ca="1">IF(ROW()-ROW($I$2:$I$14)+1&gt;ROWS($H$2:$H$14)-COUNTBLANK($H$2:$H$14),"",INDIRECT(ADDRESS(SMALL((IF($H$2:$H$14&lt;&gt;"",ROW($H$2:$H$14),ROW()+ROWS($H$2:$H$14))),ROW()-ROW($I$2:$I$14)+1),COLUMN($H$2:$H$14),4)))</f>
        <v>-----</v>
      </c>
      <c r="U7" s="60" t="str">
        <f t="array" aca="1" ref="U7" ca="1">IF(ROW()-ROW($J$2:$J$14)+1&gt;ROWS($I$2:$I$14)-COUNTBLANK($I$2:$I$14),"",INDIRECT(ADDRESS(SMALL((IF($I$2:$I$14&lt;&gt;"",ROW($I$2:$I$14),ROW()+ROWS($I$2:$I$14))),ROW()-ROW($J$2:$J$14)+1),COLUMN($I$2:$I$14),4)))</f>
        <v>-----</v>
      </c>
      <c r="V7" s="51" t="str">
        <f t="array" aca="1" ref="V7" ca="1">IF(ROW()-ROW($K$2:$K$14)+1&gt;ROWS($J$2:$J$14)-COUNTBLANK($J$2:$J$14),"",INDIRECT(ADDRESS(SMALL((IF($J$2:$J$14&lt;&gt;"",ROW($J$2:$J$14),ROW()+ROWS($J$2:$J$14))),ROW()-ROW($K$2:$K$14)+1),COLUMN($J$2:$J$14),4)))</f>
        <v>n.d.</v>
      </c>
      <c r="W7" s="52" t="str">
        <f t="array" aca="1" ref="W7" ca="1">IF(ROW()-ROW($L$2:$L$14)+1&gt;ROWS($K$2:$K$14)-COUNTBLANK($K$2:$K$14),"",INDIRECT(ADDRESS(SMALL((IF($K$2:$K$14&lt;&gt;"",ROW($K$2:$K$14),ROW()+ROWS($K$2:$K$14))),ROW()-ROW($L$2:$L$14)+1),COLUMN($K$2:$K$14),4)))</f>
        <v>Unvollständig</v>
      </c>
      <c r="X7" s="50" t="str">
        <f t="array" aca="1" ref="X7" ca="1">IF(ROW()-ROW($M$2:$M$14)+1&gt;ROWS($L$2:$L$14)-COUNTBLANK($L$2:$L$14),"",INDIRECT(ADDRESS(SMALL((IF($L$2:$L$14&lt;&gt;"",ROW($L$2:$L$14),ROW()+ROWS($L$2:$L$14))),ROW()-ROW($M$2:$M$14)+1),COLUMN($L$2:$L$14),4)))</f>
        <v>-----</v>
      </c>
      <c r="Y7" s="50" t="str">
        <f t="array" aca="1" ref="Y7" ca="1">IF(ROW()-ROW($N$2:$N$9)+1&gt;ROWS($M$2:$M$14)-COUNTBLANK($M$2:$M$14),"",INDIRECT(ADDRESS(SMALL((IF($M$2:$M$14&lt;&gt;"",ROW($M$2:$M$14),ROW()+ROWS($M$2:$M$14))),ROW()-ROW($N$2:$N$9)+1),COLUMN($M$2:$M$14),4)))</f>
        <v>-----</v>
      </c>
    </row>
    <row r="8" spans="1:25" ht="54.95" customHeight="1" x14ac:dyDescent="0.25">
      <c r="A8" s="43" t="str">
        <f>IF('Kennzahlenbogen_(KB)'!R30=0,"",'Kennzahlenbogen_(KB)'!R30)</f>
        <v>Unvollständig</v>
      </c>
      <c r="B8" s="55"/>
      <c r="C8" s="44" t="str">
        <f>IF($A8="I.O.","",CONCATENATE('Kennzahlenbogen_(KB)'!B30,'Kennzahlenbogen_(KB)'!C30))</f>
        <v>4</v>
      </c>
      <c r="D8" s="45" t="str">
        <f>IF($A8="I.O.","",'Kennzahlenbogen_(KB)'!E30)</f>
        <v>Psychoonkologische Betreuung</v>
      </c>
      <c r="E8" s="99" t="str">
        <f>IF(AND('Kennzahlenbogen_(KB)'!L30="",$A8&lt;&gt;"I.O."),"-----",IF($A8="I.O.","",'Kennzahlenbogen_(KB)'!L30))</f>
        <v>&lt; 5%</v>
      </c>
      <c r="F8" s="100" t="str">
        <f>IF($A8="I.O.","",'Kennzahlenbogen_(KB)'!M30)</f>
        <v>Derzeit keine Vorgaben</v>
      </c>
      <c r="G8" s="99" t="str">
        <f>IF(AND('Kennzahlenbogen_(KB)'!O30="",$A8&lt;&gt;"I.O."),"-----",IF($A8="I.O.","",'Kennzahlenbogen_(KB)'!O30))</f>
        <v>&gt; 60%</v>
      </c>
      <c r="H8" s="101" t="str">
        <f>IF($A8="I.O.","",IF('Kennzahlenbogen_(KB)'!Q30="","-----",'Kennzahlenbogen_(KB)'!Q30))</f>
        <v>-----</v>
      </c>
      <c r="I8" s="101">
        <f>IF($A8="I.O.","",IF('Kennzahlenbogen_(KB)'!Q31="","-----",'Kennzahlenbogen_(KB)'!Q31))</f>
        <v>0</v>
      </c>
      <c r="J8" s="46" t="str">
        <f>IF($A8="I.O.","",IF('Kennzahlenbogen_(KB)'!Q32="",0,'Kennzahlenbogen_(KB)'!Q32))</f>
        <v>n.d.</v>
      </c>
      <c r="K8" s="47" t="str">
        <f>IF($A8="I.O.","",'Kennzahlenbogen_(KB)'!R30)</f>
        <v>Unvollständig</v>
      </c>
      <c r="L8" s="48" t="str">
        <f>IF(AND('Kennzahlenbogen_(KB)'!S30="",$A8&lt;&gt;"I.O."),"-----",IF($A8="I.O.","",'Kennzahlenbogen_(KB)'!S30))</f>
        <v>-----</v>
      </c>
      <c r="M8" s="48" t="str">
        <f>IF(AND('Kennzahlenbogen_(KB)'!T30="",$A8&lt;&gt;"I.O."),"-----",IF($A8="I.O.","",'Kennzahlenbogen_(KB)'!T30))</f>
        <v>-----</v>
      </c>
      <c r="O8" s="49" t="str">
        <f t="array" aca="1" ref="O8" ca="1">IF(ROW()-ROW($D$2:$D$14)+1&gt;ROWS($C$2:$C$14)-COUNTBLANK($C$2:$C$14),"",INDIRECT(ADDRESS(SMALL((IF($C$2:$C$14&lt;&gt;"",ROW($C$2:$C$14),ROW()+ROWS($C$2:$C$14))),ROW()-ROW($D$2:$D$14)+1),COLUMN($C$2:$C$14),4)))</f>
        <v>4</v>
      </c>
      <c r="P8" s="50" t="str">
        <f t="array" aca="1" ref="P8" ca="1">IF(ROW()-ROW($E$2:$E$14)+1&gt;ROWS($D$2:$D$14)-COUNTBLANK($D$2:$D$14),"",INDIRECT(ADDRESS(SMALL((IF($D$2:$D$14&gt;"",ROW($D$2:$D$14),ROW()+ROWS($D$2:$D$14))),ROW()-ROW($E$2:$E$14)+1),COLUMN($D$2:$D$14),4)))</f>
        <v>Psychoonkologische Betreuung</v>
      </c>
      <c r="Q8" s="61" t="str">
        <f t="array" aca="1" ref="Q8" ca="1">IF(ROW()-ROW($F$2:$F$14)+1&gt;ROWS($E$2:$E$14)-COUNTBLANK($E$2:$E$14),"",INDIRECT(ADDRESS(SMALL((IF($E$2:$E$14&gt;"",ROW($E$2:$E$14),ROW()+ROWS($E$2:$E$14))),ROW()-ROW($F$2:$F$14)+1),COLUMN($E$2:$E$14),4)))</f>
        <v>&lt; 5%</v>
      </c>
      <c r="R8" s="61" t="str">
        <f t="array" aca="1" ref="R8" ca="1">IF(ROW()-ROW($G$2:$G$14)+1&gt;ROWS($F$2:$F$14)-COUNTBLANK($F$2:$F$14),"",INDIRECT(ADDRESS(SMALL((IF($F$2:$F$14&gt;"",ROW($F$2:$F$14),ROW()+ROWS($F$2:$F$14))),ROW()-ROW($G$2:$G$14)+1),COLUMN($F$2:$F$14),4)))</f>
        <v>Derzeit keine Vorgaben</v>
      </c>
      <c r="S8" s="61" t="str">
        <f t="array" aca="1" ref="S8" ca="1">IF(ROW()-ROW($H$2:$H$14)+1&gt;ROWS($G$2:$G$14)-COUNTBLANK($G$2:$G$14),"",INDIRECT(ADDRESS(SMALL((IF($G$2:$G$14&lt;&gt;"",ROW($G$2:$G$14),ROW()+ROWS($G$2:$G$14))),ROW()-ROW($H$2:$H$14)+1),COLUMN($G$2:$G$14),4)))</f>
        <v>&gt; 60%</v>
      </c>
      <c r="T8" s="60" t="str">
        <f t="array" aca="1" ref="T8" ca="1">IF(ROW()-ROW($I$2:$I$14)+1&gt;ROWS($H$2:$H$14)-COUNTBLANK($H$2:$H$14),"",INDIRECT(ADDRESS(SMALL((IF($H$2:$H$14&lt;&gt;"",ROW($H$2:$H$14),ROW()+ROWS($H$2:$H$14))),ROW()-ROW($I$2:$I$14)+1),COLUMN($H$2:$H$14),4)))</f>
        <v>-----</v>
      </c>
      <c r="U8" s="60">
        <f t="array" aca="1" ref="U8" ca="1">IF(ROW()-ROW($J$2:$J$14)+1&gt;ROWS($I$2:$I$14)-COUNTBLANK($I$2:$I$14),"",INDIRECT(ADDRESS(SMALL((IF($I$2:$I$14&lt;&gt;"",ROW($I$2:$I$14),ROW()+ROWS($I$2:$I$14))),ROW()-ROW($J$2:$J$14)+1),COLUMN($I$2:$I$14),4)))</f>
        <v>0</v>
      </c>
      <c r="V8" s="51" t="str">
        <f t="array" aca="1" ref="V8" ca="1">IF(ROW()-ROW($K$2:$K$14)+1&gt;ROWS($J$2:$J$14)-COUNTBLANK($J$2:$J$14),"",INDIRECT(ADDRESS(SMALL((IF($J$2:$J$14&lt;&gt;"",ROW($J$2:$J$14),ROW()+ROWS($J$2:$J$14))),ROW()-ROW($K$2:$K$14)+1),COLUMN($J$2:$J$14),4)))</f>
        <v>n.d.</v>
      </c>
      <c r="W8" s="52" t="str">
        <f t="array" aca="1" ref="W8" ca="1">IF(ROW()-ROW($L$2:$L$14)+1&gt;ROWS($K$2:$K$14)-COUNTBLANK($K$2:$K$14),"",INDIRECT(ADDRESS(SMALL((IF($K$2:$K$14&lt;&gt;"",ROW($K$2:$K$14),ROW()+ROWS($K$2:$K$14))),ROW()-ROW($L$2:$L$14)+1),COLUMN($K$2:$K$14),4)))</f>
        <v>Unvollständig</v>
      </c>
      <c r="X8" s="50" t="str">
        <f t="array" aca="1" ref="X8" ca="1">IF(ROW()-ROW($M$2:$M$14)+1&gt;ROWS($L$2:$L$14)-COUNTBLANK($L$2:$L$14),"",INDIRECT(ADDRESS(SMALL((IF($L$2:$L$14&lt;&gt;"",ROW($L$2:$L$14),ROW()+ROWS($L$2:$L$14))),ROW()-ROW($M$2:$M$14)+1),COLUMN($L$2:$L$14),4)))</f>
        <v>-----</v>
      </c>
      <c r="Y8" s="50" t="str">
        <f t="array" aca="1" ref="Y8" ca="1">IF(ROW()-ROW($N$2:$N$9)+1&gt;ROWS($M$2:$M$14)-COUNTBLANK($M$2:$M$14),"",INDIRECT(ADDRESS(SMALL((IF($M$2:$M$14&lt;&gt;"",ROW($M$2:$M$14),ROW()+ROWS($M$2:$M$14))),ROW()-ROW($N$2:$N$9)+1),COLUMN($M$2:$M$14),4)))</f>
        <v>-----</v>
      </c>
    </row>
    <row r="9" spans="1:25" ht="54.95" customHeight="1" x14ac:dyDescent="0.25">
      <c r="A9" s="43" t="str">
        <f>IF('Kennzahlenbogen_(KB)'!R33=0,"",'Kennzahlenbogen_(KB)'!R33)</f>
        <v>Unvollständig</v>
      </c>
      <c r="B9" s="55"/>
      <c r="C9" s="44" t="str">
        <f>IF($A9="I.O.","",CONCATENATE('Kennzahlenbogen_(KB)'!B33,'Kennzahlenbogen_(KB)'!C33))</f>
        <v>5</v>
      </c>
      <c r="D9" s="45" t="str">
        <f>IF($A9="I.O.","",'Kennzahlenbogen_(KB)'!E33)</f>
        <v>Beratung Sozialdienst</v>
      </c>
      <c r="E9" s="99" t="str">
        <f>IF(AND('Kennzahlenbogen_(KB)'!L33="",$A9&lt;&gt;"I.O."),"-----",IF($A9="I.O.","",'Kennzahlenbogen_(KB)'!L33))</f>
        <v>&lt; 40%</v>
      </c>
      <c r="F9" s="100" t="str">
        <f>IF($A9="I.O.","",'Kennzahlenbogen_(KB)'!M33)</f>
        <v>Derzeit keine Vorgaben</v>
      </c>
      <c r="G9" s="99" t="str">
        <f>IF(AND('Kennzahlenbogen_(KB)'!O33="",$A9&lt;&gt;"I.O."),"-----",IF($A9="I.O.","",'Kennzahlenbogen_(KB)'!O33))</f>
        <v>-----</v>
      </c>
      <c r="H9" s="101" t="str">
        <f>IF($A9="I.O.","",IF('Kennzahlenbogen_(KB)'!Q33="","-----",'Kennzahlenbogen_(KB)'!Q33))</f>
        <v>-----</v>
      </c>
      <c r="I9" s="101">
        <f>IF($A9="I.O.","",IF('Kennzahlenbogen_(KB)'!Q34="","-----",'Kennzahlenbogen_(KB)'!Q34))</f>
        <v>0</v>
      </c>
      <c r="J9" s="46" t="str">
        <f>IF($A9="I.O.","",IF('Kennzahlenbogen_(KB)'!Q35="",0,'Kennzahlenbogen_(KB)'!Q35))</f>
        <v>n.d.</v>
      </c>
      <c r="K9" s="47" t="str">
        <f>IF($A9="I.O.","",'Kennzahlenbogen_(KB)'!R33)</f>
        <v>Unvollständig</v>
      </c>
      <c r="L9" s="48" t="str">
        <f>IF(AND('Kennzahlenbogen_(KB)'!S33="",$A9&lt;&gt;"I.O."),"-----",IF($A9="I.O.","",'Kennzahlenbogen_(KB)'!S33))</f>
        <v>-----</v>
      </c>
      <c r="M9" s="48" t="str">
        <f>IF(AND('Kennzahlenbogen_(KB)'!T33="",$A9&lt;&gt;"I.O."),"-----",IF($A9="I.O.","",'Kennzahlenbogen_(KB)'!T33))</f>
        <v>-----</v>
      </c>
      <c r="O9" s="49" t="str">
        <f t="array" aca="1" ref="O9" ca="1">IF(ROW()-ROW($D$2:$D$14)+1&gt;ROWS($C$2:$C$14)-COUNTBLANK($C$2:$C$14),"",INDIRECT(ADDRESS(SMALL((IF($C$2:$C$14&lt;&gt;"",ROW($C$2:$C$14),ROW()+ROWS($C$2:$C$14))),ROW()-ROW($D$2:$D$14)+1),COLUMN($C$2:$C$14),4)))</f>
        <v>5</v>
      </c>
      <c r="P9" s="50" t="str">
        <f t="array" aca="1" ref="P9" ca="1">IF(ROW()-ROW($E$2:$E$14)+1&gt;ROWS($D$2:$D$14)-COUNTBLANK($D$2:$D$14),"",INDIRECT(ADDRESS(SMALL((IF($D$2:$D$14&gt;"",ROW($D$2:$D$14),ROW()+ROWS($D$2:$D$14))),ROW()-ROW($E$2:$E$14)+1),COLUMN($D$2:$D$14),4)))</f>
        <v>Beratung Sozialdienst</v>
      </c>
      <c r="Q9" s="61" t="str">
        <f t="array" aca="1" ref="Q9" ca="1">IF(ROW()-ROW($F$2:$F$14)+1&gt;ROWS($E$2:$E$14)-COUNTBLANK($E$2:$E$14),"",INDIRECT(ADDRESS(SMALL((IF($E$2:$E$14&gt;"",ROW($E$2:$E$14),ROW()+ROWS($E$2:$E$14))),ROW()-ROW($F$2:$F$14)+1),COLUMN($E$2:$E$14),4)))</f>
        <v>&lt; 40%</v>
      </c>
      <c r="R9" s="61" t="str">
        <f t="array" aca="1" ref="R9" ca="1">IF(ROW()-ROW($G$2:$G$14)+1&gt;ROWS($F$2:$F$14)-COUNTBLANK($F$2:$F$14),"",INDIRECT(ADDRESS(SMALL((IF($F$2:$F$14&gt;"",ROW($F$2:$F$14),ROW()+ROWS($F$2:$F$14))),ROW()-ROW($G$2:$G$14)+1),COLUMN($F$2:$F$14),4)))</f>
        <v>Derzeit keine Vorgaben</v>
      </c>
      <c r="S9" s="61" t="str">
        <f t="array" aca="1" ref="S9" ca="1">IF(ROW()-ROW($H$2:$H$14)+1&gt;ROWS($G$2:$G$14)-COUNTBLANK($G$2:$G$14),"",INDIRECT(ADDRESS(SMALL((IF($G$2:$G$14&lt;&gt;"",ROW($G$2:$G$14),ROW()+ROWS($G$2:$G$14))),ROW()-ROW($H$2:$H$14)+1),COLUMN($G$2:$G$14),4)))</f>
        <v>-----</v>
      </c>
      <c r="T9" s="60" t="str">
        <f t="array" aca="1" ref="T9" ca="1">IF(ROW()-ROW($I$2:$I$14)+1&gt;ROWS($H$2:$H$14)-COUNTBLANK($H$2:$H$14),"",INDIRECT(ADDRESS(SMALL((IF($H$2:$H$14&lt;&gt;"",ROW($H$2:$H$14),ROW()+ROWS($H$2:$H$14))),ROW()-ROW($I$2:$I$14)+1),COLUMN($H$2:$H$14),4)))</f>
        <v>-----</v>
      </c>
      <c r="U9" s="60">
        <f t="array" aca="1" ref="U9" ca="1">IF(ROW()-ROW($J$2:$J$14)+1&gt;ROWS($I$2:$I$14)-COUNTBLANK($I$2:$I$14),"",INDIRECT(ADDRESS(SMALL((IF($I$2:$I$14&lt;&gt;"",ROW($I$2:$I$14),ROW()+ROWS($I$2:$I$14))),ROW()-ROW($J$2:$J$14)+1),COLUMN($I$2:$I$14),4)))</f>
        <v>0</v>
      </c>
      <c r="V9" s="51" t="str">
        <f t="array" aca="1" ref="V9" ca="1">IF(ROW()-ROW($K$2:$K$14)+1&gt;ROWS($J$2:$J$14)-COUNTBLANK($J$2:$J$14),"",INDIRECT(ADDRESS(SMALL((IF($J$2:$J$14&lt;&gt;"",ROW($J$2:$J$14),ROW()+ROWS($J$2:$J$14))),ROW()-ROW($K$2:$K$14)+1),COLUMN($J$2:$J$14),4)))</f>
        <v>n.d.</v>
      </c>
      <c r="W9" s="52" t="str">
        <f t="array" aca="1" ref="W9" ca="1">IF(ROW()-ROW($L$2:$L$14)+1&gt;ROWS($K$2:$K$14)-COUNTBLANK($K$2:$K$14),"",INDIRECT(ADDRESS(SMALL((IF($K$2:$K$14&lt;&gt;"",ROW($K$2:$K$14),ROW()+ROWS($K$2:$K$14))),ROW()-ROW($L$2:$L$14)+1),COLUMN($K$2:$K$14),4)))</f>
        <v>Unvollständig</v>
      </c>
      <c r="X9" s="50" t="str">
        <f t="array" aca="1" ref="X9" ca="1">IF(ROW()-ROW($M$2:$M$14)+1&gt;ROWS($L$2:$L$14)-COUNTBLANK($L$2:$L$14),"",INDIRECT(ADDRESS(SMALL((IF($L$2:$L$14&lt;&gt;"",ROW($L$2:$L$14),ROW()+ROWS($L$2:$L$14))),ROW()-ROW($M$2:$M$14)+1),COLUMN($L$2:$L$14),4)))</f>
        <v>-----</v>
      </c>
      <c r="Y9" s="50" t="str">
        <f t="array" aca="1" ref="Y9" ca="1">IF(ROW()-ROW($N$2:$N$9)+1&gt;ROWS($M$2:$M$14)-COUNTBLANK($M$2:$M$14),"",INDIRECT(ADDRESS(SMALL((IF($M$2:$M$14&lt;&gt;"",ROW($M$2:$M$14),ROW()+ROWS($M$2:$M$14))),ROW()-ROW($N$2:$N$9)+1),COLUMN($M$2:$M$14),4)))</f>
        <v>-----</v>
      </c>
    </row>
    <row r="10" spans="1:25" ht="54.95" customHeight="1" x14ac:dyDescent="0.25">
      <c r="A10" s="43" t="str">
        <f>IF('Kennzahlenbogen_(KB)'!R36=0,"",'Kennzahlenbogen_(KB)'!R36)</f>
        <v>Unvollständig</v>
      </c>
      <c r="C10" s="44" t="str">
        <f>IF($A10="I.O.","",CONCATENATE('Kennzahlenbogen_(KB)'!B36,'Kennzahlenbogen_(KB)'!C36))</f>
        <v>6</v>
      </c>
      <c r="D10" s="45" t="str">
        <f>IF($A10="I.O.","",'Kennzahlenbogen_(KB)'!E36)</f>
        <v>Anteil 
Studienpat.</v>
      </c>
      <c r="E10" s="99" t="str">
        <f>IF(AND('Kennzahlenbogen_(KB)'!L36="",$A10&lt;&gt;"I.O."),"-----",IF($A10="I.O.","",'Kennzahlenbogen_(KB)'!L36))</f>
        <v>-----</v>
      </c>
      <c r="F10" s="100" t="str">
        <f>IF($A10="I.O.","",'Kennzahlenbogen_(KB)'!M36)</f>
        <v>≥ 5%</v>
      </c>
      <c r="G10" s="99" t="str">
        <f>IF(AND('Kennzahlenbogen_(KB)'!O36="",$A10&lt;&gt;"I.O."),"-----",IF($A10="I.O.","",'Kennzahlenbogen_(KB)'!O36))</f>
        <v>&gt; 80%</v>
      </c>
      <c r="H10" s="101" t="str">
        <f>IF($A10="I.O.","",IF('Kennzahlenbogen_(KB)'!Q36="","-----",'Kennzahlenbogen_(KB)'!Q36))</f>
        <v>-----</v>
      </c>
      <c r="I10" s="101">
        <f>IF($A10="I.O.","",IF('Kennzahlenbogen_(KB)'!Q37="","-----",'Kennzahlenbogen_(KB)'!Q37))</f>
        <v>0</v>
      </c>
      <c r="J10" s="46" t="str">
        <f>IF($A10="I.O.","",IF('Kennzahlenbogen_(KB)'!Q38="",0,'Kennzahlenbogen_(KB)'!Q38))</f>
        <v>n.d.</v>
      </c>
      <c r="K10" s="47" t="str">
        <f>IF($A10="I.O.","",'Kennzahlenbogen_(KB)'!R36)</f>
        <v>Unvollständig</v>
      </c>
      <c r="L10" s="48" t="str">
        <f>IF(AND('Kennzahlenbogen_(KB)'!S36="",$A10&lt;&gt;"I.O."),"-----",IF($A10="I.O.","",'Kennzahlenbogen_(KB)'!S36))</f>
        <v>-----</v>
      </c>
      <c r="M10" s="48" t="str">
        <f>IF(AND('Kennzahlenbogen_(KB)'!T36="",$A10&lt;&gt;"I.O."),"-----",IF($A10="I.O.","",'Kennzahlenbogen_(KB)'!T36))</f>
        <v>-----</v>
      </c>
      <c r="O10" s="49" t="str">
        <f t="array" aca="1" ref="O10" ca="1">IF(ROW()-ROW($D$2:$D$14)+1&gt;ROWS($C$2:$C$14)-COUNTBLANK($C$2:$C$14),"",INDIRECT(ADDRESS(SMALL((IF($C$2:$C$14&lt;&gt;"",ROW($C$2:$C$14),ROW()+ROWS($C$2:$C$14))),ROW()-ROW($D$2:$D$14)+1),COLUMN($C$2:$C$14),4)))</f>
        <v>6</v>
      </c>
      <c r="P10" s="50" t="str">
        <f t="array" aca="1" ref="P10" ca="1">IF(ROW()-ROW($E$2:$E$14)+1&gt;ROWS($D$2:$D$14)-COUNTBLANK($D$2:$D$14),"",INDIRECT(ADDRESS(SMALL((IF($D$2:$D$14&gt;"",ROW($D$2:$D$14),ROW()+ROWS($D$2:$D$14))),ROW()-ROW($E$2:$E$14)+1),COLUMN($D$2:$D$14),4)))</f>
        <v>Anteil 
Studienpat.</v>
      </c>
      <c r="Q10" s="61" t="str">
        <f t="array" aca="1" ref="Q10" ca="1">IF(ROW()-ROW($F$2:$F$14)+1&gt;ROWS($E$2:$E$14)-COUNTBLANK($E$2:$E$14),"",INDIRECT(ADDRESS(SMALL((IF($E$2:$E$14&gt;"",ROW($E$2:$E$14),ROW()+ROWS($E$2:$E$14))),ROW()-ROW($F$2:$F$14)+1),COLUMN($E$2:$E$14),4)))</f>
        <v>-----</v>
      </c>
      <c r="R10" s="61" t="str">
        <f t="array" aca="1" ref="R10" ca="1">IF(ROW()-ROW($G$2:$G$14)+1&gt;ROWS($F$2:$F$14)-COUNTBLANK($F$2:$F$14),"",INDIRECT(ADDRESS(SMALL((IF($F$2:$F$14&gt;"",ROW($F$2:$F$14),ROW()+ROWS($F$2:$F$14))),ROW()-ROW($G$2:$G$14)+1),COLUMN($F$2:$F$14),4)))</f>
        <v>≥ 5%</v>
      </c>
      <c r="S10" s="61" t="str">
        <f t="array" aca="1" ref="S10" ca="1">IF(ROW()-ROW($H$2:$H$14)+1&gt;ROWS($G$2:$G$14)-COUNTBLANK($G$2:$G$14),"",INDIRECT(ADDRESS(SMALL((IF($G$2:$G$14&lt;&gt;"",ROW($G$2:$G$14),ROW()+ROWS($G$2:$G$14))),ROW()-ROW($H$2:$H$14)+1),COLUMN($G$2:$G$14),4)))</f>
        <v>&gt; 80%</v>
      </c>
      <c r="T10" s="60" t="str">
        <f t="array" aca="1" ref="T10" ca="1">IF(ROW()-ROW($I$2:$I$14)+1&gt;ROWS($H$2:$H$14)-COUNTBLANK($H$2:$H$14),"",INDIRECT(ADDRESS(SMALL((IF($H$2:$H$14&lt;&gt;"",ROW($H$2:$H$14),ROW()+ROWS($H$2:$H$14))),ROW()-ROW($I$2:$I$14)+1),COLUMN($H$2:$H$14),4)))</f>
        <v>-----</v>
      </c>
      <c r="U10" s="60">
        <f t="array" aca="1" ref="U10" ca="1">IF(ROW()-ROW($J$2:$J$14)+1&gt;ROWS($I$2:$I$14)-COUNTBLANK($I$2:$I$14),"",INDIRECT(ADDRESS(SMALL((IF($I$2:$I$14&lt;&gt;"",ROW($I$2:$I$14),ROW()+ROWS($I$2:$I$14))),ROW()-ROW($J$2:$J$14)+1),COLUMN($I$2:$I$14),4)))</f>
        <v>0</v>
      </c>
      <c r="V10" s="51" t="str">
        <f t="array" aca="1" ref="V10" ca="1">IF(ROW()-ROW($K$2:$K$14)+1&gt;ROWS($J$2:$J$14)-COUNTBLANK($J$2:$J$14),"",INDIRECT(ADDRESS(SMALL((IF($J$2:$J$14&lt;&gt;"",ROW($J$2:$J$14),ROW()+ROWS($J$2:$J$14))),ROW()-ROW($K$2:$K$14)+1),COLUMN($J$2:$J$14),4)))</f>
        <v>n.d.</v>
      </c>
      <c r="W10" s="52" t="str">
        <f t="array" aca="1" ref="W10" ca="1">IF(ROW()-ROW($L$2:$L$14)+1&gt;ROWS($K$2:$K$14)-COUNTBLANK($K$2:$K$14),"",INDIRECT(ADDRESS(SMALL((IF($K$2:$K$14&lt;&gt;"",ROW($K$2:$K$14),ROW()+ROWS($K$2:$K$14))),ROW()-ROW($L$2:$L$14)+1),COLUMN($K$2:$K$14),4)))</f>
        <v>Unvollständig</v>
      </c>
      <c r="X10" s="50" t="str">
        <f t="array" aca="1" ref="X10" ca="1">IF(ROW()-ROW($M$2:$M$14)+1&gt;ROWS($L$2:$L$14)-COUNTBLANK($L$2:$L$14),"",INDIRECT(ADDRESS(SMALL((IF($L$2:$L$14&lt;&gt;"",ROW($L$2:$L$14),ROW()+ROWS($L$2:$L$14))),ROW()-ROW($M$2:$M$14)+1),COLUMN($L$2:$L$14),4)))</f>
        <v>-----</v>
      </c>
      <c r="Y10" s="50" t="str">
        <f t="array" aca="1" ref="Y10" ca="1">IF(ROW()-ROW($N$2:$N$9)+1&gt;ROWS($M$2:$M$14)-COUNTBLANK($M$2:$M$14),"",INDIRECT(ADDRESS(SMALL((IF($M$2:$M$14&lt;&gt;"",ROW($M$2:$M$14),ROW()+ROWS($M$2:$M$14))),ROW()-ROW($N$2:$N$9)+1),COLUMN($M$2:$M$14),4)))</f>
        <v>-----</v>
      </c>
    </row>
    <row r="11" spans="1:25" ht="54.95" customHeight="1" x14ac:dyDescent="0.25">
      <c r="A11" s="43" t="str">
        <f>IF('Kennzahlenbogen_(KB)'!R39=0,"",'Kennzahlenbogen_(KB)'!R39)</f>
        <v>Unvollständig</v>
      </c>
      <c r="C11" s="44" t="str">
        <f>IF($A11="I.O.","",CONCATENATE('Kennzahlenbogen_(KB)'!B39,'Kennzahlenbogen_(KB)'!C39))</f>
        <v>7</v>
      </c>
      <c r="D11" s="45" t="str">
        <f>IF($A11="I.O.","",'Kennzahlenbogen_(KB)'!E39)</f>
        <v>R0-Resektion</v>
      </c>
      <c r="E11" s="99" t="str">
        <f>IF(AND('Kennzahlenbogen_(KB)'!L39="",$A11&lt;&gt;"I.O."),"-----",IF($A11="I.O.","",'Kennzahlenbogen_(KB)'!L39))</f>
        <v>&lt; 80%</v>
      </c>
      <c r="F11" s="100" t="str">
        <f>IF($A11="I.O.","",'Kennzahlenbogen_(KB)'!M39)</f>
        <v>Derzeit keine Vorgaben</v>
      </c>
      <c r="G11" s="99" t="str">
        <f>IF(AND('Kennzahlenbogen_(KB)'!O39="",$A11&lt;&gt;"I.O."),"-----",IF($A11="I.O.","",'Kennzahlenbogen_(KB)'!O39))</f>
        <v>-----</v>
      </c>
      <c r="H11" s="101" t="str">
        <f>IF($A11="I.O.","",IF('Kennzahlenbogen_(KB)'!Q39="","-----",'Kennzahlenbogen_(KB)'!Q39))</f>
        <v>-----</v>
      </c>
      <c r="I11" s="101">
        <f>IF($A11="I.O.","",IF('Kennzahlenbogen_(KB)'!Q40="","-----",'Kennzahlenbogen_(KB)'!Q40))</f>
        <v>0</v>
      </c>
      <c r="J11" s="46" t="str">
        <f>IF($A11="I.O.","",IF('Kennzahlenbogen_(KB)'!Q41="",0,'Kennzahlenbogen_(KB)'!Q41))</f>
        <v>n.d.</v>
      </c>
      <c r="K11" s="47" t="str">
        <f>IF($A11="I.O.","",'Kennzahlenbogen_(KB)'!R39)</f>
        <v>Unvollständig</v>
      </c>
      <c r="L11" s="48" t="str">
        <f>IF(AND('Kennzahlenbogen_(KB)'!S39="",$A11&lt;&gt;"I.O."),"-----",IF($A11="I.O.","",'Kennzahlenbogen_(KB)'!S39))</f>
        <v>-----</v>
      </c>
      <c r="M11" s="48" t="str">
        <f>IF(AND('Kennzahlenbogen_(KB)'!T39="",$A11&lt;&gt;"I.O."),"-----",IF($A11="I.O.","",'Kennzahlenbogen_(KB)'!T39))</f>
        <v>-----</v>
      </c>
      <c r="O11" s="49" t="str">
        <f t="array" aca="1" ref="O11" ca="1">IF(ROW()-ROW($D$2:$D$14)+1&gt;ROWS($C$2:$C$14)-COUNTBLANK($C$2:$C$14),"",INDIRECT(ADDRESS(SMALL((IF($C$2:$C$14&lt;&gt;"",ROW($C$2:$C$14),ROW()+ROWS($C$2:$C$14))),ROW()-ROW($D$2:$D$14)+1),COLUMN($C$2:$C$14),4)))</f>
        <v>7</v>
      </c>
      <c r="P11" s="50" t="str">
        <f t="array" aca="1" ref="P11" ca="1">IF(ROW()-ROW($E$2:$E$14)+1&gt;ROWS($D$2:$D$14)-COUNTBLANK($D$2:$D$14),"",INDIRECT(ADDRESS(SMALL((IF($D$2:$D$14&gt;"",ROW($D$2:$D$14),ROW()+ROWS($D$2:$D$14))),ROW()-ROW($E$2:$E$14)+1),COLUMN($D$2:$D$14),4)))</f>
        <v>R0-Resektion</v>
      </c>
      <c r="Q11" s="61" t="str">
        <f t="array" aca="1" ref="Q11" ca="1">IF(ROW()-ROW($F$2:$F$14)+1&gt;ROWS($E$2:$E$14)-COUNTBLANK($E$2:$E$14),"",INDIRECT(ADDRESS(SMALL((IF($E$2:$E$14&gt;"",ROW($E$2:$E$14),ROW()+ROWS($E$2:$E$14))),ROW()-ROW($F$2:$F$14)+1),COLUMN($E$2:$E$14),4)))</f>
        <v>&lt; 80%</v>
      </c>
      <c r="R11" s="61" t="str">
        <f t="array" aca="1" ref="R11" ca="1">IF(ROW()-ROW($G$2:$G$14)+1&gt;ROWS($F$2:$F$14)-COUNTBLANK($F$2:$F$14),"",INDIRECT(ADDRESS(SMALL((IF($F$2:$F$14&gt;"",ROW($F$2:$F$14),ROW()+ROWS($F$2:$F$14))),ROW()-ROW($G$2:$G$14)+1),COLUMN($F$2:$F$14),4)))</f>
        <v>Derzeit keine Vorgaben</v>
      </c>
      <c r="S11" s="61" t="str">
        <f t="array" aca="1" ref="S11" ca="1">IF(ROW()-ROW($H$2:$H$14)+1&gt;ROWS($G$2:$G$14)-COUNTBLANK($G$2:$G$14),"",INDIRECT(ADDRESS(SMALL((IF($G$2:$G$14&lt;&gt;"",ROW($G$2:$G$14),ROW()+ROWS($G$2:$G$14))),ROW()-ROW($H$2:$H$14)+1),COLUMN($G$2:$G$14),4)))</f>
        <v>-----</v>
      </c>
      <c r="T11" s="60" t="str">
        <f t="array" aca="1" ref="T11" ca="1">IF(ROW()-ROW($I$2:$I$14)+1&gt;ROWS($H$2:$H$14)-COUNTBLANK($H$2:$H$14),"",INDIRECT(ADDRESS(SMALL((IF($H$2:$H$14&lt;&gt;"",ROW($H$2:$H$14),ROW()+ROWS($H$2:$H$14))),ROW()-ROW($I$2:$I$14)+1),COLUMN($H$2:$H$14),4)))</f>
        <v>-----</v>
      </c>
      <c r="U11" s="60">
        <f t="array" aca="1" ref="U11" ca="1">IF(ROW()-ROW($J$2:$J$14)+1&gt;ROWS($I$2:$I$14)-COUNTBLANK($I$2:$I$14),"",INDIRECT(ADDRESS(SMALL((IF($I$2:$I$14&lt;&gt;"",ROW($I$2:$I$14),ROW()+ROWS($I$2:$I$14))),ROW()-ROW($J$2:$J$14)+1),COLUMN($I$2:$I$14),4)))</f>
        <v>0</v>
      </c>
      <c r="V11" s="51" t="str">
        <f t="array" aca="1" ref="V11" ca="1">IF(ROW()-ROW($K$2:$K$14)+1&gt;ROWS($J$2:$J$14)-COUNTBLANK($J$2:$J$14),"",INDIRECT(ADDRESS(SMALL((IF($J$2:$J$14&lt;&gt;"",ROW($J$2:$J$14),ROW()+ROWS($J$2:$J$14))),ROW()-ROW($K$2:$K$14)+1),COLUMN($J$2:$J$14),4)))</f>
        <v>n.d.</v>
      </c>
      <c r="W11" s="52" t="str">
        <f t="array" aca="1" ref="W11" ca="1">IF(ROW()-ROW($L$2:$L$14)+1&gt;ROWS($K$2:$K$14)-COUNTBLANK($K$2:$K$14),"",INDIRECT(ADDRESS(SMALL((IF($K$2:$K$14&lt;&gt;"",ROW($K$2:$K$14),ROW()+ROWS($K$2:$K$14))),ROW()-ROW($L$2:$L$14)+1),COLUMN($K$2:$K$14),4)))</f>
        <v>Unvollständig</v>
      </c>
      <c r="X11" s="50" t="str">
        <f t="array" aca="1" ref="X11" ca="1">IF(ROW()-ROW($M$2:$M$14)+1&gt;ROWS($L$2:$L$14)-COUNTBLANK($L$2:$L$14),"",INDIRECT(ADDRESS(SMALL((IF($L$2:$L$14&lt;&gt;"",ROW($L$2:$L$14),ROW()+ROWS($L$2:$L$14))),ROW()-ROW($M$2:$M$14)+1),COLUMN($L$2:$L$14),4)))</f>
        <v>-----</v>
      </c>
      <c r="Y11" s="50" t="str">
        <f t="array" aca="1" ref="Y11" ca="1">IF(ROW()-ROW($N$2:$N$9)+1&gt;ROWS($M$2:$M$14)-COUNTBLANK($M$2:$M$14),"",INDIRECT(ADDRESS(SMALL((IF($M$2:$M$14&lt;&gt;"",ROW($M$2:$M$14),ROW()+ROWS($M$2:$M$14))),ROW()-ROW($N$2:$N$9)+1),COLUMN($M$2:$M$14),4)))</f>
        <v>-----</v>
      </c>
    </row>
    <row r="12" spans="1:25" ht="54.95" customHeight="1" x14ac:dyDescent="0.25">
      <c r="A12" s="43" t="str">
        <f>IF('Kennzahlenbogen_(KB)'!R42=0,"",'Kennzahlenbogen_(KB)'!R42)</f>
        <v>Unvollständig</v>
      </c>
      <c r="C12" s="44" t="str">
        <f>IF($A12="I.O.","",CONCATENATE('Kennzahlenbogen_(KB)'!B42,'Kennzahlenbogen_(KB)'!C42))</f>
        <v>8</v>
      </c>
      <c r="D12" s="45" t="str">
        <f>IF($A12="I.O.","",'Kennzahlenbogen_(KB)'!E42)</f>
        <v>Prä-oder postoperative Strahlentherapie bei operierten hoch malignen WGT ohne GIST</v>
      </c>
      <c r="E12" s="99" t="str">
        <f>IF(AND('Kennzahlenbogen_(KB)'!L42="",$A12&lt;&gt;"I.O."),"-----",IF($A12="I.O.","",'Kennzahlenbogen_(KB)'!L42))</f>
        <v>-----</v>
      </c>
      <c r="F12" s="100" t="str">
        <f>IF($A12="I.O.","",'Kennzahlenbogen_(KB)'!M42)</f>
        <v>≥ 80%</v>
      </c>
      <c r="G12" s="99" t="str">
        <f>IF(AND('Kennzahlenbogen_(KB)'!O42="",$A12&lt;&gt;"I.O."),"-----",IF($A12="I.O.","",'Kennzahlenbogen_(KB)'!O42))</f>
        <v>-----</v>
      </c>
      <c r="H12" s="101" t="str">
        <f>IF($A12="I.O.","",IF('Kennzahlenbogen_(KB)'!Q42="","-----",'Kennzahlenbogen_(KB)'!Q42))</f>
        <v>-----</v>
      </c>
      <c r="I12" s="101">
        <f>IF($A12="I.O.","",IF('Kennzahlenbogen_(KB)'!Q43="","-----",'Kennzahlenbogen_(KB)'!Q43))</f>
        <v>0</v>
      </c>
      <c r="J12" s="46" t="str">
        <f>IF($A12="I.O.","",IF('Kennzahlenbogen_(KB)'!Q44="",0,'Kennzahlenbogen_(KB)'!Q44))</f>
        <v>n.d.</v>
      </c>
      <c r="K12" s="47" t="str">
        <f>IF($A12="I.O.","",'Kennzahlenbogen_(KB)'!R42)</f>
        <v>Unvollständig</v>
      </c>
      <c r="L12" s="48" t="str">
        <f>IF(AND('Kennzahlenbogen_(KB)'!S42="",$A12&lt;&gt;"I.O."),"-----",IF($A12="I.O.","",'Kennzahlenbogen_(KB)'!S42))</f>
        <v>-----</v>
      </c>
      <c r="M12" s="48" t="str">
        <f>IF(AND('Kennzahlenbogen_(KB)'!T42="",$A12&lt;&gt;"I.O."),"-----",IF($A12="I.O.","",'Kennzahlenbogen_(KB)'!T42))</f>
        <v>-----</v>
      </c>
      <c r="O12" s="49" t="str">
        <f t="array" aca="1" ref="O12" ca="1">IF(ROW()-ROW($D$2:$D$14)+1&gt;ROWS($C$2:$C$14)-COUNTBLANK($C$2:$C$14),"",INDIRECT(ADDRESS(SMALL((IF($C$2:$C$14&lt;&gt;"",ROW($C$2:$C$14),ROW()+ROWS($C$2:$C$14))),ROW()-ROW($D$2:$D$14)+1),COLUMN($C$2:$C$14),4)))</f>
        <v>8</v>
      </c>
      <c r="P12" s="50" t="str">
        <f t="array" aca="1" ref="P12" ca="1">IF(ROW()-ROW($E$2:$E$14)+1&gt;ROWS($D$2:$D$14)-COUNTBLANK($D$2:$D$14),"",INDIRECT(ADDRESS(SMALL((IF($D$2:$D$14&gt;"",ROW($D$2:$D$14),ROW()+ROWS($D$2:$D$14))),ROW()-ROW($E$2:$E$14)+1),COLUMN($D$2:$D$14),4)))</f>
        <v>Prä-oder postoperative Strahlentherapie bei operierten hoch malignen WGT ohne GIST</v>
      </c>
      <c r="Q12" s="61" t="str">
        <f t="array" aca="1" ref="Q12" ca="1">IF(ROW()-ROW($F$2:$F$14)+1&gt;ROWS($E$2:$E$14)-COUNTBLANK($E$2:$E$14),"",INDIRECT(ADDRESS(SMALL((IF($E$2:$E$14&gt;"",ROW($E$2:$E$14),ROW()+ROWS($E$2:$E$14))),ROW()-ROW($F$2:$F$14)+1),COLUMN($E$2:$E$14),4)))</f>
        <v>-----</v>
      </c>
      <c r="R12" s="61" t="str">
        <f t="array" aca="1" ref="R12" ca="1">IF(ROW()-ROW($G$2:$G$14)+1&gt;ROWS($F$2:$F$14)-COUNTBLANK($F$2:$F$14),"",INDIRECT(ADDRESS(SMALL((IF($F$2:$F$14&gt;"",ROW($F$2:$F$14),ROW()+ROWS($F$2:$F$14))),ROW()-ROW($G$2:$G$14)+1),COLUMN($F$2:$F$14),4)))</f>
        <v>≥ 80%</v>
      </c>
      <c r="S12" s="61" t="str">
        <f t="array" aca="1" ref="S12" ca="1">IF(ROW()-ROW($H$2:$H$14)+1&gt;ROWS($G$2:$G$14)-COUNTBLANK($G$2:$G$14),"",INDIRECT(ADDRESS(SMALL((IF($G$2:$G$14&lt;&gt;"",ROW($G$2:$G$14),ROW()+ROWS($G$2:$G$14))),ROW()-ROW($H$2:$H$14)+1),COLUMN($G$2:$G$14),4)))</f>
        <v>-----</v>
      </c>
      <c r="T12" s="60" t="str">
        <f t="array" aca="1" ref="T12" ca="1">IF(ROW()-ROW($I$2:$I$14)+1&gt;ROWS($H$2:$H$14)-COUNTBLANK($H$2:$H$14),"",INDIRECT(ADDRESS(SMALL((IF($H$2:$H$14&lt;&gt;"",ROW($H$2:$H$14),ROW()+ROWS($H$2:$H$14))),ROW()-ROW($I$2:$I$14)+1),COLUMN($H$2:$H$14),4)))</f>
        <v>-----</v>
      </c>
      <c r="U12" s="60">
        <f t="array" aca="1" ref="U12" ca="1">IF(ROW()-ROW($J$2:$J$14)+1&gt;ROWS($I$2:$I$14)-COUNTBLANK($I$2:$I$14),"",INDIRECT(ADDRESS(SMALL((IF($I$2:$I$14&lt;&gt;"",ROW($I$2:$I$14),ROW()+ROWS($I$2:$I$14))),ROW()-ROW($J$2:$J$14)+1),COLUMN($I$2:$I$14),4)))</f>
        <v>0</v>
      </c>
      <c r="V12" s="51" t="str">
        <f t="array" aca="1" ref="V12" ca="1">IF(ROW()-ROW($K$2:$K$14)+1&gt;ROWS($J$2:$J$14)-COUNTBLANK($J$2:$J$14),"",INDIRECT(ADDRESS(SMALL((IF($J$2:$J$14&lt;&gt;"",ROW($J$2:$J$14),ROW()+ROWS($J$2:$J$14))),ROW()-ROW($K$2:$K$14)+1),COLUMN($J$2:$J$14),4)))</f>
        <v>n.d.</v>
      </c>
      <c r="W12" s="52" t="str">
        <f t="array" aca="1" ref="W12" ca="1">IF(ROW()-ROW($L$2:$L$14)+1&gt;ROWS($K$2:$K$14)-COUNTBLANK($K$2:$K$14),"",INDIRECT(ADDRESS(SMALL((IF($K$2:$K$14&lt;&gt;"",ROW($K$2:$K$14),ROW()+ROWS($K$2:$K$14))),ROW()-ROW($L$2:$L$14)+1),COLUMN($K$2:$K$14),4)))</f>
        <v>Unvollständig</v>
      </c>
      <c r="X12" s="50" t="str">
        <f t="array" aca="1" ref="X12" ca="1">IF(ROW()-ROW($M$2:$M$14)+1&gt;ROWS($L$2:$L$14)-COUNTBLANK($L$2:$L$14),"",INDIRECT(ADDRESS(SMALL((IF($L$2:$L$14&lt;&gt;"",ROW($L$2:$L$14),ROW()+ROWS($L$2:$L$14))),ROW()-ROW($M$2:$M$14)+1),COLUMN($L$2:$L$14),4)))</f>
        <v>-----</v>
      </c>
      <c r="Y12" s="50" t="str">
        <f t="array" aca="1" ref="Y12" ca="1">IF(ROW()-ROW($N$2:$N$9)+1&gt;ROWS($M$2:$M$14)-COUNTBLANK($M$2:$M$14),"",INDIRECT(ADDRESS(SMALL((IF($M$2:$M$14&lt;&gt;"",ROW($M$2:$M$14),ROW()+ROWS($M$2:$M$14))),ROW()-ROW($N$2:$N$9)+1),COLUMN($M$2:$M$14),4)))</f>
        <v>-----</v>
      </c>
    </row>
    <row r="13" spans="1:25" ht="54.95" customHeight="1" x14ac:dyDescent="0.25">
      <c r="A13" s="43" t="str">
        <f>IF('Kennzahlenbogen_(KB)'!R45=0,"",'Kennzahlenbogen_(KB)'!R45)</f>
        <v>Unvollständig</v>
      </c>
      <c r="C13" s="44" t="str">
        <f>IF($A13="I.O.","",CONCATENATE('Kennzahlenbogen_(KB)'!B45,'Kennzahlenbogen_(KB)'!C45))</f>
        <v>9</v>
      </c>
      <c r="D13" s="45" t="str">
        <f>IF($A13="I.O.","",'Kennzahlenbogen_(KB)'!E45)</f>
        <v>Prätherapeutische histologische Sicherung</v>
      </c>
      <c r="E13" s="99" t="str">
        <f>IF(AND('Kennzahlenbogen_(KB)'!L45="",$A13&lt;&gt;"I.O."),"-----",IF($A13="I.O.","",'Kennzahlenbogen_(KB)'!L45))</f>
        <v>-----</v>
      </c>
      <c r="F13" s="100" t="str">
        <f>IF($A13="I.O.","",'Kennzahlenbogen_(KB)'!M45)</f>
        <v>≥ 90%</v>
      </c>
      <c r="G13" s="99" t="str">
        <f>IF(AND('Kennzahlenbogen_(KB)'!O45="",$A13&lt;&gt;"I.O."),"-----",IF($A13="I.O.","",'Kennzahlenbogen_(KB)'!O45))</f>
        <v>-----</v>
      </c>
      <c r="H13" s="101" t="str">
        <f>IF($A13="I.O.","",IF('Kennzahlenbogen_(KB)'!Q45="","-----",'Kennzahlenbogen_(KB)'!Q45))</f>
        <v>-----</v>
      </c>
      <c r="I13" s="101">
        <f>IF($A13="I.O.","",IF('Kennzahlenbogen_(KB)'!Q46="","-----",'Kennzahlenbogen_(KB)'!Q46))</f>
        <v>0</v>
      </c>
      <c r="J13" s="46" t="str">
        <f>IF($A13="I.O.","",IF('Kennzahlenbogen_(KB)'!Q47="",0,'Kennzahlenbogen_(KB)'!Q47))</f>
        <v>n.d.</v>
      </c>
      <c r="K13" s="47" t="str">
        <f>IF($A13="I.O.","",'Kennzahlenbogen_(KB)'!R45)</f>
        <v>Unvollständig</v>
      </c>
      <c r="L13" s="48" t="str">
        <f>IF(AND('Kennzahlenbogen_(KB)'!S45="",$A13&lt;&gt;"I.O."),"-----",IF($A13="I.O.","",'Kennzahlenbogen_(KB)'!S45))</f>
        <v>-----</v>
      </c>
      <c r="M13" s="48" t="str">
        <f>IF(AND('Kennzahlenbogen_(KB)'!T45="",$A13&lt;&gt;"I.O."),"-----",IF($A13="I.O.","",'Kennzahlenbogen_(KB)'!T45))</f>
        <v>-----</v>
      </c>
      <c r="O13" s="49" t="str">
        <f t="array" aca="1" ref="O13" ca="1">IF(ROW()-ROW($D$2:$D$14)+1&gt;ROWS($C$2:$C$14)-COUNTBLANK($C$2:$C$14),"",INDIRECT(ADDRESS(SMALL((IF($C$2:$C$14&lt;&gt;"",ROW($C$2:$C$14),ROW()+ROWS($C$2:$C$14))),ROW()-ROW($D$2:$D$14)+1),COLUMN($C$2:$C$14),4)))</f>
        <v>9</v>
      </c>
      <c r="P13" s="50" t="str">
        <f t="array" aca="1" ref="P13" ca="1">IF(ROW()-ROW($E$2:$E$14)+1&gt;ROWS($D$2:$D$14)-COUNTBLANK($D$2:$D$14),"",INDIRECT(ADDRESS(SMALL((IF($D$2:$D$14&gt;"",ROW($D$2:$D$14),ROW()+ROWS($D$2:$D$14))),ROW()-ROW($E$2:$E$14)+1),COLUMN($D$2:$D$14),4)))</f>
        <v>Prätherapeutische histologische Sicherung</v>
      </c>
      <c r="Q13" s="61" t="str">
        <f t="array" aca="1" ref="Q13" ca="1">IF(ROW()-ROW($F$2:$F$14)+1&gt;ROWS($E$2:$E$14)-COUNTBLANK($E$2:$E$14),"",INDIRECT(ADDRESS(SMALL((IF($E$2:$E$14&gt;"",ROW($E$2:$E$14),ROW()+ROWS($E$2:$E$14))),ROW()-ROW($F$2:$F$14)+1),COLUMN($E$2:$E$14),4)))</f>
        <v>-----</v>
      </c>
      <c r="R13" s="61" t="str">
        <f t="array" aca="1" ref="R13" ca="1">IF(ROW()-ROW($G$2:$G$14)+1&gt;ROWS($F$2:$F$14)-COUNTBLANK($F$2:$F$14),"",INDIRECT(ADDRESS(SMALL((IF($F$2:$F$14&gt;"",ROW($F$2:$F$14),ROW()+ROWS($F$2:$F$14))),ROW()-ROW($G$2:$G$14)+1),COLUMN($F$2:$F$14),4)))</f>
        <v>≥ 90%</v>
      </c>
      <c r="S13" s="61" t="str">
        <f t="array" aca="1" ref="S13" ca="1">IF(ROW()-ROW($H$2:$H$14)+1&gt;ROWS($G$2:$G$14)-COUNTBLANK($G$2:$G$14),"",INDIRECT(ADDRESS(SMALL((IF($G$2:$G$14&lt;&gt;"",ROW($G$2:$G$14),ROW()+ROWS($G$2:$G$14))),ROW()-ROW($H$2:$H$14)+1),COLUMN($G$2:$G$14),4)))</f>
        <v>-----</v>
      </c>
      <c r="T13" s="60" t="str">
        <f t="array" aca="1" ref="T13" ca="1">IF(ROW()-ROW($I$2:$I$14)+1&gt;ROWS($H$2:$H$14)-COUNTBLANK($H$2:$H$14),"",INDIRECT(ADDRESS(SMALL((IF($H$2:$H$14&lt;&gt;"",ROW($H$2:$H$14),ROW()+ROWS($H$2:$H$14))),ROW()-ROW($I$2:$I$14)+1),COLUMN($H$2:$H$14),4)))</f>
        <v>-----</v>
      </c>
      <c r="U13" s="60">
        <f t="array" aca="1" ref="U13" ca="1">IF(ROW()-ROW($J$2:$J$14)+1&gt;ROWS($I$2:$I$14)-COUNTBLANK($I$2:$I$14),"",INDIRECT(ADDRESS(SMALL((IF($I$2:$I$14&lt;&gt;"",ROW($I$2:$I$14),ROW()+ROWS($I$2:$I$14))),ROW()-ROW($J$2:$J$14)+1),COLUMN($I$2:$I$14),4)))</f>
        <v>0</v>
      </c>
      <c r="V13" s="51" t="str">
        <f t="array" aca="1" ref="V13" ca="1">IF(ROW()-ROW($K$2:$K$14)+1&gt;ROWS($J$2:$J$14)-COUNTBLANK($J$2:$J$14),"",INDIRECT(ADDRESS(SMALL((IF($J$2:$J$14&lt;&gt;"",ROW($J$2:$J$14),ROW()+ROWS($J$2:$J$14))),ROW()-ROW($K$2:$K$14)+1),COLUMN($J$2:$J$14),4)))</f>
        <v>n.d.</v>
      </c>
      <c r="W13" s="52" t="str">
        <f t="array" aca="1" ref="W13" ca="1">IF(ROW()-ROW($L$2:$L$14)+1&gt;ROWS($K$2:$K$14)-COUNTBLANK($K$2:$K$14),"",INDIRECT(ADDRESS(SMALL((IF($K$2:$K$14&lt;&gt;"",ROW($K$2:$K$14),ROW()+ROWS($K$2:$K$14))),ROW()-ROW($L$2:$L$14)+1),COLUMN($K$2:$K$14),4)))</f>
        <v>Unvollständig</v>
      </c>
      <c r="X13" s="50" t="str">
        <f t="array" aca="1" ref="X13" ca="1">IF(ROW()-ROW($M$2:$M$14)+1&gt;ROWS($L$2:$L$14)-COUNTBLANK($L$2:$L$14),"",INDIRECT(ADDRESS(SMALL((IF($L$2:$L$14&lt;&gt;"",ROW($L$2:$L$14),ROW()+ROWS($L$2:$L$14))),ROW()-ROW($M$2:$M$14)+1),COLUMN($L$2:$L$14),4)))</f>
        <v>-----</v>
      </c>
      <c r="Y13" s="50" t="str">
        <f t="array" aca="1" ref="Y13" ca="1">IF(ROW()-ROW($N$2:$N$9)+1&gt;ROWS($M$2:$M$14)-COUNTBLANK($M$2:$M$14),"",INDIRECT(ADDRESS(SMALL((IF($M$2:$M$14&lt;&gt;"",ROW($M$2:$M$14),ROW()+ROWS($M$2:$M$14))),ROW()-ROW($N$2:$N$9)+1),COLUMN($M$2:$M$14),4)))</f>
        <v>-----</v>
      </c>
    </row>
    <row r="14" spans="1:25" ht="54.95" customHeight="1" x14ac:dyDescent="0.25">
      <c r="A14" s="43" t="str">
        <f>IF('Kennzahlenbogen_(KB)'!R48=0,"",'Kennzahlenbogen_(KB)'!R48)</f>
        <v>Unvollständig</v>
      </c>
      <c r="C14" s="295" t="str">
        <f>IF($A14="I.O.","",CONCATENATE('Kennzahlenbogen_(KB)'!B48,'Kennzahlenbogen_(KB)'!C48))</f>
        <v>10</v>
      </c>
      <c r="D14" s="45" t="str">
        <f>IF($A14="I.O.","",'Kennzahlenbogen_(KB)'!E48)</f>
        <v>Risikogerechte adjuvante Therapie GIST</v>
      </c>
      <c r="E14" s="99" t="str">
        <f>IF(AND('Kennzahlenbogen_(KB)'!L48="",$A14&lt;&gt;"I.O."),"-----",IF($A14="I.O.","",'Kennzahlenbogen_(KB)'!L48))</f>
        <v>-----</v>
      </c>
      <c r="F14" s="100" t="str">
        <f>IF($A14="I.O.","",'Kennzahlenbogen_(KB)'!M48)</f>
        <v>≥ 85%</v>
      </c>
      <c r="G14" s="99" t="str">
        <f>IF(AND('Kennzahlenbogen_(KB)'!O48="",$A14&lt;&gt;"I.O."),"-----",IF($A14="I.O.","",'Kennzahlenbogen_(KB)'!O48))</f>
        <v>-----</v>
      </c>
      <c r="H14" s="101" t="str">
        <f>IF($A14="I.O.","",IF('Kennzahlenbogen_(KB)'!Q48="","-----",'Kennzahlenbogen_(KB)'!Q48))</f>
        <v>-----</v>
      </c>
      <c r="I14" s="101">
        <f>IF($A14="I.O.","",IF('Kennzahlenbogen_(KB)'!Q49="","-----",'Kennzahlenbogen_(KB)'!Q49))</f>
        <v>0</v>
      </c>
      <c r="J14" s="46" t="str">
        <f>IF($A14="I.O.","",IF('Kennzahlenbogen_(KB)'!Q50="","-----",'Kennzahlenbogen_(KB)'!Q50))</f>
        <v>n.d.</v>
      </c>
      <c r="K14" s="47" t="str">
        <f>IF($A14="I.O.","",'Kennzahlenbogen_(KB)'!R48)</f>
        <v>Unvollständig</v>
      </c>
      <c r="L14" s="48" t="str">
        <f>IF(AND('Kennzahlenbogen_(KB)'!S48="",$A14&lt;&gt;"I.O."),"-----",IF($A14="I.O.","",'Kennzahlenbogen_(KB)'!S48))</f>
        <v>-----</v>
      </c>
      <c r="M14" s="48" t="str">
        <f>IF(AND('Kennzahlenbogen_(KB)'!T48="",$A14&lt;&gt;"I.O."),"-----",IF($A14="I.O.","",'Kennzahlenbogen_(KB)'!T48))</f>
        <v>-----</v>
      </c>
      <c r="O14" s="49" t="str">
        <f t="array" aca="1" ref="O14" ca="1">IF(ROW()-ROW($D$2:$D$14)+1&gt;ROWS($C$2:$C$14)-COUNTBLANK($C$2:$C$14),"",INDIRECT(ADDRESS(SMALL((IF($C$2:$C$14&lt;&gt;"",ROW($C$2:$C$14),ROW()+ROWS($C$2:$C$14))),ROW()-ROW($D$2:$D$14)+1),COLUMN($C$2:$C$14),4)))</f>
        <v>10</v>
      </c>
      <c r="P14" s="50" t="str">
        <f t="array" aca="1" ref="P14" ca="1">IF(ROW()-ROW($E$2:$E$14)+1&gt;ROWS($D$2:$D$14)-COUNTBLANK($D$2:$D$14),"",INDIRECT(ADDRESS(SMALL((IF($D$2:$D$14&gt;"",ROW($D$2:$D$14),ROW()+ROWS($D$2:$D$14))),ROW()-ROW($E$2:$E$14)+1),COLUMN($D$2:$D$14),4)))</f>
        <v>Risikogerechte adjuvante Therapie GIST</v>
      </c>
      <c r="Q14" s="61" t="str">
        <f t="array" aca="1" ref="Q14" ca="1">IF(ROW()-ROW($F$2:$F$14)+1&gt;ROWS($E$2:$E$14)-COUNTBLANK($E$2:$E$14),"",INDIRECT(ADDRESS(SMALL((IF($E$2:$E$14&gt;"",ROW($E$2:$E$14),ROW()+ROWS($E$2:$E$14))),ROW()-ROW($F$2:$F$14)+1),COLUMN($E$2:$E$14),4)))</f>
        <v>-----</v>
      </c>
      <c r="R14" s="61" t="str">
        <f t="array" aca="1" ref="R14" ca="1">IF(ROW()-ROW($G$2:$G$14)+1&gt;ROWS($F$2:$F$14)-COUNTBLANK($F$2:$F$14),"",INDIRECT(ADDRESS(SMALL((IF($F$2:$F$14&gt;"",ROW($F$2:$F$14),ROW()+ROWS($F$2:$F$14))),ROW()-ROW($G$2:$G$14)+1),COLUMN($F$2:$F$14),4)))</f>
        <v>≥ 85%</v>
      </c>
      <c r="S14" s="61" t="str">
        <f t="array" aca="1" ref="S14" ca="1">IF(ROW()-ROW($H$2:$H$14)+1&gt;ROWS($G$2:$G$14)-COUNTBLANK($G$2:$G$14),"",INDIRECT(ADDRESS(SMALL((IF($G$2:$G$14&lt;&gt;"",ROW($G$2:$G$14),ROW()+ROWS($G$2:$G$14))),ROW()-ROW($H$2:$H$14)+1),COLUMN($G$2:$G$14),4)))</f>
        <v>-----</v>
      </c>
      <c r="T14" s="60" t="str">
        <f t="array" aca="1" ref="T14" ca="1">IF(ROW()-ROW($I$2:$I$14)+1&gt;ROWS($H$2:$H$14)-COUNTBLANK($H$2:$H$14),"",INDIRECT(ADDRESS(SMALL((IF($H$2:$H$14&lt;&gt;"",ROW($H$2:$H$14),ROW()+ROWS($H$2:$H$14))),ROW()-ROW($I$2:$I$14)+1),COLUMN($H$2:$H$14),4)))</f>
        <v>-----</v>
      </c>
      <c r="U14" s="60">
        <f t="array" aca="1" ref="U14" ca="1">IF(ROW()-ROW($J$2:$J$14)+1&gt;ROWS($I$2:$I$14)-COUNTBLANK($I$2:$I$14),"",INDIRECT(ADDRESS(SMALL((IF($I$2:$I$14&lt;&gt;"",ROW($I$2:$I$14),ROW()+ROWS($I$2:$I$14))),ROW()-ROW($J$2:$J$14)+1),COLUMN($I$2:$I$14),4)))</f>
        <v>0</v>
      </c>
      <c r="V14" s="51" t="str">
        <f t="array" aca="1" ref="V14" ca="1">IF(ROW()-ROW($K$2:$K$14)+1&gt;ROWS($J$2:$J$14)-COUNTBLANK($J$2:$J$14),"",INDIRECT(ADDRESS(SMALL((IF($J$2:$J$14&lt;&gt;"",ROW($J$2:$J$14),ROW()+ROWS($J$2:$J$14))),ROW()-ROW($K$2:$K$14)+1),COLUMN($J$2:$J$14),4)))</f>
        <v>n.d.</v>
      </c>
      <c r="W14" s="52" t="str">
        <f t="array" aca="1" ref="W14" ca="1">IF(ROW()-ROW($L$2:$L$14)+1&gt;ROWS($K$2:$K$14)-COUNTBLANK($K$2:$K$14),"",INDIRECT(ADDRESS(SMALL((IF($K$2:$K$14&lt;&gt;"",ROW($K$2:$K$14),ROW()+ROWS($K$2:$K$14))),ROW()-ROW($L$2:$L$14)+1),COLUMN($K$2:$K$14),4)))</f>
        <v>Unvollständig</v>
      </c>
      <c r="X14" s="50" t="str">
        <f t="array" aca="1" ref="X14" ca="1">IF(ROW()-ROW($M$2:$M$14)+1&gt;ROWS($L$2:$L$14)-COUNTBLANK($L$2:$L$14),"",INDIRECT(ADDRESS(SMALL((IF($L$2:$L$14&lt;&gt;"",ROW($L$2:$L$14),ROW()+ROWS($L$2:$L$14))),ROW()-ROW($M$2:$M$14)+1),COLUMN($L$2:$L$14),4)))</f>
        <v>-----</v>
      </c>
      <c r="Y14" s="50" t="str">
        <f t="array" aca="1" ref="Y14" ca="1">IF(ROW()-ROW($N$2:$N$9)+1&gt;ROWS($M$2:$M$14)-COUNTBLANK($M$2:$M$14),"",INDIRECT(ADDRESS(SMALL((IF($M$2:$M$14&lt;&gt;"",ROW($M$2:$M$14),ROW()+ROWS($M$2:$M$14))),ROW()-ROW($N$2:$N$9)+1),COLUMN($M$2:$M$14),4)))</f>
        <v>-----</v>
      </c>
    </row>
  </sheetData>
  <sheetProtection selectLockedCells="1"/>
  <phoneticPr fontId="56" type="noConversion"/>
  <conditionalFormatting sqref="K2:K14">
    <cfRule type="cellIs" dxfId="42" priority="1" stopIfTrue="1" operator="equal">
      <formula>"I.O. (Plausibilität unklar)"</formula>
    </cfRule>
    <cfRule type="cellIs" dxfId="41" priority="134" stopIfTrue="1" operator="equal">
      <formula>"Sollvorgabe nicht erfüllt"</formula>
    </cfRule>
    <cfRule type="cellIs" dxfId="40" priority="135" stopIfTrue="1" operator="equal">
      <formula>"Ausnahme (Plausibilität unklar)"</formula>
    </cfRule>
    <cfRule type="expression" dxfId="39" priority="136" stopIfTrue="1">
      <formula>OR(K2="Unvollständig",K2="Inkorrekt")</formula>
    </cfRule>
    <cfRule type="cellIs" dxfId="38" priority="137" stopIfTrue="1" operator="equal">
      <formula>"I.O."</formula>
    </cfRule>
  </conditionalFormatting>
  <dataValidations count="1">
    <dataValidation allowBlank="1" showInputMessage="1" showErrorMessage="1" promptTitle="Hinweis" prompt="Übertrag erfolgt _x000a_automatisch aus _x000a_Kennzahlenbogen" sqref="L1:M14"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pageSetUpPr fitToPage="1"/>
  </sheetPr>
  <dimension ref="A1:K30"/>
  <sheetViews>
    <sheetView showGridLines="0" zoomScaleNormal="100" workbookViewId="0">
      <selection activeCell="E9" sqref="E9"/>
    </sheetView>
  </sheetViews>
  <sheetFormatPr defaultColWidth="9.140625" defaultRowHeight="12.75" x14ac:dyDescent="0.2"/>
  <cols>
    <col min="1" max="1" width="0.85546875" style="199" customWidth="1"/>
    <col min="2" max="2" width="12.28515625" style="199" customWidth="1"/>
    <col min="3" max="3" width="22.42578125" style="199" customWidth="1"/>
    <col min="4" max="4" width="25.42578125" style="199" customWidth="1"/>
    <col min="5" max="5" width="43.5703125" style="199" customWidth="1"/>
    <col min="6" max="6" width="15.7109375" style="199" customWidth="1"/>
    <col min="7" max="8" width="5.7109375" style="199" customWidth="1"/>
    <col min="9" max="9" width="11.140625" style="199" customWidth="1"/>
    <col min="10" max="10" width="11.140625" style="199" bestFit="1" customWidth="1"/>
    <col min="11" max="11" width="50.7109375" style="199" customWidth="1"/>
    <col min="12" max="16384" width="9.140625" style="199"/>
  </cols>
  <sheetData>
    <row r="1" spans="1:11" ht="6.95" customHeight="1" x14ac:dyDescent="0.2"/>
    <row r="2" spans="1:11" ht="15.95" customHeight="1" x14ac:dyDescent="0.2">
      <c r="B2" s="199" t="str">
        <f>Basisdaten!B2</f>
        <v>Anlage EB Version D2.1 (Auditjahr 2023 / Kennzahlenjahr 2022)</v>
      </c>
    </row>
    <row r="3" spans="1:11" ht="15.95" customHeight="1" x14ac:dyDescent="0.25">
      <c r="A3" s="200"/>
      <c r="B3" s="211" t="s">
        <v>298</v>
      </c>
    </row>
    <row r="4" spans="1:11" ht="15" x14ac:dyDescent="0.25">
      <c r="A4" s="200"/>
      <c r="B4" s="200"/>
    </row>
    <row r="5" spans="1:11" ht="12.75" customHeight="1" thickBot="1" x14ac:dyDescent="0.25"/>
    <row r="6" spans="1:11" ht="12.75" customHeight="1" thickBot="1" x14ac:dyDescent="0.25">
      <c r="E6" s="639" t="s">
        <v>299</v>
      </c>
      <c r="F6" s="640"/>
      <c r="G6" s="641" t="s">
        <v>300</v>
      </c>
      <c r="H6" s="642"/>
      <c r="I6" s="216"/>
      <c r="J6" s="216"/>
    </row>
    <row r="7" spans="1:11" ht="30" customHeight="1" x14ac:dyDescent="0.2">
      <c r="C7" s="625" t="s">
        <v>301</v>
      </c>
      <c r="D7" s="627" t="s">
        <v>302</v>
      </c>
      <c r="E7" s="627" t="s">
        <v>309</v>
      </c>
      <c r="F7" s="630" t="s">
        <v>303</v>
      </c>
      <c r="G7" s="643" t="s">
        <v>304</v>
      </c>
      <c r="H7" s="644"/>
      <c r="I7" s="630" t="s">
        <v>493</v>
      </c>
      <c r="J7" s="630" t="s">
        <v>336</v>
      </c>
      <c r="K7" s="636" t="s">
        <v>305</v>
      </c>
    </row>
    <row r="8" spans="1:11" ht="30" customHeight="1" thickBot="1" x14ac:dyDescent="0.25">
      <c r="C8" s="626"/>
      <c r="D8" s="628"/>
      <c r="E8" s="629"/>
      <c r="F8" s="631"/>
      <c r="G8" s="645"/>
      <c r="H8" s="646"/>
      <c r="I8" s="638"/>
      <c r="J8" s="631"/>
      <c r="K8" s="637"/>
    </row>
    <row r="9" spans="1:11" ht="18" customHeight="1" x14ac:dyDescent="0.2">
      <c r="B9" s="600" t="s">
        <v>328</v>
      </c>
      <c r="C9" s="579" t="s">
        <v>306</v>
      </c>
      <c r="D9" s="582" t="s">
        <v>310</v>
      </c>
      <c r="E9" s="213"/>
      <c r="F9" s="263"/>
      <c r="G9" s="584" t="str">
        <f>IF(SUM(F9:F11)=0,"",SUM(F9:F11))</f>
        <v/>
      </c>
      <c r="H9" s="585"/>
      <c r="I9" s="634" t="s">
        <v>308</v>
      </c>
      <c r="J9" s="622" t="str">
        <f>IF(SUM(F9:F22)=0,"",SUM(F9:F22))</f>
        <v/>
      </c>
      <c r="K9" s="607"/>
    </row>
    <row r="10" spans="1:11" ht="18" customHeight="1" x14ac:dyDescent="0.2">
      <c r="B10" s="601"/>
      <c r="C10" s="580"/>
      <c r="D10" s="604"/>
      <c r="E10" s="212"/>
      <c r="F10" s="264"/>
      <c r="G10" s="605"/>
      <c r="H10" s="606"/>
      <c r="I10" s="620"/>
      <c r="J10" s="623"/>
      <c r="K10" s="608"/>
    </row>
    <row r="11" spans="1:11" ht="18" customHeight="1" x14ac:dyDescent="0.2">
      <c r="B11" s="601"/>
      <c r="C11" s="580"/>
      <c r="D11" s="583"/>
      <c r="E11" s="212"/>
      <c r="F11" s="265"/>
      <c r="G11" s="586"/>
      <c r="H11" s="587"/>
      <c r="I11" s="620"/>
      <c r="J11" s="623"/>
      <c r="K11" s="609"/>
    </row>
    <row r="12" spans="1:11" ht="18" customHeight="1" x14ac:dyDescent="0.2">
      <c r="B12" s="601"/>
      <c r="C12" s="580"/>
      <c r="D12" s="570" t="s">
        <v>310</v>
      </c>
      <c r="E12" s="212"/>
      <c r="F12" s="264"/>
      <c r="G12" s="605" t="str">
        <f>IF(SUM(F12:F14)=0,"",SUM(F12:F14))</f>
        <v/>
      </c>
      <c r="H12" s="606"/>
      <c r="I12" s="620"/>
      <c r="J12" s="623"/>
      <c r="K12" s="610"/>
    </row>
    <row r="13" spans="1:11" ht="18" customHeight="1" x14ac:dyDescent="0.2">
      <c r="B13" s="601"/>
      <c r="C13" s="580"/>
      <c r="D13" s="604"/>
      <c r="E13" s="212"/>
      <c r="F13" s="264"/>
      <c r="G13" s="605"/>
      <c r="H13" s="606"/>
      <c r="I13" s="620"/>
      <c r="J13" s="623"/>
      <c r="K13" s="608"/>
    </row>
    <row r="14" spans="1:11" ht="18" customHeight="1" x14ac:dyDescent="0.2">
      <c r="B14" s="601"/>
      <c r="C14" s="603"/>
      <c r="D14" s="583"/>
      <c r="E14" s="212"/>
      <c r="F14" s="264"/>
      <c r="G14" s="586"/>
      <c r="H14" s="587"/>
      <c r="I14" s="635"/>
      <c r="J14" s="623"/>
      <c r="K14" s="609"/>
    </row>
    <row r="15" spans="1:11" ht="18" customHeight="1" x14ac:dyDescent="0.2">
      <c r="B15" s="601"/>
      <c r="C15" s="611" t="s">
        <v>346</v>
      </c>
      <c r="D15" s="570" t="s">
        <v>310</v>
      </c>
      <c r="E15" s="212"/>
      <c r="F15" s="264"/>
      <c r="G15" s="614" t="str">
        <f>IF(SUM(F15:F16)=0,"",SUM(F15:F16))</f>
        <v/>
      </c>
      <c r="H15" s="614"/>
      <c r="I15" s="632"/>
      <c r="J15" s="623"/>
      <c r="K15" s="610"/>
    </row>
    <row r="16" spans="1:11" ht="18" customHeight="1" x14ac:dyDescent="0.2">
      <c r="B16" s="601"/>
      <c r="C16" s="612"/>
      <c r="D16" s="583"/>
      <c r="E16" s="212"/>
      <c r="F16" s="266"/>
      <c r="G16" s="614"/>
      <c r="H16" s="614"/>
      <c r="I16" s="633"/>
      <c r="J16" s="623"/>
      <c r="K16" s="615"/>
    </row>
    <row r="17" spans="2:11" ht="18" customHeight="1" x14ac:dyDescent="0.2">
      <c r="B17" s="601"/>
      <c r="C17" s="612"/>
      <c r="D17" s="570" t="s">
        <v>310</v>
      </c>
      <c r="E17" s="212"/>
      <c r="F17" s="264"/>
      <c r="G17" s="614" t="str">
        <f>IF(SUM(F17:F18)=0,"",SUM(F17:F18))</f>
        <v/>
      </c>
      <c r="H17" s="614"/>
      <c r="I17" s="632"/>
      <c r="J17" s="623"/>
      <c r="K17" s="610"/>
    </row>
    <row r="18" spans="2:11" ht="18" customHeight="1" x14ac:dyDescent="0.2">
      <c r="B18" s="601"/>
      <c r="C18" s="613"/>
      <c r="D18" s="583"/>
      <c r="E18" s="212"/>
      <c r="F18" s="264"/>
      <c r="G18" s="614"/>
      <c r="H18" s="614"/>
      <c r="I18" s="633"/>
      <c r="J18" s="623"/>
      <c r="K18" s="615"/>
    </row>
    <row r="19" spans="2:11" ht="18" customHeight="1" x14ac:dyDescent="0.2">
      <c r="B19" s="601"/>
      <c r="C19" s="616" t="s">
        <v>307</v>
      </c>
      <c r="D19" s="570" t="s">
        <v>310</v>
      </c>
      <c r="E19" s="212"/>
      <c r="F19" s="264"/>
      <c r="G19" s="614" t="str">
        <f>IF(SUM(F19:F20)=0,"",SUM(F19:F20))</f>
        <v/>
      </c>
      <c r="H19" s="614"/>
      <c r="I19" s="619" t="s">
        <v>308</v>
      </c>
      <c r="J19" s="623"/>
      <c r="K19" s="610"/>
    </row>
    <row r="20" spans="2:11" ht="18" customHeight="1" x14ac:dyDescent="0.2">
      <c r="B20" s="601"/>
      <c r="C20" s="580"/>
      <c r="D20" s="583"/>
      <c r="E20" s="212"/>
      <c r="F20" s="264"/>
      <c r="G20" s="614"/>
      <c r="H20" s="614"/>
      <c r="I20" s="620"/>
      <c r="J20" s="623"/>
      <c r="K20" s="615"/>
    </row>
    <row r="21" spans="2:11" ht="18" customHeight="1" x14ac:dyDescent="0.2">
      <c r="B21" s="601"/>
      <c r="C21" s="580"/>
      <c r="D21" s="570" t="s">
        <v>310</v>
      </c>
      <c r="E21" s="212"/>
      <c r="F21" s="267"/>
      <c r="G21" s="614" t="str">
        <f>IF(SUM(F21:F22)=0,"",SUM(F21:F22))</f>
        <v/>
      </c>
      <c r="H21" s="614"/>
      <c r="I21" s="620"/>
      <c r="J21" s="623"/>
      <c r="K21" s="610"/>
    </row>
    <row r="22" spans="2:11" ht="18" customHeight="1" thickBot="1" x14ac:dyDescent="0.25">
      <c r="B22" s="602"/>
      <c r="C22" s="581"/>
      <c r="D22" s="583"/>
      <c r="E22" s="214"/>
      <c r="F22" s="267"/>
      <c r="G22" s="617"/>
      <c r="H22" s="614"/>
      <c r="I22" s="621"/>
      <c r="J22" s="624"/>
      <c r="K22" s="618"/>
    </row>
    <row r="23" spans="2:11" ht="20.45" customHeight="1" x14ac:dyDescent="0.2">
      <c r="B23" s="576" t="s">
        <v>329</v>
      </c>
      <c r="C23" s="579" t="s">
        <v>307</v>
      </c>
      <c r="D23" s="582" t="s">
        <v>310</v>
      </c>
      <c r="E23" s="213"/>
      <c r="F23" s="201"/>
      <c r="G23" s="584" t="str">
        <f>IF(SUM(F23:F24)=0,"",SUM(F23:F24))</f>
        <v/>
      </c>
      <c r="H23" s="585"/>
      <c r="I23" s="588"/>
      <c r="J23" s="589"/>
      <c r="K23" s="590"/>
    </row>
    <row r="24" spans="2:11" ht="20.45" customHeight="1" x14ac:dyDescent="0.2">
      <c r="B24" s="577"/>
      <c r="C24" s="580"/>
      <c r="D24" s="583"/>
      <c r="E24" s="212"/>
      <c r="F24" s="202"/>
      <c r="G24" s="586"/>
      <c r="H24" s="587"/>
      <c r="I24" s="591"/>
      <c r="J24" s="592"/>
      <c r="K24" s="593"/>
    </row>
    <row r="25" spans="2:11" ht="20.45" customHeight="1" x14ac:dyDescent="0.2">
      <c r="B25" s="577"/>
      <c r="C25" s="580"/>
      <c r="D25" s="570" t="s">
        <v>310</v>
      </c>
      <c r="E25" s="212"/>
      <c r="F25" s="202"/>
      <c r="G25" s="572" t="str">
        <f>IF(SUM(F25:F26)=0,"",SUM(F25:F26))</f>
        <v/>
      </c>
      <c r="H25" s="573"/>
      <c r="I25" s="594"/>
      <c r="J25" s="595"/>
      <c r="K25" s="596"/>
    </row>
    <row r="26" spans="2:11" ht="20.45" customHeight="1" thickBot="1" x14ac:dyDescent="0.25">
      <c r="B26" s="578"/>
      <c r="C26" s="581"/>
      <c r="D26" s="571"/>
      <c r="E26" s="214"/>
      <c r="F26" s="203"/>
      <c r="G26" s="574"/>
      <c r="H26" s="575"/>
      <c r="I26" s="597"/>
      <c r="J26" s="598"/>
      <c r="K26" s="599"/>
    </row>
    <row r="28" spans="2:11" ht="23.25" customHeight="1" x14ac:dyDescent="0.2">
      <c r="B28" s="568" t="s">
        <v>695</v>
      </c>
      <c r="C28" s="569"/>
      <c r="D28" s="569"/>
      <c r="E28" s="569"/>
      <c r="F28" s="569"/>
      <c r="G28" s="569"/>
      <c r="H28" s="569"/>
      <c r="I28" s="569"/>
      <c r="J28" s="569"/>
      <c r="K28" s="569"/>
    </row>
    <row r="29" spans="2:11" ht="12.75" customHeight="1" x14ac:dyDescent="0.2">
      <c r="B29" s="568" t="s">
        <v>606</v>
      </c>
      <c r="C29" s="569"/>
      <c r="D29" s="569"/>
      <c r="E29" s="569"/>
      <c r="F29" s="569"/>
      <c r="G29" s="569"/>
      <c r="H29" s="569"/>
      <c r="I29" s="569"/>
      <c r="J29" s="569"/>
      <c r="K29" s="569"/>
    </row>
    <row r="30" spans="2:11" x14ac:dyDescent="0.2">
      <c r="B30" s="568" t="s">
        <v>696</v>
      </c>
      <c r="C30" s="569"/>
      <c r="D30" s="569"/>
      <c r="E30" s="569"/>
      <c r="F30" s="569"/>
      <c r="G30" s="569"/>
      <c r="H30" s="569"/>
      <c r="I30" s="569"/>
      <c r="J30" s="569"/>
      <c r="K30" s="569"/>
    </row>
  </sheetData>
  <sheetProtection algorithmName="SHA-512" hashValue="fCwjgyJKupqGemQstqoo7/Hd02qmV7KvIVpIrXQVyHab70zUytIeHIMpygX01e5bYa0IwdPEHDg3aUnGpnpO2g==" saltValue="zeVGmXGW08DhxIAJ1UHTnA==" spinCount="100000" sheet="1" objects="1" scenarios="1" selectLockedCells="1"/>
  <mergeCells count="48">
    <mergeCell ref="J7:J8"/>
    <mergeCell ref="K7:K8"/>
    <mergeCell ref="I7:I8"/>
    <mergeCell ref="E6:F6"/>
    <mergeCell ref="G6:H6"/>
    <mergeCell ref="G7:H8"/>
    <mergeCell ref="C7:C8"/>
    <mergeCell ref="D7:D8"/>
    <mergeCell ref="E7:E8"/>
    <mergeCell ref="F7:F8"/>
    <mergeCell ref="I17:I18"/>
    <mergeCell ref="I9:I14"/>
    <mergeCell ref="I15:I16"/>
    <mergeCell ref="D19:D20"/>
    <mergeCell ref="G19:H20"/>
    <mergeCell ref="K19:K20"/>
    <mergeCell ref="D21:D22"/>
    <mergeCell ref="G21:H22"/>
    <mergeCell ref="K21:K22"/>
    <mergeCell ref="I19:I22"/>
    <mergeCell ref="J9:J22"/>
    <mergeCell ref="B9:B22"/>
    <mergeCell ref="C9:C14"/>
    <mergeCell ref="D9:D11"/>
    <mergeCell ref="G9:H11"/>
    <mergeCell ref="K9:K11"/>
    <mergeCell ref="D12:D14"/>
    <mergeCell ref="G12:H14"/>
    <mergeCell ref="K12:K14"/>
    <mergeCell ref="C15:C18"/>
    <mergeCell ref="D15:D16"/>
    <mergeCell ref="G15:H16"/>
    <mergeCell ref="K15:K16"/>
    <mergeCell ref="D17:D18"/>
    <mergeCell ref="G17:H18"/>
    <mergeCell ref="K17:K18"/>
    <mergeCell ref="C19:C22"/>
    <mergeCell ref="B30:K30"/>
    <mergeCell ref="D25:D26"/>
    <mergeCell ref="G25:H26"/>
    <mergeCell ref="B28:K28"/>
    <mergeCell ref="B29:K29"/>
    <mergeCell ref="B23:B26"/>
    <mergeCell ref="C23:C26"/>
    <mergeCell ref="D23:D24"/>
    <mergeCell ref="G23:H24"/>
    <mergeCell ref="I23:K24"/>
    <mergeCell ref="I25:K26"/>
  </mergeCells>
  <conditionalFormatting sqref="C9 C23 C15 C19:C20 E9:E26">
    <cfRule type="notContainsBlanks" dxfId="37" priority="63">
      <formula>LEN(TRIM(C9))&gt;0</formula>
    </cfRule>
    <cfRule type="notContainsBlanks" priority="64">
      <formula>LEN(TRIM(C9))&gt;0</formula>
    </cfRule>
  </conditionalFormatting>
  <conditionalFormatting sqref="F23">
    <cfRule type="expression" dxfId="36" priority="5">
      <formula>AND($F23&lt;&gt;"",$F23&lt;15)</formula>
    </cfRule>
    <cfRule type="notContainsBlanks" dxfId="35" priority="51">
      <formula>LEN(TRIM(F23))&gt;0</formula>
    </cfRule>
  </conditionalFormatting>
  <conditionalFormatting sqref="F24">
    <cfRule type="expression" dxfId="34" priority="13">
      <formula>AND($F$24&lt;&gt;"",$F$24&lt;15)</formula>
    </cfRule>
    <cfRule type="notContainsBlanks" dxfId="33" priority="50">
      <formula>LEN(TRIM(F24))&gt;0</formula>
    </cfRule>
  </conditionalFormatting>
  <conditionalFormatting sqref="F25">
    <cfRule type="expression" dxfId="32" priority="12">
      <formula>AND($F$25&lt;&gt;"",$F$25&lt;15)</formula>
    </cfRule>
    <cfRule type="notContainsBlanks" dxfId="31" priority="49">
      <formula>LEN(TRIM(F25))&gt;0</formula>
    </cfRule>
  </conditionalFormatting>
  <conditionalFormatting sqref="F26">
    <cfRule type="expression" dxfId="30" priority="11">
      <formula>AND($F$26&lt;&gt;"",$F$26&lt;15)</formula>
    </cfRule>
    <cfRule type="notContainsBlanks" dxfId="29" priority="48">
      <formula>LEN(TRIM(F26))&gt;0</formula>
    </cfRule>
  </conditionalFormatting>
  <conditionalFormatting sqref="F9:F11">
    <cfRule type="expression" dxfId="28" priority="47">
      <formula>AND($F9&lt;&gt;"",$F9&lt;15)</formula>
    </cfRule>
  </conditionalFormatting>
  <conditionalFormatting sqref="G25">
    <cfRule type="cellIs" dxfId="27" priority="42" operator="lessThan">
      <formula>30</formula>
    </cfRule>
  </conditionalFormatting>
  <conditionalFormatting sqref="F12">
    <cfRule type="expression" dxfId="26" priority="41">
      <formula>AND($F12&lt;&gt;"",$F12&lt;15)</formula>
    </cfRule>
  </conditionalFormatting>
  <conditionalFormatting sqref="F13">
    <cfRule type="expression" dxfId="25" priority="40">
      <formula>AND($F13&lt;&gt;"",$F13&lt;15)</formula>
    </cfRule>
  </conditionalFormatting>
  <conditionalFormatting sqref="F14">
    <cfRule type="expression" dxfId="24" priority="39">
      <formula>AND($F14&lt;&gt;"",$F14&lt;15)</formula>
    </cfRule>
  </conditionalFormatting>
  <conditionalFormatting sqref="F15">
    <cfRule type="expression" dxfId="23" priority="38">
      <formula>AND($F15&lt;&gt;"",$F15&lt;15)</formula>
    </cfRule>
  </conditionalFormatting>
  <conditionalFormatting sqref="F16">
    <cfRule type="expression" dxfId="22" priority="37">
      <formula>AND($F16&lt;&gt;"",$F16&lt;15)</formula>
    </cfRule>
  </conditionalFormatting>
  <conditionalFormatting sqref="F17">
    <cfRule type="expression" dxfId="21" priority="36">
      <formula>AND($F17&lt;&gt;"",$F17&lt;15)</formula>
    </cfRule>
  </conditionalFormatting>
  <conditionalFormatting sqref="F18">
    <cfRule type="expression" dxfId="20" priority="35">
      <formula>AND($F18&lt;&gt;"",$F18&lt;15)</formula>
    </cfRule>
  </conditionalFormatting>
  <conditionalFormatting sqref="F19">
    <cfRule type="expression" dxfId="19" priority="34">
      <formula>AND($F19&lt;&gt;"",$F19&lt;15)</formula>
    </cfRule>
  </conditionalFormatting>
  <conditionalFormatting sqref="F20">
    <cfRule type="expression" dxfId="18" priority="33">
      <formula>AND($F20&lt;&gt;"",$F20&lt;15)</formula>
    </cfRule>
  </conditionalFormatting>
  <conditionalFormatting sqref="F21">
    <cfRule type="expression" dxfId="17" priority="32">
      <formula>AND($F21&lt;&gt;"",$F21&lt;15)</formula>
    </cfRule>
  </conditionalFormatting>
  <conditionalFormatting sqref="I23:K26 F9:F22">
    <cfRule type="notContainsBlanks" dxfId="16" priority="66">
      <formula>LEN(TRIM(F9))&gt;0</formula>
    </cfRule>
  </conditionalFormatting>
  <conditionalFormatting sqref="D9:D26">
    <cfRule type="expression" dxfId="15" priority="4">
      <formula>AND(ISBLANK(D9)=FALSE,D9&lt;&gt;"Name Krankenhaus/ Name Abteilung")=TRUE</formula>
    </cfRule>
    <cfRule type="expression" dxfId="14" priority="30">
      <formula>AND($D9&lt;&gt;"",$D9&lt;&gt;"Name Krankenhaus/ Name Abteilung")</formula>
    </cfRule>
  </conditionalFormatting>
  <conditionalFormatting sqref="K9:K11">
    <cfRule type="expression" dxfId="13" priority="10">
      <formula>AND(F9&lt;&gt;"",F10&lt;&gt;"",F11&lt;&gt;"",AND($F$9&gt;14,$F$10&gt;14,$F$11&gt;14)=TRUE)</formula>
    </cfRule>
    <cfRule type="notContainsBlanks" dxfId="12" priority="65">
      <formula>LEN(TRIM(K9))&gt;0</formula>
    </cfRule>
  </conditionalFormatting>
  <conditionalFormatting sqref="K12:K14">
    <cfRule type="expression" dxfId="11" priority="9">
      <formula>"AND(H12&lt;&gt;"""";H13&lt;&gt;"""";H14&lt;&gt;"""";AND($H$12&gt;14;$H$13&gt;14;$H$14&gt;14))"</formula>
    </cfRule>
    <cfRule type="notContainsBlanks" dxfId="10" priority="28">
      <formula>LEN(TRIM(K12))&gt;0</formula>
    </cfRule>
  </conditionalFormatting>
  <conditionalFormatting sqref="K15:K16">
    <cfRule type="notContainsBlanks" dxfId="9" priority="27">
      <formula>LEN(TRIM(K15))&gt;0</formula>
    </cfRule>
  </conditionalFormatting>
  <conditionalFormatting sqref="K17:K18">
    <cfRule type="notContainsBlanks" dxfId="8" priority="26">
      <formula>LEN(TRIM(K17))&gt;0</formula>
    </cfRule>
  </conditionalFormatting>
  <conditionalFormatting sqref="K19:K20">
    <cfRule type="notContainsBlanks" dxfId="7" priority="25">
      <formula>LEN(TRIM(K19))&gt;0</formula>
    </cfRule>
  </conditionalFormatting>
  <conditionalFormatting sqref="K21:K22">
    <cfRule type="notContainsBlanks" dxfId="6" priority="24">
      <formula>LEN(TRIM(K21))&gt;0</formula>
    </cfRule>
  </conditionalFormatting>
  <conditionalFormatting sqref="J9:J22">
    <cfRule type="cellIs" dxfId="5" priority="15" operator="lessThan">
      <formula>50</formula>
    </cfRule>
  </conditionalFormatting>
  <conditionalFormatting sqref="G23:H24">
    <cfRule type="cellIs" dxfId="4" priority="8" operator="lessThan">
      <formula>30</formula>
    </cfRule>
  </conditionalFormatting>
  <conditionalFormatting sqref="E9:E22 E23:F26 K9:K22 I15:I18">
    <cfRule type="notContainsBlanks" dxfId="3" priority="14">
      <formula>LEN(TRIM(E9))&gt;0</formula>
    </cfRule>
  </conditionalFormatting>
  <conditionalFormatting sqref="I15:I16">
    <cfRule type="cellIs" dxfId="2" priority="3" operator="between">
      <formula>1</formula>
      <formula>9</formula>
    </cfRule>
  </conditionalFormatting>
  <conditionalFormatting sqref="I17:I18">
    <cfRule type="cellIs" dxfId="1" priority="2" operator="between">
      <formula>1</formula>
      <formula>9</formula>
    </cfRule>
  </conditionalFormatting>
  <conditionalFormatting sqref="F22">
    <cfRule type="expression" dxfId="0" priority="1">
      <formula>AND($F22&lt;&gt;"",$F22&lt;15)</formula>
    </cfRule>
  </conditionalFormatting>
  <dataValidations count="6">
    <dataValidation allowBlank="1" sqref="G23 G25" xr:uid="{00000000-0002-0000-0A00-000000000000}"/>
    <dataValidation type="whole" allowBlank="1" showErrorMessage="1" errorTitle="Hinweis" error="Ganze Zahl zwischen 0 und 5000 eingeben." sqref="F23:F26" xr:uid="{00000000-0002-0000-0A00-000001000000}">
      <formula1>0</formula1>
      <formula2>5000</formula2>
    </dataValidation>
    <dataValidation type="textLength" allowBlank="1" showErrorMessage="1" errorTitle="Hinweis" error="Bitte nur Text eingeben." sqref="E9:E22 E23:E26" xr:uid="{00000000-0002-0000-0A00-000002000000}">
      <formula1>0</formula1>
      <formula2>500</formula2>
    </dataValidation>
    <dataValidation type="textLength" allowBlank="1" showErrorMessage="1" errorTitle="Zeichenlänge" error="Minimal 30 Zeichen und max. 500 Zeichen." sqref="K9:K22 I23:K26" xr:uid="{00000000-0002-0000-0A00-000003000000}">
      <formula1>30</formula1>
      <formula2>500</formula2>
    </dataValidation>
    <dataValidation type="whole" allowBlank="1" showErrorMessage="1" errorTitle="Hinweis" error="1. Ganze Zahl zwischen 0 und 5000 eingeben._x000a_2. Anzahl Operationen an Knochentumoren ist Teil von Gesamtzahl OPs pro Einheit." sqref="I15:I16 I17:I18" xr:uid="{00000000-0002-0000-0A00-000004000000}">
      <formula1>0</formula1>
      <formula2>G15</formula2>
    </dataValidation>
    <dataValidation type="textLength" allowBlank="1" showErrorMessage="1" errorTitle="Hinweis" error="Bitte nur Text eingeben." sqref="D9:D26" xr:uid="{00000000-0002-0000-0A00-000005000000}">
      <formula1>0</formula1>
      <formula2>1000</formula2>
    </dataValidation>
  </dataValidations>
  <pageMargins left="0.22" right="0.17" top="0.74803149606299213" bottom="0.74803149606299213" header="0.31496062992125984" footer="0.31496062992125984"/>
  <pageSetup scale="66"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9"/>
  <dimension ref="A1:J19"/>
  <sheetViews>
    <sheetView showGridLines="0" zoomScale="80" zoomScaleNormal="80" workbookViewId="0">
      <selection activeCell="C12" sqref="C12"/>
    </sheetView>
  </sheetViews>
  <sheetFormatPr defaultColWidth="11.42578125" defaultRowHeight="12.75" x14ac:dyDescent="0.2"/>
  <cols>
    <col min="1" max="1" width="92.5703125" style="227" customWidth="1"/>
    <col min="2" max="2" width="38.5703125" style="227" bestFit="1" customWidth="1"/>
    <col min="3" max="3" width="47" style="227" bestFit="1" customWidth="1"/>
    <col min="4" max="4" width="39.42578125" style="227" bestFit="1" customWidth="1"/>
    <col min="5" max="5" width="30.28515625" style="227" customWidth="1"/>
    <col min="6" max="9" width="15.42578125" style="227" customWidth="1"/>
    <col min="10" max="10" width="40.85546875" style="227" customWidth="1"/>
    <col min="11" max="16384" width="11.42578125" style="227"/>
  </cols>
  <sheetData>
    <row r="1" spans="1:10" s="248" customFormat="1" ht="38.25" x14ac:dyDescent="0.25">
      <c r="A1" s="248" t="str">
        <f>'Netzwerk Chirurgie'!C7</f>
        <v>Fachdisziplin</v>
      </c>
      <c r="B1" s="245" t="str">
        <f>'Netzwerk Chirurgie'!D7</f>
        <v>Name Kooperationspartner</v>
      </c>
      <c r="C1" s="245" t="str">
        <f>CONCATENATE('Netzwerk Chirurgie'!E6," - ",'Netzwerk Chirurgie'!E7)</f>
        <v>Operateure - Benannte Operateure (Titel, Name, Vorname)</v>
      </c>
      <c r="D1" s="245" t="s">
        <v>563</v>
      </c>
      <c r="E1" s="245" t="s">
        <v>564</v>
      </c>
      <c r="F1" s="245" t="str">
        <f>CONCATENATE('Netzwerk Chirurgie'!E6," - ",'Netzwerk Chirurgie'!F7)</f>
        <v>Operateure - Gesamtzahl OPs pro Operateur</v>
      </c>
      <c r="G1" s="245" t="str">
        <f>CONCATENATE('Netzwerk Chirurgie'!G6," - ",'Netzwerk Chirurgie'!G7)</f>
        <v>Einheit - Gesamtzahl OPs pro Einheit</v>
      </c>
      <c r="H1" s="249" t="str">
        <f>'Netzwerk Chirurgie'!I7</f>
        <v>Davon Knochen-tumoren</v>
      </c>
      <c r="I1" s="249" t="str">
        <f>'Netzwerk Chirurgie'!J7</f>
        <v>Gesamt Resektionen</v>
      </c>
      <c r="J1" s="245" t="str">
        <f>'Netzwerk Chirurgie'!K7</f>
        <v>Anmerkung des Zentrums</v>
      </c>
    </row>
    <row r="2" spans="1:10" s="228" customFormat="1" ht="30" customHeight="1" x14ac:dyDescent="0.25">
      <c r="A2" s="245" t="str">
        <f>CONCATENATE(LEFT('Netzwerk Chirurgie'!B9,104)," - ",'Netzwerk Chirurgie'!C9,"_1")</f>
        <v>Operative Einheit Viszeralchirurgie und Orthopädie/ Unfallchirurgie und Plastische Chirurgie (Resektion) - Viszeralchirurgie_1</v>
      </c>
      <c r="B2" s="246" t="str">
        <f>IF('Netzwerk Chirurgie'!$D$9="","",'Netzwerk Chirurgie'!$D$9)</f>
        <v>Name Krankenhaus/ Name Abteilung</v>
      </c>
      <c r="C2" s="246" t="str">
        <f>IF('Netzwerk Chirurgie'!E9="","",'Netzwerk Chirurgie'!E9)</f>
        <v/>
      </c>
      <c r="D2" s="262"/>
      <c r="E2" s="262"/>
      <c r="F2" s="246">
        <f>'Netzwerk Chirurgie'!F9</f>
        <v>0</v>
      </c>
      <c r="G2" s="246" t="str">
        <f>'Netzwerk Chirurgie'!G9</f>
        <v/>
      </c>
      <c r="H2" s="247"/>
      <c r="I2" s="246" t="str">
        <f>'Netzwerk Chirurgie'!J9</f>
        <v/>
      </c>
      <c r="J2" s="246" t="str">
        <f>IF('Netzwerk Chirurgie'!K9="","",'Netzwerk Chirurgie'!K9)</f>
        <v/>
      </c>
    </row>
    <row r="3" spans="1:10" s="228" customFormat="1" ht="30" customHeight="1" x14ac:dyDescent="0.25">
      <c r="A3" s="245" t="str">
        <f>CONCATENATE(LEFT('Netzwerk Chirurgie'!B9,104)," - ",'Netzwerk Chirurgie'!C9,"_2")</f>
        <v>Operative Einheit Viszeralchirurgie und Orthopädie/ Unfallchirurgie und Plastische Chirurgie (Resektion) - Viszeralchirurgie_2</v>
      </c>
      <c r="B3" s="246" t="str">
        <f>IF('Netzwerk Chirurgie'!$D$9="","",'Netzwerk Chirurgie'!$D$9)</f>
        <v>Name Krankenhaus/ Name Abteilung</v>
      </c>
      <c r="C3" s="246" t="str">
        <f>IF('Netzwerk Chirurgie'!E10="","",'Netzwerk Chirurgie'!E10)</f>
        <v/>
      </c>
      <c r="D3" s="262"/>
      <c r="E3" s="262"/>
      <c r="F3" s="246">
        <f>'Netzwerk Chirurgie'!F10</f>
        <v>0</v>
      </c>
      <c r="G3" s="247"/>
      <c r="H3" s="247"/>
      <c r="I3" s="247"/>
      <c r="J3" s="247"/>
    </row>
    <row r="4" spans="1:10" s="228" customFormat="1" ht="30" customHeight="1" x14ac:dyDescent="0.25">
      <c r="A4" s="245" t="str">
        <f>CONCATENATE(LEFT('Netzwerk Chirurgie'!B9,104)," - ",'Netzwerk Chirurgie'!C9,"_3")</f>
        <v>Operative Einheit Viszeralchirurgie und Orthopädie/ Unfallchirurgie und Plastische Chirurgie (Resektion) - Viszeralchirurgie_3</v>
      </c>
      <c r="B4" s="246" t="str">
        <f>IF('Netzwerk Chirurgie'!$D$9="","",'Netzwerk Chirurgie'!$D$9)</f>
        <v>Name Krankenhaus/ Name Abteilung</v>
      </c>
      <c r="C4" s="246" t="str">
        <f>IF('Netzwerk Chirurgie'!E11="","",'Netzwerk Chirurgie'!E11)</f>
        <v/>
      </c>
      <c r="D4" s="262"/>
      <c r="E4" s="262"/>
      <c r="F4" s="246">
        <f>'Netzwerk Chirurgie'!F11</f>
        <v>0</v>
      </c>
      <c r="G4" s="247"/>
      <c r="H4" s="247"/>
      <c r="I4" s="247"/>
      <c r="J4" s="247"/>
    </row>
    <row r="5" spans="1:10" s="228" customFormat="1" ht="30" customHeight="1" x14ac:dyDescent="0.25">
      <c r="A5" s="245" t="str">
        <f>CONCATENATE(LEFT('Netzwerk Chirurgie'!B9,104)," - ",'Netzwerk Chirurgie'!C9,"_4")</f>
        <v>Operative Einheit Viszeralchirurgie und Orthopädie/ Unfallchirurgie und Plastische Chirurgie (Resektion) - Viszeralchirurgie_4</v>
      </c>
      <c r="B5" s="246" t="str">
        <f>IF('Netzwerk Chirurgie'!D$12="","",'Netzwerk Chirurgie'!D$12)</f>
        <v>Name Krankenhaus/ Name Abteilung</v>
      </c>
      <c r="C5" s="246" t="str">
        <f>IF('Netzwerk Chirurgie'!E12="","",'Netzwerk Chirurgie'!E12)</f>
        <v/>
      </c>
      <c r="D5" s="262"/>
      <c r="E5" s="262"/>
      <c r="F5" s="246">
        <f>'Netzwerk Chirurgie'!F12</f>
        <v>0</v>
      </c>
      <c r="G5" s="246" t="str">
        <f>'Netzwerk Chirurgie'!G12</f>
        <v/>
      </c>
      <c r="H5" s="247"/>
      <c r="I5" s="247"/>
      <c r="J5" s="246" t="str">
        <f>IF('Netzwerk Chirurgie'!K12="","",'Netzwerk Chirurgie'!K12)</f>
        <v/>
      </c>
    </row>
    <row r="6" spans="1:10" s="228" customFormat="1" ht="30" customHeight="1" x14ac:dyDescent="0.25">
      <c r="A6" s="245" t="str">
        <f>CONCATENATE(LEFT('Netzwerk Chirurgie'!B9,104)," - ",'Netzwerk Chirurgie'!C9,"_5")</f>
        <v>Operative Einheit Viszeralchirurgie und Orthopädie/ Unfallchirurgie und Plastische Chirurgie (Resektion) - Viszeralchirurgie_5</v>
      </c>
      <c r="B6" s="246" t="str">
        <f>IF('Netzwerk Chirurgie'!D$12="","",'Netzwerk Chirurgie'!D$12)</f>
        <v>Name Krankenhaus/ Name Abteilung</v>
      </c>
      <c r="C6" s="246" t="str">
        <f>IF('Netzwerk Chirurgie'!E13="","",'Netzwerk Chirurgie'!E13)</f>
        <v/>
      </c>
      <c r="D6" s="262"/>
      <c r="E6" s="262"/>
      <c r="F6" s="246">
        <f>'Netzwerk Chirurgie'!F13</f>
        <v>0</v>
      </c>
      <c r="G6" s="247"/>
      <c r="H6" s="247"/>
      <c r="I6" s="247"/>
      <c r="J6" s="247"/>
    </row>
    <row r="7" spans="1:10" s="228" customFormat="1" ht="30" customHeight="1" x14ac:dyDescent="0.25">
      <c r="A7" s="245" t="str">
        <f>CONCATENATE(LEFT('Netzwerk Chirurgie'!B9,104)," - ",'Netzwerk Chirurgie'!C9,"_6")</f>
        <v>Operative Einheit Viszeralchirurgie und Orthopädie/ Unfallchirurgie und Plastische Chirurgie (Resektion) - Viszeralchirurgie_6</v>
      </c>
      <c r="B7" s="246" t="str">
        <f>IF('Netzwerk Chirurgie'!D$12="","",'Netzwerk Chirurgie'!D$12)</f>
        <v>Name Krankenhaus/ Name Abteilung</v>
      </c>
      <c r="C7" s="246" t="str">
        <f>IF('Netzwerk Chirurgie'!E14="","",'Netzwerk Chirurgie'!E14)</f>
        <v/>
      </c>
      <c r="D7" s="262"/>
      <c r="E7" s="262"/>
      <c r="F7" s="246">
        <f>'Netzwerk Chirurgie'!F14</f>
        <v>0</v>
      </c>
      <c r="G7" s="247"/>
      <c r="H7" s="247"/>
      <c r="I7" s="247"/>
      <c r="J7" s="247"/>
    </row>
    <row r="8" spans="1:10" s="228" customFormat="1" ht="30" customHeight="1" x14ac:dyDescent="0.25">
      <c r="A8" s="245" t="str">
        <f>CONCATENATE(LEFT('Netzwerk Chirurgie'!B9,104)," - ",LEFT('Netzwerk Chirurgie'!C15,26),"_1")</f>
        <v>Operative Einheit Viszeralchirurgie und Orthopädie/ Unfallchirurgie und Plastische Chirurgie (Resektion) - Orthopädie/Unfallchirurgie_1</v>
      </c>
      <c r="B8" s="246" t="str">
        <f>IF('Netzwerk Chirurgie'!D$15="","",'Netzwerk Chirurgie'!D$15)</f>
        <v>Name Krankenhaus/ Name Abteilung</v>
      </c>
      <c r="C8" s="246" t="str">
        <f>IF('Netzwerk Chirurgie'!E15="","",'Netzwerk Chirurgie'!E15)</f>
        <v/>
      </c>
      <c r="D8" s="262"/>
      <c r="E8" s="262"/>
      <c r="F8" s="246">
        <f>'Netzwerk Chirurgie'!F15</f>
        <v>0</v>
      </c>
      <c r="G8" s="246" t="str">
        <f>'Netzwerk Chirurgie'!G15</f>
        <v/>
      </c>
      <c r="H8" s="246" t="str">
        <f>IF('Netzwerk Chirurgie'!I15="","",'Netzwerk Chirurgie'!I15)</f>
        <v/>
      </c>
      <c r="I8" s="247"/>
      <c r="J8" s="246" t="str">
        <f>IF('Netzwerk Chirurgie'!K15="","",'Netzwerk Chirurgie'!K15)</f>
        <v/>
      </c>
    </row>
    <row r="9" spans="1:10" s="228" customFormat="1" ht="30" customHeight="1" x14ac:dyDescent="0.25">
      <c r="A9" s="245" t="str">
        <f>CONCATENATE(LEFT('Netzwerk Chirurgie'!B9,104)," - ",LEFT('Netzwerk Chirurgie'!C15,26),"_2")</f>
        <v>Operative Einheit Viszeralchirurgie und Orthopädie/ Unfallchirurgie und Plastische Chirurgie (Resektion) - Orthopädie/Unfallchirurgie_2</v>
      </c>
      <c r="B9" s="246" t="str">
        <f>IF('Netzwerk Chirurgie'!D$15="","",'Netzwerk Chirurgie'!D$15)</f>
        <v>Name Krankenhaus/ Name Abteilung</v>
      </c>
      <c r="C9" s="246" t="str">
        <f>IF('Netzwerk Chirurgie'!E16="","",'Netzwerk Chirurgie'!E16)</f>
        <v/>
      </c>
      <c r="D9" s="262"/>
      <c r="E9" s="262"/>
      <c r="F9" s="246">
        <f>'Netzwerk Chirurgie'!F16</f>
        <v>0</v>
      </c>
      <c r="G9" s="247"/>
      <c r="H9" s="247"/>
      <c r="I9" s="247"/>
      <c r="J9" s="247"/>
    </row>
    <row r="10" spans="1:10" s="228" customFormat="1" ht="30" customHeight="1" x14ac:dyDescent="0.25">
      <c r="A10" s="245" t="str">
        <f>CONCATENATE(LEFT('Netzwerk Chirurgie'!B9,104)," - ",LEFT('Netzwerk Chirurgie'!C15,26),"_3")</f>
        <v>Operative Einheit Viszeralchirurgie und Orthopädie/ Unfallchirurgie und Plastische Chirurgie (Resektion) - Orthopädie/Unfallchirurgie_3</v>
      </c>
      <c r="B10" s="246" t="str">
        <f>IF('Netzwerk Chirurgie'!D$17="","",'Netzwerk Chirurgie'!D$17)</f>
        <v>Name Krankenhaus/ Name Abteilung</v>
      </c>
      <c r="C10" s="246" t="str">
        <f>IF('Netzwerk Chirurgie'!E17="","",'Netzwerk Chirurgie'!E17)</f>
        <v/>
      </c>
      <c r="D10" s="262"/>
      <c r="E10" s="262"/>
      <c r="F10" s="246">
        <f>'Netzwerk Chirurgie'!F17</f>
        <v>0</v>
      </c>
      <c r="G10" s="246" t="str">
        <f>'Netzwerk Chirurgie'!G17</f>
        <v/>
      </c>
      <c r="H10" s="246" t="str">
        <f>IF('Netzwerk Chirurgie'!I17="","",'Netzwerk Chirurgie'!I17)</f>
        <v/>
      </c>
      <c r="I10" s="247"/>
      <c r="J10" s="246" t="str">
        <f>IF('Netzwerk Chirurgie'!K17="","",'Netzwerk Chirurgie'!K17)</f>
        <v/>
      </c>
    </row>
    <row r="11" spans="1:10" s="228" customFormat="1" ht="30" customHeight="1" x14ac:dyDescent="0.25">
      <c r="A11" s="245" t="str">
        <f>CONCATENATE(LEFT('Netzwerk Chirurgie'!B9,104)," - ",LEFT('Netzwerk Chirurgie'!C15,26),"_4")</f>
        <v>Operative Einheit Viszeralchirurgie und Orthopädie/ Unfallchirurgie und Plastische Chirurgie (Resektion) - Orthopädie/Unfallchirurgie_4</v>
      </c>
      <c r="B11" s="246" t="str">
        <f>IF('Netzwerk Chirurgie'!D$17="","",'Netzwerk Chirurgie'!D$17)</f>
        <v>Name Krankenhaus/ Name Abteilung</v>
      </c>
      <c r="C11" s="246" t="str">
        <f>IF('Netzwerk Chirurgie'!E18="","",'Netzwerk Chirurgie'!E18)</f>
        <v/>
      </c>
      <c r="D11" s="262"/>
      <c r="E11" s="262"/>
      <c r="F11" s="246">
        <f>'Netzwerk Chirurgie'!F18</f>
        <v>0</v>
      </c>
      <c r="G11" s="247"/>
      <c r="H11" s="247"/>
      <c r="I11" s="247"/>
      <c r="J11" s="247"/>
    </row>
    <row r="12" spans="1:10" s="228" customFormat="1" ht="30" customHeight="1" x14ac:dyDescent="0.25">
      <c r="A12" s="245" t="str">
        <f>CONCATENATE(LEFT('Netzwerk Chirurgie'!B9,104)," - ",'Netzwerk Chirurgie'!C19,"_1")</f>
        <v>Operative Einheit Viszeralchirurgie und Orthopädie/ Unfallchirurgie und Plastische Chirurgie (Resektion) - Plastische Chirurgie_1</v>
      </c>
      <c r="B12" s="246" t="str">
        <f>IF('Netzwerk Chirurgie'!D$19="","",'Netzwerk Chirurgie'!D$19)</f>
        <v>Name Krankenhaus/ Name Abteilung</v>
      </c>
      <c r="C12" s="246" t="str">
        <f>IF('Netzwerk Chirurgie'!E19="","",'Netzwerk Chirurgie'!E19)</f>
        <v/>
      </c>
      <c r="D12" s="262"/>
      <c r="E12" s="262"/>
      <c r="F12" s="246">
        <f>'Netzwerk Chirurgie'!F19</f>
        <v>0</v>
      </c>
      <c r="G12" s="246" t="str">
        <f>'Netzwerk Chirurgie'!G19</f>
        <v/>
      </c>
      <c r="H12" s="247"/>
      <c r="I12" s="247"/>
      <c r="J12" s="246" t="str">
        <f>IF('Netzwerk Chirurgie'!K19="","",'Netzwerk Chirurgie'!K19)</f>
        <v/>
      </c>
    </row>
    <row r="13" spans="1:10" s="228" customFormat="1" ht="30" customHeight="1" x14ac:dyDescent="0.25">
      <c r="A13" s="245" t="str">
        <f>CONCATENATE(LEFT('Netzwerk Chirurgie'!B9,104)," - ",'Netzwerk Chirurgie'!C19,"_2")</f>
        <v>Operative Einheit Viszeralchirurgie und Orthopädie/ Unfallchirurgie und Plastische Chirurgie (Resektion) - Plastische Chirurgie_2</v>
      </c>
      <c r="B13" s="246" t="str">
        <f>IF('Netzwerk Chirurgie'!D$19="","",'Netzwerk Chirurgie'!D$19)</f>
        <v>Name Krankenhaus/ Name Abteilung</v>
      </c>
      <c r="C13" s="246" t="str">
        <f>IF('Netzwerk Chirurgie'!E20="","",'Netzwerk Chirurgie'!E20)</f>
        <v/>
      </c>
      <c r="D13" s="262"/>
      <c r="E13" s="262"/>
      <c r="F13" s="246">
        <f>'Netzwerk Chirurgie'!F20</f>
        <v>0</v>
      </c>
      <c r="G13" s="247"/>
      <c r="H13" s="247"/>
      <c r="I13" s="247"/>
      <c r="J13" s="247"/>
    </row>
    <row r="14" spans="1:10" s="228" customFormat="1" ht="30" customHeight="1" x14ac:dyDescent="0.25">
      <c r="A14" s="245" t="str">
        <f>CONCATENATE(LEFT('Netzwerk Chirurgie'!B9,104)," - ",'Netzwerk Chirurgie'!C19,"_3")</f>
        <v>Operative Einheit Viszeralchirurgie und Orthopädie/ Unfallchirurgie und Plastische Chirurgie (Resektion) - Plastische Chirurgie_3</v>
      </c>
      <c r="B14" s="246" t="str">
        <f>IF('Netzwerk Chirurgie'!D$21="","",'Netzwerk Chirurgie'!D$21)</f>
        <v>Name Krankenhaus/ Name Abteilung</v>
      </c>
      <c r="C14" s="246" t="str">
        <f>IF('Netzwerk Chirurgie'!E21="","",'Netzwerk Chirurgie'!E21)</f>
        <v/>
      </c>
      <c r="D14" s="262"/>
      <c r="E14" s="262"/>
      <c r="F14" s="246">
        <f>'Netzwerk Chirurgie'!F21</f>
        <v>0</v>
      </c>
      <c r="G14" s="246" t="str">
        <f>'Netzwerk Chirurgie'!G21</f>
        <v/>
      </c>
      <c r="H14" s="247"/>
      <c r="I14" s="247"/>
      <c r="J14" s="246" t="str">
        <f>IF('Netzwerk Chirurgie'!K21="","",'Netzwerk Chirurgie'!K21)</f>
        <v/>
      </c>
    </row>
    <row r="15" spans="1:10" s="228" customFormat="1" ht="30" customHeight="1" x14ac:dyDescent="0.25">
      <c r="A15" s="245" t="str">
        <f>CONCATENATE(LEFT('Netzwerk Chirurgie'!B9,104)," - ",'Netzwerk Chirurgie'!C19,"_4")</f>
        <v>Operative Einheit Viszeralchirurgie und Orthopädie/ Unfallchirurgie und Plastische Chirurgie (Resektion) - Plastische Chirurgie_4</v>
      </c>
      <c r="B15" s="246" t="str">
        <f>IF('Netzwerk Chirurgie'!D$21="","",'Netzwerk Chirurgie'!D$21)</f>
        <v>Name Krankenhaus/ Name Abteilung</v>
      </c>
      <c r="C15" s="246" t="str">
        <f>IF('Netzwerk Chirurgie'!E22="","",'Netzwerk Chirurgie'!E22)</f>
        <v/>
      </c>
      <c r="D15" s="262"/>
      <c r="E15" s="262"/>
      <c r="F15" s="246">
        <f>'Netzwerk Chirurgie'!F22</f>
        <v>0</v>
      </c>
      <c r="G15" s="247"/>
      <c r="H15" s="247"/>
      <c r="I15" s="247"/>
      <c r="J15" s="247"/>
    </row>
    <row r="16" spans="1:10" s="228" customFormat="1" ht="30" customHeight="1" x14ac:dyDescent="0.25">
      <c r="A16" s="245" t="str">
        <f>CONCATENATE(LEFT('Netzwerk Chirurgie'!B23,55)," - ",'Netzwerk Chirurgie'!C23,"_1")</f>
        <v>Operative Einheit Plastische Chirurgie (Rekonstruktion) - Plastische Chirurgie_1</v>
      </c>
      <c r="B16" s="246" t="str">
        <f>IF('Netzwerk Chirurgie'!D$23="","",'Netzwerk Chirurgie'!D$23)</f>
        <v>Name Krankenhaus/ Name Abteilung</v>
      </c>
      <c r="C16" s="246" t="str">
        <f>IF('Netzwerk Chirurgie'!E23="","",'Netzwerk Chirurgie'!E23)</f>
        <v/>
      </c>
      <c r="D16" s="247"/>
      <c r="E16" s="247"/>
      <c r="F16" s="246" t="str">
        <f>IF('Netzwerk Chirurgie'!F23="","",'Netzwerk Chirurgie'!F23)</f>
        <v/>
      </c>
      <c r="G16" s="246" t="str">
        <f>IF('Netzwerk Chirurgie'!G23="","",'Netzwerk Chirurgie'!G23)</f>
        <v/>
      </c>
      <c r="H16" s="247"/>
      <c r="I16" s="247"/>
      <c r="J16" s="246" t="str">
        <f>IF('Netzwerk Chirurgie'!I23="","",'Netzwerk Chirurgie'!I23)</f>
        <v/>
      </c>
    </row>
    <row r="17" spans="1:10" s="228" customFormat="1" ht="30" customHeight="1" x14ac:dyDescent="0.25">
      <c r="A17" s="245" t="str">
        <f>CONCATENATE(LEFT('Netzwerk Chirurgie'!B23,55)," - ",'Netzwerk Chirurgie'!C23,"_2")</f>
        <v>Operative Einheit Plastische Chirurgie (Rekonstruktion) - Plastische Chirurgie_2</v>
      </c>
      <c r="B17" s="246" t="str">
        <f>IF('Netzwerk Chirurgie'!D$23="","",'Netzwerk Chirurgie'!D$23)</f>
        <v>Name Krankenhaus/ Name Abteilung</v>
      </c>
      <c r="C17" s="246" t="str">
        <f>IF('Netzwerk Chirurgie'!E24="","",'Netzwerk Chirurgie'!E24)</f>
        <v/>
      </c>
      <c r="D17" s="247"/>
      <c r="E17" s="247"/>
      <c r="F17" s="246" t="str">
        <f>IF('Netzwerk Chirurgie'!F24="","",'Netzwerk Chirurgie'!F24)</f>
        <v/>
      </c>
      <c r="G17" s="247"/>
      <c r="H17" s="247"/>
      <c r="I17" s="247"/>
      <c r="J17" s="247"/>
    </row>
    <row r="18" spans="1:10" s="228" customFormat="1" ht="30" customHeight="1" x14ac:dyDescent="0.25">
      <c r="A18" s="245" t="str">
        <f>CONCATENATE(LEFT('Netzwerk Chirurgie'!B23,55)," - ",'Netzwerk Chirurgie'!C23,"_3")</f>
        <v>Operative Einheit Plastische Chirurgie (Rekonstruktion) - Plastische Chirurgie_3</v>
      </c>
      <c r="B18" s="246" t="str">
        <f>IF('Netzwerk Chirurgie'!D$25="","",'Netzwerk Chirurgie'!D$25)</f>
        <v>Name Krankenhaus/ Name Abteilung</v>
      </c>
      <c r="C18" s="246" t="str">
        <f>IF('Netzwerk Chirurgie'!E25="","",'Netzwerk Chirurgie'!E25)</f>
        <v/>
      </c>
      <c r="D18" s="247"/>
      <c r="E18" s="247"/>
      <c r="F18" s="246" t="str">
        <f>IF('Netzwerk Chirurgie'!F25="","",'Netzwerk Chirurgie'!F25)</f>
        <v/>
      </c>
      <c r="G18" s="246" t="str">
        <f>IF('Netzwerk Chirurgie'!G25="","",'Netzwerk Chirurgie'!G25)</f>
        <v/>
      </c>
      <c r="H18" s="247"/>
      <c r="I18" s="247"/>
      <c r="J18" s="246" t="str">
        <f>IF('Netzwerk Chirurgie'!I25="","",'Netzwerk Chirurgie'!I25)</f>
        <v/>
      </c>
    </row>
    <row r="19" spans="1:10" s="228" customFormat="1" ht="30" customHeight="1" x14ac:dyDescent="0.25">
      <c r="A19" s="245" t="str">
        <f>CONCATENATE(LEFT('Netzwerk Chirurgie'!B23,55)," - ",'Netzwerk Chirurgie'!C23,"_4")</f>
        <v>Operative Einheit Plastische Chirurgie (Rekonstruktion) - Plastische Chirurgie_4</v>
      </c>
      <c r="B19" s="246" t="str">
        <f>IF('Netzwerk Chirurgie'!D$25="","",'Netzwerk Chirurgie'!D$25)</f>
        <v>Name Krankenhaus/ Name Abteilung</v>
      </c>
      <c r="C19" s="246" t="str">
        <f>IF('Netzwerk Chirurgie'!E26="","",'Netzwerk Chirurgie'!E26)</f>
        <v/>
      </c>
      <c r="D19" s="247"/>
      <c r="E19" s="247"/>
      <c r="F19" s="246" t="str">
        <f>IF('Netzwerk Chirurgie'!F26="","",'Netzwerk Chirurgie'!F26)</f>
        <v/>
      </c>
      <c r="G19" s="247"/>
      <c r="H19" s="247"/>
      <c r="I19" s="247"/>
      <c r="J19" s="247"/>
    </row>
  </sheetData>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Basisdaten</vt:lpstr>
      <vt:lpstr>HilfstabelleB</vt:lpstr>
      <vt:lpstr>Datenquelle</vt:lpstr>
      <vt:lpstr>HilfstabelleSD</vt:lpstr>
      <vt:lpstr>Erläuterungen</vt:lpstr>
      <vt:lpstr>ICD-O-Liste</vt:lpstr>
      <vt:lpstr>Kennzahlenbogen_(KB)</vt:lpstr>
      <vt:lpstr>HilfstabelleKB</vt:lpstr>
      <vt:lpstr>Berechnung1</vt:lpstr>
      <vt:lpstr>Datendefizite_KB</vt:lpstr>
      <vt:lpstr>Hilfstabelle DatendefKB</vt:lpstr>
      <vt:lpstr>Netzwerk Chirurgie</vt:lpstr>
      <vt:lpstr>HilfstabelleC</vt:lpstr>
      <vt:lpstr>KrebsregisterZusammenarbeit</vt:lpstr>
      <vt:lpstr>Basisdaten!Print_Area</vt:lpstr>
      <vt:lpstr>Datendefizite_KB!Print_Area</vt:lpstr>
      <vt:lpstr>Erläuterungen!Print_Area</vt:lpstr>
      <vt:lpstr>'ICD-O-Liste'!Print_Area</vt:lpstr>
      <vt:lpstr>'Kennzahlenbogen_(KB)'!Print_Area</vt:lpstr>
      <vt:lpstr>'Netzwerk Chirurgie'!Print_Area</vt:lpstr>
      <vt:lpstr>Datendefizite_KB!Print_Titles</vt:lpstr>
      <vt:lpstr>'Hilfstabelle DatendefKB'!Print_Titles</vt:lpstr>
      <vt:lpstr>'ICD-O-Liste'!Print_Titles</vt:lpstr>
      <vt:lpstr>'Kennzahlenbogen_(KB)'!Print_Titles</vt:lpstr>
      <vt:lpstr>Tumordoku</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2022-09-27T07:29:15Z</cp:lastPrinted>
  <dcterms:created xsi:type="dcterms:W3CDTF">2012-04-12T09:13:43Z</dcterms:created>
  <dcterms:modified xsi:type="dcterms:W3CDTF">2023-02-17T09:12:31Z</dcterms:modified>
</cp:coreProperties>
</file>