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Darm\"/>
    </mc:Choice>
  </mc:AlternateContent>
  <xr:revisionPtr revIDLastSave="0" documentId="13_ncr:1_{C6540A21-1AF4-4764-8EE7-98CB114BDE1E}" xr6:coauthVersionLast="47" xr6:coauthVersionMax="47" xr10:uidLastSave="{00000000-0000-0000-0000-000000000000}"/>
  <workbookProtection workbookAlgorithmName="SHA-512" workbookHashValue="7rvzz9mKd2EyEsW83YvOAWTCGWTna3n6mLPmtvJNYbYZO9bvMf+JWAdPTXnI124fDYuVVEdjoyiWre4LRKox0g==" workbookSaltValue="PUqnAy4B6JOa0wZZ5Uqyrg==" workbookSpinCount="100000" lockStructure="1"/>
  <bookViews>
    <workbookView xWindow="-28920" yWindow="4845" windowWidth="29040" windowHeight="15840" tabRatio="819" activeTab="4" xr2:uid="{00000000-000D-0000-FFFF-FFFF00000000}"/>
  </bookViews>
  <sheets>
    <sheet name="Basic data" sheetId="54" r:id="rId1"/>
    <sheet name="HilfstabelleB" sheetId="57" state="hidden" r:id="rId2"/>
    <sheet name="HilfstabelleSD" sheetId="59" state="hidden" r:id="rId3"/>
    <sheet name="Datenquelle" sheetId="53" state="hidden" r:id="rId4"/>
    <sheet name="Indicator sheet_(IS)" sheetId="63" r:id="rId5"/>
    <sheet name="HilfstabelleKB" sheetId="66" state="hidden" r:id="rId6"/>
    <sheet name="Berechnung1" sheetId="62" state="hidden" r:id="rId7"/>
    <sheet name="Hilfstabelle DatendefKB" sheetId="73" state="hidden" r:id="rId8"/>
    <sheet name="Data deficit_(IS)" sheetId="75" state="hidden" r:id="rId9"/>
    <sheet name="Kennzahlenbogen plus" sheetId="76" state="hidden" r:id="rId10"/>
    <sheet name="HilfstabellePlus" sheetId="77" state="hidden" r:id="rId11"/>
    <sheet name="Matrix-Colon" sheetId="47" state="hidden" r:id="rId12"/>
    <sheet name="Berechnung2" sheetId="51" state="hidden" r:id="rId13"/>
    <sheet name="Berechnung3" sheetId="67" state="hidden" r:id="rId14"/>
    <sheet name="Data deficit_Matrix-Colon" sheetId="49" state="hidden" r:id="rId15"/>
    <sheet name="Matrix-Rectum" sheetId="48" state="hidden" r:id="rId16"/>
    <sheet name="Berechnung4" sheetId="52" state="hidden" r:id="rId17"/>
    <sheet name="Berechnung5" sheetId="68" state="hidden" r:id="rId18"/>
    <sheet name="Data deficit_Matrix-Rectum" sheetId="50" state="hidden" r:id="rId19"/>
    <sheet name="HilfstabelleMR" sheetId="60" state="hidden" r:id="rId20"/>
    <sheet name="HilfstabelleDMR" sheetId="70" state="hidden" r:id="rId21"/>
    <sheet name="HilfstabelleMK" sheetId="58" state="hidden" r:id="rId22"/>
    <sheet name="HilfstabelleDMK" sheetId="69" state="hidden" r:id="rId23"/>
  </sheets>
  <definedNames>
    <definedName name="_xlnm._FilterDatabase" localSheetId="6" hidden="1">Berechnung1!$C$24:$O$24</definedName>
    <definedName name="_xlnm._FilterDatabase" localSheetId="12" hidden="1">Berechnung2!#REF!</definedName>
    <definedName name="_xlnm._FilterDatabase" localSheetId="16" hidden="1">Berechnung4!#REF!</definedName>
    <definedName name="_xlnm._FilterDatabase" localSheetId="3" hidden="1">Datenquelle!$F$106:$F$107</definedName>
    <definedName name="_xlnm._FilterDatabase" localSheetId="10" hidden="1">HilfstabellePlus!$A$1:$D$181</definedName>
    <definedName name="countries">Datenquelle!$A$111:$A$306</definedName>
    <definedName name="_xlnm.Print_Area" localSheetId="0">'Basic data'!$A$1:$H$38</definedName>
    <definedName name="_xlnm.Print_Area" localSheetId="8">OFFSET('Data deficit_(IS)'!$A$1,0,0,SUMPRODUCT(('Data deficit_(IS)'!$A$14:$A$41&lt;&gt;"")+0)+13,11)</definedName>
    <definedName name="_xlnm.Print_Area" localSheetId="4">'Indicator sheet_(IS)'!$A$1:$P$123</definedName>
    <definedName name="_xlnm.Print_Area" localSheetId="11">'Matrix-Colon'!$A$1:$AA$78</definedName>
    <definedName name="_xlnm.Print_Area" localSheetId="15">'Matrix-Rectum'!$A$1:$AA$78</definedName>
    <definedName name="_xlnm.Print_Titles" localSheetId="8">'Data deficit_(IS)'!$12:$13</definedName>
    <definedName name="_xlnm.Print_Titles" localSheetId="14">'Data deficit_Matrix-Colon'!$1:$18</definedName>
    <definedName name="_xlnm.Print_Titles" localSheetId="18">'Data deficit_Matrix-Rectum'!$1:$18</definedName>
    <definedName name="_xlnm.Print_Titles" localSheetId="7">'Hilfstabelle DatendefKB'!$1:$1</definedName>
    <definedName name="_xlnm.Print_Titles" localSheetId="4">'Indicator sheet_(IS)'!$10:$11</definedName>
    <definedName name="_xlnm.Print_Titles" localSheetId="9">'Kennzahlenbogen plus'!$1:$9</definedName>
    <definedName name="Keine_Zusammenarbeit">Datenquelle!$B$96</definedName>
    <definedName name="KrebsregisterZusammenarbeit">Datenquelle!$B$95:$B$99</definedName>
    <definedName name="myCategory">Datenquelle!$A$66:$S$66</definedName>
    <definedName name="myItem" localSheetId="9">OFFSET([0]!myItemList,0,0,COUNTA([0]!myItemList),1)</definedName>
    <definedName name="myItem">OFFSET(myItemList,0,0,COUNTA(myItemList),1)</definedName>
    <definedName name="myItemList">INDEX(Datenquelle!$A$67:$S$87,0,MATCH(Datenquelle!$D$104,Datenquelle!$A$66:$S$66,0))</definedName>
    <definedName name="OncoBox">Datenquelle!$B$90:$B$91</definedName>
    <definedName name="Tumordokumentation">Datenquelle!$B$1:$B$52</definedName>
    <definedName name="Zentrum">Datenquelle!$A$107:$A$107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 i="63" l="1"/>
  <c r="M94" i="62" s="1"/>
  <c r="N94" i="62" s="1"/>
  <c r="H34" i="54"/>
  <c r="O58" i="63" l="1"/>
  <c r="O17" i="63"/>
  <c r="O26" i="63" l="1"/>
  <c r="P24" i="63" s="1"/>
  <c r="M37" i="62" s="1"/>
  <c r="M24" i="73" l="1"/>
  <c r="A26" i="73"/>
  <c r="K26" i="73" s="1"/>
  <c r="G26" i="73" l="1"/>
  <c r="I26" i="73"/>
  <c r="M26" i="73"/>
  <c r="F26" i="73"/>
  <c r="L26" i="73"/>
  <c r="H26" i="73"/>
  <c r="J26" i="73"/>
  <c r="D26" i="73"/>
  <c r="E26" i="73"/>
  <c r="C26" i="73"/>
  <c r="O19" i="63"/>
  <c r="L94" i="62" l="1"/>
  <c r="O107" i="63"/>
  <c r="O118" i="62"/>
  <c r="G43" i="66"/>
  <c r="F43" i="66"/>
  <c r="B43" i="66"/>
  <c r="H43" i="66" l="1"/>
  <c r="L118" i="62"/>
  <c r="D43" i="66"/>
  <c r="B12" i="66" l="1"/>
  <c r="P12" i="63"/>
  <c r="G12" i="66"/>
  <c r="F12" i="66"/>
  <c r="L25" i="62"/>
  <c r="O25" i="62"/>
  <c r="H12" i="66" s="1"/>
  <c r="A2" i="73" l="1"/>
  <c r="M25" i="62"/>
  <c r="N25" i="62" s="1"/>
  <c r="E12" i="66" s="1"/>
  <c r="J2" i="73" l="1"/>
  <c r="F2" i="73"/>
  <c r="H2" i="73"/>
  <c r="K2" i="73"/>
  <c r="C2" i="73"/>
  <c r="D2" i="73"/>
  <c r="M2" i="73"/>
  <c r="I2" i="73"/>
  <c r="E2" i="73"/>
  <c r="L2" i="73"/>
  <c r="G2" i="73"/>
  <c r="O103" i="63"/>
  <c r="O51" i="63" l="1"/>
  <c r="L64" i="62" s="1"/>
  <c r="D33" i="54" l="1"/>
  <c r="H35" i="54"/>
  <c r="S49" i="63" s="1"/>
  <c r="G33" i="54"/>
  <c r="F33" i="54"/>
  <c r="E33" i="54"/>
  <c r="C33" i="54"/>
  <c r="B33" i="54"/>
  <c r="O22" i="63" l="1"/>
  <c r="H33" i="54"/>
  <c r="O110" i="63" l="1"/>
  <c r="B35" i="66" l="1"/>
  <c r="O84" i="63" l="1"/>
  <c r="P84" i="63" l="1"/>
  <c r="L97" i="62"/>
  <c r="E57" i="68"/>
  <c r="E51" i="68"/>
  <c r="E45" i="68"/>
  <c r="E39" i="68"/>
  <c r="E19" i="68"/>
  <c r="E13" i="68"/>
  <c r="E57" i="67"/>
  <c r="E51" i="67"/>
  <c r="E45" i="67"/>
  <c r="E39" i="67"/>
  <c r="E19" i="67"/>
  <c r="E13" i="67"/>
  <c r="A27" i="73" l="1"/>
  <c r="J27" i="73" s="1"/>
  <c r="M97" i="62"/>
  <c r="N97" i="62" s="1"/>
  <c r="O92" i="63"/>
  <c r="B24" i="66"/>
  <c r="E27" i="73" l="1"/>
  <c r="D27" i="73"/>
  <c r="H27" i="73"/>
  <c r="K27" i="73"/>
  <c r="L27" i="73"/>
  <c r="G27" i="73"/>
  <c r="M27" i="73"/>
  <c r="F27" i="73"/>
  <c r="I27" i="73"/>
  <c r="C27" i="73"/>
  <c r="D38" i="66"/>
  <c r="P90" i="63"/>
  <c r="A29" i="73" s="1"/>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G13" i="66"/>
  <c r="F25" i="66"/>
  <c r="F24" i="66"/>
  <c r="F42" i="66"/>
  <c r="F41" i="66"/>
  <c r="F40" i="66"/>
  <c r="F39" i="66"/>
  <c r="F38" i="66"/>
  <c r="F37" i="66"/>
  <c r="F36" i="66"/>
  <c r="F35" i="66"/>
  <c r="F34" i="66"/>
  <c r="F33" i="66"/>
  <c r="F32" i="66"/>
  <c r="F31" i="66"/>
  <c r="F30" i="66"/>
  <c r="F29" i="66"/>
  <c r="F28" i="66"/>
  <c r="F27" i="66"/>
  <c r="F26" i="66"/>
  <c r="F23" i="66"/>
  <c r="F22" i="66"/>
  <c r="F21" i="66"/>
  <c r="F20" i="66"/>
  <c r="F19" i="66"/>
  <c r="F18" i="66"/>
  <c r="F17" i="66"/>
  <c r="F16" i="66"/>
  <c r="F15" i="66"/>
  <c r="F14" i="66"/>
  <c r="F13" i="66"/>
  <c r="J29" i="73" l="1"/>
  <c r="H29" i="73"/>
  <c r="K29" i="73"/>
  <c r="I29" i="73"/>
  <c r="E29" i="73"/>
  <c r="D29" i="73"/>
  <c r="L29" i="73"/>
  <c r="G29" i="73"/>
  <c r="C29" i="73"/>
  <c r="F29" i="73"/>
  <c r="M29" i="73"/>
  <c r="M103" i="62"/>
  <c r="O44" i="63"/>
  <c r="P42" i="63" l="1"/>
  <c r="D22" i="66"/>
  <c r="O88"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O91" i="62"/>
  <c r="O94" i="62"/>
  <c r="H35" i="66" s="1"/>
  <c r="O97" i="62"/>
  <c r="H36" i="66" s="1"/>
  <c r="O100" i="62"/>
  <c r="H37" i="66" s="1"/>
  <c r="N103" i="62"/>
  <c r="E38" i="66" s="1"/>
  <c r="O103" i="62"/>
  <c r="H38" i="66" s="1"/>
  <c r="O106" i="62"/>
  <c r="O109" i="62"/>
  <c r="H40" i="66" s="1"/>
  <c r="O112" i="62"/>
  <c r="H41" i="66" s="1"/>
  <c r="O115" i="62"/>
  <c r="H42" i="66" s="1"/>
  <c r="L55" i="62"/>
  <c r="C41" i="66"/>
  <c r="C40" i="66"/>
  <c r="C39" i="66"/>
  <c r="C38" i="66"/>
  <c r="C37" i="66"/>
  <c r="C36" i="66"/>
  <c r="C35" i="66"/>
  <c r="C30" i="66"/>
  <c r="C29" i="66"/>
  <c r="C24" i="66"/>
  <c r="C23" i="66"/>
  <c r="C22" i="66"/>
  <c r="C13" i="66"/>
  <c r="C14" i="66"/>
  <c r="C20" i="66"/>
  <c r="C21" i="66"/>
  <c r="C25" i="66"/>
  <c r="C33" i="66"/>
  <c r="C34" i="66"/>
  <c r="B42" i="66"/>
  <c r="B41" i="66"/>
  <c r="B40" i="66"/>
  <c r="B39" i="66"/>
  <c r="B38" i="66"/>
  <c r="B37" i="66"/>
  <c r="B31" i="66"/>
  <c r="B30" i="66"/>
  <c r="B29" i="66"/>
  <c r="B28" i="66"/>
  <c r="B27" i="66"/>
  <c r="B14" i="66"/>
  <c r="B15" i="66"/>
  <c r="B16" i="66"/>
  <c r="B17" i="66"/>
  <c r="B18" i="66"/>
  <c r="B19" i="66"/>
  <c r="B20" i="66"/>
  <c r="B21" i="66"/>
  <c r="B22" i="66"/>
  <c r="B23" i="66"/>
  <c r="B32" i="66"/>
  <c r="B33" i="66"/>
  <c r="B34" i="66"/>
  <c r="M55" i="62" l="1"/>
  <c r="N55" i="62" s="1"/>
  <c r="E22" i="66" s="1"/>
  <c r="A12" i="73"/>
  <c r="H39" i="66"/>
  <c r="K12" i="73" l="1"/>
  <c r="H12" i="73"/>
  <c r="J12" i="73"/>
  <c r="M12" i="73"/>
  <c r="I12" i="73"/>
  <c r="L12" i="73"/>
  <c r="G12" i="73"/>
  <c r="C12" i="73"/>
  <c r="D12" i="73"/>
  <c r="E12" i="73"/>
  <c r="F12" i="73"/>
  <c r="L103" i="62"/>
  <c r="A2" i="48"/>
  <c r="A2" i="47"/>
  <c r="A2" i="76"/>
  <c r="A2" i="63"/>
  <c r="D181" i="77" l="1"/>
  <c r="C181" i="77"/>
  <c r="D178" i="77"/>
  <c r="C178" i="77"/>
  <c r="D175" i="77"/>
  <c r="C175" i="77"/>
  <c r="D172" i="77"/>
  <c r="C172" i="77"/>
  <c r="D169" i="77"/>
  <c r="C169" i="77"/>
  <c r="D166" i="77"/>
  <c r="C166" i="77"/>
  <c r="D163" i="77"/>
  <c r="C163" i="77"/>
  <c r="D160" i="77"/>
  <c r="C160" i="77"/>
  <c r="D157" i="77"/>
  <c r="C157" i="77"/>
  <c r="D154" i="77"/>
  <c r="C154" i="77"/>
  <c r="D151" i="77"/>
  <c r="C151" i="77"/>
  <c r="D148" i="77"/>
  <c r="C148" i="77"/>
  <c r="D145" i="77"/>
  <c r="C145" i="77"/>
  <c r="D142" i="77"/>
  <c r="C142" i="77"/>
  <c r="D139" i="77"/>
  <c r="C139" i="77"/>
  <c r="D136" i="77"/>
  <c r="C136" i="77"/>
  <c r="D133" i="77"/>
  <c r="C133" i="77"/>
  <c r="D130" i="77"/>
  <c r="C130" i="77"/>
  <c r="D127" i="77"/>
  <c r="C127" i="77"/>
  <c r="D124" i="77"/>
  <c r="C124" i="77"/>
  <c r="D121" i="77"/>
  <c r="C121" i="77"/>
  <c r="D118" i="77"/>
  <c r="C118" i="77"/>
  <c r="D115" i="77"/>
  <c r="C115" i="77"/>
  <c r="D112" i="77"/>
  <c r="C112" i="77"/>
  <c r="D109" i="77"/>
  <c r="C109" i="77"/>
  <c r="D106" i="77"/>
  <c r="C106" i="77"/>
  <c r="D103" i="77"/>
  <c r="C103" i="77"/>
  <c r="D100" i="77"/>
  <c r="C100" i="77"/>
  <c r="D97" i="77"/>
  <c r="C97" i="77"/>
  <c r="D94" i="77"/>
  <c r="C94" i="77"/>
  <c r="D91" i="77"/>
  <c r="C91" i="77"/>
  <c r="D88" i="77"/>
  <c r="C88" i="77"/>
  <c r="D85" i="77"/>
  <c r="C85" i="77"/>
  <c r="D82" i="77"/>
  <c r="C82" i="77"/>
  <c r="D79" i="77"/>
  <c r="C79" i="77"/>
  <c r="D76" i="77"/>
  <c r="C76" i="77"/>
  <c r="D73" i="77"/>
  <c r="C73" i="77"/>
  <c r="D70" i="77"/>
  <c r="C70" i="77"/>
  <c r="D67" i="77"/>
  <c r="C67" i="77"/>
  <c r="D64" i="77"/>
  <c r="C64" i="77"/>
  <c r="D61" i="77"/>
  <c r="C61" i="77"/>
  <c r="D58" i="77"/>
  <c r="C58" i="77"/>
  <c r="D55" i="77"/>
  <c r="C55" i="77"/>
  <c r="D52" i="77"/>
  <c r="C52" i="77"/>
  <c r="D49" i="77"/>
  <c r="C49" i="77"/>
  <c r="D46" i="77"/>
  <c r="C46" i="77"/>
  <c r="D43" i="77"/>
  <c r="C43" i="77"/>
  <c r="D40" i="77"/>
  <c r="C40" i="77"/>
  <c r="D37" i="77"/>
  <c r="C37" i="77"/>
  <c r="D34" i="77"/>
  <c r="C34" i="77"/>
  <c r="D31" i="77"/>
  <c r="C31" i="77"/>
  <c r="D28" i="77"/>
  <c r="C28" i="77"/>
  <c r="D25" i="77"/>
  <c r="C25" i="77"/>
  <c r="D22" i="77"/>
  <c r="C22" i="77"/>
  <c r="C19" i="77"/>
  <c r="D19" i="77"/>
  <c r="D13" i="77" l="1"/>
  <c r="C13" i="77"/>
  <c r="D16" i="77"/>
  <c r="C16" i="77"/>
  <c r="D7" i="77" l="1"/>
  <c r="D10" i="77"/>
  <c r="C10" i="77"/>
  <c r="C7" i="77"/>
  <c r="C4" i="77"/>
  <c r="D4" i="77" l="1"/>
  <c r="C3" i="77"/>
  <c r="C72" i="77" l="1"/>
  <c r="D72" i="77"/>
  <c r="C74" i="77"/>
  <c r="D74" i="77"/>
  <c r="C75" i="77"/>
  <c r="D75" i="77"/>
  <c r="C77" i="77"/>
  <c r="D77" i="77"/>
  <c r="C78" i="77"/>
  <c r="D78" i="77"/>
  <c r="C80" i="77"/>
  <c r="D80" i="77"/>
  <c r="C81" i="77"/>
  <c r="D81" i="77"/>
  <c r="C83" i="77"/>
  <c r="D83" i="77"/>
  <c r="C84" i="77"/>
  <c r="D84" i="77"/>
  <c r="C86" i="77"/>
  <c r="D86" i="77"/>
  <c r="C87" i="77"/>
  <c r="D87" i="77"/>
  <c r="C89" i="77"/>
  <c r="D89" i="77"/>
  <c r="C90" i="77"/>
  <c r="D90" i="77"/>
  <c r="C92" i="77"/>
  <c r="D92" i="77"/>
  <c r="C93" i="77"/>
  <c r="D93" i="77"/>
  <c r="C95" i="77"/>
  <c r="D95" i="77"/>
  <c r="C96" i="77"/>
  <c r="D96" i="77"/>
  <c r="C98" i="77"/>
  <c r="D98" i="77"/>
  <c r="C99" i="77"/>
  <c r="D99" i="77"/>
  <c r="C101" i="77"/>
  <c r="D101" i="77"/>
  <c r="C102" i="77"/>
  <c r="D102" i="77"/>
  <c r="C104" i="77"/>
  <c r="D104" i="77"/>
  <c r="C105" i="77"/>
  <c r="D105" i="77"/>
  <c r="C107" i="77"/>
  <c r="D107" i="77"/>
  <c r="C108" i="77"/>
  <c r="D108" i="77"/>
  <c r="D180" i="77"/>
  <c r="C180" i="77"/>
  <c r="D177" i="77"/>
  <c r="C177" i="77"/>
  <c r="D174" i="77"/>
  <c r="C174" i="77"/>
  <c r="D171" i="77"/>
  <c r="D168" i="77"/>
  <c r="C171" i="77"/>
  <c r="C168" i="77"/>
  <c r="C165" i="77"/>
  <c r="D165" i="77"/>
  <c r="C162" i="77"/>
  <c r="D162" i="77"/>
  <c r="D159" i="77"/>
  <c r="D156" i="77"/>
  <c r="C159" i="77"/>
  <c r="C156" i="77"/>
  <c r="D153" i="77"/>
  <c r="C153" i="77"/>
  <c r="D150" i="77"/>
  <c r="C150" i="77"/>
  <c r="D147" i="77"/>
  <c r="C147" i="77"/>
  <c r="C146" i="77"/>
  <c r="D149" i="77"/>
  <c r="D152" i="77"/>
  <c r="D155" i="77"/>
  <c r="D158" i="77"/>
  <c r="D161" i="77"/>
  <c r="D164" i="77"/>
  <c r="D167" i="77"/>
  <c r="D170" i="77"/>
  <c r="D173" i="77"/>
  <c r="D176" i="77"/>
  <c r="D179" i="77"/>
  <c r="C179" i="77"/>
  <c r="C176" i="77"/>
  <c r="C173" i="77"/>
  <c r="C170" i="77"/>
  <c r="C167" i="77"/>
  <c r="C164" i="77"/>
  <c r="C161" i="77"/>
  <c r="C158" i="77"/>
  <c r="C155" i="77"/>
  <c r="C152" i="77"/>
  <c r="C149" i="77"/>
  <c r="D146" i="77"/>
  <c r="C144" i="77"/>
  <c r="D144" i="77"/>
  <c r="D141" i="77"/>
  <c r="C141" i="77"/>
  <c r="D138" i="77"/>
  <c r="C138" i="77"/>
  <c r="D135" i="77"/>
  <c r="C135" i="77"/>
  <c r="D132" i="77"/>
  <c r="C132" i="77"/>
  <c r="C129" i="77"/>
  <c r="D129" i="77"/>
  <c r="D126" i="77"/>
  <c r="C126" i="77"/>
  <c r="D123" i="77"/>
  <c r="C123" i="77"/>
  <c r="D120" i="77"/>
  <c r="C120" i="77"/>
  <c r="D117" i="77"/>
  <c r="D114" i="77"/>
  <c r="C117" i="77"/>
  <c r="C114" i="77"/>
  <c r="C111" i="77"/>
  <c r="D111" i="77"/>
  <c r="C110" i="77"/>
  <c r="D113" i="77"/>
  <c r="D116" i="77"/>
  <c r="D119" i="77"/>
  <c r="D122" i="77"/>
  <c r="D125" i="77"/>
  <c r="D128" i="77"/>
  <c r="D131" i="77"/>
  <c r="D134" i="77"/>
  <c r="D137" i="77"/>
  <c r="D140" i="77"/>
  <c r="D143" i="77"/>
  <c r="C143" i="77"/>
  <c r="C140" i="77"/>
  <c r="C137" i="77"/>
  <c r="C134" i="77"/>
  <c r="C131" i="77"/>
  <c r="C128" i="77"/>
  <c r="C125" i="77"/>
  <c r="C122" i="77"/>
  <c r="C119" i="77"/>
  <c r="C116" i="77"/>
  <c r="C113" i="77"/>
  <c r="D110" i="77"/>
  <c r="C71" i="77"/>
  <c r="D71" i="77"/>
  <c r="D69" i="77"/>
  <c r="C69" i="77"/>
  <c r="C68" i="77"/>
  <c r="D68" i="77"/>
  <c r="D66" i="77"/>
  <c r="C66" i="77"/>
  <c r="D65" i="77"/>
  <c r="C65" i="77"/>
  <c r="C62" i="77"/>
  <c r="D63" i="77"/>
  <c r="C63" i="77"/>
  <c r="D62" i="77"/>
  <c r="D60" i="77"/>
  <c r="C60" i="77"/>
  <c r="C59" i="77"/>
  <c r="D59" i="77"/>
  <c r="D57" i="77"/>
  <c r="C57" i="77"/>
  <c r="C56" i="77"/>
  <c r="D56" i="77"/>
  <c r="D54" i="77"/>
  <c r="C54" i="77"/>
  <c r="C53" i="77"/>
  <c r="D53" i="77"/>
  <c r="D51" i="77"/>
  <c r="C51" i="77"/>
  <c r="D50" i="77"/>
  <c r="C50" i="77"/>
  <c r="D48" i="77"/>
  <c r="C48" i="77"/>
  <c r="D47" i="77"/>
  <c r="C47" i="77"/>
  <c r="C44" i="77"/>
  <c r="D45" i="77"/>
  <c r="C45" i="77"/>
  <c r="D44" i="77"/>
  <c r="D42" i="77"/>
  <c r="C42" i="77"/>
  <c r="D41" i="77"/>
  <c r="C41" i="77"/>
  <c r="D39" i="77"/>
  <c r="C39" i="77"/>
  <c r="D38" i="77"/>
  <c r="C38" i="77"/>
  <c r="C35" i="77"/>
  <c r="D36" i="77"/>
  <c r="C36" i="77"/>
  <c r="D35" i="77"/>
  <c r="D33" i="77"/>
  <c r="C33" i="77"/>
  <c r="D32" i="77"/>
  <c r="C32" i="77"/>
  <c r="D30" i="77"/>
  <c r="C30" i="77"/>
  <c r="C29" i="77"/>
  <c r="D29" i="77"/>
  <c r="D27" i="77"/>
  <c r="C27" i="77"/>
  <c r="D26" i="77"/>
  <c r="C26" i="77"/>
  <c r="D24" i="77"/>
  <c r="C24" i="77"/>
  <c r="D23" i="77"/>
  <c r="C23" i="77"/>
  <c r="D21" i="77"/>
  <c r="C21" i="77"/>
  <c r="C20" i="77"/>
  <c r="D20" i="77"/>
  <c r="C17" i="77"/>
  <c r="D3" i="77"/>
  <c r="D2" i="77"/>
  <c r="C2" i="77"/>
  <c r="C5" i="77"/>
  <c r="D18" i="77"/>
  <c r="C18" i="77"/>
  <c r="D17" i="77"/>
  <c r="D15" i="77"/>
  <c r="C15" i="77"/>
  <c r="D14" i="77"/>
  <c r="C14" i="77"/>
  <c r="D12" i="77"/>
  <c r="C12" i="77"/>
  <c r="D11" i="77"/>
  <c r="C11" i="77"/>
  <c r="D9" i="77"/>
  <c r="C9" i="77"/>
  <c r="D8" i="77"/>
  <c r="C8" i="77"/>
  <c r="D6" i="77"/>
  <c r="C6" i="77"/>
  <c r="D5" i="77"/>
  <c r="B13" i="66"/>
  <c r="A104" i="53" l="1"/>
  <c r="C104" i="53" l="1"/>
  <c r="D104" i="53"/>
  <c r="B104" i="53"/>
  <c r="F104" i="53"/>
  <c r="D6" i="59" l="1"/>
  <c r="C6" i="59"/>
  <c r="B3" i="66" l="1"/>
  <c r="F8" i="50" l="1"/>
  <c r="T8" i="48"/>
  <c r="F8" i="49"/>
  <c r="T8" i="47"/>
  <c r="J8" i="75"/>
  <c r="K8" i="63"/>
  <c r="O41" i="63" l="1"/>
  <c r="P39" i="63" s="1"/>
  <c r="M52" i="62" l="1"/>
  <c r="A11" i="73"/>
  <c r="L52" i="62"/>
  <c r="B2" i="59"/>
  <c r="I11" i="73" l="1"/>
  <c r="M11" i="73"/>
  <c r="H11" i="73"/>
  <c r="K11" i="73"/>
  <c r="G11" i="73"/>
  <c r="F11" i="73"/>
  <c r="C11" i="73"/>
  <c r="L11" i="73"/>
  <c r="E11" i="73"/>
  <c r="J11" i="73"/>
  <c r="D11" i="73"/>
  <c r="C42" i="66"/>
  <c r="B25" i="66" l="1"/>
  <c r="O54" i="63"/>
  <c r="B26" i="66" l="1"/>
  <c r="L67" i="62"/>
  <c r="D3" i="57"/>
  <c r="D4" i="57"/>
  <c r="D2" i="57"/>
  <c r="O104" i="63" l="1"/>
  <c r="P102" i="63" l="1"/>
  <c r="D42" i="66"/>
  <c r="C27" i="66"/>
  <c r="L115" i="62"/>
  <c r="Q78" i="47"/>
  <c r="M115" i="62" l="1"/>
  <c r="N115" i="62" s="1"/>
  <c r="E42" i="66" s="1"/>
  <c r="A33" i="73"/>
  <c r="J33" i="73" l="1"/>
  <c r="K33" i="73"/>
  <c r="G33" i="73"/>
  <c r="E33" i="73"/>
  <c r="L33" i="73"/>
  <c r="H33" i="73"/>
  <c r="I33" i="73"/>
  <c r="D33" i="73"/>
  <c r="C33" i="73"/>
  <c r="F33" i="73"/>
  <c r="B82" i="47"/>
  <c r="A83" i="47"/>
  <c r="C83" i="47"/>
  <c r="D83" i="47"/>
  <c r="E83" i="47"/>
  <c r="F83" i="47"/>
  <c r="G83" i="47"/>
  <c r="H83" i="47"/>
  <c r="I83" i="47"/>
  <c r="J83" i="47"/>
  <c r="K83" i="47"/>
  <c r="L83" i="47"/>
  <c r="M83" i="47"/>
  <c r="N83" i="47"/>
  <c r="A84" i="47"/>
  <c r="C84" i="47"/>
  <c r="D84" i="47"/>
  <c r="E84" i="47"/>
  <c r="F84" i="47"/>
  <c r="G84" i="47"/>
  <c r="H84" i="47"/>
  <c r="I84" i="47"/>
  <c r="J84" i="47"/>
  <c r="K84" i="47"/>
  <c r="L84" i="47"/>
  <c r="M84" i="47"/>
  <c r="N84" i="47"/>
  <c r="A85" i="47"/>
  <c r="C85" i="47"/>
  <c r="D85" i="47"/>
  <c r="E85" i="47"/>
  <c r="F85" i="47"/>
  <c r="G85" i="47"/>
  <c r="H85" i="47"/>
  <c r="I85" i="47"/>
  <c r="J85" i="47"/>
  <c r="K85" i="47"/>
  <c r="L85" i="47"/>
  <c r="M85" i="47"/>
  <c r="N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A96" i="47"/>
  <c r="C96" i="47"/>
  <c r="D96" i="47"/>
  <c r="E96" i="47"/>
  <c r="F96" i="47"/>
  <c r="G96" i="47"/>
  <c r="H96" i="47"/>
  <c r="I96" i="47"/>
  <c r="J96" i="47"/>
  <c r="K96" i="47"/>
  <c r="L96" i="47"/>
  <c r="M96" i="47"/>
  <c r="N96" i="47"/>
  <c r="A97" i="47"/>
  <c r="C97" i="47"/>
  <c r="D97" i="47"/>
  <c r="E97" i="47"/>
  <c r="F97" i="47"/>
  <c r="G97" i="47"/>
  <c r="H97" i="47"/>
  <c r="I97" i="47"/>
  <c r="J97" i="47"/>
  <c r="K97" i="47"/>
  <c r="L97" i="47"/>
  <c r="N97" i="47"/>
  <c r="N98" i="47"/>
  <c r="N99" i="47"/>
  <c r="A100" i="47"/>
  <c r="C100" i="47"/>
  <c r="D100" i="47"/>
  <c r="E100" i="47"/>
  <c r="F100" i="47"/>
  <c r="G100" i="47"/>
  <c r="H100" i="47"/>
  <c r="I100" i="47"/>
  <c r="J100" i="47"/>
  <c r="K100" i="47"/>
  <c r="L100" i="47"/>
  <c r="N100" i="47"/>
  <c r="A101" i="47"/>
  <c r="C101" i="47"/>
  <c r="D101" i="47"/>
  <c r="E101" i="47"/>
  <c r="F101" i="47"/>
  <c r="G101" i="47"/>
  <c r="H101" i="47"/>
  <c r="I101" i="47"/>
  <c r="J101" i="47"/>
  <c r="K101" i="47"/>
  <c r="L101" i="47"/>
  <c r="N101" i="47"/>
  <c r="A102" i="47"/>
  <c r="C102" i="47"/>
  <c r="D102" i="47"/>
  <c r="E102" i="47"/>
  <c r="F102" i="47"/>
  <c r="G102" i="47"/>
  <c r="H102" i="47"/>
  <c r="I102" i="47"/>
  <c r="J102" i="47"/>
  <c r="K102" i="47"/>
  <c r="L102"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N107" i="47"/>
  <c r="Q71" i="47" l="1"/>
  <c r="O80" i="63" l="1"/>
  <c r="P78" i="63" s="1"/>
  <c r="A25" i="73" s="1"/>
  <c r="O50" i="63"/>
  <c r="P48" i="63" s="1"/>
  <c r="A1" i="58"/>
  <c r="B1" i="58"/>
  <c r="C1" i="58"/>
  <c r="D1" i="58"/>
  <c r="E1" i="58"/>
  <c r="F1" i="58"/>
  <c r="G1" i="58"/>
  <c r="H1" i="58"/>
  <c r="I1" i="58"/>
  <c r="J1" i="58"/>
  <c r="K1" i="58"/>
  <c r="L1" i="58"/>
  <c r="M1" i="58"/>
  <c r="N1" i="58"/>
  <c r="O1" i="58"/>
  <c r="P1" i="58"/>
  <c r="Q1" i="58"/>
  <c r="R1" i="58"/>
  <c r="S1" i="58"/>
  <c r="T1" i="58"/>
  <c r="U1" i="58"/>
  <c r="V1" i="58"/>
  <c r="W1" i="58"/>
  <c r="D2" i="58"/>
  <c r="E2" i="58"/>
  <c r="F2" i="58"/>
  <c r="G2" i="58"/>
  <c r="I2" i="58"/>
  <c r="J2" i="58"/>
  <c r="K2" i="58"/>
  <c r="O2" i="58"/>
  <c r="P2" i="58"/>
  <c r="Q2" i="58"/>
  <c r="R2" i="58"/>
  <c r="S2" i="58"/>
  <c r="T2" i="58"/>
  <c r="U2" i="58"/>
  <c r="V2" i="58"/>
  <c r="W2" i="58"/>
  <c r="D3" i="58"/>
  <c r="E3" i="58"/>
  <c r="F3" i="58"/>
  <c r="G3" i="58"/>
  <c r="I3" i="58"/>
  <c r="J3" i="58"/>
  <c r="K3" i="58"/>
  <c r="O3" i="58"/>
  <c r="P3" i="58"/>
  <c r="Q3" i="58"/>
  <c r="R3" i="58"/>
  <c r="S3" i="58"/>
  <c r="T3" i="58"/>
  <c r="U3" i="58"/>
  <c r="V3" i="58"/>
  <c r="W3" i="58"/>
  <c r="D4" i="58"/>
  <c r="E4" i="58"/>
  <c r="F4" i="58"/>
  <c r="G4" i="58"/>
  <c r="I4" i="58"/>
  <c r="J4" i="58"/>
  <c r="K4" i="58"/>
  <c r="O4" i="58"/>
  <c r="P4" i="58"/>
  <c r="Q4" i="58"/>
  <c r="R4" i="58"/>
  <c r="S4" i="58"/>
  <c r="T4" i="58"/>
  <c r="U4" i="58"/>
  <c r="V4" i="58"/>
  <c r="W4"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D8" i="58"/>
  <c r="E8" i="58"/>
  <c r="F8" i="58"/>
  <c r="G8" i="58"/>
  <c r="H8" i="58"/>
  <c r="I8" i="58"/>
  <c r="J8" i="58"/>
  <c r="K8" i="58"/>
  <c r="L8" i="58"/>
  <c r="M8" i="58"/>
  <c r="N8" i="58"/>
  <c r="O8" i="58"/>
  <c r="P8" i="58"/>
  <c r="Q8" i="58"/>
  <c r="R8" i="58"/>
  <c r="S8" i="58"/>
  <c r="T8" i="58"/>
  <c r="U8" i="58"/>
  <c r="V8" i="58"/>
  <c r="W8" i="58"/>
  <c r="A1" i="60"/>
  <c r="B1" i="60"/>
  <c r="C1" i="60"/>
  <c r="D1" i="60"/>
  <c r="E1" i="60"/>
  <c r="F1" i="60"/>
  <c r="G1" i="60"/>
  <c r="H1" i="60"/>
  <c r="I1" i="60"/>
  <c r="J1" i="60"/>
  <c r="K1" i="60"/>
  <c r="L1" i="60"/>
  <c r="M1" i="60"/>
  <c r="N1" i="60"/>
  <c r="O1" i="60"/>
  <c r="P1" i="60"/>
  <c r="Q1" i="60"/>
  <c r="R1" i="60"/>
  <c r="S1" i="60"/>
  <c r="T1" i="60"/>
  <c r="U1" i="60"/>
  <c r="V1" i="60"/>
  <c r="W1" i="60"/>
  <c r="D2" i="60"/>
  <c r="E2" i="60"/>
  <c r="F2" i="60"/>
  <c r="G2" i="60"/>
  <c r="I2" i="60"/>
  <c r="J2" i="60"/>
  <c r="K2" i="60"/>
  <c r="O2" i="60"/>
  <c r="P2" i="60"/>
  <c r="Q2" i="60"/>
  <c r="R2" i="60"/>
  <c r="S2" i="60"/>
  <c r="T2" i="60"/>
  <c r="U2" i="60"/>
  <c r="V2" i="60"/>
  <c r="W2" i="60"/>
  <c r="D3" i="60"/>
  <c r="E3" i="60"/>
  <c r="F3" i="60"/>
  <c r="G3" i="60"/>
  <c r="I3" i="60"/>
  <c r="J3" i="60"/>
  <c r="K3" i="60"/>
  <c r="O3" i="60"/>
  <c r="P3" i="60"/>
  <c r="Q3" i="60"/>
  <c r="R3" i="60"/>
  <c r="S3" i="60"/>
  <c r="T3" i="60"/>
  <c r="U3" i="60"/>
  <c r="V3" i="60"/>
  <c r="W3" i="60"/>
  <c r="D4" i="60"/>
  <c r="E4" i="60"/>
  <c r="F4" i="60"/>
  <c r="G4" i="60"/>
  <c r="I4" i="60"/>
  <c r="J4" i="60"/>
  <c r="K4" i="60"/>
  <c r="O4" i="60"/>
  <c r="P4" i="60"/>
  <c r="Q4" i="60"/>
  <c r="R4" i="60"/>
  <c r="S4" i="60"/>
  <c r="T4" i="60"/>
  <c r="U4" i="60"/>
  <c r="V4" i="60"/>
  <c r="W4"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D8" i="60"/>
  <c r="E8" i="60"/>
  <c r="F8" i="60"/>
  <c r="G8" i="60"/>
  <c r="H8" i="60"/>
  <c r="I8" i="60"/>
  <c r="J8" i="60"/>
  <c r="K8" i="60"/>
  <c r="L8" i="60"/>
  <c r="M8" i="60"/>
  <c r="N8" i="60"/>
  <c r="O8" i="60"/>
  <c r="P8" i="60"/>
  <c r="Q8" i="60"/>
  <c r="R8" i="60"/>
  <c r="S8" i="60"/>
  <c r="T8" i="60"/>
  <c r="U8" i="60"/>
  <c r="V8" i="60"/>
  <c r="W8" i="60"/>
  <c r="B3" i="57"/>
  <c r="C3" i="57"/>
  <c r="E3" i="57"/>
  <c r="F3" i="57"/>
  <c r="G3" i="57"/>
  <c r="B4" i="57"/>
  <c r="C4" i="57"/>
  <c r="E4" i="57"/>
  <c r="F4" i="57"/>
  <c r="G4" i="57"/>
  <c r="F13" i="68"/>
  <c r="G13" i="68"/>
  <c r="I13" i="68"/>
  <c r="J13" i="68"/>
  <c r="F19" i="68"/>
  <c r="G19" i="68"/>
  <c r="I19" i="68"/>
  <c r="J19" i="68"/>
  <c r="F39" i="68"/>
  <c r="G39" i="68"/>
  <c r="I39" i="68"/>
  <c r="J39" i="68"/>
  <c r="F45" i="68"/>
  <c r="G45" i="68"/>
  <c r="I45" i="68"/>
  <c r="J45" i="68"/>
  <c r="F51" i="68"/>
  <c r="G51" i="68"/>
  <c r="I51" i="68"/>
  <c r="J51" i="68"/>
  <c r="F57" i="68"/>
  <c r="G57" i="68"/>
  <c r="I57" i="68"/>
  <c r="J57" i="68"/>
  <c r="F13" i="67"/>
  <c r="G13" i="67"/>
  <c r="I13" i="67"/>
  <c r="J13" i="67"/>
  <c r="F19" i="67"/>
  <c r="G19" i="67"/>
  <c r="I19" i="67"/>
  <c r="J19" i="67"/>
  <c r="F39" i="67"/>
  <c r="G39" i="67"/>
  <c r="I39" i="67"/>
  <c r="J39" i="67"/>
  <c r="F45" i="67"/>
  <c r="G45" i="67"/>
  <c r="I45" i="67"/>
  <c r="J45" i="67"/>
  <c r="F51" i="67"/>
  <c r="G51" i="67"/>
  <c r="I51" i="67"/>
  <c r="J51" i="67"/>
  <c r="F57" i="67"/>
  <c r="G57" i="67"/>
  <c r="I57" i="67"/>
  <c r="J57" i="67"/>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8" i="60" s="1"/>
  <c r="Q71" i="48"/>
  <c r="Q72" i="48"/>
  <c r="Q73" i="48"/>
  <c r="Q74" i="48"/>
  <c r="Q75" i="48"/>
  <c r="Q76" i="48"/>
  <c r="Q77" i="48"/>
  <c r="Q78" i="48"/>
  <c r="B82" i="48"/>
  <c r="A83" i="48"/>
  <c r="C83" i="48"/>
  <c r="D83" i="48"/>
  <c r="E83" i="48"/>
  <c r="F83" i="48"/>
  <c r="G83" i="48"/>
  <c r="H83" i="48"/>
  <c r="I83" i="48"/>
  <c r="J83" i="48"/>
  <c r="K83" i="48"/>
  <c r="L83" i="48"/>
  <c r="M83" i="48"/>
  <c r="N83" i="48"/>
  <c r="A84" i="48"/>
  <c r="C84" i="48"/>
  <c r="D84" i="48"/>
  <c r="E84" i="48"/>
  <c r="F84" i="48"/>
  <c r="G84" i="48"/>
  <c r="H84" i="48"/>
  <c r="I84" i="48"/>
  <c r="J84" i="48"/>
  <c r="K84" i="48"/>
  <c r="L84" i="48"/>
  <c r="M84" i="48"/>
  <c r="N84" i="48"/>
  <c r="A85" i="48"/>
  <c r="C85" i="48"/>
  <c r="D85" i="48"/>
  <c r="E85" i="48"/>
  <c r="F85" i="48"/>
  <c r="G85" i="48"/>
  <c r="H85" i="48"/>
  <c r="I85" i="48"/>
  <c r="J85" i="48"/>
  <c r="K85" i="48"/>
  <c r="L85" i="48"/>
  <c r="M85" i="48"/>
  <c r="N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A96" i="48"/>
  <c r="C96" i="48"/>
  <c r="D96" i="48"/>
  <c r="E96" i="48"/>
  <c r="F96" i="48"/>
  <c r="G96" i="48"/>
  <c r="H96" i="48"/>
  <c r="I96" i="48"/>
  <c r="J96" i="48"/>
  <c r="K96" i="48"/>
  <c r="L96" i="48"/>
  <c r="M96" i="48"/>
  <c r="N96" i="48"/>
  <c r="A97" i="48"/>
  <c r="C97" i="48"/>
  <c r="D97" i="48"/>
  <c r="E97" i="48"/>
  <c r="F97" i="48"/>
  <c r="G97" i="48"/>
  <c r="H97" i="48"/>
  <c r="I97" i="48"/>
  <c r="J97" i="48"/>
  <c r="K97" i="48"/>
  <c r="L97" i="48"/>
  <c r="N97" i="48"/>
  <c r="N98" i="48"/>
  <c r="N99" i="48"/>
  <c r="A100" i="48"/>
  <c r="C100" i="48"/>
  <c r="D100" i="48"/>
  <c r="E100" i="48"/>
  <c r="F100" i="48"/>
  <c r="G100" i="48"/>
  <c r="H100" i="48"/>
  <c r="I100" i="48"/>
  <c r="J100" i="48"/>
  <c r="K100" i="48"/>
  <c r="L100" i="48"/>
  <c r="N100" i="48"/>
  <c r="A101" i="48"/>
  <c r="C101" i="48"/>
  <c r="D101" i="48"/>
  <c r="E101" i="48"/>
  <c r="F101" i="48"/>
  <c r="G101" i="48"/>
  <c r="H101" i="48"/>
  <c r="I101" i="48"/>
  <c r="J101" i="48"/>
  <c r="K101" i="48"/>
  <c r="L101" i="48"/>
  <c r="N101" i="48"/>
  <c r="A102" i="48"/>
  <c r="C102" i="48"/>
  <c r="D102" i="48"/>
  <c r="E102" i="48"/>
  <c r="F102" i="48"/>
  <c r="G102" i="48"/>
  <c r="H102" i="48"/>
  <c r="I102" i="48"/>
  <c r="J102" i="48"/>
  <c r="K102" i="48"/>
  <c r="L102"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N107" i="48"/>
  <c r="N108" i="48"/>
  <c r="A109" i="48"/>
  <c r="C109" i="48"/>
  <c r="D109" i="48"/>
  <c r="E109" i="48"/>
  <c r="F109" i="48"/>
  <c r="G109" i="48"/>
  <c r="H109" i="48"/>
  <c r="I109" i="48"/>
  <c r="J109" i="48"/>
  <c r="K109" i="48"/>
  <c r="L109" i="48"/>
  <c r="N109" i="48"/>
  <c r="A110" i="48"/>
  <c r="C110" i="48"/>
  <c r="D110" i="48"/>
  <c r="E110" i="48"/>
  <c r="F110" i="48"/>
  <c r="G110" i="48"/>
  <c r="H110" i="48"/>
  <c r="I110" i="48"/>
  <c r="J110" i="48"/>
  <c r="K110" i="48"/>
  <c r="L110" i="48"/>
  <c r="N110" i="48"/>
  <c r="A111" i="48"/>
  <c r="C111" i="48"/>
  <c r="D111" i="48"/>
  <c r="E111" i="48"/>
  <c r="F111" i="48"/>
  <c r="G111" i="48"/>
  <c r="H111" i="48"/>
  <c r="I111" i="48"/>
  <c r="J111" i="48"/>
  <c r="K111" i="48"/>
  <c r="L111"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C8" i="49"/>
  <c r="F8" i="47"/>
  <c r="C23" i="47"/>
  <c r="C2" i="58" s="1"/>
  <c r="I23" i="47"/>
  <c r="M23" i="47" s="1"/>
  <c r="L2" i="58" s="1"/>
  <c r="O23" i="47"/>
  <c r="M2" i="58" s="1"/>
  <c r="C24" i="47"/>
  <c r="C3" i="58" s="1"/>
  <c r="I24" i="47"/>
  <c r="O24" i="47"/>
  <c r="C25" i="47"/>
  <c r="C4" i="58" s="1"/>
  <c r="I25" i="47"/>
  <c r="O25" i="47"/>
  <c r="P25" i="47" s="1"/>
  <c r="N4" i="58" s="1"/>
  <c r="C26" i="47"/>
  <c r="C5" i="58" s="1"/>
  <c r="I26" i="47"/>
  <c r="M26" i="47" s="1"/>
  <c r="L5" i="58" s="1"/>
  <c r="O26" i="47"/>
  <c r="P26" i="47" s="1"/>
  <c r="N5" i="58" s="1"/>
  <c r="C27" i="47"/>
  <c r="C6" i="58" s="1"/>
  <c r="L6" i="58"/>
  <c r="P27" i="47"/>
  <c r="N6" i="58" s="1"/>
  <c r="C28" i="47"/>
  <c r="C8" i="58" s="1"/>
  <c r="Q72" i="47"/>
  <c r="Q73" i="47"/>
  <c r="Q74" i="47"/>
  <c r="Q75" i="47"/>
  <c r="Q76" i="47"/>
  <c r="Q77" i="47"/>
  <c r="N108" i="47"/>
  <c r="A109" i="47"/>
  <c r="C109" i="47"/>
  <c r="D109" i="47"/>
  <c r="E109" i="47"/>
  <c r="F109" i="47"/>
  <c r="G109" i="47"/>
  <c r="H109" i="47"/>
  <c r="I109" i="47"/>
  <c r="J109" i="47"/>
  <c r="K109" i="47"/>
  <c r="L109" i="47"/>
  <c r="N109" i="47"/>
  <c r="A110" i="47"/>
  <c r="C110" i="47"/>
  <c r="D110" i="47"/>
  <c r="E110" i="47"/>
  <c r="F110" i="47"/>
  <c r="G110" i="47"/>
  <c r="H110" i="47"/>
  <c r="I110" i="47"/>
  <c r="J110" i="47"/>
  <c r="K110" i="47"/>
  <c r="L110" i="47"/>
  <c r="N110" i="47"/>
  <c r="A111" i="47"/>
  <c r="C111" i="47"/>
  <c r="D111" i="47"/>
  <c r="E111" i="47"/>
  <c r="F111" i="47"/>
  <c r="G111" i="47"/>
  <c r="H111" i="47"/>
  <c r="I111" i="47"/>
  <c r="J111" i="47"/>
  <c r="K111" i="47"/>
  <c r="L111"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B2" i="66"/>
  <c r="C8" i="75"/>
  <c r="O28" i="62"/>
  <c r="H13" i="66" s="1"/>
  <c r="H14" i="66"/>
  <c r="H15" i="66"/>
  <c r="H16" i="66"/>
  <c r="H17" i="66"/>
  <c r="H18" i="66"/>
  <c r="H19" i="66"/>
  <c r="H20" i="66"/>
  <c r="H21" i="66"/>
  <c r="H32" i="66"/>
  <c r="H33" i="66"/>
  <c r="H34" i="66"/>
  <c r="D8" i="63"/>
  <c r="O20" i="63"/>
  <c r="P18" i="63" s="1"/>
  <c r="A4" i="73" s="1"/>
  <c r="O38" i="63"/>
  <c r="P36" i="63" s="1"/>
  <c r="O47" i="63"/>
  <c r="P54" i="63"/>
  <c r="O61" i="63"/>
  <c r="O65" i="63"/>
  <c r="O68" i="63"/>
  <c r="O73" i="63"/>
  <c r="O77" i="63"/>
  <c r="O89" i="63"/>
  <c r="O95" i="63"/>
  <c r="P93" i="63" s="1"/>
  <c r="A30" i="73" s="1"/>
  <c r="O98" i="63"/>
  <c r="P96" i="63" s="1"/>
  <c r="A31" i="73" s="1"/>
  <c r="O101" i="63"/>
  <c r="B1" i="59"/>
  <c r="B6" i="59"/>
  <c r="B2" i="57"/>
  <c r="C2" i="57"/>
  <c r="E2" i="57"/>
  <c r="F2" i="57"/>
  <c r="G2" i="57"/>
  <c r="M6" i="58"/>
  <c r="M6" i="60"/>
  <c r="L31" i="73" l="1"/>
  <c r="F31" i="73"/>
  <c r="J31" i="73"/>
  <c r="H31" i="73"/>
  <c r="K31" i="73"/>
  <c r="C31" i="73"/>
  <c r="I31" i="73"/>
  <c r="D31" i="73"/>
  <c r="G31" i="73"/>
  <c r="M31" i="73"/>
  <c r="E31" i="73"/>
  <c r="K4" i="73"/>
  <c r="J4" i="73"/>
  <c r="M4" i="73"/>
  <c r="I4" i="73"/>
  <c r="L4" i="73"/>
  <c r="H4" i="73"/>
  <c r="D4" i="73"/>
  <c r="E4" i="73"/>
  <c r="F4" i="73"/>
  <c r="C4" i="73"/>
  <c r="G4" i="73"/>
  <c r="M67" i="62"/>
  <c r="N67" i="62" s="1"/>
  <c r="E26" i="66" s="1"/>
  <c r="A17" i="73"/>
  <c r="D30" i="73"/>
  <c r="C30" i="73"/>
  <c r="I30" i="73"/>
  <c r="J30" i="73"/>
  <c r="K30" i="73"/>
  <c r="L30" i="73"/>
  <c r="H30" i="73"/>
  <c r="F30" i="73"/>
  <c r="G30" i="73"/>
  <c r="M30" i="73"/>
  <c r="E30" i="73"/>
  <c r="M61" i="62"/>
  <c r="N61" i="62" s="1"/>
  <c r="A15" i="73"/>
  <c r="M49" i="62"/>
  <c r="N49" i="62" s="1"/>
  <c r="A10" i="73"/>
  <c r="J25" i="73"/>
  <c r="G25" i="73"/>
  <c r="E25" i="73"/>
  <c r="I25" i="73"/>
  <c r="L25" i="73"/>
  <c r="H25" i="73"/>
  <c r="D25" i="73"/>
  <c r="F25" i="73"/>
  <c r="K25" i="73"/>
  <c r="M25" i="73"/>
  <c r="C25" i="73"/>
  <c r="P87" i="63"/>
  <c r="D37" i="66"/>
  <c r="M91" i="62"/>
  <c r="N91" i="62" s="1"/>
  <c r="E35" i="66"/>
  <c r="M109" i="62"/>
  <c r="N109" i="62" s="1"/>
  <c r="E40" i="66" s="1"/>
  <c r="H3" i="57"/>
  <c r="O34" i="63"/>
  <c r="M31" i="62"/>
  <c r="N31" i="62" s="1"/>
  <c r="L91" i="62"/>
  <c r="C32" i="66"/>
  <c r="C28" i="66"/>
  <c r="L112" i="62"/>
  <c r="D41" i="66"/>
  <c r="D40" i="66"/>
  <c r="L109" i="62"/>
  <c r="M106" i="62"/>
  <c r="N106" i="62" s="1"/>
  <c r="L106" i="62"/>
  <c r="D39" i="66"/>
  <c r="L100" i="62"/>
  <c r="P75" i="63"/>
  <c r="A24" i="73" s="1"/>
  <c r="L88" i="62"/>
  <c r="P66" i="63"/>
  <c r="A21" i="73" s="1"/>
  <c r="D30" i="66"/>
  <c r="L79" i="62"/>
  <c r="D29" i="66"/>
  <c r="L76" i="62"/>
  <c r="L61" i="62"/>
  <c r="D24" i="66"/>
  <c r="P45" i="63"/>
  <c r="L58" i="62"/>
  <c r="D23" i="66"/>
  <c r="L49" i="62"/>
  <c r="L31" i="62"/>
  <c r="P99" i="63"/>
  <c r="O62" i="63"/>
  <c r="M2" i="60"/>
  <c r="M25" i="48"/>
  <c r="L4" i="60" s="1"/>
  <c r="D34" i="66"/>
  <c r="D21" i="66"/>
  <c r="N52" i="62"/>
  <c r="M4" i="60"/>
  <c r="M4" i="58"/>
  <c r="P24" i="48"/>
  <c r="N3" i="60" s="1"/>
  <c r="H5" i="60"/>
  <c r="D13" i="66"/>
  <c r="P15" i="63"/>
  <c r="H2" i="60"/>
  <c r="H5" i="58"/>
  <c r="P23" i="47"/>
  <c r="N2" i="58" s="1"/>
  <c r="M5" i="58"/>
  <c r="P51" i="63"/>
  <c r="O74" i="63"/>
  <c r="L28" i="62"/>
  <c r="A14" i="73"/>
  <c r="P63" i="63"/>
  <c r="A20" i="73" s="1"/>
  <c r="H6" i="58"/>
  <c r="D20" i="66"/>
  <c r="D33" i="66"/>
  <c r="D14" i="66"/>
  <c r="O59" i="63"/>
  <c r="H4" i="57"/>
  <c r="O70" i="63"/>
  <c r="O106" i="63" s="1"/>
  <c r="A6" i="59"/>
  <c r="G14" i="54"/>
  <c r="L6" i="60"/>
  <c r="H6" i="60"/>
  <c r="P24" i="47"/>
  <c r="N3" i="58" s="1"/>
  <c r="M3" i="58"/>
  <c r="M25" i="47"/>
  <c r="L4" i="58" s="1"/>
  <c r="H4" i="58"/>
  <c r="H3" i="60"/>
  <c r="M24" i="48"/>
  <c r="L3" i="60" s="1"/>
  <c r="H3" i="58"/>
  <c r="M24" i="47"/>
  <c r="L3" i="58" s="1"/>
  <c r="H2" i="58"/>
  <c r="P26" i="48"/>
  <c r="N5" i="60" s="1"/>
  <c r="M5" i="60"/>
  <c r="M58" i="62" l="1"/>
  <c r="N58" i="62" s="1"/>
  <c r="E23" i="66" s="1"/>
  <c r="A13" i="73"/>
  <c r="K20" i="73"/>
  <c r="L20" i="73"/>
  <c r="M20" i="73"/>
  <c r="H20" i="73"/>
  <c r="F20" i="73"/>
  <c r="G20" i="73"/>
  <c r="I20" i="73"/>
  <c r="J20" i="73"/>
  <c r="D20" i="73"/>
  <c r="C20" i="73"/>
  <c r="E20" i="73"/>
  <c r="D14" i="73"/>
  <c r="E14" i="73"/>
  <c r="M14" i="73"/>
  <c r="G14" i="73"/>
  <c r="L14" i="73"/>
  <c r="F14" i="73"/>
  <c r="J14" i="73"/>
  <c r="H14" i="73"/>
  <c r="K14" i="73"/>
  <c r="C14" i="73"/>
  <c r="I14" i="73"/>
  <c r="J17" i="73"/>
  <c r="E17" i="73"/>
  <c r="D17" i="73"/>
  <c r="K17" i="73"/>
  <c r="L17" i="73"/>
  <c r="I17" i="73"/>
  <c r="H17" i="73"/>
  <c r="G17" i="73"/>
  <c r="F17" i="73"/>
  <c r="M17" i="73"/>
  <c r="C17" i="73"/>
  <c r="A3" i="73"/>
  <c r="K24" i="73"/>
  <c r="H24" i="73"/>
  <c r="L24" i="73"/>
  <c r="E24" i="73"/>
  <c r="F24" i="73"/>
  <c r="I24" i="73"/>
  <c r="G24" i="73"/>
  <c r="J24" i="73"/>
  <c r="D24" i="73"/>
  <c r="C24" i="73"/>
  <c r="M112" i="62"/>
  <c r="N112" i="62" s="1"/>
  <c r="E41" i="66" s="1"/>
  <c r="A32" i="73"/>
  <c r="M64" i="62"/>
  <c r="N64" i="62" s="1"/>
  <c r="E25" i="66" s="1"/>
  <c r="A16" i="73"/>
  <c r="M100" i="62"/>
  <c r="N100" i="62" s="1"/>
  <c r="E37" i="66" s="1"/>
  <c r="A28" i="73"/>
  <c r="K10" i="73"/>
  <c r="G10" i="73"/>
  <c r="H10" i="73"/>
  <c r="F10" i="73"/>
  <c r="M10" i="73"/>
  <c r="I10" i="73"/>
  <c r="C10" i="73"/>
  <c r="L10" i="73"/>
  <c r="J10" i="73"/>
  <c r="D10" i="73"/>
  <c r="E10" i="73"/>
  <c r="J21" i="73"/>
  <c r="G21" i="73"/>
  <c r="D21" i="73"/>
  <c r="L21" i="73"/>
  <c r="K21" i="73"/>
  <c r="H21" i="73"/>
  <c r="I21" i="73"/>
  <c r="E21" i="73"/>
  <c r="F21" i="73"/>
  <c r="C21" i="73"/>
  <c r="M21" i="73"/>
  <c r="H15" i="73"/>
  <c r="C15" i="73"/>
  <c r="J15" i="73"/>
  <c r="K15" i="73"/>
  <c r="G15" i="73"/>
  <c r="F15" i="73"/>
  <c r="M15" i="73"/>
  <c r="E15" i="73"/>
  <c r="L15" i="73"/>
  <c r="D15" i="73"/>
  <c r="I15" i="73"/>
  <c r="M88" i="62"/>
  <c r="N88" i="62" s="1"/>
  <c r="E33" i="66" s="1"/>
  <c r="M76" i="62"/>
  <c r="N76" i="62" s="1"/>
  <c r="E29" i="66" s="1"/>
  <c r="M79" i="62"/>
  <c r="N79" i="62" s="1"/>
  <c r="E30" i="66" s="1"/>
  <c r="C43" i="66"/>
  <c r="P105" i="63"/>
  <c r="E39" i="66"/>
  <c r="E24" i="66"/>
  <c r="C31" i="66"/>
  <c r="P72" i="63"/>
  <c r="A23" i="73" s="1"/>
  <c r="D32" i="66"/>
  <c r="L85" i="62"/>
  <c r="P60" i="63"/>
  <c r="L73" i="62"/>
  <c r="D28" i="66"/>
  <c r="O23" i="63"/>
  <c r="C15" i="66"/>
  <c r="P57" i="63"/>
  <c r="L70" i="62"/>
  <c r="D27" i="66"/>
  <c r="E3" i="53"/>
  <c r="F3" i="53" s="1"/>
  <c r="B3" i="59"/>
  <c r="E34" i="66"/>
  <c r="S40" i="63"/>
  <c r="S79" i="63"/>
  <c r="S16" i="63"/>
  <c r="O71" i="63"/>
  <c r="M28" i="62"/>
  <c r="N28" i="62" s="1"/>
  <c r="E14" i="66"/>
  <c r="E21" i="66"/>
  <c r="E20" i="66"/>
  <c r="H2" i="57"/>
  <c r="O25" i="63"/>
  <c r="O28" i="63"/>
  <c r="O31" i="63"/>
  <c r="C6" i="50"/>
  <c r="C6" i="49"/>
  <c r="D6" i="63"/>
  <c r="C6" i="75"/>
  <c r="F6" i="47"/>
  <c r="F6" i="48"/>
  <c r="M23" i="73" l="1"/>
  <c r="C23" i="73"/>
  <c r="E23" i="73"/>
  <c r="L23" i="73"/>
  <c r="D23" i="73"/>
  <c r="J23" i="73"/>
  <c r="H23" i="73"/>
  <c r="K23" i="73"/>
  <c r="I23" i="73"/>
  <c r="F23" i="73"/>
  <c r="G23" i="73"/>
  <c r="M118" i="62"/>
  <c r="N118" i="62" s="1"/>
  <c r="E43" i="66" s="1"/>
  <c r="A34" i="73"/>
  <c r="K32" i="73"/>
  <c r="C32" i="73"/>
  <c r="M32" i="73"/>
  <c r="L32" i="73"/>
  <c r="H32" i="73"/>
  <c r="G32" i="73"/>
  <c r="J32" i="73"/>
  <c r="E32" i="73"/>
  <c r="D32" i="73"/>
  <c r="F32" i="73"/>
  <c r="I32" i="73"/>
  <c r="M3" i="73"/>
  <c r="L3" i="73"/>
  <c r="F3" i="73"/>
  <c r="J3" i="73"/>
  <c r="E3" i="73"/>
  <c r="H3" i="73"/>
  <c r="D3" i="73"/>
  <c r="C3" i="73"/>
  <c r="K3" i="73"/>
  <c r="G3" i="73"/>
  <c r="I3" i="73"/>
  <c r="K28" i="73"/>
  <c r="L28" i="73"/>
  <c r="H28" i="73"/>
  <c r="F28" i="73"/>
  <c r="M28" i="73"/>
  <c r="J28" i="73"/>
  <c r="D28" i="73"/>
  <c r="E28" i="73"/>
  <c r="C28" i="73"/>
  <c r="I28" i="73"/>
  <c r="G28" i="73"/>
  <c r="M73" i="62"/>
  <c r="N73" i="62" s="1"/>
  <c r="E28" i="66" s="1"/>
  <c r="A19" i="73"/>
  <c r="K16" i="73"/>
  <c r="M16" i="73"/>
  <c r="L16" i="73"/>
  <c r="H16" i="73"/>
  <c r="C16" i="73"/>
  <c r="I16" i="73"/>
  <c r="G16" i="73"/>
  <c r="J16" i="73"/>
  <c r="D16" i="73"/>
  <c r="E16" i="73"/>
  <c r="F16" i="73"/>
  <c r="M13" i="73"/>
  <c r="G13" i="73"/>
  <c r="L13" i="73"/>
  <c r="H13" i="73"/>
  <c r="F13" i="73"/>
  <c r="J13" i="73"/>
  <c r="D13" i="73"/>
  <c r="K13" i="73"/>
  <c r="E13" i="73"/>
  <c r="C13" i="73"/>
  <c r="I13" i="73"/>
  <c r="M70" i="62"/>
  <c r="N70" i="62" s="1"/>
  <c r="E27" i="66" s="1"/>
  <c r="A18" i="73"/>
  <c r="E13" i="66"/>
  <c r="C16" i="66"/>
  <c r="C19" i="66"/>
  <c r="P21" i="63"/>
  <c r="M85" i="62"/>
  <c r="N85" i="62" s="1"/>
  <c r="D31" i="66"/>
  <c r="L82" i="62"/>
  <c r="O32" i="63"/>
  <c r="C18" i="66"/>
  <c r="O29" i="63"/>
  <c r="C17" i="66"/>
  <c r="D15" i="66"/>
  <c r="L34" i="62"/>
  <c r="P69" i="63"/>
  <c r="A22" i="73" s="1"/>
  <c r="O35" i="63"/>
  <c r="A24" i="48"/>
  <c r="A3" i="60" s="1"/>
  <c r="A7" i="68"/>
  <c r="A23" i="48"/>
  <c r="A2" i="60" s="1"/>
  <c r="A27" i="48"/>
  <c r="A25" i="47"/>
  <c r="A4" i="58" s="1"/>
  <c r="A26" i="47"/>
  <c r="M30" i="47" s="1"/>
  <c r="A23" i="47"/>
  <c r="A2" i="58" s="1"/>
  <c r="A26" i="48"/>
  <c r="M30" i="48" s="1"/>
  <c r="A27" i="47"/>
  <c r="A28" i="47"/>
  <c r="A8" i="58" s="1"/>
  <c r="A7" i="67"/>
  <c r="A2" i="67"/>
  <c r="A24" i="47"/>
  <c r="A3" i="58" s="1"/>
  <c r="A2" i="68"/>
  <c r="A6" i="67"/>
  <c r="A5" i="68"/>
  <c r="A3" i="67"/>
  <c r="A25" i="48"/>
  <c r="A4" i="60" s="1"/>
  <c r="A5" i="67"/>
  <c r="A3" i="68"/>
  <c r="A6" i="68"/>
  <c r="A4" i="68"/>
  <c r="A28" i="48"/>
  <c r="A8" i="60" s="1"/>
  <c r="A4" i="67"/>
  <c r="L22" i="73" l="1"/>
  <c r="J22" i="73"/>
  <c r="C22" i="73"/>
  <c r="F22" i="73"/>
  <c r="H22" i="73"/>
  <c r="D22" i="73"/>
  <c r="G22" i="73"/>
  <c r="E22" i="73"/>
  <c r="M22" i="73"/>
  <c r="I22" i="73"/>
  <c r="K22" i="73"/>
  <c r="H34" i="73"/>
  <c r="I34" i="73"/>
  <c r="K34" i="73"/>
  <c r="M34" i="73"/>
  <c r="F34" i="73"/>
  <c r="C34" i="73"/>
  <c r="G34" i="73"/>
  <c r="D34" i="73"/>
  <c r="M33" i="73"/>
  <c r="E34" i="73"/>
  <c r="L34" i="73"/>
  <c r="J34" i="73"/>
  <c r="A5" i="73"/>
  <c r="K18" i="73"/>
  <c r="D18" i="73"/>
  <c r="E18" i="73"/>
  <c r="G18" i="73"/>
  <c r="M18" i="73"/>
  <c r="L18" i="73"/>
  <c r="H18" i="73"/>
  <c r="I18" i="73"/>
  <c r="F18" i="73"/>
  <c r="J18" i="73"/>
  <c r="C18" i="73"/>
  <c r="J19" i="73"/>
  <c r="M19" i="73"/>
  <c r="I19" i="73"/>
  <c r="G19" i="73"/>
  <c r="E19" i="73"/>
  <c r="L19" i="73"/>
  <c r="D19" i="73"/>
  <c r="C19" i="73"/>
  <c r="H19" i="73"/>
  <c r="K19" i="73"/>
  <c r="F19" i="73"/>
  <c r="M82" i="62"/>
  <c r="N82" i="62" s="1"/>
  <c r="E31" i="66" s="1"/>
  <c r="M34" i="62"/>
  <c r="N34" i="62" s="1"/>
  <c r="E15" i="66" s="1"/>
  <c r="E32" i="66"/>
  <c r="L43" i="62"/>
  <c r="P30" i="63"/>
  <c r="P27" i="63"/>
  <c r="A7" i="73" s="1"/>
  <c r="L40" i="62"/>
  <c r="P33" i="63"/>
  <c r="L46" i="62"/>
  <c r="D17" i="66"/>
  <c r="A6" i="73"/>
  <c r="L37" i="62"/>
  <c r="D18" i="66"/>
  <c r="H40" i="68"/>
  <c r="E40" i="68" s="1"/>
  <c r="H34" i="68"/>
  <c r="E34" i="68" s="1"/>
  <c r="H41" i="68"/>
  <c r="E41" i="68" s="1"/>
  <c r="H35" i="68"/>
  <c r="E35" i="68" s="1"/>
  <c r="H34" i="67"/>
  <c r="E34" i="67" s="1"/>
  <c r="H40" i="67"/>
  <c r="E40" i="67" s="1"/>
  <c r="H37" i="67"/>
  <c r="E37" i="67" s="1"/>
  <c r="H43" i="67"/>
  <c r="E43" i="67" s="1"/>
  <c r="H42" i="68"/>
  <c r="E42" i="68" s="1"/>
  <c r="H36" i="68"/>
  <c r="E36" i="68" s="1"/>
  <c r="H6" i="68"/>
  <c r="E6" i="68" s="1"/>
  <c r="H44" i="68"/>
  <c r="E44" i="68" s="1"/>
  <c r="H38" i="68"/>
  <c r="E38" i="68" s="1"/>
  <c r="H35" i="67"/>
  <c r="E35" i="67" s="1"/>
  <c r="H41" i="67"/>
  <c r="E41" i="67" s="1"/>
  <c r="H36" i="67"/>
  <c r="E36" i="67" s="1"/>
  <c r="H42" i="67"/>
  <c r="E42" i="67" s="1"/>
  <c r="H43" i="68"/>
  <c r="E43" i="68" s="1"/>
  <c r="H37" i="68"/>
  <c r="E37" i="68" s="1"/>
  <c r="H6" i="67"/>
  <c r="E6" i="67" s="1"/>
  <c r="H38" i="67"/>
  <c r="E38" i="67" s="1"/>
  <c r="H44" i="67"/>
  <c r="E44" i="67" s="1"/>
  <c r="A5" i="60"/>
  <c r="A5" i="58"/>
  <c r="D19" i="66"/>
  <c r="D16" i="66"/>
  <c r="H30" i="67"/>
  <c r="E30" i="67" s="1"/>
  <c r="H5" i="67"/>
  <c r="E5" i="67" s="1"/>
  <c r="H55" i="67"/>
  <c r="E55" i="67" s="1"/>
  <c r="H23" i="67"/>
  <c r="E23" i="67" s="1"/>
  <c r="H49" i="67"/>
  <c r="E49" i="67" s="1"/>
  <c r="H11" i="67"/>
  <c r="E11" i="67" s="1"/>
  <c r="H17" i="67"/>
  <c r="E17" i="67" s="1"/>
  <c r="H25" i="67"/>
  <c r="E25" i="67" s="1"/>
  <c r="H32" i="67"/>
  <c r="E32" i="67" s="1"/>
  <c r="H7" i="67"/>
  <c r="E7" i="67" s="1"/>
  <c r="H21" i="67"/>
  <c r="E21" i="67" s="1"/>
  <c r="H47" i="67"/>
  <c r="E47" i="67" s="1"/>
  <c r="H28" i="67"/>
  <c r="E28" i="67" s="1"/>
  <c r="H3" i="67"/>
  <c r="E3" i="67" s="1"/>
  <c r="H9" i="67"/>
  <c r="E9" i="67" s="1"/>
  <c r="H53" i="67"/>
  <c r="E53" i="67" s="1"/>
  <c r="H15" i="67"/>
  <c r="E15" i="67" s="1"/>
  <c r="A6" i="58"/>
  <c r="H29" i="67"/>
  <c r="E29" i="67" s="1"/>
  <c r="H4" i="67"/>
  <c r="E4" i="67" s="1"/>
  <c r="H54" i="67"/>
  <c r="E54" i="67" s="1"/>
  <c r="H10" i="67"/>
  <c r="E10" i="67" s="1"/>
  <c r="H16" i="67"/>
  <c r="E16" i="67" s="1"/>
  <c r="H22" i="67"/>
  <c r="E22" i="67" s="1"/>
  <c r="H48" i="67"/>
  <c r="E48" i="67" s="1"/>
  <c r="H56" i="67"/>
  <c r="E56" i="67" s="1"/>
  <c r="H12" i="67"/>
  <c r="E12" i="67" s="1"/>
  <c r="H50" i="67"/>
  <c r="E50" i="67" s="1"/>
  <c r="H31" i="67"/>
  <c r="E31" i="67" s="1"/>
  <c r="H24" i="67"/>
  <c r="E24" i="67" s="1"/>
  <c r="H18" i="67"/>
  <c r="E18" i="67" s="1"/>
  <c r="H4" i="68"/>
  <c r="E4" i="68" s="1"/>
  <c r="H54" i="68"/>
  <c r="E54" i="68" s="1"/>
  <c r="H48" i="68"/>
  <c r="E48" i="68" s="1"/>
  <c r="H29" i="68"/>
  <c r="E29" i="68" s="1"/>
  <c r="H16" i="68"/>
  <c r="E16" i="68" s="1"/>
  <c r="H10" i="68"/>
  <c r="E10" i="68" s="1"/>
  <c r="H22" i="68"/>
  <c r="E22" i="68" s="1"/>
  <c r="H46" i="68"/>
  <c r="E46" i="68" s="1"/>
  <c r="H8" i="68"/>
  <c r="E8" i="68" s="1"/>
  <c r="H2" i="68"/>
  <c r="E2" i="68" s="1"/>
  <c r="H27" i="68"/>
  <c r="E27" i="68" s="1"/>
  <c r="H20" i="68"/>
  <c r="E20" i="68" s="1"/>
  <c r="H52" i="68"/>
  <c r="E52" i="68" s="1"/>
  <c r="H14" i="68"/>
  <c r="E14" i="68" s="1"/>
  <c r="H25" i="68"/>
  <c r="E25" i="68" s="1"/>
  <c r="H32" i="68"/>
  <c r="E32" i="68" s="1"/>
  <c r="H7" i="68"/>
  <c r="E7" i="68" s="1"/>
  <c r="H23" i="68"/>
  <c r="E23" i="68" s="1"/>
  <c r="H55" i="68"/>
  <c r="E55" i="68" s="1"/>
  <c r="H11" i="68"/>
  <c r="E11" i="68" s="1"/>
  <c r="H49" i="68"/>
  <c r="E49" i="68" s="1"/>
  <c r="H30" i="68"/>
  <c r="E30" i="68" s="1"/>
  <c r="H17" i="68"/>
  <c r="E17" i="68" s="1"/>
  <c r="H5" i="68"/>
  <c r="E5" i="68" s="1"/>
  <c r="H12" i="68"/>
  <c r="E12" i="68" s="1"/>
  <c r="H24" i="68"/>
  <c r="E24" i="68" s="1"/>
  <c r="H31" i="68"/>
  <c r="E31" i="68" s="1"/>
  <c r="H18" i="68"/>
  <c r="E18" i="68" s="1"/>
  <c r="H50" i="68"/>
  <c r="E50" i="68" s="1"/>
  <c r="H56" i="68"/>
  <c r="E56" i="68" s="1"/>
  <c r="H53" i="68"/>
  <c r="E53" i="68" s="1"/>
  <c r="H3" i="68"/>
  <c r="E3" i="68" s="1"/>
  <c r="H47" i="68"/>
  <c r="E47" i="68" s="1"/>
  <c r="H9" i="68"/>
  <c r="E9" i="68" s="1"/>
  <c r="H28" i="68"/>
  <c r="E28" i="68" s="1"/>
  <c r="H21" i="68"/>
  <c r="E21" i="68" s="1"/>
  <c r="H15" i="68"/>
  <c r="E15" i="68" s="1"/>
  <c r="H46" i="67"/>
  <c r="E46" i="67" s="1"/>
  <c r="H27" i="67"/>
  <c r="E27" i="67" s="1"/>
  <c r="H14" i="67"/>
  <c r="E14" i="67" s="1"/>
  <c r="H8" i="67"/>
  <c r="E8" i="67" s="1"/>
  <c r="H52" i="67"/>
  <c r="E52" i="67" s="1"/>
  <c r="H2" i="67"/>
  <c r="E2" i="67" s="1"/>
  <c r="H20" i="67"/>
  <c r="E20" i="67" s="1"/>
  <c r="A6" i="60"/>
  <c r="F6" i="62" l="1"/>
  <c r="M5" i="73"/>
  <c r="G5" i="73"/>
  <c r="K5" i="73"/>
  <c r="F5" i="73"/>
  <c r="E5" i="73"/>
  <c r="D5" i="73"/>
  <c r="L5" i="73"/>
  <c r="H5" i="73"/>
  <c r="J5" i="73"/>
  <c r="I5" i="73"/>
  <c r="C5" i="73"/>
  <c r="C6" i="62"/>
  <c r="D6" i="62"/>
  <c r="E6" i="62"/>
  <c r="I7" i="73"/>
  <c r="K7" i="73"/>
  <c r="C7" i="73"/>
  <c r="G7" i="73"/>
  <c r="F7" i="73"/>
  <c r="M7" i="73"/>
  <c r="L7" i="73"/>
  <c r="E7" i="73"/>
  <c r="J7" i="73"/>
  <c r="D7" i="73"/>
  <c r="H7" i="73"/>
  <c r="E6" i="73"/>
  <c r="I6" i="73"/>
  <c r="L6" i="73"/>
  <c r="D6" i="73"/>
  <c r="G6" i="73"/>
  <c r="J6" i="73"/>
  <c r="F6" i="73"/>
  <c r="H6" i="73"/>
  <c r="K6" i="73"/>
  <c r="C6" i="73"/>
  <c r="M6" i="73"/>
  <c r="M43" i="62"/>
  <c r="N43" i="62" s="1"/>
  <c r="E18" i="66" s="1"/>
  <c r="A8" i="73"/>
  <c r="G6" i="62"/>
  <c r="M46" i="62"/>
  <c r="N46" i="62" s="1"/>
  <c r="E19" i="66" s="1"/>
  <c r="A9" i="73"/>
  <c r="H6" i="62"/>
  <c r="M40" i="62"/>
  <c r="N40" i="62" s="1"/>
  <c r="E17" i="66" s="1"/>
  <c r="N37" i="62"/>
  <c r="E16" i="66" s="1"/>
  <c r="E15" i="52"/>
  <c r="H33" i="67"/>
  <c r="E33" i="67" s="1"/>
  <c r="H26" i="67"/>
  <c r="E26" i="67" s="1"/>
  <c r="H33" i="68"/>
  <c r="E33" i="68" s="1"/>
  <c r="H26" i="68"/>
  <c r="E26" i="68" s="1"/>
  <c r="F31" i="68"/>
  <c r="J31" i="68"/>
  <c r="G31" i="68"/>
  <c r="B20" i="52"/>
  <c r="C20" i="52" s="1"/>
  <c r="E20" i="52"/>
  <c r="J27" i="68"/>
  <c r="G27" i="68"/>
  <c r="D20" i="52"/>
  <c r="F27" i="68"/>
  <c r="F16" i="68"/>
  <c r="J16" i="68"/>
  <c r="G16" i="68"/>
  <c r="I16" i="68"/>
  <c r="J52" i="67"/>
  <c r="D25" i="51"/>
  <c r="E25" i="51"/>
  <c r="F52" i="67"/>
  <c r="B25" i="51"/>
  <c r="C25" i="51" s="1"/>
  <c r="G52" i="67"/>
  <c r="I52" i="67"/>
  <c r="G28" i="68"/>
  <c r="F28" i="68"/>
  <c r="J28" i="68"/>
  <c r="G24" i="68"/>
  <c r="J24" i="68"/>
  <c r="I24" i="68"/>
  <c r="F24" i="68"/>
  <c r="G2" i="68"/>
  <c r="B15" i="52"/>
  <c r="C15" i="52" s="1"/>
  <c r="F2" i="68"/>
  <c r="D15" i="52"/>
  <c r="J2" i="68"/>
  <c r="F29" i="68"/>
  <c r="G29" i="68"/>
  <c r="J29" i="68"/>
  <c r="J16" i="67"/>
  <c r="F16" i="67"/>
  <c r="I16" i="67"/>
  <c r="G16" i="67"/>
  <c r="J5" i="67"/>
  <c r="G5" i="67"/>
  <c r="F5" i="67"/>
  <c r="G50" i="67"/>
  <c r="I50" i="67"/>
  <c r="F50" i="67"/>
  <c r="J50" i="67"/>
  <c r="J41" i="67"/>
  <c r="I41" i="67"/>
  <c r="G41" i="67"/>
  <c r="F41" i="67"/>
  <c r="G40" i="67"/>
  <c r="E23" i="51"/>
  <c r="I40" i="67"/>
  <c r="B23" i="51"/>
  <c r="C23" i="51" s="1"/>
  <c r="J40" i="67"/>
  <c r="F40" i="67"/>
  <c r="D23" i="51"/>
  <c r="I9" i="68"/>
  <c r="J9" i="68"/>
  <c r="G9" i="68"/>
  <c r="F9" i="68"/>
  <c r="G56" i="68"/>
  <c r="I56" i="68"/>
  <c r="F56" i="68"/>
  <c r="J56" i="68"/>
  <c r="I12" i="68"/>
  <c r="G12" i="68"/>
  <c r="F12" i="68"/>
  <c r="J12" i="68"/>
  <c r="G5" i="68"/>
  <c r="J5" i="68"/>
  <c r="F5" i="68"/>
  <c r="G23" i="68"/>
  <c r="I23" i="68"/>
  <c r="F23" i="68"/>
  <c r="J23" i="68"/>
  <c r="G34" i="68"/>
  <c r="B22" i="52"/>
  <c r="C22" i="52" s="1"/>
  <c r="J34" i="68"/>
  <c r="I34" i="68"/>
  <c r="F34" i="68"/>
  <c r="E22" i="52"/>
  <c r="D22" i="52"/>
  <c r="E24" i="52"/>
  <c r="F46" i="68"/>
  <c r="D24" i="52"/>
  <c r="I46" i="68"/>
  <c r="B24" i="52"/>
  <c r="C24" i="52" s="1"/>
  <c r="J46" i="68"/>
  <c r="G46" i="68"/>
  <c r="F54" i="68"/>
  <c r="G54" i="68"/>
  <c r="I54" i="68"/>
  <c r="J54" i="68"/>
  <c r="G12" i="67"/>
  <c r="J12" i="67"/>
  <c r="F12" i="67"/>
  <c r="I12" i="67"/>
  <c r="F54" i="67"/>
  <c r="G54" i="67"/>
  <c r="J54" i="67"/>
  <c r="I54" i="67"/>
  <c r="F3" i="67"/>
  <c r="J3" i="67"/>
  <c r="G3" i="67"/>
  <c r="G17" i="67"/>
  <c r="F17" i="67"/>
  <c r="J17" i="67"/>
  <c r="I17" i="67"/>
  <c r="F43" i="67"/>
  <c r="J43" i="67"/>
  <c r="I43" i="67"/>
  <c r="G43" i="67"/>
  <c r="F2" i="67"/>
  <c r="D15" i="51"/>
  <c r="B15" i="51"/>
  <c r="C15" i="51" s="1"/>
  <c r="G2" i="67"/>
  <c r="E15" i="51"/>
  <c r="J2" i="67"/>
  <c r="F21" i="68"/>
  <c r="G21" i="68"/>
  <c r="I21" i="68"/>
  <c r="J21" i="68"/>
  <c r="J24" i="67"/>
  <c r="F24" i="67"/>
  <c r="G24" i="67"/>
  <c r="I24" i="67"/>
  <c r="J9" i="67"/>
  <c r="G9" i="67"/>
  <c r="F9" i="67"/>
  <c r="I9" i="67"/>
  <c r="J11" i="68"/>
  <c r="F11" i="68"/>
  <c r="G11" i="68"/>
  <c r="I11" i="68"/>
  <c r="G32" i="68"/>
  <c r="F32" i="68"/>
  <c r="J32" i="68"/>
  <c r="G31" i="67"/>
  <c r="J31" i="67"/>
  <c r="F31" i="67"/>
  <c r="G35" i="67"/>
  <c r="F35" i="67"/>
  <c r="I35" i="67"/>
  <c r="J35" i="67"/>
  <c r="F8" i="68"/>
  <c r="G8" i="68"/>
  <c r="D16" i="52"/>
  <c r="I8" i="68"/>
  <c r="E16" i="52"/>
  <c r="J8" i="68"/>
  <c r="B16" i="52"/>
  <c r="C16" i="52" s="1"/>
  <c r="F48" i="68"/>
  <c r="I48" i="68"/>
  <c r="G48" i="68"/>
  <c r="J48" i="68"/>
  <c r="F10" i="67"/>
  <c r="G10" i="67"/>
  <c r="J10" i="67"/>
  <c r="I10" i="67"/>
  <c r="F14" i="67"/>
  <c r="J14" i="67"/>
  <c r="G14" i="67"/>
  <c r="B17" i="51"/>
  <c r="C17" i="51" s="1"/>
  <c r="E17" i="51"/>
  <c r="D17" i="51"/>
  <c r="I14" i="67"/>
  <c r="J47" i="68"/>
  <c r="F47" i="68"/>
  <c r="I47" i="68"/>
  <c r="G47" i="68"/>
  <c r="I44" i="68"/>
  <c r="F44" i="68"/>
  <c r="J44" i="68"/>
  <c r="G44" i="68"/>
  <c r="I43" i="68"/>
  <c r="G43" i="68"/>
  <c r="J43" i="68"/>
  <c r="F43" i="68"/>
  <c r="F40" i="68"/>
  <c r="G40" i="68"/>
  <c r="J40" i="68"/>
  <c r="D23" i="52"/>
  <c r="I40" i="68"/>
  <c r="B23" i="52"/>
  <c r="C23" i="52" s="1"/>
  <c r="E23" i="52"/>
  <c r="F42" i="68"/>
  <c r="I42" i="68"/>
  <c r="G42" i="68"/>
  <c r="J42" i="68"/>
  <c r="F4" i="68"/>
  <c r="J4" i="68"/>
  <c r="G4" i="68"/>
  <c r="F56" i="67"/>
  <c r="J56" i="67"/>
  <c r="G56" i="67"/>
  <c r="I56" i="67"/>
  <c r="I36" i="67"/>
  <c r="J36" i="67"/>
  <c r="F36" i="67"/>
  <c r="G36" i="67"/>
  <c r="F28" i="67"/>
  <c r="G28" i="67"/>
  <c r="J28" i="67"/>
  <c r="J37" i="67"/>
  <c r="I37" i="67"/>
  <c r="G37" i="67"/>
  <c r="F37" i="67"/>
  <c r="F7" i="68"/>
  <c r="G7" i="68"/>
  <c r="J7" i="68"/>
  <c r="I22" i="67"/>
  <c r="F22" i="67"/>
  <c r="G22" i="67"/>
  <c r="J22" i="67"/>
  <c r="I55" i="67"/>
  <c r="F55" i="67"/>
  <c r="G55" i="67"/>
  <c r="J55" i="67"/>
  <c r="F8" i="67"/>
  <c r="I8" i="67"/>
  <c r="J8" i="67"/>
  <c r="B16" i="51"/>
  <c r="C16" i="51" s="1"/>
  <c r="E16" i="51"/>
  <c r="D16" i="51"/>
  <c r="G8" i="67"/>
  <c r="I41" i="68"/>
  <c r="J41" i="68"/>
  <c r="G41" i="68"/>
  <c r="F41" i="68"/>
  <c r="F6" i="68"/>
  <c r="G6" i="68"/>
  <c r="J6" i="68"/>
  <c r="G55" i="68"/>
  <c r="I55" i="68"/>
  <c r="F55" i="68"/>
  <c r="J55" i="68"/>
  <c r="I25" i="68"/>
  <c r="G25" i="68"/>
  <c r="J25" i="68"/>
  <c r="F25" i="68"/>
  <c r="G30" i="67"/>
  <c r="F30" i="67"/>
  <c r="J30" i="67"/>
  <c r="F27" i="67"/>
  <c r="E20" i="51"/>
  <c r="B20" i="51"/>
  <c r="C20" i="51" s="1"/>
  <c r="D20" i="51"/>
  <c r="J27" i="67"/>
  <c r="G27" i="67"/>
  <c r="F3" i="68"/>
  <c r="J3" i="68"/>
  <c r="G3" i="68"/>
  <c r="I50" i="68"/>
  <c r="F50" i="68"/>
  <c r="G50" i="68"/>
  <c r="J50" i="68"/>
  <c r="G17" i="68"/>
  <c r="F17" i="68"/>
  <c r="J17" i="68"/>
  <c r="I17" i="68"/>
  <c r="I14" i="68"/>
  <c r="F14" i="68"/>
  <c r="B17" i="52"/>
  <c r="C17" i="52" s="1"/>
  <c r="D17" i="52"/>
  <c r="G14" i="68"/>
  <c r="E17" i="52"/>
  <c r="J14" i="68"/>
  <c r="G22" i="68"/>
  <c r="F22" i="68"/>
  <c r="J22" i="68"/>
  <c r="I22" i="68"/>
  <c r="F6" i="67"/>
  <c r="J6" i="67"/>
  <c r="G6" i="67"/>
  <c r="J4" i="67"/>
  <c r="G4" i="67"/>
  <c r="F4" i="67"/>
  <c r="F47" i="67"/>
  <c r="I47" i="67"/>
  <c r="J47" i="67"/>
  <c r="G47" i="67"/>
  <c r="F7" i="67"/>
  <c r="G7" i="67"/>
  <c r="J7" i="67"/>
  <c r="G11" i="67"/>
  <c r="J11" i="67"/>
  <c r="F11" i="67"/>
  <c r="I11" i="67"/>
  <c r="J49" i="68"/>
  <c r="I49" i="68"/>
  <c r="G49" i="68"/>
  <c r="F49" i="68"/>
  <c r="B22" i="51"/>
  <c r="C22" i="51" s="1"/>
  <c r="E22" i="51"/>
  <c r="D22" i="51"/>
  <c r="I34" i="67"/>
  <c r="J34" i="67"/>
  <c r="G34" i="67"/>
  <c r="F34" i="67"/>
  <c r="E24" i="51"/>
  <c r="F46" i="67"/>
  <c r="G46" i="67"/>
  <c r="B24" i="51"/>
  <c r="C24" i="51" s="1"/>
  <c r="J46" i="67"/>
  <c r="D24" i="51"/>
  <c r="I46" i="67"/>
  <c r="G35" i="68"/>
  <c r="I35" i="68"/>
  <c r="J35" i="68"/>
  <c r="F35" i="68"/>
  <c r="J18" i="68"/>
  <c r="F18" i="68"/>
  <c r="I18" i="68"/>
  <c r="G18" i="68"/>
  <c r="F30" i="68"/>
  <c r="J30" i="68"/>
  <c r="G30" i="68"/>
  <c r="B25" i="52"/>
  <c r="C25" i="52" s="1"/>
  <c r="F52" i="68"/>
  <c r="G52" i="68"/>
  <c r="D25" i="52"/>
  <c r="I52" i="68"/>
  <c r="E25" i="52"/>
  <c r="J52" i="68"/>
  <c r="F10" i="68"/>
  <c r="J10" i="68"/>
  <c r="I10" i="68"/>
  <c r="G10" i="68"/>
  <c r="I38" i="67"/>
  <c r="F38" i="67"/>
  <c r="J38" i="67"/>
  <c r="G38" i="67"/>
  <c r="G42" i="67"/>
  <c r="I42" i="67"/>
  <c r="F42" i="67"/>
  <c r="J42" i="67"/>
  <c r="J15" i="67"/>
  <c r="I15" i="67"/>
  <c r="G15" i="67"/>
  <c r="F15" i="67"/>
  <c r="I21" i="67"/>
  <c r="J21" i="67"/>
  <c r="G21" i="67"/>
  <c r="F21" i="67"/>
  <c r="F32" i="67"/>
  <c r="J32" i="67"/>
  <c r="G32" i="67"/>
  <c r="F49" i="67"/>
  <c r="G49" i="67"/>
  <c r="I49" i="67"/>
  <c r="J49" i="67"/>
  <c r="G20" i="67"/>
  <c r="I20" i="67"/>
  <c r="B18" i="51"/>
  <c r="C18" i="51" s="1"/>
  <c r="J20" i="67"/>
  <c r="F20" i="67"/>
  <c r="D18" i="51"/>
  <c r="E18" i="51"/>
  <c r="G15" i="68"/>
  <c r="I15" i="68"/>
  <c r="J15" i="68"/>
  <c r="F15" i="68"/>
  <c r="J53" i="68"/>
  <c r="I53" i="68"/>
  <c r="G53" i="68"/>
  <c r="F53" i="68"/>
  <c r="F38" i="68"/>
  <c r="I38" i="68"/>
  <c r="G38" i="68"/>
  <c r="J38" i="68"/>
  <c r="I37" i="68"/>
  <c r="F37" i="68"/>
  <c r="J37" i="68"/>
  <c r="G37" i="68"/>
  <c r="B18" i="52"/>
  <c r="C18" i="52" s="1"/>
  <c r="J20" i="68"/>
  <c r="G20" i="68"/>
  <c r="D18" i="52"/>
  <c r="E18" i="52"/>
  <c r="I20" i="68"/>
  <c r="F20" i="68"/>
  <c r="G36" i="68"/>
  <c r="I36" i="68"/>
  <c r="J36" i="68"/>
  <c r="F36" i="68"/>
  <c r="G18" i="67"/>
  <c r="I18" i="67"/>
  <c r="F18" i="67"/>
  <c r="J18" i="67"/>
  <c r="J44" i="67"/>
  <c r="G44" i="67"/>
  <c r="F44" i="67"/>
  <c r="I44" i="67"/>
  <c r="F48" i="67"/>
  <c r="J48" i="67"/>
  <c r="I48" i="67"/>
  <c r="G48" i="67"/>
  <c r="F29" i="67"/>
  <c r="J29" i="67"/>
  <c r="G29" i="67"/>
  <c r="G53" i="67"/>
  <c r="I53" i="67"/>
  <c r="F53" i="67"/>
  <c r="J53" i="67"/>
  <c r="J25" i="67"/>
  <c r="I25" i="67"/>
  <c r="G25" i="67"/>
  <c r="F25" i="67"/>
  <c r="G23" i="67"/>
  <c r="J23" i="67"/>
  <c r="I23" i="67"/>
  <c r="F23" i="67"/>
  <c r="M9" i="73" l="1"/>
  <c r="K9" i="73"/>
  <c r="G9" i="73"/>
  <c r="F9" i="73"/>
  <c r="L9" i="73"/>
  <c r="H9" i="73"/>
  <c r="E9" i="73"/>
  <c r="D9" i="73"/>
  <c r="J9" i="73"/>
  <c r="I9" i="73"/>
  <c r="C9" i="73"/>
  <c r="K8" i="73"/>
  <c r="M8" i="73"/>
  <c r="I8" i="73"/>
  <c r="L8" i="73"/>
  <c r="H8" i="73"/>
  <c r="J8" i="73"/>
  <c r="G8" i="73"/>
  <c r="D8" i="73"/>
  <c r="E8" i="73"/>
  <c r="F8" i="73"/>
  <c r="C8" i="73"/>
  <c r="H9" i="62"/>
  <c r="J60" i="68"/>
  <c r="E6" i="52" s="1"/>
  <c r="G26" i="67"/>
  <c r="F26" i="67"/>
  <c r="J26" i="67"/>
  <c r="J62" i="67" s="1"/>
  <c r="D6" i="51" s="1"/>
  <c r="D19" i="51"/>
  <c r="C19" i="51" s="1"/>
  <c r="E19" i="51"/>
  <c r="J60" i="67"/>
  <c r="E6" i="51" s="1"/>
  <c r="G26" i="68"/>
  <c r="J26" i="68"/>
  <c r="J62" i="68" s="1"/>
  <c r="D6" i="52" s="1"/>
  <c r="D19" i="52"/>
  <c r="C19" i="52" s="1"/>
  <c r="F26" i="68"/>
  <c r="E19" i="52"/>
  <c r="F33" i="67"/>
  <c r="D21" i="51"/>
  <c r="C21" i="51" s="1"/>
  <c r="J33" i="67"/>
  <c r="J61" i="67" s="1"/>
  <c r="C6" i="51" s="1"/>
  <c r="G33" i="67"/>
  <c r="E21" i="51"/>
  <c r="J33" i="68"/>
  <c r="J61" i="68" s="1"/>
  <c r="C6" i="52" s="1"/>
  <c r="D21" i="52"/>
  <c r="C21" i="52" s="1"/>
  <c r="G33" i="68"/>
  <c r="E21" i="52"/>
  <c r="F33" i="68"/>
  <c r="J59" i="67"/>
  <c r="F6" i="51" s="1"/>
  <c r="J59" i="68"/>
  <c r="F6" i="52" s="1"/>
  <c r="B6" i="51" l="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4" i="48"/>
  <c r="C13" i="50"/>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G14" i="47"/>
  <c r="C13" i="49"/>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D13" i="49"/>
  <c r="L14" i="47"/>
  <c r="I26" i="68" l="1"/>
  <c r="I26" i="67"/>
  <c r="I32" i="67"/>
  <c r="I31" i="67"/>
  <c r="I28" i="67"/>
  <c r="I29" i="67"/>
  <c r="I30" i="67"/>
  <c r="J15" i="51"/>
  <c r="I3" i="67" s="1"/>
  <c r="I27" i="67"/>
  <c r="A15" i="49"/>
  <c r="B14" i="47"/>
  <c r="B13" i="47" s="1"/>
  <c r="B13" i="49"/>
  <c r="B12" i="49" s="1"/>
  <c r="B13" i="50"/>
  <c r="B12" i="50" s="1"/>
  <c r="B14" i="48"/>
  <c r="B13" i="48" s="1"/>
  <c r="J15" i="52"/>
  <c r="I4" i="68" s="1"/>
  <c r="I28" i="68"/>
  <c r="I30" i="68"/>
  <c r="I29" i="68"/>
  <c r="I27" i="68"/>
  <c r="I32" i="68"/>
  <c r="I31" i="68"/>
  <c r="A15" i="50"/>
  <c r="I33" i="68" l="1"/>
  <c r="I33" i="67"/>
  <c r="I5" i="67"/>
  <c r="I2" i="68"/>
  <c r="I7" i="67"/>
  <c r="I2" i="67"/>
  <c r="I6" i="67"/>
  <c r="I4" i="67"/>
  <c r="I5" i="68"/>
  <c r="I7" i="68"/>
  <c r="I6" i="68"/>
  <c r="I3" i="68"/>
  <c r="E36" i="66" l="1"/>
  <c r="B36" i="66" s="1"/>
  <c r="F9" i="62"/>
  <c r="G9" i="62"/>
  <c r="E116" i="63" l="1"/>
  <c r="E117" i="63"/>
  <c r="E10" i="62"/>
  <c r="G7" i="62"/>
  <c r="G8" i="62" s="1"/>
  <c r="G10" i="62"/>
  <c r="V4" i="73" a="1"/>
  <c r="Y27" i="73" a="1"/>
  <c r="W21" i="73" a="1"/>
  <c r="U30" i="73" a="1"/>
  <c r="S7" i="73" a="1"/>
  <c r="R11" i="73" a="1"/>
  <c r="X4" i="73" a="1"/>
  <c r="X30" i="73" a="1"/>
  <c r="W17" i="73" a="1"/>
  <c r="O16" i="73" a="1"/>
  <c r="U22" i="73" a="1"/>
  <c r="T19" i="73" a="1"/>
  <c r="W10" i="73" a="1"/>
  <c r="U10" i="73" a="1"/>
  <c r="Q2" i="73" a="1"/>
  <c r="P22" i="73" a="1"/>
  <c r="V23" i="73" a="1"/>
  <c r="R2" i="73" a="1"/>
  <c r="X12" i="73" a="1"/>
  <c r="P5" i="73" a="1"/>
  <c r="O30" i="73" a="1"/>
  <c r="W3" i="73" a="1"/>
  <c r="X14" i="73" a="1"/>
  <c r="V18" i="73" a="1"/>
  <c r="Q17" i="73" a="1"/>
  <c r="S11" i="73" a="1"/>
  <c r="O9" i="73" a="1"/>
  <c r="S22" i="73" a="1"/>
  <c r="U20" i="73" a="1"/>
  <c r="R17" i="73" a="1"/>
  <c r="R12" i="73" a="1"/>
  <c r="Q10" i="73" a="1"/>
  <c r="V27" i="73" a="1"/>
  <c r="U27" i="73" a="1"/>
  <c r="R7" i="73" a="1"/>
  <c r="O33" i="73" a="1"/>
  <c r="Q3" i="73" a="1"/>
  <c r="S21" i="73" a="1"/>
  <c r="X34" i="73" a="1"/>
  <c r="R31" i="73" a="1"/>
  <c r="X28" i="73" a="1"/>
  <c r="P9" i="73" a="1"/>
  <c r="O15" i="73" a="1"/>
  <c r="Q8" i="73" a="1"/>
  <c r="T33" i="73" a="1"/>
  <c r="W30" i="73" a="1"/>
  <c r="W7" i="73" a="1"/>
  <c r="X31" i="73" a="1"/>
  <c r="W6" i="73" a="1"/>
  <c r="U12" i="73" a="1"/>
  <c r="Y7" i="73" a="1"/>
  <c r="Y19" i="73" a="1"/>
  <c r="S23" i="73" a="1"/>
  <c r="Y23" i="73" a="1"/>
  <c r="Q32" i="73" a="1"/>
  <c r="Y2" i="73" a="1"/>
  <c r="V3" i="73" a="1"/>
  <c r="S5" i="73" a="1"/>
  <c r="P34" i="73" a="1"/>
  <c r="Y30" i="73" a="1"/>
  <c r="O18" i="73" a="1"/>
  <c r="Y11" i="73" a="1"/>
  <c r="Q5" i="73" a="1"/>
  <c r="S18" i="73" a="1"/>
  <c r="O26" i="73" a="1"/>
  <c r="X10" i="73" a="1"/>
  <c r="T7" i="73" a="1"/>
  <c r="Y21" i="73" a="1"/>
  <c r="U7" i="73" a="1"/>
  <c r="T26" i="73" a="1"/>
  <c r="O19" i="73" a="1"/>
  <c r="X26" i="73" a="1"/>
  <c r="V16" i="73" a="1"/>
  <c r="P33" i="73" a="1"/>
  <c r="R14" i="73" a="1"/>
  <c r="Y14" i="73" a="1"/>
  <c r="U23" i="73" a="1"/>
  <c r="U24" i="73" a="1"/>
  <c r="T2" i="73" a="1"/>
  <c r="U21" i="73" a="1"/>
  <c r="O11" i="73" a="1"/>
  <c r="W23" i="73" a="1"/>
  <c r="V33" i="73" a="1"/>
  <c r="X7" i="73" a="1"/>
  <c r="P4" i="73" a="1"/>
  <c r="X3" i="73" a="1"/>
  <c r="W5" i="73" a="1"/>
  <c r="W8" i="73" a="1"/>
  <c r="O12" i="73" a="1"/>
  <c r="Q22" i="73" a="1"/>
  <c r="V14" i="73" a="1"/>
  <c r="S4" i="73" a="1"/>
  <c r="O23" i="73" a="1"/>
  <c r="R8" i="73" a="1"/>
  <c r="R28" i="73" a="1"/>
  <c r="P23" i="73" a="1"/>
  <c r="R34" i="73" a="1"/>
  <c r="V24" i="73" a="1"/>
  <c r="V17" i="73" a="1"/>
  <c r="Q12" i="73" a="1"/>
  <c r="V6" i="73" a="1"/>
  <c r="Q18" i="73" a="1"/>
  <c r="R26" i="73" a="1"/>
  <c r="V2" i="73" a="1"/>
  <c r="R23" i="73" a="1"/>
  <c r="O5" i="73" a="1"/>
  <c r="P3" i="73" a="1"/>
  <c r="T23" i="73" a="1"/>
  <c r="V28" i="73" a="1"/>
  <c r="S12" i="73" a="1"/>
  <c r="X21" i="73" a="1"/>
  <c r="P27" i="73" a="1"/>
  <c r="Q4" i="73" a="1"/>
  <c r="X33" i="73" a="1"/>
  <c r="W32" i="73" a="1"/>
  <c r="P25" i="73" a="1"/>
  <c r="Q24" i="73" a="1"/>
  <c r="Q23" i="73" a="1"/>
  <c r="U11" i="73" a="1"/>
  <c r="X6" i="73" a="1"/>
  <c r="R19" i="73" a="1"/>
  <c r="P13" i="73" a="1"/>
  <c r="W29" i="73" a="1"/>
  <c r="V32" i="73" a="1"/>
  <c r="U31" i="73" a="1"/>
  <c r="T18" i="73" a="1"/>
  <c r="Y5" i="73" a="1"/>
  <c r="V19" i="73" a="1"/>
  <c r="P12" i="73" a="1"/>
  <c r="T17" i="73" a="1"/>
  <c r="O17" i="73" a="1"/>
  <c r="S14" i="73" a="1"/>
  <c r="T13" i="73" a="1"/>
  <c r="T5" i="73" a="1"/>
  <c r="Q29" i="73" a="1"/>
  <c r="T12" i="73" a="1"/>
  <c r="Q19" i="73" a="1"/>
  <c r="O21" i="73" a="1"/>
  <c r="P20" i="73" a="1"/>
  <c r="X17" i="73" a="1"/>
  <c r="Q9" i="73" a="1"/>
  <c r="P19" i="73" a="1"/>
  <c r="W14" i="73" a="1"/>
  <c r="R27" i="73" a="1"/>
  <c r="U4" i="73" a="1"/>
  <c r="S30" i="73" a="1"/>
  <c r="Y15" i="73" a="1"/>
  <c r="R3" i="73" a="1"/>
  <c r="Q15" i="73" a="1"/>
  <c r="O32" i="73" a="1"/>
  <c r="Q27" i="73" a="1"/>
  <c r="U5" i="73" a="1"/>
  <c r="V15" i="73" a="1"/>
  <c r="W4" i="73" a="1"/>
  <c r="X2" i="73" a="1"/>
  <c r="R24" i="73" a="1"/>
  <c r="O28" i="73" a="1"/>
  <c r="O29" i="73" a="1"/>
  <c r="P7" i="73" a="1"/>
  <c r="S33" i="73" a="1"/>
  <c r="X22" i="73" a="1"/>
  <c r="S34" i="73" a="1"/>
  <c r="R32" i="73" a="1"/>
  <c r="P24" i="73" a="1"/>
  <c r="X20" i="73" a="1"/>
  <c r="Q21" i="73" a="1"/>
  <c r="T22" i="73" a="1"/>
  <c r="U34" i="73" a="1"/>
  <c r="Y22" i="73" a="1"/>
  <c r="V31" i="73" a="1"/>
  <c r="Y24" i="73" a="1"/>
  <c r="Y10" i="73" a="1"/>
  <c r="X27" i="73" a="1"/>
  <c r="Y17" i="73" a="1"/>
  <c r="R30" i="73" a="1"/>
  <c r="Q6" i="73" a="1"/>
  <c r="X5" i="73" a="1"/>
  <c r="W26" i="73" a="1"/>
  <c r="T31" i="73" a="1"/>
  <c r="W12" i="73" a="1"/>
  <c r="Y28" i="73" a="1"/>
  <c r="S3" i="73" a="1"/>
  <c r="W18" i="73" a="1"/>
  <c r="W25" i="73" a="1"/>
  <c r="P11" i="73" a="1"/>
  <c r="T20" i="73" a="1"/>
  <c r="O22" i="73" a="1"/>
  <c r="S10" i="73" a="1"/>
  <c r="O7" i="73" a="1"/>
  <c r="V25" i="73" a="1"/>
  <c r="S2" i="73" a="1"/>
  <c r="V11" i="73" a="1"/>
  <c r="X8" i="73" a="1"/>
  <c r="P17" i="73" a="1"/>
  <c r="T34" i="73" a="1"/>
  <c r="Y13" i="73" a="1"/>
  <c r="P28" i="73" a="1"/>
  <c r="Q30" i="73" a="1"/>
  <c r="R33" i="73" a="1"/>
  <c r="U14" i="73" a="1"/>
  <c r="S9" i="73" a="1"/>
  <c r="X19" i="73" a="1"/>
  <c r="T32" i="73" a="1"/>
  <c r="R29" i="73" a="1"/>
  <c r="Y3" i="73" a="1"/>
  <c r="O8" i="73" a="1"/>
  <c r="R10" i="73" a="1"/>
  <c r="U13" i="73" a="1"/>
  <c r="X25" i="73" a="1"/>
  <c r="U8" i="73" a="1"/>
  <c r="V21" i="73" a="1"/>
  <c r="V26" i="73" a="1"/>
  <c r="U29" i="73" a="1"/>
  <c r="O24" i="73" a="1"/>
  <c r="T27" i="73" a="1"/>
  <c r="P21" i="73" a="1"/>
  <c r="R16" i="73" a="1"/>
  <c r="Y12" i="73" a="1"/>
  <c r="T25" i="73" a="1"/>
  <c r="Q34" i="73" a="1"/>
  <c r="Y25" i="73" a="1"/>
  <c r="U9" i="73" a="1"/>
  <c r="S32" i="73" a="1"/>
  <c r="X24" i="73" a="1"/>
  <c r="S29" i="73" a="1"/>
  <c r="W20" i="73" a="1"/>
  <c r="Q11" i="73" a="1"/>
  <c r="Q26" i="73" a="1"/>
  <c r="O13" i="73" a="1"/>
  <c r="S16" i="73" a="1"/>
  <c r="W13" i="73" a="1"/>
  <c r="P30" i="73" a="1"/>
  <c r="O34" i="73" a="1"/>
  <c r="P2" i="73" a="1"/>
  <c r="S6" i="73" a="1"/>
  <c r="S25" i="73" a="1"/>
  <c r="O10" i="73" a="1"/>
  <c r="T15" i="73" a="1"/>
  <c r="Y18" i="73" a="1"/>
  <c r="P10" i="73" a="1"/>
  <c r="Y16" i="73" a="1"/>
  <c r="W33" i="73" a="1"/>
  <c r="S26" i="73" a="1"/>
  <c r="S17" i="73" a="1"/>
  <c r="R20" i="73" a="1"/>
  <c r="Q28" i="73" a="1"/>
  <c r="W22" i="73" a="1"/>
  <c r="S19" i="73" a="1"/>
  <c r="V20" i="73" a="1"/>
  <c r="T4" i="73" a="1"/>
  <c r="X29" i="73" a="1"/>
  <c r="R25" i="73" a="1"/>
  <c r="Y32" i="73" a="1"/>
  <c r="O2" i="73" a="1"/>
  <c r="X15" i="73" a="1"/>
  <c r="P29" i="73" a="1"/>
  <c r="R18" i="73" a="1"/>
  <c r="T30" i="73" a="1"/>
  <c r="T10" i="73" a="1"/>
  <c r="R21" i="73" a="1"/>
  <c r="S8" i="73" a="1"/>
  <c r="U25" i="73" a="1"/>
  <c r="P31" i="73" a="1"/>
  <c r="S28" i="73" a="1"/>
  <c r="T28" i="73" a="1"/>
  <c r="V5" i="73" a="1"/>
  <c r="P8" i="73" a="1"/>
  <c r="U26" i="73" a="1"/>
  <c r="T3" i="73" a="1"/>
  <c r="U6" i="73" a="1"/>
  <c r="Q14" i="73" a="1"/>
  <c r="Q33" i="73" a="1"/>
  <c r="R9" i="73" a="1"/>
  <c r="Y34" i="73" a="1"/>
  <c r="T29" i="73" a="1"/>
  <c r="P26" i="73" a="1"/>
  <c r="T6" i="73" a="1"/>
  <c r="T24" i="73" a="1"/>
  <c r="O6" i="73" a="1"/>
  <c r="U15" i="73" a="1"/>
  <c r="R5" i="73" a="1"/>
  <c r="Y33" i="73" a="1"/>
  <c r="S31" i="73" a="1"/>
  <c r="U3" i="73" a="1"/>
  <c r="P16" i="73" a="1"/>
  <c r="O4" i="73" a="1"/>
  <c r="R4" i="73" a="1"/>
  <c r="Y31" i="73" a="1"/>
  <c r="X9" i="73" a="1"/>
  <c r="U28" i="73" a="1"/>
  <c r="T8" i="73" a="1"/>
  <c r="T11" i="73" a="1"/>
  <c r="W15" i="73" a="1"/>
  <c r="Q13" i="73" a="1"/>
  <c r="W24" i="73" a="1"/>
  <c r="P18" i="73" a="1"/>
  <c r="W11" i="73" a="1"/>
  <c r="X23" i="73" a="1"/>
  <c r="Y8" i="73" a="1"/>
  <c r="U18" i="73" a="1"/>
  <c r="U17" i="73" a="1"/>
  <c r="R22" i="73" a="1"/>
  <c r="S13" i="73" a="1"/>
  <c r="O25" i="73" a="1"/>
  <c r="P32" i="73" a="1"/>
  <c r="V7" i="73" a="1"/>
  <c r="V30" i="73" a="1"/>
  <c r="P6" i="73" a="1"/>
  <c r="P14" i="73" a="1"/>
  <c r="Q31" i="73" a="1"/>
  <c r="W19" i="73" a="1"/>
  <c r="V9" i="73" a="1"/>
  <c r="W9" i="73" a="1"/>
  <c r="W27" i="73" a="1"/>
  <c r="U16" i="73" a="1"/>
  <c r="X16" i="73" a="1"/>
  <c r="V34" i="73" a="1"/>
  <c r="V22" i="73" a="1"/>
  <c r="S24" i="73" a="1"/>
  <c r="V13" i="73" a="1"/>
  <c r="U19" i="73" a="1"/>
  <c r="W34" i="73" a="1"/>
  <c r="U2" i="73" a="1"/>
  <c r="P15" i="73" a="1"/>
  <c r="V29" i="73" a="1"/>
  <c r="T21" i="73" a="1"/>
  <c r="T16" i="73" a="1"/>
  <c r="Q7" i="73" a="1"/>
  <c r="W28" i="73" a="1"/>
  <c r="O14" i="73" a="1"/>
  <c r="Q20" i="73" a="1"/>
  <c r="T9" i="73" a="1"/>
  <c r="W16" i="73" a="1"/>
  <c r="O20" i="73" a="1"/>
  <c r="X13" i="73" a="1"/>
  <c r="O31" i="73" a="1"/>
  <c r="W2" i="73" a="1"/>
  <c r="Y20" i="73" a="1"/>
  <c r="U32" i="73" a="1"/>
  <c r="X32" i="73" a="1"/>
  <c r="V10" i="73" a="1"/>
  <c r="R13" i="73" a="1"/>
  <c r="Y6" i="73" a="1"/>
  <c r="V12" i="73" a="1"/>
  <c r="S27" i="73" a="1"/>
  <c r="Q16" i="73" a="1"/>
  <c r="Y9" i="73" a="1"/>
  <c r="Y4" i="73" a="1"/>
  <c r="X11" i="73" a="1"/>
  <c r="O27" i="73" a="1"/>
  <c r="V8" i="73" a="1"/>
  <c r="O3" i="73" a="1"/>
  <c r="Q25" i="73" a="1"/>
  <c r="S15" i="73" a="1"/>
  <c r="T14" i="73" a="1"/>
  <c r="S20" i="73" a="1"/>
  <c r="U33" i="73" a="1"/>
  <c r="R6" i="73" a="1"/>
  <c r="X18" i="73" a="1"/>
  <c r="R15" i="73" a="1"/>
  <c r="W31" i="73" a="1"/>
  <c r="Y26" i="73" a="1"/>
  <c r="Y29" i="73" a="1"/>
  <c r="Y29" i="73" l="1"/>
  <c r="Y26" i="73"/>
  <c r="W31" i="73"/>
  <c r="R15" i="73"/>
  <c r="X18" i="73"/>
  <c r="R6" i="73"/>
  <c r="U33" i="73"/>
  <c r="S20" i="73"/>
  <c r="T14" i="73"/>
  <c r="S15" i="73"/>
  <c r="Q25" i="73"/>
  <c r="O3" i="73"/>
  <c r="V8" i="73"/>
  <c r="O27" i="73"/>
  <c r="X11" i="73"/>
  <c r="Y4" i="73"/>
  <c r="Y9" i="73"/>
  <c r="Q16" i="73"/>
  <c r="S27" i="73"/>
  <c r="V12" i="73"/>
  <c r="Y6" i="73"/>
  <c r="R13" i="73"/>
  <c r="V10" i="73"/>
  <c r="X32" i="73"/>
  <c r="U32" i="73"/>
  <c r="Y20" i="73"/>
  <c r="W2" i="73"/>
  <c r="O31" i="73"/>
  <c r="X13" i="73"/>
  <c r="O20" i="73"/>
  <c r="W16" i="73"/>
  <c r="T9" i="73"/>
  <c r="Q20" i="73"/>
  <c r="O14" i="73"/>
  <c r="W28" i="73"/>
  <c r="Q7" i="73"/>
  <c r="T16" i="73"/>
  <c r="T21" i="73"/>
  <c r="V29" i="73"/>
  <c r="P15" i="73"/>
  <c r="U2" i="73"/>
  <c r="W34" i="73"/>
  <c r="U19" i="73"/>
  <c r="V13" i="73"/>
  <c r="S24" i="73"/>
  <c r="V22" i="73"/>
  <c r="V34" i="73"/>
  <c r="X16" i="73"/>
  <c r="U16" i="73"/>
  <c r="W27" i="73"/>
  <c r="W9" i="73"/>
  <c r="V9" i="73"/>
  <c r="W19" i="73"/>
  <c r="Q31" i="73"/>
  <c r="P14" i="73"/>
  <c r="P6" i="73"/>
  <c r="V30" i="73"/>
  <c r="V7" i="73"/>
  <c r="P32" i="73"/>
  <c r="O25" i="73"/>
  <c r="S13" i="73"/>
  <c r="R22" i="73"/>
  <c r="U17" i="73"/>
  <c r="U18" i="73"/>
  <c r="Y8" i="73"/>
  <c r="X23" i="73"/>
  <c r="W11" i="73"/>
  <c r="P18" i="73"/>
  <c r="W24" i="73"/>
  <c r="Q13" i="73"/>
  <c r="W15" i="73"/>
  <c r="T11" i="73"/>
  <c r="T8" i="73"/>
  <c r="U28" i="73"/>
  <c r="X9" i="73"/>
  <c r="Y31" i="73"/>
  <c r="R4" i="73"/>
  <c r="O4" i="73"/>
  <c r="P16" i="73"/>
  <c r="U3" i="73"/>
  <c r="S31" i="73"/>
  <c r="Y33" i="73"/>
  <c r="R5" i="73"/>
  <c r="U15" i="73"/>
  <c r="O6" i="73"/>
  <c r="T24" i="73"/>
  <c r="T6" i="73"/>
  <c r="P26" i="73"/>
  <c r="T29" i="73"/>
  <c r="Y34" i="73"/>
  <c r="R9" i="73"/>
  <c r="Q33" i="73"/>
  <c r="Q14" i="73"/>
  <c r="U6" i="73"/>
  <c r="T3" i="73"/>
  <c r="U26" i="73"/>
  <c r="P8" i="73"/>
  <c r="V5" i="73"/>
  <c r="T28" i="73"/>
  <c r="S28" i="73"/>
  <c r="P31" i="73"/>
  <c r="U25" i="73"/>
  <c r="S8" i="73"/>
  <c r="R21" i="73"/>
  <c r="T10" i="73"/>
  <c r="T30" i="73"/>
  <c r="R18" i="73"/>
  <c r="P29" i="73"/>
  <c r="X15" i="73"/>
  <c r="O2" i="73"/>
  <c r="A14" i="75" s="1"/>
  <c r="M11" i="75" s="1" a="1"/>
  <c r="M11" i="75" s="1"/>
  <c r="B10" i="75" s="1"/>
  <c r="Y32" i="73"/>
  <c r="R25" i="73"/>
  <c r="X29" i="73"/>
  <c r="T4" i="73"/>
  <c r="V20" i="73"/>
  <c r="S19" i="73"/>
  <c r="W22" i="73"/>
  <c r="Q28" i="73"/>
  <c r="R20" i="73"/>
  <c r="S17" i="73"/>
  <c r="S26" i="73"/>
  <c r="W33" i="73"/>
  <c r="Y16" i="73"/>
  <c r="P10" i="73"/>
  <c r="Y18" i="73"/>
  <c r="T15" i="73"/>
  <c r="O10" i="73"/>
  <c r="S25" i="73"/>
  <c r="S6" i="73"/>
  <c r="P2" i="73"/>
  <c r="O34" i="73"/>
  <c r="P30" i="73"/>
  <c r="W13" i="73"/>
  <c r="S16" i="73"/>
  <c r="O13" i="73"/>
  <c r="Q26" i="73"/>
  <c r="Q11" i="73"/>
  <c r="W20" i="73"/>
  <c r="S29" i="73"/>
  <c r="X24" i="73"/>
  <c r="S32" i="73"/>
  <c r="U9" i="73"/>
  <c r="Y25" i="73"/>
  <c r="Q34" i="73"/>
  <c r="T25" i="73"/>
  <c r="Y12" i="73"/>
  <c r="R16" i="73"/>
  <c r="P21" i="73"/>
  <c r="T27" i="73"/>
  <c r="O24" i="73"/>
  <c r="U29" i="73"/>
  <c r="V26" i="73"/>
  <c r="V21" i="73"/>
  <c r="U8" i="73"/>
  <c r="X25" i="73"/>
  <c r="U13" i="73"/>
  <c r="R10" i="73"/>
  <c r="O8" i="73"/>
  <c r="Y3" i="73"/>
  <c r="R29" i="73"/>
  <c r="T32" i="73"/>
  <c r="X19" i="73"/>
  <c r="S9" i="73"/>
  <c r="U14" i="73"/>
  <c r="R33" i="73"/>
  <c r="Q30" i="73"/>
  <c r="P28" i="73"/>
  <c r="Y13" i="73"/>
  <c r="T34" i="73"/>
  <c r="P17" i="73"/>
  <c r="X8" i="73"/>
  <c r="V11" i="73"/>
  <c r="S2" i="73"/>
  <c r="V25" i="73"/>
  <c r="O7" i="73"/>
  <c r="S10" i="73"/>
  <c r="O22" i="73"/>
  <c r="T20" i="73"/>
  <c r="P11" i="73"/>
  <c r="W25" i="73"/>
  <c r="W18" i="73"/>
  <c r="S3" i="73"/>
  <c r="Y28" i="73"/>
  <c r="W12" i="73"/>
  <c r="T31" i="73"/>
  <c r="W26" i="73"/>
  <c r="X5" i="73"/>
  <c r="Q6" i="73"/>
  <c r="R30" i="73"/>
  <c r="Y17" i="73"/>
  <c r="X27" i="73"/>
  <c r="Y10" i="73"/>
  <c r="Y24" i="73"/>
  <c r="V31" i="73"/>
  <c r="Y22" i="73"/>
  <c r="U34" i="73"/>
  <c r="T22" i="73"/>
  <c r="Q21" i="73"/>
  <c r="X20" i="73"/>
  <c r="P24" i="73"/>
  <c r="R32" i="73"/>
  <c r="S34" i="73"/>
  <c r="X22" i="73"/>
  <c r="S33" i="73"/>
  <c r="P7" i="73"/>
  <c r="O29" i="73"/>
  <c r="O28" i="73"/>
  <c r="R24" i="73"/>
  <c r="X2" i="73"/>
  <c r="W4" i="73"/>
  <c r="V15" i="73"/>
  <c r="U5" i="73"/>
  <c r="Q27" i="73"/>
  <c r="O32" i="73"/>
  <c r="Q15" i="73"/>
  <c r="R3" i="73"/>
  <c r="Y15" i="73"/>
  <c r="S30" i="73"/>
  <c r="U4" i="73"/>
  <c r="R27" i="73"/>
  <c r="W14" i="73"/>
  <c r="P19" i="73"/>
  <c r="Q9" i="73"/>
  <c r="X17" i="73"/>
  <c r="P20" i="73"/>
  <c r="O21" i="73"/>
  <c r="Q19" i="73"/>
  <c r="T12" i="73"/>
  <c r="Q29" i="73"/>
  <c r="T5" i="73"/>
  <c r="T13" i="73"/>
  <c r="S14" i="73"/>
  <c r="O17" i="73"/>
  <c r="T17" i="73"/>
  <c r="P12" i="73"/>
  <c r="V19" i="73"/>
  <c r="Y5" i="73"/>
  <c r="T18" i="73"/>
  <c r="U31" i="73"/>
  <c r="V32" i="73"/>
  <c r="W29" i="73"/>
  <c r="P13" i="73"/>
  <c r="R19" i="73"/>
  <c r="X6" i="73"/>
  <c r="U11" i="73"/>
  <c r="Q23" i="73"/>
  <c r="Q24" i="73"/>
  <c r="P25" i="73"/>
  <c r="W32" i="73"/>
  <c r="X33" i="73"/>
  <c r="Q4" i="73"/>
  <c r="P27" i="73"/>
  <c r="X21" i="73"/>
  <c r="S12" i="73"/>
  <c r="V28" i="73"/>
  <c r="T23" i="73"/>
  <c r="P3" i="73"/>
  <c r="O5" i="73"/>
  <c r="R23" i="73"/>
  <c r="V2" i="73"/>
  <c r="R26" i="73"/>
  <c r="Q18" i="73"/>
  <c r="V6" i="73"/>
  <c r="Q12" i="73"/>
  <c r="V17" i="73"/>
  <c r="V24" i="73"/>
  <c r="R34" i="73"/>
  <c r="P23" i="73"/>
  <c r="R28" i="73"/>
  <c r="R8" i="73"/>
  <c r="O23" i="73"/>
  <c r="S4" i="73"/>
  <c r="V14" i="73"/>
  <c r="Q22" i="73"/>
  <c r="O12" i="73"/>
  <c r="W8" i="73"/>
  <c r="W5" i="73"/>
  <c r="X3" i="73"/>
  <c r="P4" i="73"/>
  <c r="X7" i="73"/>
  <c r="V33" i="73"/>
  <c r="W23" i="73"/>
  <c r="O11" i="73"/>
  <c r="U21" i="73"/>
  <c r="T2" i="73"/>
  <c r="U24" i="73"/>
  <c r="U23" i="73"/>
  <c r="Y14" i="73"/>
  <c r="R14" i="73"/>
  <c r="P33" i="73"/>
  <c r="V16" i="73"/>
  <c r="X26" i="73"/>
  <c r="O19" i="73"/>
  <c r="T26" i="73"/>
  <c r="U7" i="73"/>
  <c r="Y21" i="73"/>
  <c r="T7" i="73"/>
  <c r="X10" i="73"/>
  <c r="O26" i="73"/>
  <c r="S18" i="73"/>
  <c r="Q5" i="73"/>
  <c r="Y11" i="73"/>
  <c r="O18" i="73"/>
  <c r="Y30" i="73"/>
  <c r="P34" i="73"/>
  <c r="S5" i="73"/>
  <c r="V3" i="73"/>
  <c r="Y2" i="73"/>
  <c r="Q32" i="73"/>
  <c r="Y23" i="73"/>
  <c r="S23" i="73"/>
  <c r="Y19" i="73"/>
  <c r="Y7" i="73"/>
  <c r="U12" i="73"/>
  <c r="W6" i="73"/>
  <c r="X31" i="73"/>
  <c r="W7" i="73"/>
  <c r="W30" i="73"/>
  <c r="T33" i="73"/>
  <c r="Q8" i="73"/>
  <c r="O15" i="73"/>
  <c r="P9" i="73"/>
  <c r="X28" i="73"/>
  <c r="R31" i="73"/>
  <c r="X34" i="73"/>
  <c r="S21" i="73"/>
  <c r="Q3" i="73"/>
  <c r="O33" i="73"/>
  <c r="R7" i="73"/>
  <c r="U27" i="73"/>
  <c r="V27" i="73"/>
  <c r="Q10" i="73"/>
  <c r="R12" i="73"/>
  <c r="R17" i="73"/>
  <c r="U20" i="73"/>
  <c r="S22" i="73"/>
  <c r="O9" i="73"/>
  <c r="S11" i="73"/>
  <c r="Q17" i="73"/>
  <c r="V18" i="73"/>
  <c r="X14" i="73"/>
  <c r="W3" i="73"/>
  <c r="O30" i="73"/>
  <c r="P5" i="73"/>
  <c r="X12" i="73"/>
  <c r="R2" i="73"/>
  <c r="V23" i="73"/>
  <c r="P22" i="73"/>
  <c r="Q2" i="73"/>
  <c r="U10" i="73"/>
  <c r="W10" i="73"/>
  <c r="T19" i="73"/>
  <c r="U22" i="73"/>
  <c r="O16" i="73"/>
  <c r="W17" i="73"/>
  <c r="X30" i="73"/>
  <c r="X4" i="73"/>
  <c r="R11" i="73"/>
  <c r="S7" i="73"/>
  <c r="U30" i="73"/>
  <c r="W21" i="73"/>
  <c r="Y27" i="73"/>
  <c r="V4" i="73"/>
  <c r="G13" i="75"/>
  <c r="H13" i="75"/>
  <c r="K13" i="75"/>
  <c r="C12" i="75"/>
  <c r="F12" i="75"/>
  <c r="I12" i="75"/>
  <c r="A12" i="75"/>
  <c r="J13" i="75"/>
  <c r="E13" i="75"/>
  <c r="B12" i="75"/>
  <c r="F116" i="63"/>
  <c r="H10" i="62"/>
  <c r="E11" i="62"/>
  <c r="D10" i="62"/>
  <c r="D7" i="62"/>
  <c r="K6" i="62"/>
  <c r="I6" i="62"/>
  <c r="D9" i="62"/>
  <c r="K9" i="62" s="1"/>
  <c r="H7" i="62"/>
  <c r="E9" i="62"/>
  <c r="E7" i="62"/>
  <c r="F115" i="63" s="1"/>
  <c r="C9" i="62"/>
  <c r="E113" i="63" s="1"/>
  <c r="G11" i="62"/>
  <c r="D13" i="75" l="1"/>
  <c r="C13" i="75"/>
  <c r="J12" i="75"/>
  <c r="F13" i="75"/>
  <c r="B11" i="75"/>
  <c r="E114" i="63"/>
  <c r="I10" i="62"/>
  <c r="F113" i="63"/>
  <c r="I9" i="62"/>
  <c r="E8" i="62"/>
  <c r="I8" i="62" s="1"/>
  <c r="I7" i="62"/>
  <c r="I11" i="62"/>
  <c r="G115" i="63" l="1"/>
  <c r="K21" i="75"/>
  <c r="E23" i="75"/>
  <c r="D21" i="75"/>
  <c r="J26" i="75"/>
  <c r="E36" i="75"/>
  <c r="G38" i="75"/>
  <c r="A40" i="75"/>
  <c r="H16" i="75"/>
  <c r="A38" i="75"/>
  <c r="A37" i="75"/>
  <c r="J34" i="75"/>
  <c r="K39" i="75"/>
  <c r="I17" i="75"/>
  <c r="G20" i="75"/>
  <c r="D30" i="75"/>
  <c r="F34" i="75"/>
  <c r="A20" i="75"/>
  <c r="G16" i="75"/>
  <c r="G17" i="75"/>
  <c r="E14" i="75"/>
  <c r="B39" i="75"/>
  <c r="F23" i="75"/>
  <c r="C39" i="75"/>
  <c r="K36" i="75"/>
  <c r="D31" i="75"/>
  <c r="H19" i="75"/>
  <c r="E22" i="75"/>
  <c r="J27" i="75"/>
  <c r="J21" i="75"/>
  <c r="B19" i="75"/>
  <c r="J38" i="75"/>
  <c r="G27" i="75"/>
  <c r="K26" i="75"/>
  <c r="G22" i="75"/>
  <c r="H20" i="75"/>
  <c r="J17" i="75"/>
  <c r="I26" i="75"/>
  <c r="A41" i="75"/>
  <c r="G19" i="75"/>
  <c r="I32" i="75"/>
  <c r="A15" i="75"/>
  <c r="H22" i="75"/>
  <c r="J33" i="75"/>
  <c r="E40" i="75"/>
  <c r="E29" i="75"/>
  <c r="E18" i="75"/>
  <c r="E26" i="75"/>
  <c r="J40" i="75"/>
  <c r="F16" i="75"/>
  <c r="A29" i="75"/>
  <c r="D26" i="75"/>
  <c r="J31" i="75"/>
  <c r="F26" i="75"/>
  <c r="J36" i="75"/>
  <c r="C31" i="75"/>
  <c r="F14" i="75"/>
  <c r="C35" i="75"/>
  <c r="D20" i="75"/>
  <c r="K41" i="75"/>
  <c r="D34" i="75"/>
  <c r="J23" i="75"/>
  <c r="F32" i="75"/>
  <c r="H25" i="75"/>
  <c r="B20" i="75"/>
  <c r="K25" i="75"/>
  <c r="I36" i="75"/>
  <c r="C32" i="75"/>
  <c r="F18" i="75"/>
  <c r="J19" i="75"/>
  <c r="C27" i="75"/>
  <c r="F35" i="75"/>
  <c r="K33" i="75"/>
  <c r="H27" i="75"/>
  <c r="I20" i="75"/>
  <c r="B26" i="75"/>
  <c r="D36" i="75"/>
  <c r="C28" i="75"/>
  <c r="E37" i="75"/>
  <c r="E33" i="75"/>
  <c r="F27" i="75"/>
  <c r="J18" i="75"/>
  <c r="E41" i="75"/>
  <c r="D39" i="75"/>
  <c r="B27" i="75"/>
  <c r="B25" i="75"/>
  <c r="F28" i="75"/>
  <c r="C19" i="75"/>
  <c r="D32" i="75"/>
  <c r="F22" i="75"/>
  <c r="H33" i="75"/>
  <c r="G24" i="75"/>
  <c r="E15" i="75"/>
  <c r="D25" i="75"/>
  <c r="E27" i="75"/>
  <c r="B29" i="75"/>
  <c r="C20" i="75"/>
  <c r="I25" i="75"/>
  <c r="J25" i="75"/>
  <c r="K37" i="75"/>
  <c r="F30" i="75"/>
  <c r="B15" i="75"/>
  <c r="G31" i="75"/>
  <c r="G25" i="75"/>
  <c r="F21" i="75"/>
  <c r="I22" i="75"/>
  <c r="I15" i="75"/>
  <c r="C26" i="75"/>
  <c r="E16" i="75"/>
  <c r="E38" i="75"/>
  <c r="H36" i="75"/>
  <c r="A25" i="75"/>
  <c r="I37" i="75"/>
  <c r="J39" i="75"/>
  <c r="E39" i="75"/>
  <c r="G37" i="75"/>
  <c r="H26" i="75"/>
  <c r="K19" i="75"/>
  <c r="G30" i="75"/>
  <c r="I33" i="75"/>
  <c r="E24" i="75"/>
  <c r="E31" i="75"/>
  <c r="H39" i="75"/>
  <c r="G18" i="75"/>
  <c r="C41" i="75"/>
  <c r="C18" i="75"/>
  <c r="D22" i="75"/>
  <c r="I19" i="75"/>
  <c r="I40" i="75"/>
  <c r="H17" i="75"/>
  <c r="C15" i="75"/>
  <c r="H23" i="75"/>
  <c r="E20" i="75"/>
  <c r="H30" i="75"/>
  <c r="C38" i="75"/>
  <c r="B38" i="75"/>
  <c r="K14" i="75"/>
  <c r="G29" i="75"/>
  <c r="D28" i="75"/>
  <c r="I30" i="75"/>
  <c r="A23" i="75"/>
  <c r="D37" i="75"/>
  <c r="B16" i="75"/>
  <c r="C29" i="75"/>
  <c r="H41" i="75"/>
  <c r="C40" i="75"/>
  <c r="F15" i="75"/>
  <c r="H34" i="75"/>
  <c r="B41" i="75"/>
  <c r="G15" i="75"/>
  <c r="H40" i="75"/>
  <c r="B24" i="75"/>
  <c r="C24" i="75"/>
  <c r="D33" i="75"/>
  <c r="C37" i="75"/>
  <c r="I38" i="75"/>
  <c r="E17" i="75"/>
  <c r="G34" i="75"/>
  <c r="A26" i="75"/>
  <c r="A18" i="75"/>
  <c r="A35" i="75"/>
  <c r="D24" i="75"/>
  <c r="K35" i="75"/>
  <c r="B18" i="75"/>
  <c r="E32" i="75"/>
  <c r="H32" i="75"/>
  <c r="F19" i="75"/>
  <c r="H29" i="75"/>
  <c r="C17" i="75"/>
  <c r="K24" i="75"/>
  <c r="F31" i="75"/>
  <c r="K17" i="75"/>
  <c r="A31" i="75"/>
  <c r="H21" i="75"/>
  <c r="J14" i="75"/>
  <c r="B32" i="75"/>
  <c r="K40" i="75"/>
  <c r="A36" i="75"/>
  <c r="J32" i="75"/>
  <c r="B22" i="75"/>
  <c r="G23" i="75"/>
  <c r="E35" i="75"/>
  <c r="C22" i="75"/>
  <c r="J24" i="75"/>
  <c r="I16" i="75"/>
  <c r="E30" i="75"/>
  <c r="I21" i="75"/>
  <c r="H28" i="75"/>
  <c r="G40" i="75"/>
  <c r="D19" i="75"/>
  <c r="D16" i="75"/>
  <c r="G14" i="75"/>
  <c r="I27" i="75"/>
  <c r="B17" i="75"/>
  <c r="E28" i="75"/>
  <c r="C14" i="75"/>
  <c r="F38" i="75"/>
  <c r="H35" i="75"/>
  <c r="H38" i="75"/>
  <c r="D41" i="75"/>
  <c r="J15" i="75"/>
  <c r="A16" i="75"/>
  <c r="D29" i="75"/>
  <c r="C36" i="75"/>
  <c r="D17" i="75"/>
  <c r="A17" i="75"/>
  <c r="D40" i="75"/>
  <c r="B37" i="75"/>
  <c r="B35" i="75"/>
  <c r="D15" i="75"/>
  <c r="A27" i="75"/>
  <c r="K32" i="75"/>
  <c r="J20" i="75"/>
  <c r="I28" i="75"/>
  <c r="E34" i="75"/>
  <c r="J22" i="75"/>
  <c r="I35" i="75"/>
  <c r="A19" i="75"/>
  <c r="I34" i="75"/>
  <c r="B33" i="75"/>
  <c r="C34" i="75"/>
  <c r="C23" i="75"/>
  <c r="H18" i="75"/>
  <c r="B21" i="75"/>
  <c r="I29" i="75"/>
  <c r="I31" i="75"/>
  <c r="J35" i="75"/>
  <c r="F40" i="75"/>
  <c r="H15" i="75"/>
  <c r="J28" i="75"/>
  <c r="G41" i="75"/>
  <c r="A33" i="75"/>
  <c r="A21" i="75"/>
  <c r="H24" i="75"/>
  <c r="D23" i="75"/>
  <c r="H37" i="75"/>
  <c r="F39" i="75"/>
  <c r="F17" i="75"/>
  <c r="E19" i="75"/>
  <c r="K38" i="75"/>
  <c r="K16" i="75"/>
  <c r="G36" i="75"/>
  <c r="D18" i="75"/>
  <c r="H31" i="75"/>
  <c r="C21" i="75"/>
  <c r="E25" i="75"/>
  <c r="I18" i="75"/>
  <c r="I23" i="75"/>
  <c r="A24" i="75"/>
  <c r="F36" i="75"/>
  <c r="G28" i="75"/>
  <c r="F20" i="75"/>
  <c r="I41" i="75"/>
  <c r="C33" i="75"/>
  <c r="G26" i="75"/>
  <c r="A30" i="75"/>
  <c r="A34" i="75"/>
  <c r="J16" i="75"/>
  <c r="J41" i="75"/>
  <c r="B40" i="75"/>
  <c r="G21" i="75"/>
  <c r="B14" i="75"/>
  <c r="D14" i="75"/>
  <c r="B34" i="75"/>
  <c r="C16" i="75"/>
  <c r="E21" i="75"/>
  <c r="K29" i="75"/>
  <c r="B28" i="75"/>
  <c r="B30" i="75"/>
  <c r="G33" i="75"/>
  <c r="K28" i="75"/>
  <c r="F37" i="75"/>
  <c r="G39" i="75"/>
  <c r="B31" i="75"/>
  <c r="A32" i="75"/>
  <c r="A28" i="75"/>
  <c r="A39" i="75"/>
  <c r="K23" i="75"/>
  <c r="F33" i="75"/>
  <c r="F29" i="75"/>
  <c r="K31" i="75"/>
  <c r="K20" i="75"/>
  <c r="K22" i="75"/>
  <c r="K34" i="75"/>
  <c r="B36" i="75"/>
  <c r="F24" i="75"/>
  <c r="H14" i="75"/>
  <c r="K30" i="75"/>
  <c r="B23" i="75"/>
  <c r="G35" i="75"/>
  <c r="D35" i="75"/>
  <c r="K18" i="75"/>
  <c r="I24" i="75"/>
  <c r="I14" i="75"/>
  <c r="J37" i="75"/>
  <c r="K27" i="75"/>
  <c r="D38" i="75"/>
  <c r="G32" i="75"/>
  <c r="I39" i="75"/>
  <c r="F25" i="75"/>
  <c r="K15" i="75"/>
  <c r="D27" i="75"/>
  <c r="C30" i="75"/>
  <c r="C25" i="75"/>
  <c r="J29" i="75"/>
  <c r="J30" i="75"/>
  <c r="F41" i="75"/>
  <c r="A22" i="75"/>
  <c r="B1" i="75" l="1"/>
  <c r="L40" i="67" l="1" a="1"/>
  <c r="P25" i="68" a="1"/>
  <c r="O5" i="67" a="1"/>
  <c r="O30" i="68" a="1"/>
  <c r="O57" i="67" a="1"/>
  <c r="P51" i="67" a="1"/>
  <c r="M57" i="68" a="1"/>
  <c r="M34" i="68" a="1"/>
  <c r="O29" i="67" a="1"/>
  <c r="L13" i="68" a="1"/>
  <c r="M31" i="67" a="1"/>
  <c r="M12" i="68" a="1"/>
  <c r="P29" i="67" a="1"/>
  <c r="O26" i="68" a="1"/>
  <c r="M10" i="68" a="1"/>
  <c r="N4" i="68" a="1"/>
  <c r="L18" i="67" a="1"/>
  <c r="O3" i="67" a="1"/>
  <c r="O30" i="67" a="1"/>
  <c r="M16" i="67" a="1"/>
  <c r="M18" i="67" a="1"/>
  <c r="O56" i="67" a="1"/>
  <c r="O5" i="68" a="1"/>
  <c r="P39" i="67" a="1"/>
  <c r="L27" i="68" a="1"/>
  <c r="P53" i="67" a="1"/>
  <c r="M36" i="68" a="1"/>
  <c r="P6" i="68" a="1"/>
  <c r="N23" i="67" a="1"/>
  <c r="O8" i="68" a="1"/>
  <c r="O27" i="68" a="1"/>
  <c r="O41" i="67" a="1"/>
  <c r="M43" i="67" a="1"/>
  <c r="N57" i="68" a="1"/>
  <c r="P47" i="67" a="1"/>
  <c r="M23" i="67" a="1"/>
  <c r="M21" i="67" a="1"/>
  <c r="L33" i="67" a="1"/>
  <c r="M43" i="68" a="1"/>
  <c r="O33" i="68" a="1"/>
  <c r="O14" i="68" a="1"/>
  <c r="O27" i="67" a="1"/>
  <c r="O48" i="68" a="1"/>
  <c r="L10" i="67" a="1"/>
  <c r="L31" i="67" a="1"/>
  <c r="M32" i="67" a="1"/>
  <c r="P41" i="68" a="1"/>
  <c r="L11" i="68" a="1"/>
  <c r="L8" i="67" a="1"/>
  <c r="M28" i="67" a="1"/>
  <c r="M23" i="68" a="1"/>
  <c r="M45" i="68" a="1"/>
  <c r="O4" i="68" a="1"/>
  <c r="L39" i="67" a="1"/>
  <c r="L19" i="68" a="1"/>
  <c r="L7" i="67" a="1"/>
  <c r="N9" i="68" a="1"/>
  <c r="N55" i="68" a="1"/>
  <c r="P24" i="67" a="1"/>
  <c r="N55" i="67" a="1"/>
  <c r="O40" i="67" a="1"/>
  <c r="M54" i="68" a="1"/>
  <c r="L51" i="68" a="1"/>
  <c r="P57" i="68" a="1"/>
  <c r="P30" i="68" a="1"/>
  <c r="M49" i="67" a="1"/>
  <c r="P36" i="68" a="1"/>
  <c r="N3" i="67" a="1"/>
  <c r="O36" i="67" a="1"/>
  <c r="N34" i="68" a="1"/>
  <c r="L13" i="67" a="1"/>
  <c r="N33" i="67" a="1"/>
  <c r="P33" i="67" a="1"/>
  <c r="O53" i="67" a="1"/>
  <c r="M6" i="68" a="1"/>
  <c r="L27" i="67" a="1"/>
  <c r="N46" i="67" a="1"/>
  <c r="O2" i="68" a="1"/>
  <c r="N40" i="68" a="1"/>
  <c r="N14" i="68" a="1"/>
  <c r="P49" i="68" a="1"/>
  <c r="O54" i="68" a="1"/>
  <c r="M21" i="68" a="1"/>
  <c r="M17" i="68" a="1"/>
  <c r="L37" i="67" a="1"/>
  <c r="L5" i="68" a="1"/>
  <c r="N27" i="68" a="1"/>
  <c r="P4" i="67" a="1"/>
  <c r="L24" i="68" a="1"/>
  <c r="N48" i="67" a="1"/>
  <c r="N29" i="68" a="1"/>
  <c r="L18" i="68" a="1"/>
  <c r="O7" i="68" a="1"/>
  <c r="P27" i="67" a="1"/>
  <c r="L9" i="67" a="1"/>
  <c r="L44" i="67" a="1"/>
  <c r="M4" i="68" a="1"/>
  <c r="O25" i="67" a="1"/>
  <c r="L19" i="67" a="1"/>
  <c r="P17" i="67" a="1"/>
  <c r="O39" i="67" a="1"/>
  <c r="N30" i="67" a="1"/>
  <c r="P43" i="68" a="1"/>
  <c r="L42" i="67" a="1"/>
  <c r="O52" i="68" a="1"/>
  <c r="P23" i="68" a="1"/>
  <c r="M47" i="68" a="1"/>
  <c r="N52" i="68" a="1"/>
  <c r="O31" i="67" a="1"/>
  <c r="N38" i="67" a="1"/>
  <c r="M14" i="67" a="1"/>
  <c r="M9" i="67" a="1"/>
  <c r="M26" i="68" a="1"/>
  <c r="N25" i="67" a="1"/>
  <c r="O16" i="67" a="1"/>
  <c r="P19" i="67" a="1"/>
  <c r="M13" i="67" a="1"/>
  <c r="M29" i="67" a="1"/>
  <c r="P50" i="67" a="1"/>
  <c r="P19" i="68" a="1"/>
  <c r="N6" i="68" a="1"/>
  <c r="N56" i="67" a="1"/>
  <c r="M56" i="68" a="1"/>
  <c r="N5" i="67" a="1"/>
  <c r="N16" i="68" a="1"/>
  <c r="P37" i="68" a="1"/>
  <c r="M31" i="68" a="1"/>
  <c r="L45" i="68" a="1"/>
  <c r="L11" i="67" a="1"/>
  <c r="O7" i="67" a="1"/>
  <c r="L3" i="67" a="1"/>
  <c r="M10" i="67" a="1"/>
  <c r="N12" i="68" a="1"/>
  <c r="P57" i="67" a="1"/>
  <c r="N10" i="67" a="1"/>
  <c r="M40" i="68" a="1"/>
  <c r="L48" i="67" a="1"/>
  <c r="L5" i="67" a="1"/>
  <c r="N49" i="68" a="1"/>
  <c r="L34" i="67" a="1"/>
  <c r="N31" i="68" a="1"/>
  <c r="M37" i="67" a="1"/>
  <c r="O38" i="68" a="1"/>
  <c r="M30" i="67" a="1"/>
  <c r="L12" i="67" a="1"/>
  <c r="O55" i="68" a="1"/>
  <c r="P9" i="67" a="1"/>
  <c r="O49" i="68" a="1"/>
  <c r="L45" i="67" a="1"/>
  <c r="P51" i="68" a="1"/>
  <c r="N54" i="68" a="1"/>
  <c r="P12" i="68" a="1"/>
  <c r="L25" i="67" a="1"/>
  <c r="P40" i="67" a="1"/>
  <c r="O57" i="68" a="1"/>
  <c r="M4" i="67" a="1"/>
  <c r="L30" i="68" a="1"/>
  <c r="P23" i="67" a="1"/>
  <c r="L32" i="67" a="1"/>
  <c r="O50" i="67" a="1"/>
  <c r="L54" i="68" a="1"/>
  <c r="M46" i="67" a="1"/>
  <c r="L17" i="67" a="1"/>
  <c r="N15" i="68" a="1"/>
  <c r="N8" i="68" a="1"/>
  <c r="P18" i="67" a="1"/>
  <c r="M5" i="68" a="1"/>
  <c r="P49" i="67" a="1"/>
  <c r="O35" i="67" a="1"/>
  <c r="N43" i="68" a="1"/>
  <c r="M55" i="68" a="1"/>
  <c r="P26" i="67" a="1"/>
  <c r="O21" i="67" a="1"/>
  <c r="L43" i="67" a="1"/>
  <c r="O13" i="68" a="1"/>
  <c r="L14" i="68" a="1"/>
  <c r="P38" i="67" a="1"/>
  <c r="L16" i="68" a="1"/>
  <c r="M48" i="67" a="1"/>
  <c r="P15" i="67" a="1"/>
  <c r="N26" i="67" a="1"/>
  <c r="L57" i="67" a="1"/>
  <c r="P42" i="68" a="1"/>
  <c r="O17" i="67" a="1"/>
  <c r="N2" i="67" a="1"/>
  <c r="L4" i="67" a="1"/>
  <c r="P2" i="68" a="1"/>
  <c r="O12" i="67" a="1"/>
  <c r="M27" i="68" a="1"/>
  <c r="N19" i="68" a="1"/>
  <c r="P9" i="68" a="1"/>
  <c r="O6" i="67" a="1"/>
  <c r="P36" i="67" a="1"/>
  <c r="N35" i="68" a="1"/>
  <c r="O15" i="68" a="1"/>
  <c r="O56" i="68" a="1"/>
  <c r="L46" i="67" a="1"/>
  <c r="M11" i="67" a="1"/>
  <c r="N30" i="68" a="1"/>
  <c r="N16" i="67" a="1"/>
  <c r="L56" i="67" a="1"/>
  <c r="N20" i="68" a="1"/>
  <c r="N52" i="67" a="1"/>
  <c r="L25" i="68" a="1"/>
  <c r="N43" i="67" a="1"/>
  <c r="M18" i="68" a="1"/>
  <c r="P42" i="67" a="1"/>
  <c r="P25" i="67" a="1"/>
  <c r="N57" i="67" a="1"/>
  <c r="N34" i="67" a="1"/>
  <c r="O20" i="68" a="1"/>
  <c r="O23" i="68" a="1"/>
  <c r="N53" i="68" a="1"/>
  <c r="O11" i="68" a="1"/>
  <c r="L3" i="68" a="1"/>
  <c r="L16" i="67" a="1"/>
  <c r="N11" i="68" a="1"/>
  <c r="P48" i="67" a="1"/>
  <c r="M38" i="68" a="1"/>
  <c r="O31" i="68" a="1"/>
  <c r="P13" i="67" a="1"/>
  <c r="L24" i="67" a="1"/>
  <c r="N11" i="67" a="1"/>
  <c r="P22" i="67" a="1"/>
  <c r="L57" i="68" a="1"/>
  <c r="O20" i="67" a="1"/>
  <c r="P28" i="68" a="1"/>
  <c r="M51" i="67" a="1"/>
  <c r="O21" i="68" a="1"/>
  <c r="O46" i="67" a="1"/>
  <c r="N41" i="67" a="1"/>
  <c r="L20" i="68" a="1"/>
  <c r="M24" i="68" a="1"/>
  <c r="M7" i="68" a="1"/>
  <c r="O52" i="67" a="1"/>
  <c r="L14" i="67" a="1"/>
  <c r="O24" i="68" a="1"/>
  <c r="P5" i="68" a="1"/>
  <c r="O33" i="67" a="1"/>
  <c r="O28" i="68" a="1"/>
  <c r="N56" i="68" a="1"/>
  <c r="P47" i="68" a="1"/>
  <c r="P46" i="68" a="1"/>
  <c r="M8" i="67" a="1"/>
  <c r="N23" i="68" a="1"/>
  <c r="N37" i="68" a="1"/>
  <c r="O8" i="67" a="1"/>
  <c r="O9" i="68" a="1"/>
  <c r="P5" i="67" a="1"/>
  <c r="L50" i="68" a="1"/>
  <c r="N47" i="67" a="1"/>
  <c r="P35" i="67" a="1"/>
  <c r="L2" i="67" a="1"/>
  <c r="L23" i="67" a="1"/>
  <c r="M38" i="67" a="1"/>
  <c r="M15" i="67" a="1"/>
  <c r="P3" i="68" a="1"/>
  <c r="N13" i="67" a="1"/>
  <c r="P44" i="68" a="1"/>
  <c r="P20" i="68" a="1"/>
  <c r="N27" i="67" a="1"/>
  <c r="L26" i="67" a="1"/>
  <c r="O37" i="67" a="1"/>
  <c r="O34" i="68" a="1"/>
  <c r="M41" i="68" a="1"/>
  <c r="P8" i="67" a="1"/>
  <c r="N9" i="67" a="1"/>
  <c r="L41" i="68" a="1"/>
  <c r="O10" i="67" a="1"/>
  <c r="P32" i="68" a="1"/>
  <c r="N25" i="68" a="1"/>
  <c r="M51" i="68" a="1"/>
  <c r="M11" i="68" a="1"/>
  <c r="N42" i="67" a="1"/>
  <c r="L26" i="68" a="1"/>
  <c r="N50" i="68" a="1"/>
  <c r="M44" i="67" a="1"/>
  <c r="O25" i="68" a="1"/>
  <c r="O2" i="67" a="1"/>
  <c r="N13" i="68" a="1"/>
  <c r="O12" i="68" a="1"/>
  <c r="N7" i="67" a="1"/>
  <c r="P43" i="67" a="1"/>
  <c r="N47" i="68" a="1"/>
  <c r="N36" i="67" a="1"/>
  <c r="L36" i="68" a="1"/>
  <c r="O55" i="67" a="1"/>
  <c r="M16" i="68" a="1"/>
  <c r="L15" i="68" a="1"/>
  <c r="L53" i="67" a="1"/>
  <c r="P26" i="68" a="1"/>
  <c r="O18" i="67" a="1"/>
  <c r="L49" i="68" a="1"/>
  <c r="N12" i="67" a="1"/>
  <c r="N21" i="68" a="1"/>
  <c r="M29" i="68" a="1"/>
  <c r="P27" i="68" a="1"/>
  <c r="P32" i="67" a="1"/>
  <c r="N53" i="67" a="1"/>
  <c r="O24" i="67" a="1"/>
  <c r="N29" i="67" a="1"/>
  <c r="N17" i="68" a="1"/>
  <c r="N37" i="67" a="1"/>
  <c r="P11" i="68" a="1"/>
  <c r="P10" i="67" a="1"/>
  <c r="M53" i="67" a="1"/>
  <c r="N36" i="68" a="1"/>
  <c r="N48" i="68" a="1"/>
  <c r="M34" i="67" a="1"/>
  <c r="M14" i="68" a="1"/>
  <c r="O10" i="68" a="1"/>
  <c r="O19" i="68" a="1"/>
  <c r="O13" i="67" a="1"/>
  <c r="P2" i="67" a="1"/>
  <c r="O44" i="67" a="1"/>
  <c r="P21" i="67" a="1"/>
  <c r="M49" i="68" a="1"/>
  <c r="P11" i="67" a="1"/>
  <c r="M26" i="67" a="1"/>
  <c r="O51" i="67" a="1"/>
  <c r="P29" i="68" a="1"/>
  <c r="P54" i="68" a="1"/>
  <c r="O41" i="68" a="1"/>
  <c r="O9" i="67" a="1"/>
  <c r="N35" i="67" a="1"/>
  <c r="P46" i="67" a="1"/>
  <c r="O19" i="67" a="1"/>
  <c r="O42" i="68" a="1"/>
  <c r="M22" i="68" a="1"/>
  <c r="L46" i="68" a="1"/>
  <c r="N17" i="67" a="1"/>
  <c r="N42" i="68" a="1"/>
  <c r="O32" i="67" a="1"/>
  <c r="M44" i="68" a="1"/>
  <c r="P37" i="67" a="1"/>
  <c r="P16" i="68" a="1"/>
  <c r="M39" i="67" a="1"/>
  <c r="N22" i="67" a="1"/>
  <c r="N39" i="67" a="1"/>
  <c r="L7" i="68" a="1"/>
  <c r="M2" i="67" a="1"/>
  <c r="L2" i="68" a="1"/>
  <c r="L33" i="68" a="1"/>
  <c r="L52" i="67" a="1"/>
  <c r="O43" i="67" a="1"/>
  <c r="P13" i="68" a="1"/>
  <c r="N10" i="68" a="1"/>
  <c r="O15" i="67" a="1"/>
  <c r="N24" i="67" a="1"/>
  <c r="M33" i="67" a="1"/>
  <c r="M52" i="67" a="1"/>
  <c r="O17" i="68" a="1"/>
  <c r="M25" i="68" a="1"/>
  <c r="P24" i="68" a="1"/>
  <c r="N33" i="68" a="1"/>
  <c r="L6" i="68" a="1"/>
  <c r="P52" i="67" a="1"/>
  <c r="O29" i="68" a="1"/>
  <c r="L39" i="68" a="1"/>
  <c r="P34" i="67" a="1"/>
  <c r="L12" i="68" a="1"/>
  <c r="O6" i="68" a="1"/>
  <c r="M55" i="67" a="1"/>
  <c r="O42" i="67" a="1"/>
  <c r="N18" i="67" a="1"/>
  <c r="M57" i="67" a="1"/>
  <c r="O45" i="67" a="1"/>
  <c r="N32" i="68" a="1"/>
  <c r="M53" i="68" a="1"/>
  <c r="L52" i="68" a="1"/>
  <c r="M17" i="67" a="1"/>
  <c r="L28" i="67" a="1"/>
  <c r="P22" i="68" a="1"/>
  <c r="O53" i="68" a="1"/>
  <c r="L40" i="68" a="1"/>
  <c r="P30" i="67" a="1"/>
  <c r="M56" i="67" a="1"/>
  <c r="O46" i="68" a="1"/>
  <c r="L32" i="68" a="1"/>
  <c r="P16" i="67" a="1"/>
  <c r="L21" i="68" a="1"/>
  <c r="L43" i="68" a="1"/>
  <c r="L22" i="68" a="1"/>
  <c r="P7" i="67" a="1"/>
  <c r="P31" i="67" a="1"/>
  <c r="M22" i="67" a="1"/>
  <c r="N15" i="67" a="1"/>
  <c r="M2" i="68" a="1"/>
  <c r="O43" i="68" a="1"/>
  <c r="M24" i="67" a="1"/>
  <c r="N50" i="67" a="1"/>
  <c r="P4" i="68" a="1"/>
  <c r="P35" i="68" a="1"/>
  <c r="P45" i="68" a="1"/>
  <c r="N21" i="67" a="1"/>
  <c r="P39" i="68" a="1"/>
  <c r="M54" i="67" a="1"/>
  <c r="M28" i="68" a="1"/>
  <c r="P31" i="68" a="1"/>
  <c r="M8" i="68" a="1"/>
  <c r="L54" i="67" a="1"/>
  <c r="P50" i="68" a="1"/>
  <c r="M9" i="68" a="1"/>
  <c r="N28" i="68" a="1"/>
  <c r="L34" i="68" a="1"/>
  <c r="O11" i="67" a="1"/>
  <c r="L42" i="68" a="1"/>
  <c r="N45" i="68" a="1"/>
  <c r="M5" i="67" a="1"/>
  <c r="P14" i="67" a="1"/>
  <c r="N8" i="67" a="1"/>
  <c r="M41" i="67" a="1"/>
  <c r="M12" i="67" a="1"/>
  <c r="N44" i="67" a="1"/>
  <c r="M6" i="67" a="1"/>
  <c r="N26" i="68" a="1"/>
  <c r="O39" i="68" a="1"/>
  <c r="N40" i="67" a="1"/>
  <c r="N6" i="67" a="1"/>
  <c r="P18" i="68" a="1"/>
  <c r="N3" i="68" a="1"/>
  <c r="L44" i="68" a="1"/>
  <c r="M36" i="67" a="1"/>
  <c r="O35" i="68" a="1"/>
  <c r="P52" i="68" a="1"/>
  <c r="M35" i="67" a="1"/>
  <c r="L56" i="68" a="1"/>
  <c r="M19" i="67" a="1"/>
  <c r="P34" i="68" a="1"/>
  <c r="N4" i="67" a="1"/>
  <c r="L37" i="68" a="1"/>
  <c r="N38" i="68" a="1"/>
  <c r="O37" i="68" a="1"/>
  <c r="O34" i="67" a="1"/>
  <c r="L6" i="67" a="1"/>
  <c r="P45" i="67" a="1"/>
  <c r="O18" i="68" a="1"/>
  <c r="P14" i="68" a="1"/>
  <c r="P6" i="67" a="1"/>
  <c r="O28" i="67" a="1"/>
  <c r="P7" i="68" a="1"/>
  <c r="P54" i="67" a="1"/>
  <c r="M25" i="67" a="1"/>
  <c r="N44" i="68" a="1"/>
  <c r="P20" i="67" a="1"/>
  <c r="L31" i="68" a="1"/>
  <c r="N5" i="68" a="1"/>
  <c r="L28" i="68" a="1"/>
  <c r="N19" i="67" a="1"/>
  <c r="M39" i="68" a="1"/>
  <c r="P3" i="67" a="1"/>
  <c r="L35" i="68" a="1"/>
  <c r="M7" i="67" a="1"/>
  <c r="O47" i="67" a="1"/>
  <c r="O38" i="67" a="1"/>
  <c r="P41" i="67" a="1"/>
  <c r="P17" i="68" a="1"/>
  <c r="O3" i="68" a="1"/>
  <c r="M48" i="68" a="1"/>
  <c r="O36" i="68" a="1"/>
  <c r="M47" i="67" a="1"/>
  <c r="L29" i="67" a="1"/>
  <c r="M45" i="67" a="1"/>
  <c r="M52" i="68" a="1"/>
  <c r="P10" i="68" a="1"/>
  <c r="L23" i="68" a="1"/>
  <c r="N7" i="68" a="1"/>
  <c r="L47" i="68" a="1"/>
  <c r="O16" i="68" a="1"/>
  <c r="P55" i="67" a="1"/>
  <c r="N51" i="67" a="1"/>
  <c r="L41" i="67" a="1"/>
  <c r="L10" i="68" a="1"/>
  <c r="N31" i="67" a="1"/>
  <c r="P38" i="68" a="1"/>
  <c r="M32" i="68" a="1"/>
  <c r="N32" i="67" a="1"/>
  <c r="O47" i="68" a="1"/>
  <c r="P55" i="68" a="1"/>
  <c r="M50" i="68" a="1"/>
  <c r="O23" i="67" a="1"/>
  <c r="M30" i="68" a="1"/>
  <c r="O14" i="67" a="1"/>
  <c r="L49" i="67" a="1"/>
  <c r="P21" i="68" a="1"/>
  <c r="P40" i="68" a="1"/>
  <c r="P44" i="67" a="1"/>
  <c r="M27" i="67" a="1"/>
  <c r="L21" i="67" a="1"/>
  <c r="O44" i="68" a="1"/>
  <c r="N28" i="67" a="1"/>
  <c r="L9" i="68" a="1"/>
  <c r="M42" i="68" a="1"/>
  <c r="L47" i="67" a="1"/>
  <c r="M33" i="68" a="1"/>
  <c r="L55" i="68" a="1"/>
  <c r="L8" i="68" a="1"/>
  <c r="N54" i="67" a="1"/>
  <c r="M13" i="68" a="1"/>
  <c r="N46" i="68" a="1"/>
  <c r="L22" i="67" a="1"/>
  <c r="O45" i="68" a="1"/>
  <c r="M19" i="68" a="1"/>
  <c r="N20" i="67" a="1"/>
  <c r="M15" i="68" a="1"/>
  <c r="N18" i="68" a="1"/>
  <c r="M20" i="67" a="1"/>
  <c r="P28" i="67" a="1"/>
  <c r="N22" i="68" a="1"/>
  <c r="M46" i="68" a="1"/>
  <c r="O49" i="67" a="1"/>
  <c r="N45" i="67" a="1"/>
  <c r="L29" i="68" a="1"/>
  <c r="L30" i="67" a="1"/>
  <c r="O22" i="68" a="1"/>
  <c r="O32" i="68" a="1"/>
  <c r="M40" i="67" a="1"/>
  <c r="N14" i="67" a="1"/>
  <c r="L38" i="67" a="1"/>
  <c r="O50" i="68" a="1"/>
  <c r="L4" i="68" a="1"/>
  <c r="P48" i="68" a="1"/>
  <c r="O51" i="68" a="1"/>
  <c r="L55" i="67" a="1"/>
  <c r="O26" i="67" a="1"/>
  <c r="L51" i="67" a="1"/>
  <c r="P8" i="68" a="1"/>
  <c r="L36" i="67" a="1"/>
  <c r="L38" i="68" a="1"/>
  <c r="P12" i="67" a="1"/>
  <c r="N24" i="68" a="1"/>
  <c r="M20" i="68" a="1"/>
  <c r="N51" i="68" a="1"/>
  <c r="P53" i="68" a="1"/>
  <c r="M37" i="68" a="1"/>
  <c r="P56" i="68" a="1"/>
  <c r="O22" i="67" a="1"/>
  <c r="O4" i="67" a="1"/>
  <c r="L17" i="68" a="1"/>
  <c r="P56" i="67" a="1"/>
  <c r="L35" i="67" a="1"/>
  <c r="M50" i="67" a="1"/>
  <c r="L15" i="67" a="1"/>
  <c r="N2" i="68" a="1"/>
  <c r="M42" i="67" a="1"/>
  <c r="L48" i="68" a="1"/>
  <c r="M3" i="67" a="1"/>
  <c r="L50" i="67" a="1"/>
  <c r="P33" i="68" a="1"/>
  <c r="N39" i="68" a="1"/>
  <c r="O48" i="67" a="1"/>
  <c r="L20" i="67" a="1"/>
  <c r="O54" i="67" a="1"/>
  <c r="O40" i="68" a="1"/>
  <c r="M3" i="68" a="1"/>
  <c r="P15" i="68" a="1"/>
  <c r="N41" i="68" a="1"/>
  <c r="L53" i="68" a="1"/>
  <c r="M35" i="68" a="1"/>
  <c r="N49" i="67" a="1"/>
  <c r="N49" i="67" l="1"/>
  <c r="B49" i="69" s="1"/>
  <c r="M35" i="68"/>
  <c r="L53" i="68"/>
  <c r="A53" i="70" s="1"/>
  <c r="N41" i="68"/>
  <c r="B41" i="70" s="1"/>
  <c r="P15" i="68"/>
  <c r="D15" i="70" s="1"/>
  <c r="M3" i="68"/>
  <c r="O40" i="68"/>
  <c r="C40" i="70" s="1"/>
  <c r="O54" i="67"/>
  <c r="C54" i="69" s="1"/>
  <c r="L20" i="67"/>
  <c r="A20" i="69" s="1"/>
  <c r="O48" i="67"/>
  <c r="C48" i="69" s="1"/>
  <c r="N39" i="68"/>
  <c r="B39" i="70" s="1"/>
  <c r="P33" i="68"/>
  <c r="D33" i="70" s="1"/>
  <c r="L50" i="67"/>
  <c r="A50" i="69" s="1"/>
  <c r="M3" i="67"/>
  <c r="L48" i="68"/>
  <c r="A48" i="70" s="1"/>
  <c r="M42" i="67"/>
  <c r="N2" i="68"/>
  <c r="B2" i="70" s="1"/>
  <c r="L15" i="67"/>
  <c r="A15" i="69" s="1"/>
  <c r="M50" i="67"/>
  <c r="L35" i="67"/>
  <c r="A35" i="69" s="1"/>
  <c r="P56" i="67"/>
  <c r="D56" i="69" s="1"/>
  <c r="L17" i="68"/>
  <c r="A17" i="70" s="1"/>
  <c r="O4" i="67"/>
  <c r="C4" i="69" s="1"/>
  <c r="O22" i="67"/>
  <c r="C22" i="69" s="1"/>
  <c r="P56" i="68"/>
  <c r="D56" i="70" s="1"/>
  <c r="M37" i="68"/>
  <c r="P53" i="68"/>
  <c r="D53" i="70" s="1"/>
  <c r="N51" i="68"/>
  <c r="B51" i="70" s="1"/>
  <c r="M20" i="68"/>
  <c r="N24" i="68"/>
  <c r="B24" i="70" s="1"/>
  <c r="P12" i="67"/>
  <c r="D12" i="69" s="1"/>
  <c r="L38" i="68"/>
  <c r="A38" i="70" s="1"/>
  <c r="L36" i="67"/>
  <c r="A36" i="69" s="1"/>
  <c r="P8" i="68"/>
  <c r="D8" i="70" s="1"/>
  <c r="L51" i="67"/>
  <c r="A51" i="69" s="1"/>
  <c r="O26" i="67"/>
  <c r="C26" i="69" s="1"/>
  <c r="L55" i="67"/>
  <c r="A55" i="69" s="1"/>
  <c r="O51" i="68"/>
  <c r="C51" i="70" s="1"/>
  <c r="P48" i="68"/>
  <c r="D48" i="70" s="1"/>
  <c r="L4" i="68"/>
  <c r="A4" i="70" s="1"/>
  <c r="O50" i="68"/>
  <c r="C50" i="70" s="1"/>
  <c r="L38" i="67"/>
  <c r="A38" i="69" s="1"/>
  <c r="N14" i="67"/>
  <c r="B14" i="69" s="1"/>
  <c r="M40" i="67"/>
  <c r="O32" i="68"/>
  <c r="C32" i="70" s="1"/>
  <c r="O22" i="68"/>
  <c r="C22" i="70" s="1"/>
  <c r="L30" i="67"/>
  <c r="A30" i="69" s="1"/>
  <c r="L29" i="68"/>
  <c r="A29" i="70" s="1"/>
  <c r="N45" i="67"/>
  <c r="B45" i="69" s="1"/>
  <c r="O49" i="67"/>
  <c r="C49" i="69" s="1"/>
  <c r="M46" i="68"/>
  <c r="N22" i="68"/>
  <c r="B22" i="70" s="1"/>
  <c r="P28" i="67"/>
  <c r="D28" i="69" s="1"/>
  <c r="M20" i="67"/>
  <c r="N18" i="68"/>
  <c r="B18" i="70" s="1"/>
  <c r="M15" i="68"/>
  <c r="N20" i="67"/>
  <c r="B20" i="69" s="1"/>
  <c r="M19" i="68"/>
  <c r="O45" i="68"/>
  <c r="C45" i="70" s="1"/>
  <c r="L22" i="67"/>
  <c r="A22" i="69" s="1"/>
  <c r="N46" i="68"/>
  <c r="B46" i="70" s="1"/>
  <c r="M13" i="68"/>
  <c r="N54" i="67"/>
  <c r="B54" i="69" s="1"/>
  <c r="L8" i="68"/>
  <c r="A8" i="70" s="1"/>
  <c r="L55" i="68"/>
  <c r="A55" i="70" s="1"/>
  <c r="M33" i="68"/>
  <c r="L47" i="67"/>
  <c r="A47" i="69" s="1"/>
  <c r="M42" i="68"/>
  <c r="L9" i="68"/>
  <c r="A9" i="70" s="1"/>
  <c r="N28" i="67"/>
  <c r="B28" i="69" s="1"/>
  <c r="O44" i="68"/>
  <c r="C44" i="70" s="1"/>
  <c r="L21" i="67"/>
  <c r="A21" i="69" s="1"/>
  <c r="M27" i="67"/>
  <c r="P44" i="67"/>
  <c r="D44" i="69" s="1"/>
  <c r="P40" i="68"/>
  <c r="D40" i="70" s="1"/>
  <c r="P21" i="68"/>
  <c r="D21" i="70" s="1"/>
  <c r="L49" i="67"/>
  <c r="A49" i="69" s="1"/>
  <c r="O14" i="67"/>
  <c r="C14" i="69" s="1"/>
  <c r="M30" i="68"/>
  <c r="O23" i="67"/>
  <c r="C23" i="69" s="1"/>
  <c r="M50" i="68"/>
  <c r="P55" i="68"/>
  <c r="D55" i="70" s="1"/>
  <c r="O47" i="68"/>
  <c r="C47" i="70" s="1"/>
  <c r="N32" i="67"/>
  <c r="B32" i="69" s="1"/>
  <c r="M32" i="68"/>
  <c r="P38" i="68"/>
  <c r="D38" i="70" s="1"/>
  <c r="N31" i="67"/>
  <c r="B31" i="69" s="1"/>
  <c r="L10" i="68"/>
  <c r="A10" i="70" s="1"/>
  <c r="L41" i="67"/>
  <c r="A41" i="69" s="1"/>
  <c r="N51" i="67"/>
  <c r="B51" i="69" s="1"/>
  <c r="P55" i="67"/>
  <c r="D55" i="69" s="1"/>
  <c r="O16" i="68"/>
  <c r="C16" i="70" s="1"/>
  <c r="L47" i="68"/>
  <c r="A47" i="70" s="1"/>
  <c r="N7" i="68"/>
  <c r="B7" i="70" s="1"/>
  <c r="L23" i="68"/>
  <c r="A23" i="70" s="1"/>
  <c r="P10" i="68"/>
  <c r="D10" i="70" s="1"/>
  <c r="M52" i="68"/>
  <c r="M45" i="67"/>
  <c r="L29" i="67"/>
  <c r="A29" i="69" s="1"/>
  <c r="M47" i="67"/>
  <c r="O36" i="68"/>
  <c r="C36" i="70" s="1"/>
  <c r="M48" i="68"/>
  <c r="O3" i="68"/>
  <c r="C3" i="70" s="1"/>
  <c r="P17" i="68"/>
  <c r="D17" i="70" s="1"/>
  <c r="P41" i="67"/>
  <c r="D41" i="69" s="1"/>
  <c r="O38" i="67"/>
  <c r="C38" i="69" s="1"/>
  <c r="O47" i="67"/>
  <c r="C47" i="69" s="1"/>
  <c r="M7" i="67"/>
  <c r="L35" i="68"/>
  <c r="A35" i="70" s="1"/>
  <c r="P3" i="67"/>
  <c r="D3" i="69" s="1"/>
  <c r="M39" i="68"/>
  <c r="N19" i="67"/>
  <c r="B19" i="69" s="1"/>
  <c r="L28" i="68"/>
  <c r="A28" i="70" s="1"/>
  <c r="N5" i="68"/>
  <c r="B5" i="70" s="1"/>
  <c r="L31" i="68"/>
  <c r="A31" i="70" s="1"/>
  <c r="P20" i="67"/>
  <c r="D20" i="69" s="1"/>
  <c r="N44" i="68"/>
  <c r="B44" i="70" s="1"/>
  <c r="M25" i="67"/>
  <c r="P54" i="67"/>
  <c r="D54" i="69" s="1"/>
  <c r="P7" i="68"/>
  <c r="D7" i="70" s="1"/>
  <c r="O28" i="67"/>
  <c r="C28" i="69" s="1"/>
  <c r="P6" i="67"/>
  <c r="D6" i="69" s="1"/>
  <c r="P14" i="68"/>
  <c r="D14" i="70" s="1"/>
  <c r="O18" i="68"/>
  <c r="C18" i="70" s="1"/>
  <c r="P45" i="67"/>
  <c r="D45" i="69" s="1"/>
  <c r="L6" i="67"/>
  <c r="A6" i="69" s="1"/>
  <c r="O34" i="67"/>
  <c r="C34" i="69" s="1"/>
  <c r="O37" i="68"/>
  <c r="C37" i="70" s="1"/>
  <c r="N38" i="68"/>
  <c r="B38" i="70" s="1"/>
  <c r="L37" i="68"/>
  <c r="A37" i="70" s="1"/>
  <c r="N4" i="67"/>
  <c r="B4" i="69" s="1"/>
  <c r="P34" i="68"/>
  <c r="D34" i="70" s="1"/>
  <c r="M19" i="67"/>
  <c r="L56" i="68"/>
  <c r="A56" i="70" s="1"/>
  <c r="M35" i="67"/>
  <c r="P52" i="68"/>
  <c r="D52" i="70" s="1"/>
  <c r="O35" i="68"/>
  <c r="C35" i="70" s="1"/>
  <c r="M36" i="67"/>
  <c r="L44" i="68"/>
  <c r="A44" i="70" s="1"/>
  <c r="N3" i="68"/>
  <c r="B3" i="70" s="1"/>
  <c r="P18" i="68"/>
  <c r="D18" i="70" s="1"/>
  <c r="N6" i="67"/>
  <c r="B6" i="69" s="1"/>
  <c r="N40" i="67"/>
  <c r="B40" i="69" s="1"/>
  <c r="O39" i="68"/>
  <c r="C39" i="70" s="1"/>
  <c r="N26" i="68"/>
  <c r="B26" i="70" s="1"/>
  <c r="M6" i="67"/>
  <c r="N44" i="67"/>
  <c r="B44" i="69" s="1"/>
  <c r="M12" i="67"/>
  <c r="M41" i="67"/>
  <c r="N8" i="67"/>
  <c r="B8" i="69" s="1"/>
  <c r="P14" i="67"/>
  <c r="D14" i="69" s="1"/>
  <c r="M5" i="67"/>
  <c r="N45" i="68"/>
  <c r="B45" i="70" s="1"/>
  <c r="L42" i="68"/>
  <c r="A42" i="70" s="1"/>
  <c r="O11" i="67"/>
  <c r="C11" i="69" s="1"/>
  <c r="L34" i="68"/>
  <c r="A34" i="70" s="1"/>
  <c r="N28" i="68"/>
  <c r="B28" i="70" s="1"/>
  <c r="M9" i="68"/>
  <c r="P50" i="68"/>
  <c r="D50" i="70" s="1"/>
  <c r="L54" i="67"/>
  <c r="A54" i="69" s="1"/>
  <c r="M8" i="68"/>
  <c r="P31" i="68"/>
  <c r="D31" i="70" s="1"/>
  <c r="M28" i="68"/>
  <c r="M54" i="67"/>
  <c r="P39" i="68"/>
  <c r="D39" i="70" s="1"/>
  <c r="N21" i="67"/>
  <c r="B21" i="69" s="1"/>
  <c r="P45" i="68"/>
  <c r="D45" i="70" s="1"/>
  <c r="P35" i="68"/>
  <c r="D35" i="70" s="1"/>
  <c r="P4" i="68"/>
  <c r="D4" i="70" s="1"/>
  <c r="N50" i="67"/>
  <c r="B50" i="69" s="1"/>
  <c r="M24" i="67"/>
  <c r="O43" i="68"/>
  <c r="C43" i="70" s="1"/>
  <c r="M2" i="68"/>
  <c r="N15" i="67"/>
  <c r="B15" i="69" s="1"/>
  <c r="M22" i="67"/>
  <c r="P31" i="67"/>
  <c r="D31" i="69" s="1"/>
  <c r="P7" i="67"/>
  <c r="D7" i="69" s="1"/>
  <c r="L22" i="68"/>
  <c r="A22" i="70" s="1"/>
  <c r="L43" i="68"/>
  <c r="A43" i="70" s="1"/>
  <c r="L21" i="68"/>
  <c r="A21" i="70" s="1"/>
  <c r="P16" i="67"/>
  <c r="D16" i="69" s="1"/>
  <c r="L32" i="68"/>
  <c r="A32" i="70" s="1"/>
  <c r="O46" i="68"/>
  <c r="C46" i="70" s="1"/>
  <c r="M56" i="67"/>
  <c r="P30" i="67"/>
  <c r="D30" i="69" s="1"/>
  <c r="L40" i="68"/>
  <c r="A40" i="70" s="1"/>
  <c r="O53" i="68"/>
  <c r="C53" i="70" s="1"/>
  <c r="P22" i="68"/>
  <c r="D22" i="70" s="1"/>
  <c r="L28" i="67"/>
  <c r="A28" i="69" s="1"/>
  <c r="M17" i="67"/>
  <c r="L52" i="68"/>
  <c r="A52" i="70" s="1"/>
  <c r="M53" i="68"/>
  <c r="N32" i="68"/>
  <c r="B32" i="70" s="1"/>
  <c r="O45" i="67"/>
  <c r="C45" i="69" s="1"/>
  <c r="M57" i="67"/>
  <c r="N18" i="67"/>
  <c r="B18" i="69" s="1"/>
  <c r="O42" i="67"/>
  <c r="C42" i="69" s="1"/>
  <c r="M55" i="67"/>
  <c r="O6" i="68"/>
  <c r="C6" i="70" s="1"/>
  <c r="L12" i="68"/>
  <c r="A12" i="70" s="1"/>
  <c r="P34" i="67"/>
  <c r="D34" i="69" s="1"/>
  <c r="L39" i="68"/>
  <c r="A39" i="70" s="1"/>
  <c r="O29" i="68"/>
  <c r="C29" i="70" s="1"/>
  <c r="P52" i="67"/>
  <c r="D52" i="69" s="1"/>
  <c r="L6" i="68"/>
  <c r="A6" i="70" s="1"/>
  <c r="N33" i="68"/>
  <c r="B33" i="70" s="1"/>
  <c r="P24" i="68"/>
  <c r="D24" i="70" s="1"/>
  <c r="M25" i="68"/>
  <c r="O17" i="68"/>
  <c r="C17" i="70" s="1"/>
  <c r="M52" i="67"/>
  <c r="M33" i="67"/>
  <c r="N24" i="67"/>
  <c r="B24" i="69" s="1"/>
  <c r="O15" i="67"/>
  <c r="C15" i="69" s="1"/>
  <c r="N10" i="68"/>
  <c r="B10" i="70" s="1"/>
  <c r="P13" i="68"/>
  <c r="D13" i="70" s="1"/>
  <c r="O43" i="67"/>
  <c r="C43" i="69" s="1"/>
  <c r="L52" i="67"/>
  <c r="A52" i="69" s="1"/>
  <c r="L33" i="68"/>
  <c r="A33" i="70" s="1"/>
  <c r="L2" i="68"/>
  <c r="A2" i="70" s="1"/>
  <c r="M2" i="67"/>
  <c r="L7" i="68"/>
  <c r="A7" i="70" s="1"/>
  <c r="N39" i="67"/>
  <c r="B39" i="69" s="1"/>
  <c r="N22" i="67"/>
  <c r="B22" i="69" s="1"/>
  <c r="M39" i="67"/>
  <c r="P16" i="68"/>
  <c r="D16" i="70" s="1"/>
  <c r="P37" i="67"/>
  <c r="D37" i="69" s="1"/>
  <c r="M44" i="68"/>
  <c r="O32" i="67"/>
  <c r="C32" i="69" s="1"/>
  <c r="N42" i="68"/>
  <c r="B42" i="70" s="1"/>
  <c r="N17" i="67"/>
  <c r="B17" i="69" s="1"/>
  <c r="L46" i="68"/>
  <c r="A46" i="70" s="1"/>
  <c r="M22" i="68"/>
  <c r="O42" i="68"/>
  <c r="C42" i="70" s="1"/>
  <c r="O19" i="67"/>
  <c r="C19" i="69" s="1"/>
  <c r="P46" i="67"/>
  <c r="D46" i="69" s="1"/>
  <c r="N35" i="67"/>
  <c r="B35" i="69" s="1"/>
  <c r="O9" i="67"/>
  <c r="C9" i="69" s="1"/>
  <c r="O41" i="68"/>
  <c r="C41" i="70" s="1"/>
  <c r="P54" i="68"/>
  <c r="D54" i="70" s="1"/>
  <c r="P29" i="68"/>
  <c r="D29" i="70" s="1"/>
  <c r="O51" i="67"/>
  <c r="C51" i="69" s="1"/>
  <c r="M26" i="67"/>
  <c r="P11" i="67"/>
  <c r="D11" i="69" s="1"/>
  <c r="M49" i="68"/>
  <c r="P21" i="67"/>
  <c r="D21" i="69" s="1"/>
  <c r="O44" i="67"/>
  <c r="C44" i="69" s="1"/>
  <c r="P2" i="67"/>
  <c r="D2" i="69" s="1"/>
  <c r="O13" i="67"/>
  <c r="C13" i="69" s="1"/>
  <c r="O19" i="68"/>
  <c r="C19" i="70" s="1"/>
  <c r="O10" i="68"/>
  <c r="C10" i="70" s="1"/>
  <c r="M14" i="68"/>
  <c r="M34" i="67"/>
  <c r="N48" i="68"/>
  <c r="B48" i="70" s="1"/>
  <c r="N36" i="68"/>
  <c r="B36" i="70" s="1"/>
  <c r="M53" i="67"/>
  <c r="P10" i="67"/>
  <c r="D10" i="69" s="1"/>
  <c r="P11" i="68"/>
  <c r="D11" i="70" s="1"/>
  <c r="N37" i="67"/>
  <c r="B37" i="69" s="1"/>
  <c r="N17" i="68"/>
  <c r="B17" i="70" s="1"/>
  <c r="N29" i="67"/>
  <c r="B29" i="69" s="1"/>
  <c r="O24" i="67"/>
  <c r="C24" i="69" s="1"/>
  <c r="N53" i="67"/>
  <c r="B53" i="69" s="1"/>
  <c r="P32" i="67"/>
  <c r="D32" i="69" s="1"/>
  <c r="P27" i="68"/>
  <c r="D27" i="70" s="1"/>
  <c r="M29" i="68"/>
  <c r="N21" i="68"/>
  <c r="B21" i="70" s="1"/>
  <c r="N12" i="67"/>
  <c r="B12" i="69" s="1"/>
  <c r="L49" i="68"/>
  <c r="A49" i="70" s="1"/>
  <c r="O18" i="67"/>
  <c r="C18" i="69" s="1"/>
  <c r="P26" i="68"/>
  <c r="D26" i="70" s="1"/>
  <c r="L53" i="67"/>
  <c r="A53" i="69" s="1"/>
  <c r="L15" i="68"/>
  <c r="A15" i="70" s="1"/>
  <c r="M16" i="68"/>
  <c r="O55" i="67"/>
  <c r="C55" i="69" s="1"/>
  <c r="L36" i="68"/>
  <c r="A36" i="70" s="1"/>
  <c r="N36" i="67"/>
  <c r="B36" i="69" s="1"/>
  <c r="N47" i="68"/>
  <c r="B47" i="70" s="1"/>
  <c r="P43" i="67"/>
  <c r="D43" i="69" s="1"/>
  <c r="N7" i="67"/>
  <c r="B7" i="69" s="1"/>
  <c r="O12" i="68"/>
  <c r="C12" i="70" s="1"/>
  <c r="N13" i="68"/>
  <c r="B13" i="70" s="1"/>
  <c r="O2" i="67"/>
  <c r="C2" i="69" s="1"/>
  <c r="O25" i="68"/>
  <c r="C25" i="70" s="1"/>
  <c r="M44" i="67"/>
  <c r="N50" i="68"/>
  <c r="B50" i="70" s="1"/>
  <c r="L26" i="68"/>
  <c r="A26" i="70" s="1"/>
  <c r="N42" i="67"/>
  <c r="B42" i="69" s="1"/>
  <c r="M11" i="68"/>
  <c r="M51" i="68"/>
  <c r="N25" i="68"/>
  <c r="B25" i="70" s="1"/>
  <c r="P32" i="68"/>
  <c r="D32" i="70" s="1"/>
  <c r="O10" i="67"/>
  <c r="C10" i="69" s="1"/>
  <c r="L41" i="68"/>
  <c r="A41" i="70" s="1"/>
  <c r="N9" i="67"/>
  <c r="B9" i="69" s="1"/>
  <c r="P8" i="67"/>
  <c r="D8" i="69" s="1"/>
  <c r="M41" i="68"/>
  <c r="O34" i="68"/>
  <c r="C34" i="70" s="1"/>
  <c r="O37" i="67"/>
  <c r="C37" i="69" s="1"/>
  <c r="L26" i="67"/>
  <c r="A26" i="69" s="1"/>
  <c r="N27" i="67"/>
  <c r="B27" i="69" s="1"/>
  <c r="P20" i="68"/>
  <c r="D20" i="70" s="1"/>
  <c r="P44" i="68"/>
  <c r="D44" i="70" s="1"/>
  <c r="N13" i="67"/>
  <c r="B13" i="69" s="1"/>
  <c r="P3" i="68"/>
  <c r="D3" i="70" s="1"/>
  <c r="M15" i="67"/>
  <c r="M38" i="67"/>
  <c r="L23" i="67"/>
  <c r="A23" i="69" s="1"/>
  <c r="L2" i="67"/>
  <c r="A2" i="69" s="1"/>
  <c r="P35" i="67"/>
  <c r="D35" i="69" s="1"/>
  <c r="N47" i="67"/>
  <c r="B47" i="69" s="1"/>
  <c r="L50" i="68"/>
  <c r="A50" i="70" s="1"/>
  <c r="P5" i="67"/>
  <c r="D5" i="69" s="1"/>
  <c r="O9" i="68"/>
  <c r="C9" i="70" s="1"/>
  <c r="O8" i="67"/>
  <c r="C8" i="69" s="1"/>
  <c r="N37" i="68"/>
  <c r="B37" i="70" s="1"/>
  <c r="N23" i="68"/>
  <c r="B23" i="70" s="1"/>
  <c r="M8" i="67"/>
  <c r="P46" i="68"/>
  <c r="D46" i="70" s="1"/>
  <c r="P47" i="68"/>
  <c r="D47" i="70" s="1"/>
  <c r="N56" i="68"/>
  <c r="B56" i="70" s="1"/>
  <c r="O28" i="68"/>
  <c r="C28" i="70" s="1"/>
  <c r="O33" i="67"/>
  <c r="C33" i="69" s="1"/>
  <c r="P5" i="68"/>
  <c r="D5" i="70" s="1"/>
  <c r="O24" i="68"/>
  <c r="C24" i="70" s="1"/>
  <c r="L14" i="67"/>
  <c r="A14" i="69" s="1"/>
  <c r="O52" i="67"/>
  <c r="C52" i="69" s="1"/>
  <c r="M7" i="68"/>
  <c r="M24" i="68"/>
  <c r="L20" i="68"/>
  <c r="A20" i="70" s="1"/>
  <c r="N41" i="67"/>
  <c r="B41" i="69" s="1"/>
  <c r="O46" i="67"/>
  <c r="C46" i="69" s="1"/>
  <c r="O21" i="68"/>
  <c r="C21" i="70" s="1"/>
  <c r="M51" i="67"/>
  <c r="P28" i="68"/>
  <c r="D28" i="70" s="1"/>
  <c r="O20" i="67"/>
  <c r="C20" i="69" s="1"/>
  <c r="L57" i="68"/>
  <c r="A57" i="70" s="1"/>
  <c r="P22" i="67"/>
  <c r="D22" i="69" s="1"/>
  <c r="N11" i="67"/>
  <c r="B11" i="69" s="1"/>
  <c r="L24" i="67"/>
  <c r="A24" i="69" s="1"/>
  <c r="P13" i="67"/>
  <c r="D13" i="69" s="1"/>
  <c r="O31" i="68"/>
  <c r="C31" i="70" s="1"/>
  <c r="M38" i="68"/>
  <c r="P48" i="67"/>
  <c r="D48" i="69" s="1"/>
  <c r="N11" i="68"/>
  <c r="B11" i="70" s="1"/>
  <c r="L16" i="67"/>
  <c r="A16" i="69" s="1"/>
  <c r="L3" i="68"/>
  <c r="A3" i="70" s="1"/>
  <c r="O11" i="68"/>
  <c r="C11" i="70" s="1"/>
  <c r="N53" i="68"/>
  <c r="B53" i="70" s="1"/>
  <c r="O23" i="68"/>
  <c r="C23" i="70" s="1"/>
  <c r="O20" i="68"/>
  <c r="C20" i="70" s="1"/>
  <c r="N34" i="67"/>
  <c r="B34" i="69" s="1"/>
  <c r="N57" i="67"/>
  <c r="B57" i="69" s="1"/>
  <c r="P25" i="67"/>
  <c r="D25" i="69" s="1"/>
  <c r="P42" i="67"/>
  <c r="D42" i="69" s="1"/>
  <c r="M18" i="68"/>
  <c r="N43" i="67"/>
  <c r="B43" i="69" s="1"/>
  <c r="L25" i="68"/>
  <c r="A25" i="70" s="1"/>
  <c r="N52" i="67"/>
  <c r="B52" i="69" s="1"/>
  <c r="N20" i="68"/>
  <c r="B20" i="70" s="1"/>
  <c r="L56" i="67"/>
  <c r="A56" i="69" s="1"/>
  <c r="N16" i="67"/>
  <c r="B16" i="69" s="1"/>
  <c r="N30" i="68"/>
  <c r="B30" i="70" s="1"/>
  <c r="M11" i="67"/>
  <c r="L46" i="67"/>
  <c r="A46" i="69" s="1"/>
  <c r="O56" i="68"/>
  <c r="C56" i="70" s="1"/>
  <c r="O15" i="68"/>
  <c r="C15" i="70" s="1"/>
  <c r="N35" i="68"/>
  <c r="B35" i="70" s="1"/>
  <c r="P36" i="67"/>
  <c r="D36" i="69" s="1"/>
  <c r="O6" i="67"/>
  <c r="C6" i="69" s="1"/>
  <c r="P9" i="68"/>
  <c r="D9" i="70" s="1"/>
  <c r="N19" i="68"/>
  <c r="B19" i="70" s="1"/>
  <c r="M27" i="68"/>
  <c r="O12" i="67"/>
  <c r="C12" i="69" s="1"/>
  <c r="P2" i="68"/>
  <c r="D2" i="70" s="1"/>
  <c r="L4" i="67"/>
  <c r="A4" i="69" s="1"/>
  <c r="N2" i="67"/>
  <c r="B2" i="69" s="1"/>
  <c r="O17" i="67"/>
  <c r="C17" i="69" s="1"/>
  <c r="P42" i="68"/>
  <c r="D42" i="70" s="1"/>
  <c r="L57" i="67"/>
  <c r="A57" i="69" s="1"/>
  <c r="N26" i="67"/>
  <c r="B26" i="69" s="1"/>
  <c r="P15" i="67"/>
  <c r="D15" i="69" s="1"/>
  <c r="M48" i="67"/>
  <c r="L16" i="68"/>
  <c r="A16" i="70" s="1"/>
  <c r="P38" i="67"/>
  <c r="D38" i="69" s="1"/>
  <c r="L14" i="68"/>
  <c r="A14" i="70" s="1"/>
  <c r="O13" i="68"/>
  <c r="C13" i="70" s="1"/>
  <c r="L43" i="67"/>
  <c r="A43" i="69" s="1"/>
  <c r="O21" i="67"/>
  <c r="C21" i="69" s="1"/>
  <c r="P26" i="67"/>
  <c r="D26" i="69" s="1"/>
  <c r="M55" i="68"/>
  <c r="N43" i="68"/>
  <c r="B43" i="70" s="1"/>
  <c r="O35" i="67"/>
  <c r="C35" i="69" s="1"/>
  <c r="P49" i="67"/>
  <c r="D49" i="69" s="1"/>
  <c r="M5" i="68"/>
  <c r="P18" i="67"/>
  <c r="D18" i="69" s="1"/>
  <c r="N8" i="68"/>
  <c r="B8" i="70" s="1"/>
  <c r="N15" i="68"/>
  <c r="B15" i="70" s="1"/>
  <c r="L17" i="67"/>
  <c r="A17" i="69" s="1"/>
  <c r="M46" i="67"/>
  <c r="L54" i="68"/>
  <c r="A54" i="70" s="1"/>
  <c r="O50" i="67"/>
  <c r="C50" i="69" s="1"/>
  <c r="L32" i="67"/>
  <c r="A32" i="69" s="1"/>
  <c r="P23" i="67"/>
  <c r="D23" i="69" s="1"/>
  <c r="L30" i="68"/>
  <c r="A30" i="70" s="1"/>
  <c r="M4" i="67"/>
  <c r="O57" i="68"/>
  <c r="C57" i="70" s="1"/>
  <c r="P40" i="67"/>
  <c r="D40" i="69" s="1"/>
  <c r="L25" i="67"/>
  <c r="A25" i="69" s="1"/>
  <c r="P12" i="68"/>
  <c r="D12" i="70" s="1"/>
  <c r="N54" i="68"/>
  <c r="B54" i="70" s="1"/>
  <c r="P51" i="68"/>
  <c r="D51" i="70" s="1"/>
  <c r="L45" i="67"/>
  <c r="A45" i="69" s="1"/>
  <c r="O49" i="68"/>
  <c r="C49" i="70" s="1"/>
  <c r="P9" i="67"/>
  <c r="D9" i="69" s="1"/>
  <c r="O55" i="68"/>
  <c r="C55" i="70" s="1"/>
  <c r="L12" i="67"/>
  <c r="A12" i="69" s="1"/>
  <c r="M30" i="67"/>
  <c r="O38" i="68"/>
  <c r="C38" i="70" s="1"/>
  <c r="M37" i="67"/>
  <c r="N31" i="68"/>
  <c r="B31" i="70" s="1"/>
  <c r="L34" i="67"/>
  <c r="A34" i="69" s="1"/>
  <c r="N49" i="68"/>
  <c r="B49" i="70" s="1"/>
  <c r="L5" i="67"/>
  <c r="A5" i="69" s="1"/>
  <c r="L48" i="67"/>
  <c r="A48" i="69" s="1"/>
  <c r="M40" i="68"/>
  <c r="N10" i="67"/>
  <c r="B10" i="69" s="1"/>
  <c r="P57" i="67"/>
  <c r="D57" i="69" s="1"/>
  <c r="N12" i="68"/>
  <c r="B12" i="70" s="1"/>
  <c r="M10" i="67"/>
  <c r="L3" i="67"/>
  <c r="A3" i="69" s="1"/>
  <c r="O7" i="67"/>
  <c r="C7" i="69" s="1"/>
  <c r="L11" i="67"/>
  <c r="A11" i="69" s="1"/>
  <c r="L45" i="68"/>
  <c r="A45" i="70" s="1"/>
  <c r="M31" i="68"/>
  <c r="P37" i="68"/>
  <c r="D37" i="70" s="1"/>
  <c r="N16" i="68"/>
  <c r="B16" i="70" s="1"/>
  <c r="N5" i="67"/>
  <c r="B5" i="69" s="1"/>
  <c r="M56" i="68"/>
  <c r="N56" i="67"/>
  <c r="B56" i="69" s="1"/>
  <c r="N6" i="68"/>
  <c r="B6" i="70" s="1"/>
  <c r="P19" i="68"/>
  <c r="D19" i="70" s="1"/>
  <c r="P50" i="67"/>
  <c r="D50" i="69" s="1"/>
  <c r="M29" i="67"/>
  <c r="M13" i="67"/>
  <c r="P19" i="67"/>
  <c r="D19" i="69" s="1"/>
  <c r="O16" i="67"/>
  <c r="C16" i="69" s="1"/>
  <c r="N25" i="67"/>
  <c r="B25" i="69" s="1"/>
  <c r="M26" i="68"/>
  <c r="M9" i="67"/>
  <c r="M14" i="67"/>
  <c r="N38" i="67"/>
  <c r="B38" i="69" s="1"/>
  <c r="O31" i="67"/>
  <c r="C31" i="69" s="1"/>
  <c r="N52" i="68"/>
  <c r="B52" i="70" s="1"/>
  <c r="M47" i="68"/>
  <c r="P23" i="68"/>
  <c r="D23" i="70" s="1"/>
  <c r="O52" i="68"/>
  <c r="C52" i="70" s="1"/>
  <c r="L42" i="67"/>
  <c r="A42" i="69" s="1"/>
  <c r="P43" i="68"/>
  <c r="D43" i="70" s="1"/>
  <c r="N30" i="67"/>
  <c r="B30" i="69" s="1"/>
  <c r="O39" i="67"/>
  <c r="C39" i="69" s="1"/>
  <c r="P17" i="67"/>
  <c r="D17" i="69" s="1"/>
  <c r="L19" i="67"/>
  <c r="A19" i="69" s="1"/>
  <c r="O25" i="67"/>
  <c r="C25" i="69" s="1"/>
  <c r="M4" i="68"/>
  <c r="L44" i="67"/>
  <c r="A44" i="69" s="1"/>
  <c r="L9" i="67"/>
  <c r="A9" i="69" s="1"/>
  <c r="P27" i="67"/>
  <c r="D27" i="69" s="1"/>
  <c r="O7" i="68"/>
  <c r="C7" i="70" s="1"/>
  <c r="L18" i="68"/>
  <c r="A18" i="70" s="1"/>
  <c r="N29" i="68"/>
  <c r="B29" i="70" s="1"/>
  <c r="N48" i="67"/>
  <c r="B48" i="69" s="1"/>
  <c r="L24" i="68"/>
  <c r="A24" i="70" s="1"/>
  <c r="P4" i="67"/>
  <c r="D4" i="69" s="1"/>
  <c r="N27" i="68"/>
  <c r="B27" i="70" s="1"/>
  <c r="L5" i="68"/>
  <c r="A5" i="70" s="1"/>
  <c r="L37" i="67"/>
  <c r="A37" i="69" s="1"/>
  <c r="M17" i="68"/>
  <c r="M21" i="68"/>
  <c r="O54" i="68"/>
  <c r="C54" i="70" s="1"/>
  <c r="P49" i="68"/>
  <c r="D49" i="70" s="1"/>
  <c r="N14" i="68"/>
  <c r="B14" i="70" s="1"/>
  <c r="N40" i="68"/>
  <c r="B40" i="70" s="1"/>
  <c r="O2" i="68"/>
  <c r="C2" i="70" s="1"/>
  <c r="N46" i="67"/>
  <c r="B46" i="69" s="1"/>
  <c r="L27" i="67"/>
  <c r="A27" i="69" s="1"/>
  <c r="M6" i="68"/>
  <c r="O53" i="67"/>
  <c r="C53" i="69" s="1"/>
  <c r="P33" i="67"/>
  <c r="D33" i="69" s="1"/>
  <c r="N33" i="67"/>
  <c r="B33" i="69" s="1"/>
  <c r="L13" i="67"/>
  <c r="A13" i="69" s="1"/>
  <c r="N34" i="68"/>
  <c r="B34" i="70" s="1"/>
  <c r="O36" i="67"/>
  <c r="C36" i="69" s="1"/>
  <c r="N3" i="67"/>
  <c r="B3" i="69" s="1"/>
  <c r="P36" i="68"/>
  <c r="D36" i="70" s="1"/>
  <c r="M49" i="67"/>
  <c r="P30" i="68"/>
  <c r="D30" i="70" s="1"/>
  <c r="P57" i="68"/>
  <c r="D57" i="70" s="1"/>
  <c r="L51" i="68"/>
  <c r="A51" i="70" s="1"/>
  <c r="M54" i="68"/>
  <c r="O40" i="67"/>
  <c r="C40" i="69" s="1"/>
  <c r="N55" i="67"/>
  <c r="B55" i="69" s="1"/>
  <c r="P24" i="67"/>
  <c r="D24" i="69" s="1"/>
  <c r="N55" i="68"/>
  <c r="B55" i="70" s="1"/>
  <c r="N9" i="68"/>
  <c r="B9" i="70" s="1"/>
  <c r="L7" i="67"/>
  <c r="A7" i="69" s="1"/>
  <c r="L19" i="68"/>
  <c r="A19" i="70" s="1"/>
  <c r="L39" i="67"/>
  <c r="A39" i="69" s="1"/>
  <c r="O4" i="68"/>
  <c r="C4" i="70" s="1"/>
  <c r="M45" i="68"/>
  <c r="M23" i="68"/>
  <c r="M28" i="67"/>
  <c r="L8" i="67"/>
  <c r="A8" i="69" s="1"/>
  <c r="L11" i="68"/>
  <c r="A11" i="70" s="1"/>
  <c r="P41" i="68"/>
  <c r="D41" i="70" s="1"/>
  <c r="M32" i="67"/>
  <c r="L31" i="67"/>
  <c r="A31" i="69" s="1"/>
  <c r="L10" i="67"/>
  <c r="A10" i="69" s="1"/>
  <c r="O48" i="68"/>
  <c r="C48" i="70" s="1"/>
  <c r="O27" i="67"/>
  <c r="C27" i="69" s="1"/>
  <c r="O14" i="68"/>
  <c r="C14" i="70" s="1"/>
  <c r="O33" i="68"/>
  <c r="C33" i="70" s="1"/>
  <c r="M43" i="68"/>
  <c r="L33" i="67"/>
  <c r="A33" i="69" s="1"/>
  <c r="M21" i="67"/>
  <c r="M23" i="67"/>
  <c r="P47" i="67"/>
  <c r="D47" i="69" s="1"/>
  <c r="N57" i="68"/>
  <c r="B57" i="70" s="1"/>
  <c r="M43" i="67"/>
  <c r="O41" i="67"/>
  <c r="C41" i="69" s="1"/>
  <c r="O27" i="68"/>
  <c r="C27" i="70" s="1"/>
  <c r="O8" i="68"/>
  <c r="C8" i="70" s="1"/>
  <c r="N23" i="67"/>
  <c r="B23" i="69" s="1"/>
  <c r="P6" i="68"/>
  <c r="D6" i="70" s="1"/>
  <c r="M36" i="68"/>
  <c r="P53" i="67"/>
  <c r="D53" i="69" s="1"/>
  <c r="L27" i="68"/>
  <c r="A27" i="70" s="1"/>
  <c r="P39" i="67"/>
  <c r="D39" i="69" s="1"/>
  <c r="O5" i="68"/>
  <c r="C5" i="70" s="1"/>
  <c r="O56" i="67"/>
  <c r="C56" i="69" s="1"/>
  <c r="M18" i="67"/>
  <c r="M16" i="67"/>
  <c r="O30" i="67"/>
  <c r="C30" i="69" s="1"/>
  <c r="O3" i="67"/>
  <c r="C3" i="69" s="1"/>
  <c r="L18" i="67"/>
  <c r="A18" i="69" s="1"/>
  <c r="N4" i="68"/>
  <c r="B4" i="70" s="1"/>
  <c r="M10" i="68"/>
  <c r="O26" i="68"/>
  <c r="C26" i="70" s="1"/>
  <c r="P29" i="67"/>
  <c r="D29" i="69" s="1"/>
  <c r="M12" i="68"/>
  <c r="M31" i="67"/>
  <c r="L13" i="68"/>
  <c r="A13" i="70" s="1"/>
  <c r="O29" i="67"/>
  <c r="C29" i="69" s="1"/>
  <c r="M34" i="68"/>
  <c r="M57" i="68"/>
  <c r="P51" i="67"/>
  <c r="D51" i="69" s="1"/>
  <c r="O57" i="67"/>
  <c r="C57" i="69" s="1"/>
  <c r="O30" i="68"/>
  <c r="C30" i="70" s="1"/>
  <c r="O5" i="67"/>
  <c r="C5" i="69" s="1"/>
  <c r="P25" i="68"/>
  <c r="D25" i="70" s="1"/>
  <c r="L40" i="67"/>
  <c r="A40"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Ellen Griesshammer</author>
    <author>OnkoZert - Jona Kukeli</author>
    <author>o.penzes</author>
  </authors>
  <commentList>
    <comment ref="B6" authorId="0" shapeId="0" xr:uid="{00000000-0006-0000-0000-000001000000}">
      <text>
        <r>
          <rPr>
            <sz val="8"/>
            <color indexed="81"/>
            <rFont val="Arial"/>
            <family val="2"/>
          </rPr>
          <t>To receive a registration number, please contact OnkoZert under: info@onkozert.de</t>
        </r>
      </text>
    </comment>
    <comment ref="G6" authorId="1" shapeId="0" xr:uid="{00000000-0006-0000-0000-000002000000}">
      <text/>
    </comment>
    <comment ref="B12" authorId="0" shapeId="0" xr:uid="{00000000-0006-0000-0000-000003000000}">
      <text>
        <r>
          <rPr>
            <sz val="9"/>
            <color indexed="81"/>
            <rFont val="Arial"/>
            <family val="2"/>
          </rPr>
          <t>Name, First name</t>
        </r>
      </text>
    </comment>
    <comment ref="G12" authorId="0" shapeId="0" xr:uid="{00000000-0006-0000-0000-000004000000}">
      <text>
        <r>
          <rPr>
            <sz val="9"/>
            <color indexed="81"/>
            <rFont val="Arial"/>
            <family val="2"/>
          </rPr>
          <t>dd.mm.yyyy
Data are automatically transferred to other spreadsheets</t>
        </r>
      </text>
    </comment>
    <comment ref="G14" authorId="0" shapeId="0" xr:uid="{00000000-0006-0000-0000-000005000000}">
      <text>
        <r>
          <rPr>
            <sz val="9"/>
            <color indexed="81"/>
            <rFont val="Arial"/>
            <family val="2"/>
          </rPr>
          <t>Selection by Reg. No.</t>
        </r>
      </text>
    </comment>
    <comment ref="E26" authorId="0" shapeId="0" xr:uid="{00000000-0006-0000-0000-000006000000}">
      <text>
        <r>
          <rPr>
            <sz val="9"/>
            <color indexed="81"/>
            <rFont val="Arial"/>
            <family val="2"/>
          </rPr>
          <t>For the automatic generation of the Indicator Sheet and the matrix outcome quality, an evaluation tool (XML-OncoBox) is available which can be integrated into different tumour documentation systems. Further information on the XML-OncoBox available on www.xml-oncobox.de</t>
        </r>
      </text>
    </comment>
    <comment ref="A30" authorId="2" shapeId="0" xr:uid="{00000000-0006-0000-0000-000007000000}">
      <text>
        <r>
          <rPr>
            <sz val="9"/>
            <color indexed="81"/>
            <rFont val="Arial"/>
            <family val="2"/>
          </rPr>
          <t>CoR = Catalogue of Requirements
IS = Indicator sheet</t>
        </r>
      </text>
    </comment>
    <comment ref="A33" authorId="0" shapeId="0" xr:uid="{00000000-0006-0000-0000-000008000000}">
      <text>
        <r>
          <rPr>
            <sz val="9"/>
            <color indexed="81"/>
            <rFont val="Arial"/>
            <family val="2"/>
          </rPr>
          <t>Primary cases  = colon + rectum</t>
        </r>
      </text>
    </comment>
    <comment ref="B33" authorId="0" shapeId="0" xr:uid="{00000000-0006-0000-0000-000009000000}">
      <text>
        <r>
          <rPr>
            <sz val="9"/>
            <color indexed="81"/>
            <rFont val="Arial"/>
            <family val="2"/>
          </rPr>
          <t>Denominator IN: 19, 29
Part of denominator IN: 3</t>
        </r>
      </text>
    </comment>
    <comment ref="C33" authorId="0" shapeId="0" xr:uid="{00000000-0006-0000-0000-00000A000000}">
      <text>
        <r>
          <rPr>
            <sz val="9"/>
            <color indexed="81"/>
            <rFont val="Arial"/>
            <family val="2"/>
          </rPr>
          <t>Part of denominator IN: 3</t>
        </r>
      </text>
    </comment>
    <comment ref="D33" authorId="0" shapeId="0" xr:uid="{00000000-0006-0000-0000-00000B000000}">
      <text>
        <r>
          <rPr>
            <sz val="9"/>
            <color indexed="81"/>
            <rFont val="Arial"/>
            <family val="2"/>
          </rPr>
          <t>Part of denominator IN: 3</t>
        </r>
      </text>
    </comment>
    <comment ref="E33" authorId="0" shapeId="0" xr:uid="{00000000-0006-0000-0000-00000C000000}">
      <text>
        <r>
          <rPr>
            <sz val="9"/>
            <color indexed="81"/>
            <rFont val="Arial"/>
            <family val="2"/>
          </rPr>
          <t>Part of denominator IN: 3</t>
        </r>
      </text>
    </comment>
    <comment ref="H33" authorId="2" shapeId="0" xr:uid="{00000000-0006-0000-0000-00000D000000}">
      <text>
        <r>
          <rPr>
            <sz val="9"/>
            <color indexed="81"/>
            <rFont val="Arial"/>
            <family val="2"/>
          </rPr>
          <t>Denominator IN: 6, 7
Part of denominator IN: 4, 5</t>
        </r>
      </text>
    </comment>
    <comment ref="B34" authorId="0" shapeId="0" xr:uid="{00000000-0006-0000-0000-00000E000000}">
      <text>
        <r>
          <rPr>
            <sz val="9"/>
            <color indexed="81"/>
            <rFont val="Arial"/>
            <family val="2"/>
          </rPr>
          <t>Denominator IN: 15
Part of IN: 13</t>
        </r>
      </text>
    </comment>
    <comment ref="D34" authorId="2" shapeId="0" xr:uid="{00000000-0006-0000-0000-00000F000000}">
      <text>
        <r>
          <rPr>
            <sz val="9"/>
            <color indexed="81"/>
            <rFont val="Arial"/>
            <family val="2"/>
          </rPr>
          <t>Part of IN: 13</t>
        </r>
      </text>
    </comment>
    <comment ref="B35" authorId="0" shapeId="0" xr:uid="{00000000-0006-0000-0000-000010000000}">
      <text>
        <r>
          <rPr>
            <sz val="9"/>
            <color indexed="81"/>
            <rFont val="Arial"/>
            <family val="2"/>
          </rPr>
          <t>Denominator IN: 16, 20
Part of IN: 14</t>
        </r>
      </text>
    </comment>
    <comment ref="C35" authorId="3" shapeId="0" xr:uid="{00000000-0006-0000-0000-000011000000}">
      <text>
        <r>
          <rPr>
            <sz val="9"/>
            <color indexed="81"/>
            <rFont val="Arial"/>
            <family val="2"/>
          </rPr>
          <t>Part of IN: 14</t>
        </r>
      </text>
    </comment>
    <comment ref="D35" authorId="2" shapeId="0" xr:uid="{00000000-0006-0000-0000-000012000000}">
      <text>
        <r>
          <rPr>
            <sz val="9"/>
            <color indexed="81"/>
            <rFont val="Arial"/>
            <family val="2"/>
          </rPr>
          <t>Part of IN: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D6" authorId="0" shapeId="0" xr:uid="{00000000-0006-0000-0400-000001000000}">
      <text>
        <r>
          <rPr>
            <sz val="9"/>
            <color indexed="81"/>
            <rFont val="Arial"/>
            <family val="2"/>
          </rPr>
          <t>Carry over from spreadsheet Basic Data</t>
        </r>
      </text>
    </comment>
    <comment ref="D8" authorId="0" shapeId="0" xr:uid="{00000000-0006-0000-0400-000002000000}">
      <text>
        <r>
          <rPr>
            <sz val="9"/>
            <color indexed="81"/>
            <rFont val="Arial"/>
            <family val="2"/>
          </rPr>
          <t>Carry over from spreadsheet Basic Data</t>
        </r>
      </text>
    </comment>
    <comment ref="K8" authorId="0" shapeId="0" xr:uid="{00000000-0006-0000-0400-000003000000}">
      <text>
        <r>
          <rPr>
            <sz val="9"/>
            <color indexed="81"/>
            <rFont val="Arial"/>
            <family val="2"/>
          </rPr>
          <t>Carry over from spreadsheet Basic Data</t>
        </r>
      </text>
    </comment>
    <comment ref="A10" authorId="0" shapeId="0" xr:uid="{00000000-0006-0000-0400-000004000000}">
      <text>
        <r>
          <rPr>
            <sz val="9"/>
            <color indexed="81"/>
            <rFont val="Arial"/>
            <family val="2"/>
          </rPr>
          <t>IN = Indicator</t>
        </r>
      </text>
    </comment>
    <comment ref="B10" authorId="0" shapeId="0" xr:uid="{00000000-0006-0000-0400-000005000000}">
      <text>
        <r>
          <rPr>
            <sz val="9"/>
            <color indexed="81"/>
            <rFont val="Arial"/>
            <family val="2"/>
          </rPr>
          <t>CR = Catalogue of Requirements
GL QI = guideline derived quality indicator</t>
        </r>
      </text>
    </comment>
    <comment ref="N10" authorId="0" shapeId="0" xr:uid="{00000000-0006-0000-0400-000006000000}">
      <text>
        <r>
          <rPr>
            <sz val="9"/>
            <color indexed="81"/>
            <rFont val="Arial"/>
            <family val="2"/>
          </rPr>
          <t>Please fill out the denominator before the numerator.
Please first fully complete the spreadsheet Basic Data and then fill in the fields current values.</t>
        </r>
      </text>
    </comment>
    <comment ref="Q11" authorId="0" shapeId="0" xr:uid="{00000000-0006-0000-0400-000007000000}">
      <text>
        <r>
          <rPr>
            <sz val="9"/>
            <color indexed="81"/>
            <rFont val="Arial"/>
            <family val="2"/>
          </rPr>
          <t xml:space="preserve">When data field is grey, please provide explanation for the obtained results (for this IN) </t>
        </r>
      </text>
    </comment>
    <comment ref="O19" authorId="1" shapeId="0" xr:uid="{00000000-0006-0000-0400-000008000000}">
      <text>
        <r>
          <rPr>
            <sz val="9"/>
            <color indexed="81"/>
            <rFont val="Arial"/>
            <family val="2"/>
          </rPr>
          <t>Carry over from IN 1</t>
        </r>
      </text>
    </comment>
    <comment ref="O22" authorId="0" shapeId="0" xr:uid="{00000000-0006-0000-0400-000009000000}">
      <text>
        <r>
          <rPr>
            <sz val="9"/>
            <color indexed="81"/>
            <rFont val="Arial"/>
            <family val="2"/>
          </rPr>
          <t>Carry over from spreadsheet Basic Data surgical and endoscopically primary cases cell B33 to E33</t>
        </r>
      </text>
    </comment>
    <comment ref="C24" authorId="2" shapeId="0" xr:uid="{00000000-0006-0000-0400-00000A000000}">
      <text>
        <r>
          <rPr>
            <sz val="9"/>
            <color indexed="81"/>
            <rFont val="Arial"/>
            <family val="2"/>
          </rPr>
          <t>Screening instruments can be found in the S3 guideline Psychooncological Diagnosis, Counselling and Treatment of Adult Cancer Patients</t>
        </r>
        <r>
          <rPr>
            <b/>
            <sz val="9"/>
            <color indexed="81"/>
            <rFont val="Tahoma"/>
            <family val="2"/>
          </rPr>
          <t>.</t>
        </r>
        <r>
          <rPr>
            <sz val="9"/>
            <color indexed="81"/>
            <rFont val="Tahoma"/>
            <family val="2"/>
          </rPr>
          <t xml:space="preserve">
</t>
        </r>
      </text>
    </comment>
    <comment ref="F24" authorId="2" shapeId="0" xr:uid="{00000000-0006-0000-0400-00000B000000}">
      <text>
        <r>
          <rPr>
            <sz val="9"/>
            <color indexed="81"/>
            <rFont val="Arial"/>
            <family val="2"/>
          </rPr>
          <t>Distress screening includes the use of a valid distress instrument (analogous to the S3 guideline Psychooncological Diagnosis, Counselling and Treatment of Adult Cancer Patients).</t>
        </r>
      </text>
    </comment>
    <comment ref="O25" authorId="0" shapeId="0" xr:uid="{00000000-0006-0000-0400-00000C000000}">
      <text>
        <r>
          <rPr>
            <sz val="9"/>
            <color indexed="81"/>
            <rFont val="Arial"/>
            <family val="2"/>
          </rPr>
          <t>Carry over from spreadsheet Basic Data total primary cases cell H33 + Indicator 1</t>
        </r>
      </text>
    </comment>
    <comment ref="O28" authorId="0" shapeId="0" xr:uid="{00000000-0006-0000-0400-00000D000000}">
      <text>
        <r>
          <rPr>
            <sz val="9"/>
            <color indexed="81"/>
            <rFont val="Arial"/>
            <family val="2"/>
          </rPr>
          <t>Carry over from spreadsheet Basic Data toal primary cases cell H33 + Indicator 1</t>
        </r>
      </text>
    </comment>
    <comment ref="O30" authorId="0" shapeId="0" xr:uid="{00000000-0006-0000-0400-00000E000000}">
      <text>
        <r>
          <rPr>
            <sz val="9"/>
            <color indexed="81"/>
            <rFont val="Arial"/>
            <family val="2"/>
          </rPr>
          <t>Numerator is not part of the denominator.</t>
        </r>
      </text>
    </comment>
    <comment ref="O31" authorId="0" shapeId="0" xr:uid="{00000000-0006-0000-0400-00000F000000}">
      <text>
        <r>
          <rPr>
            <sz val="9"/>
            <color indexed="81"/>
            <rFont val="Arial"/>
            <family val="2"/>
          </rPr>
          <t>Carry over from spreadsheet Basic Data total primary cases cell H33</t>
        </r>
      </text>
    </comment>
    <comment ref="O34" authorId="0" shapeId="0" xr:uid="{00000000-0006-0000-0400-000010000000}">
      <text>
        <r>
          <rPr>
            <sz val="9"/>
            <color indexed="81"/>
            <rFont val="Arial"/>
            <family val="2"/>
          </rPr>
          <t>Carry over from spreadsheet Basic Data total primary cases cell H33</t>
        </r>
      </text>
    </comment>
    <comment ref="O46" authorId="0" shapeId="0" xr:uid="{00000000-0006-0000-0400-000011000000}">
      <text>
        <r>
          <rPr>
            <sz val="9"/>
            <color indexed="81"/>
            <rFont val="Arial"/>
            <family val="2"/>
          </rPr>
          <t>A therapeutic coloscopy includes the resection of polyps. A therapeutic coloscopy can but does not have to be part of the total number of coloscopies, if the whole colon was examined.
 A bleeding which occures during a polypectomy and was contained in the same session does not count as complication.</t>
        </r>
      </text>
    </comment>
    <comment ref="O49" authorId="0" shapeId="0" xr:uid="{00000000-0006-0000-0400-000012000000}">
      <text>
        <r>
          <rPr>
            <sz val="9"/>
            <color indexed="81"/>
            <rFont val="Arial"/>
            <family val="2"/>
          </rPr>
          <t>Without emergencies</t>
        </r>
      </text>
    </comment>
    <comment ref="O51" authorId="0" shapeId="0" xr:uid="{00000000-0006-0000-0400-000013000000}">
      <text>
        <r>
          <rPr>
            <sz val="9"/>
            <color indexed="81"/>
            <rFont val="Arial"/>
            <family val="2"/>
          </rPr>
          <t>Carry over from spreadsheet Basic Data surgical primary cases colon cell B34 to D34</t>
        </r>
      </text>
    </comment>
    <comment ref="O54" authorId="0" shapeId="0" xr:uid="{00000000-0006-0000-0400-000014000000}">
      <text>
        <r>
          <rPr>
            <sz val="9"/>
            <color indexed="81"/>
            <rFont val="Arial"/>
            <family val="2"/>
          </rPr>
          <t>Carry over from spreadsheet Basic Data surgical primary cases rectum cell B35 to D35</t>
        </r>
      </text>
    </comment>
    <comment ref="O58" authorId="0" shapeId="0" xr:uid="{00000000-0006-0000-0400-000015000000}">
      <text>
        <r>
          <rPr>
            <sz val="9"/>
            <color indexed="81"/>
            <rFont val="Arial"/>
            <family val="2"/>
          </rPr>
          <t>Carry over from spreadsheet Basic Data elective colon-procedure cell B34</t>
        </r>
      </text>
    </comment>
    <comment ref="O61" authorId="0" shapeId="0" xr:uid="{00000000-0006-0000-0400-000016000000}">
      <text>
        <r>
          <rPr>
            <sz val="9"/>
            <color indexed="81"/>
            <rFont val="Arial"/>
            <family val="2"/>
          </rPr>
          <t>Carry over from spreadsheet Basic Data elective rectum-procedures cell B35</t>
        </r>
      </text>
    </comment>
    <comment ref="O70" authorId="0" shapeId="0" xr:uid="{00000000-0006-0000-0400-000017000000}">
      <text>
        <r>
          <rPr>
            <sz val="9"/>
            <color indexed="81"/>
            <rFont val="Arial"/>
            <family val="2"/>
          </rPr>
          <t>Carry over from spreadsheet Basic Data elective surgical patients B33</t>
        </r>
      </text>
    </comment>
    <comment ref="O73" authorId="0" shapeId="0" xr:uid="{00000000-0006-0000-0400-000018000000}">
      <text>
        <r>
          <rPr>
            <sz val="9"/>
            <color indexed="81"/>
            <rFont val="Arial"/>
            <family val="2"/>
          </rPr>
          <t>Carry over from spreadsheet Basic Data elective surgical rectum-procedures cell B35</t>
        </r>
      </text>
    </comment>
    <comment ref="O75" authorId="0" shapeId="0" xr:uid="{00000000-0006-0000-0400-000019000000}">
      <text>
        <r>
          <rPr>
            <sz val="9"/>
            <color indexed="81"/>
            <rFont val="Arial"/>
            <family val="2"/>
          </rPr>
          <t>Predictable stoma position</t>
        </r>
      </text>
    </comment>
    <comment ref="O84" authorId="0" shapeId="0" xr:uid="{00000000-0006-0000-0400-00001A000000}">
      <text>
        <r>
          <rPr>
            <sz val="9"/>
            <color indexed="81"/>
            <rFont val="Arial"/>
            <family val="2"/>
          </rPr>
          <t>Carry over from numerator IN 22a minus Number IN 22b</t>
        </r>
      </text>
    </comment>
    <comment ref="O103" authorId="0" shapeId="0" xr:uid="{00000000-0006-0000-0400-00001B000000}">
      <text>
        <r>
          <rPr>
            <sz val="9"/>
            <color indexed="81"/>
            <rFont val="Arial"/>
            <family val="2"/>
          </rPr>
          <t>Carry over from numerator IN 23</t>
        </r>
      </text>
    </comment>
    <comment ref="O106" authorId="1" shapeId="0" xr:uid="{00000000-0006-0000-0400-00001C000000}">
      <text>
        <r>
          <rPr>
            <sz val="9"/>
            <color indexed="81"/>
            <rFont val="Arial"/>
            <family val="2"/>
          </rPr>
          <t>Carry over from spreadsheet Basic Data elective surgical patients B33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B00-000001000000}">
      <text>
        <r>
          <rPr>
            <sz val="9"/>
            <color indexed="81"/>
            <rFont val="Arial"/>
            <family val="2"/>
          </rPr>
          <t>Übertrag erfolgt aus Tabellenblatt Basisdaten</t>
        </r>
      </text>
    </comment>
    <comment ref="F8" authorId="0" shapeId="0" xr:uid="{00000000-0006-0000-0B00-000002000000}">
      <text>
        <r>
          <rPr>
            <sz val="9"/>
            <color indexed="81"/>
            <rFont val="Arial"/>
            <family val="2"/>
          </rPr>
          <t xml:space="preserve">Übertrag erfolgt aus Tabellenblatt Basisdaten
</t>
        </r>
      </text>
    </comment>
    <comment ref="T8" authorId="0" shapeId="0" xr:uid="{00000000-0006-0000-0B00-000003000000}">
      <text>
        <r>
          <rPr>
            <sz val="9"/>
            <color indexed="81"/>
            <rFont val="Arial"/>
            <family val="2"/>
          </rPr>
          <t>Übertrag erfolgt aus Tabellenblatt Basisdaten</t>
        </r>
      </text>
    </comment>
    <comment ref="M30" authorId="0" shapeId="0" xr:uid="{00000000-0006-0000-0B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7" authorId="0" shapeId="0" xr:uid="{00000000-0006-0000-0E00-000004000000}">
      <text>
        <r>
          <rPr>
            <sz val="9"/>
            <color indexed="81"/>
            <rFont val="Arial"/>
            <family val="2"/>
          </rPr>
          <t>Weitere Erläuterungen siehe Tabellenblatt "Matrix - Tabelle Plausibilitätsabfragen"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F00-000001000000}">
      <text>
        <r>
          <rPr>
            <sz val="9"/>
            <color indexed="81"/>
            <rFont val="Arial"/>
            <family val="2"/>
          </rPr>
          <t>Übertrag erfolgt aus Tabellenblatt Basisdaten</t>
        </r>
      </text>
    </comment>
    <comment ref="F8" authorId="0" shapeId="0" xr:uid="{00000000-0006-0000-0F00-000002000000}">
      <text>
        <r>
          <rPr>
            <sz val="9"/>
            <color indexed="81"/>
            <rFont val="Arial"/>
            <family val="2"/>
          </rPr>
          <t xml:space="preserve">Übertrag erfolgt aus Tabellenblatt Basisdaten
</t>
        </r>
      </text>
    </comment>
    <comment ref="T8" authorId="0" shapeId="0" xr:uid="{00000000-0006-0000-0F00-000003000000}">
      <text>
        <r>
          <rPr>
            <sz val="9"/>
            <color indexed="81"/>
            <rFont val="Arial"/>
            <family val="2"/>
          </rPr>
          <t>Übertrag erfolgt aus Tabellenblatt Basisdaten</t>
        </r>
      </text>
    </comment>
    <comment ref="M30" authorId="0" shapeId="0" xr:uid="{00000000-0006-0000-0F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F8" authorId="0" shapeId="0" xr:uid="{00000000-0006-0000-1200-000003000000}">
      <text>
        <r>
          <rPr>
            <sz val="9"/>
            <color indexed="81"/>
            <rFont val="Arial"/>
            <family val="2"/>
          </rPr>
          <t>Übertrag erfolgt aus Tabellenblatt Basisdaten</t>
        </r>
      </text>
    </comment>
    <comment ref="B17" authorId="0" shapeId="0" xr:uid="{00000000-0006-0000-12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<sst xmlns="http://schemas.openxmlformats.org/spreadsheetml/2006/main" count="2183" uniqueCount="1310">
  <si>
    <t>Tumordokumentation</t>
  </si>
  <si>
    <t>Österreich</t>
  </si>
  <si>
    <t>Achieva</t>
  </si>
  <si>
    <t>CREDOS</t>
  </si>
  <si>
    <t>Eigenentwicklung (MS Excel, MS Access etc.)</t>
  </si>
  <si>
    <t>GTDS</t>
  </si>
  <si>
    <t>IndivuNET</t>
  </si>
  <si>
    <t>KIS-Erweiterung</t>
  </si>
  <si>
    <t>KoReDos</t>
  </si>
  <si>
    <t>KRAZTUR</t>
  </si>
  <si>
    <t>Oncolution</t>
  </si>
  <si>
    <t>OnkoManager</t>
  </si>
  <si>
    <t>Onkomedia</t>
  </si>
  <si>
    <t>online Dokumentation IDZB</t>
  </si>
  <si>
    <t>WDC-Kolonakte</t>
  </si>
  <si>
    <t>Auffällig niedrige Quote tumorfreier Patienten</t>
  </si>
  <si>
    <t xml:space="preserve">
</t>
  </si>
  <si>
    <t xml:space="preserve">
</t>
  </si>
  <si>
    <t>P &lt; 60%</t>
  </si>
  <si>
    <t>Keine Anbindung an Klinisches Krebsregister</t>
  </si>
  <si>
    <t>Nicht gelistet</t>
  </si>
  <si>
    <t>Unbekannt</t>
  </si>
  <si>
    <t>Tumorbedingt gestorben (bezüglich jeder Tumorentität)</t>
  </si>
  <si>
    <t>Y25</t>
  </si>
  <si>
    <t>Z25</t>
  </si>
  <si>
    <t>Patienten tumorfrei</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</si>
  <si>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</si>
  <si>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</si>
  <si>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</si>
  <si>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</si>
  <si>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</si>
  <si>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</si>
  <si>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</si>
  <si>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</si>
  <si>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</si>
  <si>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</si>
  <si>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</si>
  <si>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</si>
  <si>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</si>
  <si>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</si>
  <si>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</si>
  <si>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</si>
  <si>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</si>
  <si>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</si>
  <si>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</si>
  <si>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</si>
  <si>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</si>
  <si>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</si>
  <si>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</si>
  <si>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</si>
  <si>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</si>
  <si>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</si>
  <si>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</si>
  <si>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</si>
  <si>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</si>
  <si>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</si>
  <si>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</si>
  <si>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</si>
  <si>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</si>
  <si>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</si>
  <si>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</si>
  <si>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</si>
  <si>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</si>
  <si>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</si>
  <si>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</si>
  <si>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</si>
  <si>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</si>
  <si>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</si>
  <si>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</si>
  <si>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</si>
  <si>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</si>
  <si>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Optional Berechnung</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</si>
  <si>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</si>
  <si>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</si>
  <si>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</si>
  <si>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</si>
  <si>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</si>
  <si>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</si>
  <si>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</si>
  <si>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</si>
  <si>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</si>
  <si>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</si>
  <si>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</si>
  <si>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</si>
  <si>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Nenner</t>
  </si>
  <si>
    <t>EB</t>
  </si>
  <si>
    <t>Kennzahldefinition</t>
  </si>
  <si>
    <t>Zähler</t>
  </si>
  <si>
    <t>Grundgesamtheit 
(= Nenner)</t>
  </si>
  <si>
    <t>%</t>
  </si>
  <si>
    <t>≥ 90%</t>
  </si>
  <si>
    <t>Re-Interventionsbedürftige Anastomoseninsuffizienzen Kolon nach elektiven Eingriffen</t>
  </si>
  <si>
    <t xml:space="preserve">≥ 95% </t>
  </si>
  <si>
    <t>Nr</t>
  </si>
  <si>
    <t>Zaehler</t>
  </si>
  <si>
    <t>Quote</t>
  </si>
  <si>
    <t>vID</t>
  </si>
  <si>
    <t>ErlaeuterungDatendefizit</t>
  </si>
  <si>
    <t>EingeleiteteAktionen</t>
  </si>
  <si>
    <t>Aktionen</t>
  </si>
  <si>
    <t>Zähler / Anzahl</t>
  </si>
  <si>
    <t>≥ 95%</t>
  </si>
  <si>
    <t>≤ 1%</t>
  </si>
  <si>
    <t>≥ 70%</t>
  </si>
  <si>
    <t>≤ 15%</t>
  </si>
  <si>
    <t>≤ 6%</t>
  </si>
  <si>
    <t>≥ 30</t>
  </si>
  <si>
    <t>≥ 20</t>
  </si>
  <si>
    <t>≤ 5%</t>
  </si>
  <si>
    <t>Kennzahlenbogen - Analyseprotokoll Datendefizite Darm</t>
  </si>
  <si>
    <t>Begründung / Ursache</t>
  </si>
  <si>
    <t>Eingeleitete / geplante Aktionen</t>
  </si>
  <si>
    <t>Ansprechpartner</t>
  </si>
  <si>
    <t>Achiever Medical System</t>
  </si>
  <si>
    <t>c37.CancerCenter</t>
  </si>
  <si>
    <t>CARAT</t>
  </si>
  <si>
    <t>H.I.T.</t>
  </si>
  <si>
    <t>Kolorekt</t>
  </si>
  <si>
    <t>Medbrix</t>
  </si>
  <si>
    <t>MR-TU-DO</t>
  </si>
  <si>
    <t>NUK</t>
  </si>
  <si>
    <t>onkodok (XAXOA)</t>
  </si>
  <si>
    <t>OnkoNet</t>
  </si>
  <si>
    <t>Tudok (Tumorzentrum Regensburg)</t>
  </si>
  <si>
    <t>Tumorzentrum Ostsachsen</t>
  </si>
  <si>
    <t>Tumorzentrum Weser-Ems</t>
  </si>
  <si>
    <t>Plausi unklar</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</si>
  <si>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</si>
  <si>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</si>
  <si>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</si>
  <si>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</si>
  <si>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</si>
  <si>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</si>
  <si>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</si>
  <si>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</si>
  <si>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</si>
  <si>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</si>
  <si>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</si>
  <si>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</si>
  <si>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</si>
  <si>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</si>
  <si>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</si>
  <si>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</si>
  <si>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</si>
  <si>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</si>
  <si>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</si>
  <si>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</si>
  <si>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</si>
  <si>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</si>
  <si>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 xml:space="preserve">Jahr </t>
  </si>
  <si>
    <t>Jahr</t>
  </si>
  <si>
    <t xml:space="preserve">2013, </t>
  </si>
  <si>
    <t>Alle KN leer:</t>
  </si>
  <si>
    <t>Für Übertragung in Datendefizite_KB:</t>
  </si>
  <si>
    <t>KN NR.</t>
  </si>
  <si>
    <t>&lt; 20%</t>
  </si>
  <si>
    <t>&lt; 0,01%</t>
  </si>
  <si>
    <t>Heartsoft Tumordatenbank</t>
  </si>
  <si>
    <t>Prostata-Ca Register</t>
  </si>
  <si>
    <t>QuaDoSta</t>
  </si>
  <si>
    <t>UroCloud</t>
  </si>
  <si>
    <t>OncoBox</t>
  </si>
  <si>
    <t xml:space="preserve">Datenqualität
</t>
  </si>
  <si>
    <t>ixserv.4</t>
  </si>
  <si>
    <t xml:space="preserve">Anastomosen-insuffizienzen Kolon </t>
  </si>
  <si>
    <t>Anastomosen-insuffizienzen Rektum</t>
  </si>
  <si>
    <t>Texte i.O.</t>
  </si>
  <si>
    <t>Texte Matrix Datenquali</t>
  </si>
  <si>
    <t>Fehlermeldungen Matrix</t>
  </si>
  <si>
    <t>nicht relevant</t>
  </si>
  <si>
    <t>Bei den „hellrot“ hinterlegten Feldern liegt eine Falscheingabe vor, diese ist zu korrigieren.</t>
  </si>
  <si>
    <t>B</t>
  </si>
  <si>
    <t>Zahlen müssen manuell eingegeben werden, diese dürfen nicht kopiert werden.</t>
  </si>
  <si>
    <t>Bedingung Wert</t>
  </si>
  <si>
    <t>leere Zellen</t>
  </si>
  <si>
    <t>OAS nach Kaplan-Meier    
(Overall Survival) in %</t>
  </si>
  <si>
    <t>die inkorrekten und unvollständigen Einträge beheben</t>
  </si>
  <si>
    <t>Zellen müssen nicht ausgefüllt werden</t>
  </si>
  <si>
    <t>Sollvorgabe</t>
  </si>
  <si>
    <t>Sollvorgabe nicht erfüllt</t>
  </si>
  <si>
    <t>C</t>
  </si>
  <si>
    <t>D</t>
  </si>
  <si>
    <t>E</t>
  </si>
  <si>
    <t>F</t>
  </si>
  <si>
    <t>G</t>
  </si>
  <si>
    <t>I</t>
  </si>
  <si>
    <t>O</t>
  </si>
  <si>
    <t>P</t>
  </si>
  <si>
    <t>Q</t>
  </si>
  <si>
    <t>T</t>
  </si>
  <si>
    <t>U</t>
  </si>
  <si>
    <t>V</t>
  </si>
  <si>
    <t>W</t>
  </si>
  <si>
    <t>Y</t>
  </si>
  <si>
    <t>Z</t>
  </si>
  <si>
    <t>Diagnose Zweitmalignom im Verlauf</t>
  </si>
  <si>
    <t>DFS nach Kaplan-Meier
(Disease Free Survival) in %</t>
  </si>
  <si>
    <t>Mehrfachnennung möglich</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</si>
  <si>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</si>
  <si>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</si>
  <si>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</si>
  <si>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</si>
  <si>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</si>
  <si>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</si>
  <si>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</si>
  <si>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</si>
  <si>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</si>
  <si>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</si>
  <si>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</si>
  <si>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</si>
  <si>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</si>
  <si>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</si>
  <si>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</si>
  <si>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</si>
  <si>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</si>
  <si>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</si>
  <si>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</si>
  <si>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</si>
  <si>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</si>
  <si>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</si>
  <si>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</si>
  <si>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</si>
  <si>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</si>
  <si>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</si>
  <si>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</si>
  <si>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</si>
  <si>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</si>
  <si>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</si>
  <si>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</si>
  <si>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</si>
  <si>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</si>
  <si>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</si>
  <si>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</si>
  <si>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</si>
  <si>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</si>
  <si>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</si>
  <si>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</si>
  <si>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</si>
  <si>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</si>
  <si>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</si>
  <si>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</si>
  <si>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</si>
  <si>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</si>
  <si>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</si>
  <si>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</si>
  <si>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</si>
  <si>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</si>
  <si>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</si>
  <si>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</si>
  <si>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</si>
  <si>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</si>
  <si>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</si>
  <si>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</si>
  <si>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</si>
  <si>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</si>
  <si>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</si>
  <si>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</si>
  <si>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</si>
  <si>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</si>
  <si>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</si>
  <si>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</si>
  <si>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</si>
  <si>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</si>
  <si>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</si>
  <si>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</si>
  <si>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</si>
  <si>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</si>
  <si>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</si>
  <si>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</si>
  <si>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</si>
  <si>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</si>
  <si>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</si>
  <si>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</si>
  <si>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</si>
  <si>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</si>
  <si>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</si>
  <si>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</si>
  <si>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</si>
  <si>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</si>
  <si>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</si>
  <si>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</si>
  <si>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</si>
  <si>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</si>
  <si>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</si>
  <si>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</si>
  <si>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</si>
  <si>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</si>
  <si>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</si>
  <si>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</si>
  <si>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</si>
  <si>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</si>
  <si>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</si>
  <si>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</si>
  <si>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</si>
  <si>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</si>
  <si>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</si>
  <si>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</si>
  <si>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</si>
  <si>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</si>
  <si>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</si>
  <si>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</si>
  <si>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</si>
  <si>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</si>
  <si>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</si>
  <si>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</si>
  <si>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</si>
  <si>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Erstelldatum</t>
  </si>
  <si>
    <t>Plausibilität unklar</t>
  </si>
  <si>
    <t xml:space="preserve">Reg.-Nr. </t>
  </si>
  <si>
    <t>Erstzertifizierung</t>
  </si>
  <si>
    <t>J</t>
  </si>
  <si>
    <t>L</t>
  </si>
  <si>
    <t>Follow-Up-Meldungen</t>
  </si>
  <si>
    <t>In Ordnung</t>
  </si>
  <si>
    <t>Inkorrekt</t>
  </si>
  <si>
    <t>Unvollständig</t>
  </si>
  <si>
    <t>DFS</t>
  </si>
  <si>
    <t>inkorrekt</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</si>
  <si>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</si>
  <si>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</si>
  <si>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</si>
  <si>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</si>
  <si>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</si>
  <si>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</si>
  <si>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</si>
  <si>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</si>
  <si>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</si>
  <si>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</si>
  <si>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</si>
  <si>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</si>
  <si>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</si>
  <si>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</si>
  <si>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</si>
  <si>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</si>
  <si>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</si>
  <si>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</si>
  <si>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</si>
  <si>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</si>
  <si>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</si>
  <si>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</si>
  <si>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</si>
  <si>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</si>
  <si>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</si>
  <si>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</si>
  <si>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</si>
  <si>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</si>
  <si>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</si>
  <si>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</si>
  <si>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</si>
  <si>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</si>
  <si>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</si>
  <si>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</si>
  <si>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</si>
  <si>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</si>
  <si>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</si>
  <si>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</si>
  <si>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</si>
  <si>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</si>
  <si>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</si>
  <si>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</si>
  <si>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</si>
  <si>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</si>
  <si>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</si>
  <si>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</si>
  <si>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</si>
  <si>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Matrix kann eingereicht werden</t>
  </si>
  <si>
    <t>Einrichtung 1</t>
  </si>
  <si>
    <t>f)</t>
  </si>
  <si>
    <t>Matrix - Ergebnisqualität Primärbehandlung (Kolonpatienten)</t>
  </si>
  <si>
    <t>Bitte beide Tabellenblätter, Kolon und Rektum, getrennt bearbeiten !!!!</t>
  </si>
  <si>
    <t>Angaben Primärdiagnose</t>
  </si>
  <si>
    <t>K</t>
  </si>
  <si>
    <t>M</t>
  </si>
  <si>
    <t>S</t>
  </si>
  <si>
    <t>Anzahl Primärpatienten</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</si>
  <si>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</si>
  <si>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</si>
  <si>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</si>
  <si>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</si>
  <si>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</si>
  <si>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</si>
  <si>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</si>
  <si>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</si>
  <si>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</si>
  <si>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Ergebnisqualität Primärbehandlung (Rektumpatienten)</t>
  </si>
  <si>
    <t>Matrix - Analyseprotokoll Datendefizite Kolon</t>
  </si>
  <si>
    <t>Matrix - Analyseprotokoll Datendefizite Rektum</t>
  </si>
  <si>
    <t>zu viele Pat im Follow-Up</t>
  </si>
  <si>
    <t>Werte in Spalte R,S,T dürfen den Wert Spalte Q nicht übersteigen</t>
  </si>
  <si>
    <t>Unvollständige Jahre</t>
  </si>
  <si>
    <t xml:space="preserve">Jahr der Erstdiagnose  </t>
  </si>
  <si>
    <t>Jahr der Erstdiagnose</t>
  </si>
  <si>
    <t>Werte Spalte I "Patienten im Follow-Up" müssen kleiner gleich sein als Spalte G subtrahiert von Spalte C; siehe Fußnote 3</t>
  </si>
  <si>
    <r>
      <t xml:space="preserve">    </t>
    </r>
    <r>
      <rPr>
        <sz val="8"/>
        <rFont val="Arial"/>
        <family val="2"/>
      </rPr>
      <t>Die Auswertungen der Kaplan-Meier-Kurven beziehen sich auf die entsprechende Jahreskohorte ohne die in der Fußnote 3 genannten Patientengruppen.</t>
    </r>
    <r>
      <rPr>
        <vertAlign val="superscript"/>
        <sz val="8"/>
        <rFont val="Arial"/>
        <family val="2"/>
      </rPr>
      <t xml:space="preserve"> </t>
    </r>
  </si>
  <si>
    <t>Ausnahmen sind die optional anzugebenden Felder OAS und DFS (Spalten Y und Z). Dezimaltrennzeichen ist das Komma (nicht der Punkt). Rundung erfolgt auf zwei Nachkommastellen.</t>
  </si>
  <si>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</si>
  <si>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</si>
  <si>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</si>
  <si>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</si>
  <si>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</si>
  <si>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</si>
  <si>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</si>
  <si>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</si>
  <si>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</si>
  <si>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</si>
  <si>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</si>
  <si>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</si>
  <si>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</si>
  <si>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</si>
  <si>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</si>
  <si>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Patienten, die stationär oder ambulant psychoonkologisch betreut wurden (Gesprächsdauer ≥ 25 Min.)</t>
  </si>
  <si>
    <t>Patienten, die stationär oder ambulant durch den Sozialdienst beraten wurden</t>
  </si>
  <si>
    <t>Postoperativ verstorbene Patienten nach elektiven Eingriffen innerhalb von 30d</t>
  </si>
  <si>
    <t xml:space="preserve">2014, </t>
  </si>
  <si>
    <t>Krebsregister Schweiz</t>
  </si>
  <si>
    <t>Krebsregister Österreich</t>
  </si>
  <si>
    <t xml:space="preserve">Nachsorgejahr "relevant" (Spalte A) =&gt; Sämtliche „hellgrau“ hinterlegten Felder sollten vollständig bearbeitet werden; dies gilt auch für Nullwerte (=0).         </t>
  </si>
  <si>
    <t>Krebsregister Italien</t>
  </si>
  <si>
    <t>nur Darm</t>
  </si>
  <si>
    <t>MaDoS</t>
  </si>
  <si>
    <t>nur Brust / Gyn</t>
  </si>
  <si>
    <t>ProDos</t>
  </si>
  <si>
    <t>nur Prostata</t>
  </si>
  <si>
    <t>UCC-TDS (Tumorzentrum Dresden)</t>
  </si>
  <si>
    <t xml:space="preserve">2015, </t>
  </si>
  <si>
    <t>Follow-Up Quote der letzten 2-4 Jahre (positive Unplausibilität)</t>
  </si>
  <si>
    <t>Follow-Up Quote der letzten 2-4 Jahre</t>
  </si>
  <si>
    <t>2-4 Jahre</t>
  </si>
  <si>
    <t>geringe Follow-Up Quote der letzten 2-4 Jahre</t>
  </si>
  <si>
    <t>zu hohe Follow-Up Quote der letzten 2-4 Jahre</t>
  </si>
  <si>
    <t>&gt;10%</t>
  </si>
  <si>
    <t xml:space="preserve">2016, </t>
  </si>
  <si>
    <t xml:space="preserve">      Ø Follow-Up Quote der letzten 2-4 Jahre </t>
  </si>
  <si>
    <t>&lt; 70%</t>
  </si>
  <si>
    <t>Zusammenarbeit mit KFRG-Krebsregister</t>
  </si>
  <si>
    <t>Uro-Link</t>
  </si>
  <si>
    <t>M30</t>
  </si>
  <si>
    <t>M30 &lt; 80%</t>
  </si>
  <si>
    <t>M30 &gt; 99%</t>
  </si>
  <si>
    <t>Y26</t>
  </si>
  <si>
    <t>Z26</t>
  </si>
  <si>
    <t>Patienten mit RK, bei denen in einer elektiven Tumorresektion eine Anastomose angelegt wurde (ohne TVE)</t>
  </si>
  <si>
    <t>Elektiv operierte Patienten (ohne TVE)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</si>
  <si>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</si>
  <si>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</si>
  <si>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</si>
  <si>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</si>
  <si>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</si>
  <si>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</si>
  <si>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</si>
  <si>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</si>
  <si>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Patienten mit mindestens 1 der Ereignisse in Spalte R bis T </t>
    </r>
    <r>
      <rPr>
        <vertAlign val="superscript"/>
        <sz val="8"/>
        <rFont val="Arial"/>
        <family val="2"/>
      </rPr>
      <t>7)</t>
    </r>
  </si>
  <si>
    <r>
      <t xml:space="preserve">Auswertungen </t>
    </r>
    <r>
      <rPr>
        <vertAlign val="superscript"/>
        <sz val="8"/>
        <rFont val="Arial"/>
        <family val="2"/>
      </rPr>
      <t>8)</t>
    </r>
  </si>
  <si>
    <r>
      <t>1)</t>
    </r>
    <r>
      <rPr>
        <sz val="8"/>
        <rFont val="Arial"/>
        <family val="2"/>
      </rPr>
      <t xml:space="preserve"> Stratifizierung nach Tumorstatus (pathologisch); nach neoadjuvanter Vorbehandlung Berechnung des UICC-Stadiums mit dem klinischen Tumorstatus.</t>
    </r>
  </si>
  <si>
    <r>
      <t xml:space="preserve">2)  </t>
    </r>
    <r>
      <rPr>
        <sz val="8"/>
        <rFont val="Arial"/>
        <family val="2"/>
      </rPr>
      <t>Fußnote 2 für Darmkrebspatienten nicht relevant.</t>
    </r>
  </si>
  <si>
    <r>
      <t xml:space="preserve">3) </t>
    </r>
    <r>
      <rPr>
        <sz val="8"/>
        <rFont val="Arial"/>
        <family val="2"/>
      </rPr>
      <t xml:space="preserve"> Pat., die in dieser Darstellung (Spalte I - W) nicht berücksichtigt werden dürfen, sind: primäre UICC IV-Pat. (auch kurativ therapiert) und Patienten mit vorausgegangenem Tumor (alle Entitäten, inkl. Darm).</t>
    </r>
  </si>
  <si>
    <r>
      <t xml:space="preserve">5)  </t>
    </r>
    <r>
      <rPr>
        <sz val="8"/>
        <rFont val="Arial"/>
        <family val="2"/>
      </rPr>
      <t>In der Regel werden die Follow-Up-Daten entweder extern (Krebsregister) oder durch das Zentrum eingeholt. Eine Kombination ist jedoch möglich (keine doppelte Zuordnung!).</t>
    </r>
  </si>
  <si>
    <r>
      <t xml:space="preserve">6)  </t>
    </r>
    <r>
      <rPr>
        <sz val="8"/>
        <rFont val="Arial"/>
        <family val="2"/>
      </rPr>
      <t>Krebsregister können in der Regel keine Follow-Up-Daten zu Patienten außerhalb des Einzugsgebietes einholen.</t>
    </r>
  </si>
  <si>
    <r>
      <t xml:space="preserve">7)  </t>
    </r>
    <r>
      <rPr>
        <sz val="8"/>
        <rFont val="Arial"/>
        <family val="2"/>
      </rPr>
      <t xml:space="preserve">Zusätzlich können hier Patienten mit Ereignis ohne exakte Lokalisationsangabe eingetragen werden, die keiner der drei Spalten R - T genau zuzuordnen sind. </t>
    </r>
  </si>
  <si>
    <r>
      <t xml:space="preserve">8)  </t>
    </r>
    <r>
      <rPr>
        <sz val="8"/>
        <rFont val="Arial"/>
        <family val="2"/>
      </rPr>
      <t>DFS und OAS sind nicht direkt aus dieser Matrix abzuleiten und können deshalb nach eigener Berechnung hier manuell eingetragen werden. Eine automatische Berechnung durch EXCEL erfolgt nicht.</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</si>
  <si>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</si>
  <si>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2017, </t>
  </si>
  <si>
    <t>Subgruppe</t>
  </si>
  <si>
    <t>Frauen</t>
  </si>
  <si>
    <t>Männer</t>
  </si>
  <si>
    <t xml:space="preserve">Patienten mit KK, bei denen in einer elektiven Tumorresektion eine Anastomose angelegt wurde  </t>
  </si>
  <si>
    <t>Alter</t>
  </si>
  <si>
    <t>50-69</t>
  </si>
  <si>
    <t>≥ 70</t>
  </si>
  <si>
    <t>Tumor-stadium 
nach UICC</t>
  </si>
  <si>
    <t>II</t>
  </si>
  <si>
    <t>III</t>
  </si>
  <si>
    <t>IV</t>
  </si>
  <si>
    <t>Krebs-
vorer-
krankung</t>
  </si>
  <si>
    <t>ja</t>
  </si>
  <si>
    <t>nein</t>
  </si>
  <si>
    <t>unbekannt</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</si>
  <si>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</si>
  <si>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</si>
  <si>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</si>
  <si>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</si>
  <si>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</si>
  <si>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</si>
  <si>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</si>
  <si>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</si>
  <si>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t>Anastomosen-insuffizienzen Kolon - Gesamt - Frauen</t>
  </si>
  <si>
    <t>Anastomosen-insuffizienzen Kolon - Gesamt - Männer</t>
  </si>
  <si>
    <t>Anastomosen-insuffizienzen Kolon - Alter ≤ 49 - Frauen</t>
  </si>
  <si>
    <t>Anastomosen-insuffizienzen Kolon - Alter 50-69 - Frauen</t>
  </si>
  <si>
    <t>Anastomosen-insuffizienzen Kolon - Alter ≥ 70 - Frauen</t>
  </si>
  <si>
    <t>Anastomosen-insuffizienzen Kolon - Tumorstadium nach UICC I - Frauen</t>
  </si>
  <si>
    <t>Anastomosen-insuffizienzen Kolon - Tumorstadium nach UICC II - Frauen</t>
  </si>
  <si>
    <t>Anastomosen-insuffizienzen Kolon - Tumorstadium nach UICC III - Frauen</t>
  </si>
  <si>
    <t>Anastomosen-insuffizienzen Kolon - Tumorstadium nach UICC IV - Frauen</t>
  </si>
  <si>
    <t>Anastomosen-insuffizienzen Kolon - Krebsvorerkrankung ja - Frauen</t>
  </si>
  <si>
    <t>Anastomosen-insuffizienzen Kolon - Krebsvorerkrankung nein - Frauen</t>
  </si>
  <si>
    <t>Anastomosen-insuffizienzen Kolon - Krebsvorerkrankung unbekannt - Frauen</t>
  </si>
  <si>
    <t>Anastomosen-insuffizienzen Kolon - Primärfälle low risk - Frauen</t>
  </si>
  <si>
    <t>Anastomosen-insuffizienzen Rektum - Gesamt - Frauen</t>
  </si>
  <si>
    <t>Anastomosen-insuffizienzen Rektum - Alter ≤ 49 - Frauen</t>
  </si>
  <si>
    <t>Anastomosen-insuffizienzen Rektum - Alter 50-69 - Frauen</t>
  </si>
  <si>
    <t>Anastomosen-insuffizienzen Rektum - Alter ≥ 70 - Frauen</t>
  </si>
  <si>
    <t>Anastomosen-insuffizienzen Rektum - Tumorstadium nach UICC I - Frauen</t>
  </si>
  <si>
    <t>Anastomosen-insuffizienzen Rektum - Tumorstadium nach UICC II - Frauen</t>
  </si>
  <si>
    <t>Anastomosen-insuffizienzen Rektum - Tumorstadium nach UICC III - Frauen</t>
  </si>
  <si>
    <t>Anastomosen-insuffizienzen Rektum - Tumorstadium nach UICC IV - Frauen</t>
  </si>
  <si>
    <t>Anastomosen-insuffizienzen Rektum - Krebsvorerkrankung ja - Frauen</t>
  </si>
  <si>
    <t>Anastomosen-insuffizienzen Rektum - Krebsvorerkrankung nein - Frauen</t>
  </si>
  <si>
    <t>Anastomosen-insuffizienzen Rektum - Krebsvorerkrankung unbekannt - Frauen</t>
  </si>
  <si>
    <t>Anastomosen-insuffizienzen Rektum - Primärfälle low risk - Frauen</t>
  </si>
  <si>
    <t>Mortalität postoperativ - Gesamt - Frauen</t>
  </si>
  <si>
    <t>Mortalität postoperativ - Alter ≤ 49 - Frauen</t>
  </si>
  <si>
    <t>Mortalität postoperativ - Alter 50-69 - Frauen</t>
  </si>
  <si>
    <t>Mortalität postoperativ - Alter ≥ 70 - Frauen</t>
  </si>
  <si>
    <t>Mortalität postoperativ - Tumorstadium nach UICC I - Frauen</t>
  </si>
  <si>
    <t>Mortalität postoperativ - Tumorstadium nach UICC II - Frauen</t>
  </si>
  <si>
    <t>Mortalität postoperativ - Tumorstadium nach UICC III - Frauen</t>
  </si>
  <si>
    <t>Mortalität postoperativ - Tumorstadium nach UICC IV - Frauen</t>
  </si>
  <si>
    <t>Mortalität postoperativ - Krebsvorerkrankung ja - Frauen</t>
  </si>
  <si>
    <t>Mortalität postoperativ - Krebsvorerkrankung nein - Frauen</t>
  </si>
  <si>
    <t>Mortalität postoperativ - Krebsvorerkrankung unbekannt - Frauen</t>
  </si>
  <si>
    <t>Mortalität postoperativ - Primärfälle low risk - Frauen</t>
  </si>
  <si>
    <t>Psychoonkologische Betreuung - Gesamt - Frauen</t>
  </si>
  <si>
    <t>Psychoonkologische Betreuung - Alter ≤ 49 - Frauen</t>
  </si>
  <si>
    <t>Psychoonkologische Betreuung - Alter 50-69 - Frauen</t>
  </si>
  <si>
    <t>Psychoonkologische Betreuung - Alter ≥ 70 - Frauen</t>
  </si>
  <si>
    <t>Psychoonkologische Betreuung - Tumorstadium nach UICC I - Frauen</t>
  </si>
  <si>
    <t>Psychoonkologische Betreuung - Tumorstadium nach UICC II - Frauen</t>
  </si>
  <si>
    <t>Psychoonkologische Betreuung - Tumorstadium nach UICC III - Frauen</t>
  </si>
  <si>
    <t>Psychoonkologische Betreuung - Tumorstadium nach UICC IV - Frauen</t>
  </si>
  <si>
    <t>Psychoonkologische Betreuung - Krebsvorerkrankung ja - Frauen</t>
  </si>
  <si>
    <t>Psychoonkologische Betreuung - Krebsvorerkrankung nein - Frauen</t>
  </si>
  <si>
    <t>Psychoonkologische Betreuung - Krebsvorerkrankung unbekannt - Frauen</t>
  </si>
  <si>
    <t>Psychoonkologische Betreuung - Primärfälle low risk - Frauen</t>
  </si>
  <si>
    <t>Beratung Sozialdienst - Gesamt - Frauen</t>
  </si>
  <si>
    <t>Beratung Sozialdienst - Alter ≤ 49 - Frauen</t>
  </si>
  <si>
    <t>Beratung Sozialdienst - Alter 50-69 - Frauen</t>
  </si>
  <si>
    <t>Beratung Sozialdienst - Alter ≥ 70 - Frauen</t>
  </si>
  <si>
    <t>Beratung Sozialdienst - Tumorstadium nach UICC I - Frauen</t>
  </si>
  <si>
    <t>Beratung Sozialdienst - Tumorstadium nach UICC II - Frauen</t>
  </si>
  <si>
    <t>Beratung Sozialdienst - Tumorstadium nach UICC III - Frauen</t>
  </si>
  <si>
    <t>Beratung Sozialdienst - Tumorstadium nach UICC IV - Frauen</t>
  </si>
  <si>
    <t>Beratung Sozialdienst - Krebsvorerkrankung ja - Frauen</t>
  </si>
  <si>
    <t>Beratung Sozialdienst - Krebsvorerkrankung nein - Frauen</t>
  </si>
  <si>
    <t>Beratung Sozialdienst - Krebsvorerkrankung unbekannt - Frauen</t>
  </si>
  <si>
    <t>Beratung Sozialdienst - Primärfälle low risk - Frauen</t>
  </si>
  <si>
    <t>Anastomosen-insuffizienzen Kolon - Alter ≤ 49 - Männer</t>
  </si>
  <si>
    <t>Anastomosen-insuffizienzen Kolon - Alter 50-69 - Männer</t>
  </si>
  <si>
    <t>Anastomosen-insuffizienzen Kolon - Alter ≥ 70 - Männer</t>
  </si>
  <si>
    <t>Anastomosen-insuffizienzen Kolon - Tumorstadium nach UICC I - Männer</t>
  </si>
  <si>
    <t>Anastomosen-insuffizienzen Kolon - Tumorstadium nach UICC II - Männer</t>
  </si>
  <si>
    <t>Anastomosen-insuffizienzen Kolon - Tumorstadium nach UICC III - Männer</t>
  </si>
  <si>
    <t>Anastomosen-insuffizienzen Kolon - Tumorstadium nach UICC IV - Männer</t>
  </si>
  <si>
    <t>Anastomosen-insuffizienzen Kolon - Krebsvorerkrankung ja - Männer</t>
  </si>
  <si>
    <t>Anastomosen-insuffizienzen Kolon - Krebsvorerkrankung nein - Männer</t>
  </si>
  <si>
    <t>Anastomosen-insuffizienzen Kolon - Krebsvorerkrankung unbekannt - Männer</t>
  </si>
  <si>
    <t>Anastomosen-insuffizienzen Kolon - Primärfälle low risk - Männer</t>
  </si>
  <si>
    <t>Anastomosen-insuffizienzen Rektum - Gesamt - Männer</t>
  </si>
  <si>
    <t>Anastomosen-insuffizienzen Rektum - Alter ≤ 49 - Männer</t>
  </si>
  <si>
    <t>Anastomosen-insuffizienzen Rektum - Alter 50-69 - Männer</t>
  </si>
  <si>
    <t>Anastomosen-insuffizienzen Rektum - Alter ≥ 70 - Männer</t>
  </si>
  <si>
    <t>Anastomosen-insuffizienzen Rektum - Tumorstadium nach UICC I - Männer</t>
  </si>
  <si>
    <t>Anastomosen-insuffizienzen Rektum - Tumorstadium nach UICC II - Männer</t>
  </si>
  <si>
    <t>Anastomosen-insuffizienzen Rektum - Tumorstadium nach UICC III - Männer</t>
  </si>
  <si>
    <t>Anastomosen-insuffizienzen Rektum - Tumorstadium nach UICC IV - Männer</t>
  </si>
  <si>
    <t>Anastomosen-insuffizienzen Rektum - Krebsvorerkrankung ja - Männer</t>
  </si>
  <si>
    <t>Anastomosen-insuffizienzen Rektum - Krebsvorerkrankung nein - Männer</t>
  </si>
  <si>
    <t>Anastomosen-insuffizienzen Rektum - Krebsvorerkrankung unbekannt - Männer</t>
  </si>
  <si>
    <t>Anastomosen-insuffizienzen Rektum - Primärfälle low risk - Männer</t>
  </si>
  <si>
    <t>Mortalität postoperativ - Gesamt - Männer</t>
  </si>
  <si>
    <t>Mortalität postoperativ - Alter ≤ 49 - Männer</t>
  </si>
  <si>
    <t>Mortalität postoperativ - Alter 50-69 - Männer</t>
  </si>
  <si>
    <t>Mortalität postoperativ - Alter ≥ 70 - Männer</t>
  </si>
  <si>
    <t>Mortalität postoperativ - Tumorstadium nach UICC I - Männer</t>
  </si>
  <si>
    <t>Mortalität postoperativ - Tumorstadium nach UICC II - Männer</t>
  </si>
  <si>
    <t>Mortalität postoperativ - Tumorstadium nach UICC III - Männer</t>
  </si>
  <si>
    <t>Mortalität postoperativ - Tumorstadium nach UICC IV - Männer</t>
  </si>
  <si>
    <t>Mortalität postoperativ - Krebsvorerkrankung ja - Männer</t>
  </si>
  <si>
    <t>Mortalität postoperativ - Krebsvorerkrankung nein - Männer</t>
  </si>
  <si>
    <t>Mortalität postoperativ - Krebsvorerkrankung unbekannt - Männer</t>
  </si>
  <si>
    <t>Mortalität postoperativ - Primärfälle low risk - Männer</t>
  </si>
  <si>
    <t>Psychoonkologische Betreuung - Gesamt - Männer</t>
  </si>
  <si>
    <t>Psychoonkologische Betreuung - Alter ≤ 49 - Männer</t>
  </si>
  <si>
    <t>Psychoonkologische Betreuung - Alter 50-69 - Männer</t>
  </si>
  <si>
    <t>Psychoonkologische Betreuung - Primärfälle low risk - Männer</t>
  </si>
  <si>
    <t>Psychoonkologische Betreuung - Alter ≥ 70 - Männer</t>
  </si>
  <si>
    <t>Psychoonkologische Betreuung - Tumorstadium nach UICC I - Männer</t>
  </si>
  <si>
    <t>Psychoonkologische Betreuung - Tumorstadium nach UICC II - Männer</t>
  </si>
  <si>
    <t>Psychoonkologische Betreuung - Tumorstadium nach UICC III - Männer</t>
  </si>
  <si>
    <t>Psychoonkologische Betreuung - Tumorstadium nach UICC IV - Männer</t>
  </si>
  <si>
    <t>Psychoonkologische Betreuung - Krebsvorerkrankung ja - Männer</t>
  </si>
  <si>
    <t>Psychoonkologische Betreuung - Krebsvorerkrankung nein - Männer</t>
  </si>
  <si>
    <t>Psychoonkologische Betreuung - Krebsvorerkrankung unbekannt - Männer</t>
  </si>
  <si>
    <t>Beratung Sozialdienst - Gesamt - Männer</t>
  </si>
  <si>
    <t>Beratung Sozialdienst - Alter ≤ 49 - Männer</t>
  </si>
  <si>
    <t>Beratung Sozialdienst - Alter 50-69 - Männer</t>
  </si>
  <si>
    <t>Beratung Sozialdienst - Alter ≥ 70 - Männer</t>
  </si>
  <si>
    <t>Beratung Sozialdienst - Tumorstadium nach UICC I - Männer</t>
  </si>
  <si>
    <t>Beratung Sozialdienst - Tumorstadium nach UICC II - Männer</t>
  </si>
  <si>
    <t>Beratung Sozialdienst - Tumorstadium nach UICC III - Männer</t>
  </si>
  <si>
    <t>Beratung Sozialdienst - Tumorstadium nach UICC IV - Männer</t>
  </si>
  <si>
    <t>Beratung Sozialdienst - Krebsvorerkrankung ja - Männer</t>
  </si>
  <si>
    <t>Beratung Sozialdienst - Krebsvorerkrankung nein - Männer</t>
  </si>
  <si>
    <t>Beratung Sozialdienst - Krebsvorerkrankung unbekannt - Männer</t>
  </si>
  <si>
    <t>Beratung Sozialdienst - Primärfälle low risk - Männer</t>
  </si>
  <si>
    <t>19.1F</t>
  </si>
  <si>
    <t>19.2F</t>
  </si>
  <si>
    <t>19.3F</t>
  </si>
  <si>
    <t>19.4F</t>
  </si>
  <si>
    <t>19.5F</t>
  </si>
  <si>
    <t>19.6F</t>
  </si>
  <si>
    <t>19.7F</t>
  </si>
  <si>
    <t>19.8F</t>
  </si>
  <si>
    <t>19.9F</t>
  </si>
  <si>
    <t>19.10F</t>
  </si>
  <si>
    <t>19.11F</t>
  </si>
  <si>
    <t>19.12F</t>
  </si>
  <si>
    <t>20.1F</t>
  </si>
  <si>
    <t>20.2F</t>
  </si>
  <si>
    <t>20.3F</t>
  </si>
  <si>
    <t>20.4F</t>
  </si>
  <si>
    <t>20.5F</t>
  </si>
  <si>
    <t>20.6F</t>
  </si>
  <si>
    <t>20.7F</t>
  </si>
  <si>
    <t>20.8F</t>
  </si>
  <si>
    <t>20.9F</t>
  </si>
  <si>
    <t>20.10F</t>
  </si>
  <si>
    <t>20.11F</t>
  </si>
  <si>
    <t>20.12F</t>
  </si>
  <si>
    <t>4.1F</t>
  </si>
  <si>
    <t>4.2F</t>
  </si>
  <si>
    <t>4.3F</t>
  </si>
  <si>
    <t>4.4F</t>
  </si>
  <si>
    <t>4.5F</t>
  </si>
  <si>
    <t>4.6F</t>
  </si>
  <si>
    <t>4.7F</t>
  </si>
  <si>
    <t>4.8F</t>
  </si>
  <si>
    <t>4.9F</t>
  </si>
  <si>
    <t>4.10F</t>
  </si>
  <si>
    <t>4.11F</t>
  </si>
  <si>
    <t>4.12F</t>
  </si>
  <si>
    <t>5.1F</t>
  </si>
  <si>
    <t>5.2F</t>
  </si>
  <si>
    <t>5.3F</t>
  </si>
  <si>
    <t>5.4F</t>
  </si>
  <si>
    <t>5.6F</t>
  </si>
  <si>
    <t>5.5F</t>
  </si>
  <si>
    <t>5.7F</t>
  </si>
  <si>
    <t>5.8F</t>
  </si>
  <si>
    <t>5.9F</t>
  </si>
  <si>
    <t>5.10F</t>
  </si>
  <si>
    <t>5.11F</t>
  </si>
  <si>
    <t>5.12F</t>
  </si>
  <si>
    <t>19.1M</t>
  </si>
  <si>
    <t>19.2M</t>
  </si>
  <si>
    <t>19.3M</t>
  </si>
  <si>
    <t>19.4M</t>
  </si>
  <si>
    <t>19.5M</t>
  </si>
  <si>
    <t>19.6M</t>
  </si>
  <si>
    <t>19.7M</t>
  </si>
  <si>
    <t>19.8M</t>
  </si>
  <si>
    <t>19.9M</t>
  </si>
  <si>
    <t>19.10M</t>
  </si>
  <si>
    <t>19.11M</t>
  </si>
  <si>
    <t>19.12M</t>
  </si>
  <si>
    <t>20.1M</t>
  </si>
  <si>
    <t>20.2M</t>
  </si>
  <si>
    <t>20.3M</t>
  </si>
  <si>
    <t>20.4M</t>
  </si>
  <si>
    <t>20.5M</t>
  </si>
  <si>
    <t>20.6M</t>
  </si>
  <si>
    <t>20.7M</t>
  </si>
  <si>
    <t>20.8M</t>
  </si>
  <si>
    <t>20.9M</t>
  </si>
  <si>
    <t>20.10M</t>
  </si>
  <si>
    <t>20.11M</t>
  </si>
  <si>
    <t>20.12M</t>
  </si>
  <si>
    <t>4.1M</t>
  </si>
  <si>
    <t>4.2M</t>
  </si>
  <si>
    <t>4.3M</t>
  </si>
  <si>
    <t>4.4M</t>
  </si>
  <si>
    <t>4.5M</t>
  </si>
  <si>
    <t>4.6M</t>
  </si>
  <si>
    <t>4.7M</t>
  </si>
  <si>
    <t>4.8M</t>
  </si>
  <si>
    <t>4.9M</t>
  </si>
  <si>
    <t>4.10M</t>
  </si>
  <si>
    <t>4.11M</t>
  </si>
  <si>
    <t>4.12M</t>
  </si>
  <si>
    <t>5.1M</t>
  </si>
  <si>
    <t>5.2M</t>
  </si>
  <si>
    <t>5.3M</t>
  </si>
  <si>
    <t>5.4M</t>
  </si>
  <si>
    <t>5.5M</t>
  </si>
  <si>
    <t>5.6M</t>
  </si>
  <si>
    <t>5.7M</t>
  </si>
  <si>
    <t>5.8M</t>
  </si>
  <si>
    <t>5.9M</t>
  </si>
  <si>
    <t>5.10M</t>
  </si>
  <si>
    <t>5.11M</t>
  </si>
  <si>
    <t>5.12M</t>
  </si>
  <si>
    <t>≤ 49</t>
  </si>
  <si>
    <t>Anastomosen-insuffizienzen Kolon - Gesamt - Frauen und Männer</t>
  </si>
  <si>
    <t>19.1G</t>
  </si>
  <si>
    <t>19.2G</t>
  </si>
  <si>
    <t>19.3G</t>
  </si>
  <si>
    <t>19.4G</t>
  </si>
  <si>
    <t>19.5G</t>
  </si>
  <si>
    <t>19.6G</t>
  </si>
  <si>
    <t>19.7G</t>
  </si>
  <si>
    <t>19.8G</t>
  </si>
  <si>
    <t>19.9G</t>
  </si>
  <si>
    <t>19.10G</t>
  </si>
  <si>
    <t>19.11G</t>
  </si>
  <si>
    <t>19.12G</t>
  </si>
  <si>
    <t>20.1G</t>
  </si>
  <si>
    <t>20.2G</t>
  </si>
  <si>
    <t>20.3G</t>
  </si>
  <si>
    <t>20.4G</t>
  </si>
  <si>
    <t>20.5G</t>
  </si>
  <si>
    <t>20.6G</t>
  </si>
  <si>
    <t>20.7G</t>
  </si>
  <si>
    <t>20.8G</t>
  </si>
  <si>
    <t>20.9G</t>
  </si>
  <si>
    <t>20.10G</t>
  </si>
  <si>
    <t>20.11G</t>
  </si>
  <si>
    <t>20.12G</t>
  </si>
  <si>
    <t>4.1G</t>
  </si>
  <si>
    <t>4.2G</t>
  </si>
  <si>
    <t>4.3G</t>
  </si>
  <si>
    <t>4.4G</t>
  </si>
  <si>
    <t>4.5G</t>
  </si>
  <si>
    <t>4.6G</t>
  </si>
  <si>
    <t>4.7G</t>
  </si>
  <si>
    <t>4.8G</t>
  </si>
  <si>
    <t>4.9G</t>
  </si>
  <si>
    <t>4.10G</t>
  </si>
  <si>
    <t>4.11G</t>
  </si>
  <si>
    <t>4.12G</t>
  </si>
  <si>
    <t>5.1G</t>
  </si>
  <si>
    <t>5.2G</t>
  </si>
  <si>
    <t>5.3G</t>
  </si>
  <si>
    <t>5.4G</t>
  </si>
  <si>
    <t>5.5G</t>
  </si>
  <si>
    <t>5.6G</t>
  </si>
  <si>
    <t>5.7G</t>
  </si>
  <si>
    <t>5.8G</t>
  </si>
  <si>
    <t>5.9G</t>
  </si>
  <si>
    <t>5.10G</t>
  </si>
  <si>
    <t>5.11G</t>
  </si>
  <si>
    <t>5.12G</t>
  </si>
  <si>
    <t>Anastomosen-insuffizienzen Kolon - Alter ≤ 49 - Frauen und Männer</t>
  </si>
  <si>
    <t>Anastomosen-insuffizienzen Kolon - Alter 50-69 - Frauen und Männer</t>
  </si>
  <si>
    <t>Anastomosen-insuffizienzen Kolon - Alter ≥ 70 - Frauen und Männer</t>
  </si>
  <si>
    <t>Anastomosen-insuffizienzen Kolon - Tumorstadium nach UICC I - Frauen und Männer</t>
  </si>
  <si>
    <t>Anastomosen-insuffizienzen Kolon - Tumorstadium nach UICC II - Frauen und Männer</t>
  </si>
  <si>
    <t>Anastomosen-insuffizienzen Kolon - Tumorstadium nach UICC III - Frauen und Männer</t>
  </si>
  <si>
    <t>Anastomosen-insuffizienzen Kolon - Tumorstadium nach UICC IV - Frauen und Männer</t>
  </si>
  <si>
    <t>Anastomosen-insuffizienzen Kolon - Krebsvorerkrankung ja - Frauen und Männer</t>
  </si>
  <si>
    <t>Anastomosen-insuffizienzen Kolon - Krebsvorerkrankung nein - Frauen und Männer</t>
  </si>
  <si>
    <t>Anastomosen-insuffizienzen Kolon - Krebsvorerkrankung unbekannt - Frauen und Männer</t>
  </si>
  <si>
    <t>Anastomosen-insuffizienzen Kolon - Primärfälle low risk - Frauen und Männer</t>
  </si>
  <si>
    <t>Anastomosen-insuffizienzen Rektum - Gesamt - Frauen und Männer</t>
  </si>
  <si>
    <t>Anastomosen-insuffizienzen Rektum - Alter ≤ 49 - Frauen und Männer</t>
  </si>
  <si>
    <t>Anastomosen-insuffizienzen Rektum - Alter 50-69 - Frauen und Männer</t>
  </si>
  <si>
    <t>Anastomosen-insuffizienzen Rektum - Alter ≥ 70 - Frauen und Männer</t>
  </si>
  <si>
    <t>Anastomosen-insuffizienzen Rektum - Tumorstadium nach UICC I - Frauen und Männer</t>
  </si>
  <si>
    <t>Anastomosen-insuffizienzen Rektum - Tumorstadium nach UICC II - Frauen und Männer</t>
  </si>
  <si>
    <t>Anastomosen-insuffizienzen Rektum - Tumorstadium nach UICC III - Frauen und Männer</t>
  </si>
  <si>
    <t>Anastomosen-insuffizienzen Rektum - Tumorstadium nach UICC IV - Frauen und Männer</t>
  </si>
  <si>
    <t>Anastomosen-insuffizienzen Rektum - Krebsvorerkrankung ja - Frauen und Männer</t>
  </si>
  <si>
    <t>Anastomosen-insuffizienzen Rektum - Krebsvorerkrankung nein - Frauen und Männer</t>
  </si>
  <si>
    <t>Anastomosen-insuffizienzen Rektum - Krebsvorerkrankung unbekannt - Frauen und Männer</t>
  </si>
  <si>
    <t>Anastomosen-insuffizienzen Rektum - Primärfälle low risk - Frauen und Männer</t>
  </si>
  <si>
    <t>Mortalität postoperativ - Gesamt - Frauen und Männer</t>
  </si>
  <si>
    <t>Mortalität postoperativ - Alter ≤ 49 - Frauen und Männer</t>
  </si>
  <si>
    <t>Mortalität postoperativ - Alter 50-69 - Frauen und Männer</t>
  </si>
  <si>
    <t>Mortalität postoperativ - Alter ≥ 70 - Frauen und Männer</t>
  </si>
  <si>
    <t>Mortalität postoperativ - Tumorstadium nach UICC I - Frauen und Männer</t>
  </si>
  <si>
    <t>Mortalität postoperativ - Tumorstadium nach UICC II - Frauen und Männer</t>
  </si>
  <si>
    <t>Mortalität postoperativ - Tumorstadium nach UICC III - Frauen und Männer</t>
  </si>
  <si>
    <t>Mortalität postoperativ - Tumorstadium nach UICC IV - Frauen und Männer</t>
  </si>
  <si>
    <t>Mortalität postoperativ - Krebsvorerkrankung ja - Frauen und Männer</t>
  </si>
  <si>
    <t>Mortalität postoperativ - Krebsvorerkrankung nein - Frauen und Männer</t>
  </si>
  <si>
    <t>Mortalität postoperativ - Krebsvorerkrankung unbekannt - Frauen und Männer</t>
  </si>
  <si>
    <t>Mortalität postoperativ - Primärfälle low risk - Frauen und Männer</t>
  </si>
  <si>
    <t>Psychoonkologische Betreuung - Gesamt - Frauen und Männer</t>
  </si>
  <si>
    <t>Psychoonkologische Betreuung - Alter ≤ 49 - Frauen und Männer</t>
  </si>
  <si>
    <t>Psychoonkologische Betreuung - Alter 50-69 - Frauen und Männer</t>
  </si>
  <si>
    <t>Psychoonkologische Betreuung - Alter ≥ 70 - Frauen und Männer</t>
  </si>
  <si>
    <t>Psychoonkologische Betreuung - Tumorstadium nach UICC I - Frauen und Männer</t>
  </si>
  <si>
    <t>Psychoonkologische Betreuung - Tumorstadium nach UICC II - Frauen und Männer</t>
  </si>
  <si>
    <t>Psychoonkologische Betreuung - Tumorstadium nach UICC III - Frauen und Männer</t>
  </si>
  <si>
    <t>Psychoonkologische Betreuung - Tumorstadium nach UICC IV - Frauen und Männer</t>
  </si>
  <si>
    <t>Psychoonkologische Betreuung - Krebsvorerkrankung ja - Frauen und Männer</t>
  </si>
  <si>
    <t>Psychoonkologische Betreuung - Krebsvorerkrankung nein - Frauen und Männer</t>
  </si>
  <si>
    <t>Psychoonkologische Betreuung - Krebsvorerkrankung unbekannt - Frauen und Männer</t>
  </si>
  <si>
    <t>Psychoonkologische Betreuung - Primärfälle low risk - Frauen und Männer</t>
  </si>
  <si>
    <t>Beratung Sozialdienst - Gesamt - Frauen und Männer</t>
  </si>
  <si>
    <t>Beratung Sozialdienst - Alter ≤ 49 - Frauen und Männer</t>
  </si>
  <si>
    <t>Beratung Sozialdienst - Alter 50-69 - Frauen und Männer</t>
  </si>
  <si>
    <t>Beratung Sozialdienst - Alter ≥ 70 - Frauen und Männer</t>
  </si>
  <si>
    <t>Beratung Sozialdienst - Tumorstadium nach UICC I - Frauen und Männer</t>
  </si>
  <si>
    <t>Beratung Sozialdienst - Tumorstadium nach UICC II - Frauen und Männer</t>
  </si>
  <si>
    <t>Beratung Sozialdienst - Tumorstadium nach UICC III - Frauen und Männer</t>
  </si>
  <si>
    <t>Beratung Sozialdienst - Tumorstadium nach UICC IV - Frauen und Männer</t>
  </si>
  <si>
    <t>Beratung Sozialdienst - Krebsvorerkrankung ja - Frauen und Männer</t>
  </si>
  <si>
    <t>Beratung Sozialdienst - Krebsvorerkrankung nein - Frauen und Männer</t>
  </si>
  <si>
    <t>Beratung Sozialdienst - Krebsvorerkrankung unbekannt - Frauen und Männer</t>
  </si>
  <si>
    <t>Beratung Sozialdienst - Primärfälle low risk - Frauen und Männer</t>
  </si>
  <si>
    <t>Primärfälle low risk:
(Alter &lt; 70; UICC I-III; 
Krebsvorerkrankung nein)</t>
  </si>
  <si>
    <t>MADOS 4</t>
  </si>
  <si>
    <t>Auditjahr 2019 / Kennzahlenjahr 2018</t>
  </si>
  <si>
    <t>&lt; 50%</t>
  </si>
  <si>
    <t>------</t>
  </si>
  <si>
    <t>≥ 85%</t>
  </si>
  <si>
    <t>10</t>
  </si>
  <si>
    <r>
      <t>2017</t>
    </r>
    <r>
      <rPr>
        <vertAlign val="superscript"/>
        <sz val="8"/>
        <rFont val="Arial"/>
        <family val="2"/>
      </rPr>
      <t xml:space="preserve"> </t>
    </r>
    <r>
      <rPr>
        <vertAlign val="superscript"/>
        <sz val="9"/>
        <rFont val="Arial"/>
        <family val="2"/>
      </rPr>
      <t>9)</t>
    </r>
  </si>
  <si>
    <r>
      <t>2018</t>
    </r>
    <r>
      <rPr>
        <sz val="9"/>
        <rFont val="Arial"/>
        <family val="2"/>
      </rPr>
      <t xml:space="preserve"> </t>
    </r>
    <r>
      <rPr>
        <vertAlign val="superscript"/>
        <sz val="9"/>
        <rFont val="Arial"/>
        <family val="2"/>
      </rPr>
      <t>9)</t>
    </r>
  </si>
  <si>
    <r>
      <t xml:space="preserve">2017 </t>
    </r>
    <r>
      <rPr>
        <vertAlign val="superscript"/>
        <sz val="9"/>
        <rFont val="Arial"/>
        <family val="2"/>
      </rPr>
      <t>9)</t>
    </r>
  </si>
  <si>
    <t xml:space="preserve">2018, </t>
  </si>
  <si>
    <t>2013,</t>
  </si>
  <si>
    <t>Kennzahlenbogen plus Primärfälle 2016-2018</t>
  </si>
  <si>
    <t>Ausnahme</t>
  </si>
  <si>
    <t>LL QI 10</t>
  </si>
  <si>
    <t>Primärfälle aus 
2016-2018 gesamt</t>
  </si>
  <si>
    <t>LL QI 9</t>
  </si>
  <si>
    <t>21.1F</t>
  </si>
  <si>
    <t>21.1M</t>
  </si>
  <si>
    <t>21.1G</t>
  </si>
  <si>
    <t>21.2F</t>
  </si>
  <si>
    <t>21.2M</t>
  </si>
  <si>
    <t>21.2G</t>
  </si>
  <si>
    <t>21.3F</t>
  </si>
  <si>
    <t>21.3M</t>
  </si>
  <si>
    <t>21.3G</t>
  </si>
  <si>
    <t>21.4F</t>
  </si>
  <si>
    <t>21.4M</t>
  </si>
  <si>
    <t>21.4G</t>
  </si>
  <si>
    <t>21.5F</t>
  </si>
  <si>
    <t>21.5M</t>
  </si>
  <si>
    <t>21.5G</t>
  </si>
  <si>
    <t>21.6F</t>
  </si>
  <si>
    <t>21.6M</t>
  </si>
  <si>
    <t>21.6G</t>
  </si>
  <si>
    <t>21.7F</t>
  </si>
  <si>
    <t>21.7M</t>
  </si>
  <si>
    <t>21.7G</t>
  </si>
  <si>
    <t>21.8F</t>
  </si>
  <si>
    <t>21.8M</t>
  </si>
  <si>
    <t>21.8G</t>
  </si>
  <si>
    <t>21.9F</t>
  </si>
  <si>
    <t>21.9M</t>
  </si>
  <si>
    <t>21.9G</t>
  </si>
  <si>
    <t>21.10F</t>
  </si>
  <si>
    <t>21.10M</t>
  </si>
  <si>
    <t>21.10G</t>
  </si>
  <si>
    <t>21.11F</t>
  </si>
  <si>
    <t>21.11M</t>
  </si>
  <si>
    <t>21.11G</t>
  </si>
  <si>
    <t>21.12F</t>
  </si>
  <si>
    <t>21.12M</t>
  </si>
  <si>
    <t>21.12G</t>
  </si>
  <si>
    <r>
      <t xml:space="preserve">4)  </t>
    </r>
    <r>
      <rPr>
        <sz val="8"/>
        <rFont val="Arial"/>
        <family val="2"/>
      </rPr>
      <t>Die Daten müssen patientenbezogen rückverfolgbar sein. Es werden Follow-Up-Daten aus dem vorletzten Kalenderjahr vor dem Auditjahr betrachtet (Auditjahr 2019 =&gt; Follow-Up Daten aus dem Zeitraum 01.01.2017-31.12.2017).</t>
    </r>
  </si>
  <si>
    <r>
      <t xml:space="preserve">Ausgehend von der ADDZ Tagung </t>
    </r>
    <r>
      <rPr>
        <sz val="9"/>
        <color rgb="FFFF0000"/>
        <rFont val="Arial"/>
        <family val="2"/>
      </rPr>
      <t>2017</t>
    </r>
    <r>
      <rPr>
        <sz val="9"/>
        <rFont val="Arial"/>
        <family val="2"/>
      </rPr>
      <t xml:space="preserve">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t>
    </r>
    <r>
      <rPr>
        <sz val="9"/>
        <color rgb="FFFF0000"/>
        <rFont val="Arial"/>
        <family val="2"/>
      </rPr>
      <t>Auditjahr 2019</t>
    </r>
    <r>
      <rPr>
        <sz val="9"/>
        <rFont val="Arial"/>
        <family val="2"/>
      </rPr>
      <t xml:space="preserve"> keine Bedeutung in dem zentrumsspezifischen Zertifizierungsprozess zugeteilt. Die Erhebung soll wichtige Kentnisse für die weiterentwicklung des Datenmanagments innerhalb des DKG-Zertifierzierungssystems geben.</t>
    </r>
  </si>
  <si>
    <t>Alle Patienten ab dem Folgejahr der EZ sind im Follow-Up zu berücksichtigen; erstmalig ist die Matrix zum ÜA2 verbindlich zu bearbeiten.</t>
  </si>
  <si>
    <t>Adjumed</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</si>
  <si>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</si>
  <si>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</si>
  <si>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</si>
  <si>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</si>
  <si>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</si>
  <si>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</si>
  <si>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</si>
  <si>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</si>
  <si>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Stand 31.10.2018</t>
  </si>
  <si>
    <t>Basic Data Colorectal</t>
  </si>
  <si>
    <t xml:space="preserve">Explanations in regards to the indicators can be found under:
</t>
  </si>
  <si>
    <t>www.xml-oncobox.de/en</t>
  </si>
  <si>
    <t>Reg. No.</t>
  </si>
  <si>
    <t>Centre</t>
  </si>
  <si>
    <t>Location</t>
  </si>
  <si>
    <t>Contact</t>
  </si>
  <si>
    <t>Date of initial certification</t>
  </si>
  <si>
    <t>Indicator year</t>
  </si>
  <si>
    <t>Tumour documentation system</t>
  </si>
  <si>
    <t>XML-OncoBox Colorectal</t>
  </si>
  <si>
    <r>
      <t xml:space="preserve">Primary cases
</t>
    </r>
    <r>
      <rPr>
        <sz val="8"/>
        <color indexed="8"/>
        <rFont val="Arial"/>
        <family val="2"/>
      </rPr>
      <t>Definition in accordance with CoR</t>
    </r>
  </si>
  <si>
    <t>Primary cases</t>
  </si>
  <si>
    <t>Non-surgical</t>
  </si>
  <si>
    <t>Total</t>
  </si>
  <si>
    <r>
      <t>Colon</t>
    </r>
    <r>
      <rPr>
        <vertAlign val="superscript"/>
        <sz val="9"/>
        <color indexed="8"/>
        <rFont val="Arial"/>
        <family val="2"/>
      </rPr>
      <t xml:space="preserve"> </t>
    </r>
    <r>
      <rPr>
        <vertAlign val="superscript"/>
        <sz val="9"/>
        <color theme="1"/>
        <rFont val="Arial"/>
        <family val="2"/>
      </rPr>
      <t>3)</t>
    </r>
  </si>
  <si>
    <r>
      <t>Rectum</t>
    </r>
    <r>
      <rPr>
        <vertAlign val="superscript"/>
        <sz val="9"/>
        <color indexed="8"/>
        <rFont val="Arial"/>
        <family val="2"/>
      </rPr>
      <t xml:space="preserve"> </t>
    </r>
    <r>
      <rPr>
        <vertAlign val="superscript"/>
        <sz val="9"/>
        <color theme="1"/>
        <rFont val="Arial"/>
        <family val="2"/>
      </rPr>
      <t>3)</t>
    </r>
  </si>
  <si>
    <t xml:space="preserve">             (Template certificate)</t>
  </si>
  <si>
    <t>Not listed</t>
  </si>
  <si>
    <t>Data Sheet Colorectal</t>
  </si>
  <si>
    <t>OK</t>
  </si>
  <si>
    <t>Plausible</t>
  </si>
  <si>
    <t>Plausibility unclear</t>
  </si>
  <si>
    <t>Target value not met</t>
  </si>
  <si>
    <t>Incorrect</t>
  </si>
  <si>
    <t>Incomplete</t>
  </si>
  <si>
    <t>Processing 
quality</t>
  </si>
  <si>
    <t>OK (Plausibility unclear)</t>
  </si>
  <si>
    <t>Exception (Plausibility unclear)</t>
  </si>
  <si>
    <t>optional - OK</t>
  </si>
  <si>
    <t>optional - OK (Plausibility unclear)</t>
  </si>
  <si>
    <t>optional - Target value not met</t>
  </si>
  <si>
    <t>optional - incorrect</t>
  </si>
  <si>
    <t>optional - incomplete</t>
  </si>
  <si>
    <t>optional - Exception (Plausibility unclear)</t>
  </si>
  <si>
    <t>Sum</t>
  </si>
  <si>
    <t>Sum Plausibility unclear</t>
  </si>
  <si>
    <t>Indicator definition</t>
  </si>
  <si>
    <t>Indicator target</t>
  </si>
  <si>
    <t>Numerator</t>
  </si>
  <si>
    <t>Population
(= denominator)</t>
  </si>
  <si>
    <t>Target value</t>
  </si>
  <si>
    <t>Current value</t>
  </si>
  <si>
    <t>Data quality</t>
  </si>
  <si>
    <t>Verification Centre</t>
  </si>
  <si>
    <t>If target value/ plausibility border is not met please give reasons / cause
(min. 30 characters / max. 500 characters)</t>
  </si>
  <si>
    <t>Action taken/planned
(if reasons are plausible, no action is required)</t>
  </si>
  <si>
    <t>Patients of the denominator presented at an interdisciplinary tumour board before therapy</t>
  </si>
  <si>
    <t>"Elective" patients with rectal carcinoma and "elective" all patients with stage IV colon carcinoma</t>
  </si>
  <si>
    <t>Post-operative presentation of all primary-case patients</t>
  </si>
  <si>
    <t>Surgical and endoscopic primary cases</t>
  </si>
  <si>
    <t>Social services counselling</t>
  </si>
  <si>
    <t>Inclusion of as many patients as possible in studies</t>
  </si>
  <si>
    <t>Total primary cases</t>
  </si>
  <si>
    <t>Colorectal carcinoma patients with a recorded family history</t>
  </si>
  <si>
    <t>Genetic counselling</t>
  </si>
  <si>
    <t>Primary-case patients of the denominator advised to seek genetic counselling</t>
  </si>
  <si>
    <t>MMR assessment</t>
  </si>
  <si>
    <t>Patients of the denominator with immunohisto-chemical assessment of mismatch repair (MMR) proteins.</t>
  </si>
  <si>
    <t>Patients with initial colorectal carcinoma diagnosis &lt; 50 years old</t>
  </si>
  <si>
    <t>RAS and BRAF determination at the start of first-line treatment for metastasised colorectal carcinoma</t>
  </si>
  <si>
    <t>Patients of the denominator with determination RAS (= KRAS and NRAS mutations) and BRAF mutation at the start of first-line treatment</t>
  </si>
  <si>
    <t>Complication rate therapeutic colonoscopies</t>
  </si>
  <si>
    <t>Colonoscopies of the denominator with complications (bleeding requiring re-intervention (recolonoscopy, operation) or a transfusion and/or perforation)</t>
  </si>
  <si>
    <t>Therapeutic colonoscopies with loop polypectomy per colonoscopy unit (not only CrCC patients)</t>
  </si>
  <si>
    <t>Information on distance to mesorectal fascia in the diagnostic report (RC of the lower and middle third)</t>
  </si>
  <si>
    <t>Provide information as frequently as possible in the diagnostic findings report</t>
  </si>
  <si>
    <t>Patients of the denominator with information on distance to mesorectal fascia in the diagnostic report</t>
  </si>
  <si>
    <t>Patients with rectal carcinoma of the middle and lower third and MRI or thin slice CT of the pelvis</t>
  </si>
  <si>
    <t>Surgical primary cases: colon</t>
  </si>
  <si>
    <t>See target value</t>
  </si>
  <si>
    <t>Surgical primary cases: colon (please note attached definition of primary case)</t>
  </si>
  <si>
    <t>Surgical primary cases: rectum</t>
  </si>
  <si>
    <t>Surgical primary cases: rectum, incl. transanal wall resection (please note attached definition of primary case)</t>
  </si>
  <si>
    <t>Revision surgery: colon</t>
  </si>
  <si>
    <t>Elective colon surgery</t>
  </si>
  <si>
    <t>Revision Surgery: rectum</t>
  </si>
  <si>
    <t>Anastomotic insufficiency: colon</t>
  </si>
  <si>
    <t>Patients of the denominator with colon anastomotic insufficiencies requiring reintervention after surgery</t>
  </si>
  <si>
    <t>Patients with colon carcinoma in whom anastomosis was performed in an elective tumour resection</t>
  </si>
  <si>
    <t>Anastomotic insufficiency: rectum</t>
  </si>
  <si>
    <t>Patients with rectal carcinoma in whom anastomosis was performed in an elective tumour resection (without transanal wall resection)</t>
  </si>
  <si>
    <t>Post-operative mortality</t>
  </si>
  <si>
    <t>Patients of the denominator who died within 30d post-operative</t>
  </si>
  <si>
    <t>Electively operated patients (without transanal wall resection)</t>
  </si>
  <si>
    <t>Local R0 resections: rectum</t>
  </si>
  <si>
    <t>Surgeries of the denominator with local R0 resections – after completion of surgical treatment</t>
  </si>
  <si>
    <t>Elective rectum surgery  (operative), without transanal wall resection</t>
  </si>
  <si>
    <t>Marking of stoma position</t>
  </si>
  <si>
    <t>Patients of the denominator with pre-operative marking of stoma position</t>
  </si>
  <si>
    <t>Patients with rectal carcinoma who had elective surgery to install a stoma (without transanal wall resection)</t>
  </si>
  <si>
    <t>Adjuvant chemotherapies: colon (UICC stage III)</t>
  </si>
  <si>
    <t>Patients of the denominator who received adjuvant chemotherapy</t>
  </si>
  <si>
    <t>Patients ≤ 75 years with a UICC stage lll colon carcinoma who had a R0 resection of the primary tumour</t>
  </si>
  <si>
    <t>Combination chemotherapy for metastasised colorectal carcinoma with systemic first-line treatment</t>
  </si>
  <si>
    <t>Patients of the denominator with combination chemotherapy</t>
  </si>
  <si>
    <t xml:space="preserve">Patients with metastasised colorectal carcinoma, ECOG 0-1 and systemic first-line chemotherapy </t>
  </si>
  <si>
    <t>Quality of the TME rectum specimen (information from pathology)</t>
  </si>
  <si>
    <t>As many patients as possible with good to moderate quality TME rectum samples</t>
  </si>
  <si>
    <t>Patients of the denominator with good to moderate quality (grade 1: mesorectal fascia or grade 2: intramesorectal excisions) TME</t>
  </si>
  <si>
    <t>Diagnostic report after surgical resection of colorectal carcinoma</t>
  </si>
  <si>
    <t xml:space="preserve">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  </t>
  </si>
  <si>
    <t>Patients with colorectal carcinoma and surgical resection</t>
  </si>
  <si>
    <t>Lymph node examination</t>
  </si>
  <si>
    <t>≥ 12 lymph nodes are pathologically examined in &gt;95% of the patients with lymphadenectomy</t>
  </si>
  <si>
    <t>Patients of the denominator with pathological examination of lymph nodes ≥12</t>
  </si>
  <si>
    <t>Patients with colorectal carcinona who had elective surgery and underwent a lymphadenectomy (without transanal wall resection)</t>
  </si>
  <si>
    <t>Start of adjuvant chemotherapy</t>
  </si>
  <si>
    <t>As often as possible start of adjuvant chemotherapy within the stipulated period</t>
  </si>
  <si>
    <t>Patients of the denominator with start of chemotherapy within 8 weeks of surgery</t>
  </si>
  <si>
    <t>Radiotherapy dose per time unit</t>
  </si>
  <si>
    <t>As frequent as possible complete implementation of radiotherapy at planned dosis and time</t>
  </si>
  <si>
    <t>Denominator</t>
  </si>
  <si>
    <t>Number</t>
  </si>
  <si>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</si>
  <si>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in the column "Reasons/Cause". Where appropriate, specific actions should be defined and carried out in line with the procedure "Failure to meet the target value".
2) Target value not met
The relevant indicators are to be analysed. The result is to be documented in the spreadsheet Data Sheet (IS).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</si>
  <si>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Unknown</t>
  </si>
  <si>
    <t>In-house development (MS Excel, MS Access etc.)</t>
  </si>
  <si>
    <t>Cancer register not yet established / no cancer register existent</t>
  </si>
  <si>
    <t>No cooperation</t>
  </si>
  <si>
    <t>Little / only selective cooperation</t>
  </si>
  <si>
    <t>Intensive / regular cooperation</t>
  </si>
  <si>
    <t>Tumour documentation is mainly done by cancer register</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</si>
  <si>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</si>
  <si>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</si>
  <si>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</si>
  <si>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</si>
  <si>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</si>
  <si>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</si>
  <si>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</si>
  <si>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</si>
  <si>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</si>
  <si>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</si>
  <si>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</si>
  <si>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</si>
  <si>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</si>
  <si>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</si>
  <si>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</si>
  <si>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</si>
  <si>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</si>
  <si>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</si>
  <si>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</si>
  <si>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</si>
  <si>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</si>
  <si>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</si>
  <si>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</si>
  <si>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</si>
  <si>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</si>
  <si>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</si>
  <si>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</si>
  <si>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</si>
  <si>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</si>
  <si>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</si>
  <si>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</si>
  <si>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</si>
  <si>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</si>
  <si>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</si>
  <si>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</si>
  <si>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</si>
  <si>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</si>
  <si>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</si>
  <si>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</si>
  <si>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</si>
  <si>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</si>
  <si>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</si>
  <si>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</si>
  <si>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</si>
  <si>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</si>
  <si>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</si>
  <si>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</si>
  <si>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</si>
  <si>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</si>
  <si>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</si>
  <si>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</si>
  <si>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</si>
  <si>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</si>
  <si>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</si>
  <si>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</si>
  <si>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</si>
  <si>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</si>
  <si>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</si>
  <si>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</si>
  <si>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</si>
  <si>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</si>
  <si>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</si>
  <si>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</si>
  <si>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</si>
  <si>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</si>
  <si>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</si>
  <si>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</si>
  <si>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</si>
  <si>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</si>
  <si>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</si>
  <si>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</si>
  <si>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</si>
  <si>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</si>
  <si>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</si>
  <si>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</si>
  <si>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</si>
  <si>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</si>
  <si>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</si>
  <si>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</si>
  <si>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</si>
  <si>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</si>
  <si>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</si>
  <si>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</si>
  <si>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</si>
  <si>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</si>
  <si>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</si>
  <si>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</si>
  <si>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</si>
  <si>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</si>
  <si>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</si>
  <si>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</si>
  <si>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</si>
  <si>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</si>
  <si>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</si>
  <si>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</si>
  <si>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</si>
  <si>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</si>
  <si>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</si>
  <si>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</si>
  <si>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</si>
  <si>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</si>
  <si>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</si>
  <si>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</si>
  <si>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</si>
  <si>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</si>
  <si>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</si>
  <si>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</si>
  <si>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</si>
  <si>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</si>
  <si>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</si>
  <si>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</si>
  <si>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</si>
  <si>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</si>
  <si>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</si>
  <si>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</si>
  <si>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</si>
  <si>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</si>
  <si>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</si>
  <si>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</si>
  <si>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</si>
  <si>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</si>
  <si>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</si>
  <si>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</si>
  <si>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</si>
  <si>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</si>
  <si>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</si>
  <si>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</si>
  <si>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</si>
  <si>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</si>
  <si>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</si>
  <si>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</si>
  <si>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</si>
  <si>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</si>
  <si>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</si>
  <si>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</si>
  <si>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</si>
  <si>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</si>
  <si>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</si>
  <si>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</si>
  <si>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</si>
  <si>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</si>
  <si>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</si>
  <si>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</si>
  <si>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</si>
  <si>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</si>
  <si>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</si>
  <si>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</si>
  <si>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</si>
  <si>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</si>
  <si>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</si>
  <si>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</si>
  <si>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</si>
  <si>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</si>
  <si>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</si>
  <si>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</si>
  <si>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</si>
  <si>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</si>
  <si>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</si>
  <si>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</si>
  <si>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</si>
  <si>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</si>
  <si>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</si>
  <si>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</si>
  <si>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</si>
  <si>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</si>
  <si>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</si>
  <si>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</si>
  <si>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</si>
  <si>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</si>
  <si>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</si>
  <si>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</si>
  <si>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</si>
  <si>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</si>
  <si>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</si>
  <si>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</si>
  <si>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</si>
  <si>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</si>
  <si>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</si>
  <si>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</si>
  <si>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</si>
  <si>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</si>
  <si>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</si>
  <si>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</si>
  <si>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</si>
  <si>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</si>
  <si>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</si>
  <si>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</si>
  <si>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</si>
  <si>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</si>
  <si>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</si>
  <si>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</si>
  <si>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</si>
  <si>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</si>
  <si>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</si>
  <si>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</si>
  <si>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</si>
  <si>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</si>
  <si>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Country</t>
  </si>
  <si>
    <t>No target value</t>
  </si>
  <si>
    <t>Transanal wall resection (TWR)</t>
  </si>
  <si>
    <t>Elective rectum surgery (without transanal wall resection)</t>
  </si>
  <si>
    <t>1.7.6</t>
  </si>
  <si>
    <t>5.2.4</t>
  </si>
  <si>
    <t>Date recorded</t>
  </si>
  <si>
    <t>Resection</t>
  </si>
  <si>
    <r>
      <t xml:space="preserve">Elective </t>
    </r>
    <r>
      <rPr>
        <vertAlign val="superscript"/>
        <sz val="10"/>
        <rFont val="Arial"/>
        <family val="2"/>
      </rPr>
      <t>2)</t>
    </r>
  </si>
  <si>
    <r>
      <t xml:space="preserve">Surgical </t>
    </r>
    <r>
      <rPr>
        <vertAlign val="superscript"/>
        <sz val="10"/>
        <rFont val="Arial"/>
        <family val="2"/>
      </rPr>
      <t>1)</t>
    </r>
  </si>
  <si>
    <r>
      <t xml:space="preserve">Emergency </t>
    </r>
    <r>
      <rPr>
        <vertAlign val="superscript"/>
        <sz val="10"/>
        <rFont val="Arial"/>
        <family val="2"/>
      </rPr>
      <t>2)</t>
    </r>
  </si>
  <si>
    <r>
      <t xml:space="preserve">Endoscopically (exept TWR) </t>
    </r>
    <r>
      <rPr>
        <vertAlign val="superscript"/>
        <sz val="10"/>
        <rFont val="Arial"/>
        <family val="2"/>
      </rPr>
      <t>1)</t>
    </r>
  </si>
  <si>
    <r>
      <t xml:space="preserve">palliative </t>
    </r>
    <r>
      <rPr>
        <vertAlign val="superscript"/>
        <sz val="10"/>
        <rFont val="Arial"/>
        <family val="2"/>
      </rPr>
      <t>1)</t>
    </r>
  </si>
  <si>
    <r>
      <t xml:space="preserve">Watch and Wait (not endoscopically
 curative) </t>
    </r>
    <r>
      <rPr>
        <vertAlign val="superscript"/>
        <sz val="9"/>
        <rFont val="Arial"/>
        <family val="2"/>
      </rPr>
      <t xml:space="preserve">1) </t>
    </r>
    <r>
      <rPr>
        <vertAlign val="superscript"/>
        <sz val="9"/>
        <color theme="1"/>
        <rFont val="Arial"/>
        <family val="2"/>
      </rPr>
      <t>4)</t>
    </r>
  </si>
  <si>
    <r>
      <rPr>
        <b/>
        <u/>
        <sz val="8"/>
        <rFont val="Arial"/>
        <family val="2"/>
      </rPr>
      <t>Processing remarks:</t>
    </r>
    <r>
      <rPr>
        <sz val="8"/>
        <rFont val="Arial"/>
        <family val="2"/>
      </rPr>
      <t xml:space="preserve">
Definitions of the terms used in the table are in principal written down in the Excel sheet “Data fields” of the specification document which can be downloaded under www.xml-oncobox.de/en in its most recent version.
1) Data field C1
2) Data field G4 (E= elective, N= emergency)
3) Data field D6
Moreover the above mentioned document also provided information for counting primary caces (appendices) and the definition of all indicators.
4) Watch &amp; Wait patients are patients that have been newly diagnosed with a rectum carcinoma, which were pre-treated with radio-therapy and/or chemo-therapy with a clinical full remission which were not yet treated surgically. If  these patients have a tumour recurrence or other reasons for secondary surgical treatment, they can be counted as surgical primary case.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the OncoBox). Each change to the basic data leads to a change in the Indicator Sheet. The document "Specifications Data Quality" contains the main foundations for data assessment as part of the audit process. In particular details are given of how to deal with indicators where the target value is not achieved (download from www.onkozert.de; section Instructions).</t>
    </r>
  </si>
  <si>
    <t xml:space="preserve">           Date recorded</t>
  </si>
  <si>
    <t>Plausi-bility  unclear</t>
  </si>
  <si>
    <t>Plausi-bility unclear</t>
  </si>
  <si>
    <t>Primärfälle Darmkrebs</t>
  </si>
  <si>
    <t>Operativ Elektiv Resektion</t>
  </si>
  <si>
    <t>Operativ Elektiv Transanale Vollwand-exzision</t>
  </si>
  <si>
    <t>Operativ Notfall</t>
  </si>
  <si>
    <t>Endoskopisch</t>
  </si>
  <si>
    <t>Nicht operativ palliativ</t>
  </si>
  <si>
    <t>Nicht operativ Watch and Wait</t>
  </si>
  <si>
    <t>Gesamt</t>
  </si>
  <si>
    <t>Primärfälle</t>
  </si>
  <si>
    <t>Kolon</t>
  </si>
  <si>
    <t>Rektum</t>
  </si>
  <si>
    <t>CR/ GL</t>
  </si>
  <si>
    <t>Patients with new recurrence and/or distant metastases</t>
  </si>
  <si>
    <t>2a</t>
  </si>
  <si>
    <t>2b</t>
  </si>
  <si>
    <t>GL QI</t>
  </si>
  <si>
    <t>1</t>
  </si>
  <si>
    <t>Patients with new recurrence and/or distant metastases 
(= Indicator 1)</t>
  </si>
  <si>
    <t>Total primary cases + patients with new recurrence and/or metastases (= Indicator 1)</t>
  </si>
  <si>
    <t>Patients of the denominator who received counselling by social services in an inpatient or outpatient setting</t>
  </si>
  <si>
    <t>Total primary cases + patients with new recurrence and/or  metastases (= Indicator 1)</t>
  </si>
  <si>
    <t>Rate of documented family history as high as possible</t>
  </si>
  <si>
    <t>Genetic counselling rate as high as possible</t>
  </si>
  <si>
    <t>Rate of MMR assessment of patients &lt;50 years old with colorectal carcinoma as high as possible</t>
  </si>
  <si>
    <t>As often as possible KRAS and BRAF determination prior to first-line treatment</t>
  </si>
  <si>
    <t>Complication rate among therapeutic colonoscopies as low as possible</t>
  </si>
  <si>
    <t>Rate of revision surgery after elective surgery as low as possible</t>
  </si>
  <si>
    <t>Surgeries of the denominator with revision surgery due to perioperative complications within 30 d of surgery (not to be counted: diagnostic irrigation laparoscopies)</t>
  </si>
  <si>
    <t>Rate of revision surgery  after elective surgery as low as possible</t>
  </si>
  <si>
    <t>Rate of anastomotic insufficiency  after elective colon surgery as low as possible</t>
  </si>
  <si>
    <t>Rate of anastomotic insufficiency after elective rectum surgery as low as possible</t>
  </si>
  <si>
    <t>Patients of the denominator with grade B (requiring antibiotic administration but not interventional drainage or transanal lavage/drainage or grade C 
(re-)laparotomy) anastomotic insufficiency</t>
  </si>
  <si>
    <t>Rate of post-operative deaths  after elective surgery as low as possible</t>
  </si>
  <si>
    <t>Rate of local R0 resections as high as possible</t>
  </si>
  <si>
    <t>Rate of pre-operative marking of stoma position as high as possible</t>
  </si>
  <si>
    <t>Liver metastasis resection</t>
  </si>
  <si>
    <t>Rate of liver metastasis resection as high as possible</t>
  </si>
  <si>
    <t>Patients of the denominator who have had a liver metastasis resection</t>
  </si>
  <si>
    <t>Patients of the Centre with metastatic colorectal carcinoma and
1. exclusive liver metastasis (primary or newly occurring in the indicator year) without liver-specific chemotherapy
(date of counting: date of diagnosis of the liver metastasis)
or
2. exclusive liver metastasis, who have received chemotherapy for liver metastasis
(date of counting: end of chemotherapy in the indicator year)</t>
  </si>
  <si>
    <t>Liver metastasis resection at the surgical site of the Colorectal Cancer Centre</t>
  </si>
  <si>
    <t>Liver metastasis resection outside the surgical site of the Colorectal Cancer Centre</t>
  </si>
  <si>
    <t>Rate of chemotherapies  in patients with UICC stage III colon carcinoma as high as possible</t>
  </si>
  <si>
    <t>As frequent as possible combination chemotherapy for metastasised colorectal carcinoma with systemic first-line treatment</t>
  </si>
  <si>
    <t>As frequent as possible complete diagnostic report after complete resection</t>
  </si>
  <si>
    <t>As few postoperative events as possible</t>
  </si>
  <si>
    <t>&gt; 10%</t>
  </si>
  <si>
    <t>27</t>
  </si>
  <si>
    <t>Pre-therapeutic tumour board</t>
  </si>
  <si>
    <t>Pre-therapeutic tumour board presenation of all patients with UICC stage IV colon and rectum carcinoma</t>
  </si>
  <si>
    <t>Pre-therapeutic tumour board: recurrences/meta-chronous metastases</t>
  </si>
  <si>
    <t>Pre-therapeutic presentation of all patients with recurrence/meta-chronous metastases in the tumour board</t>
  </si>
  <si>
    <t>Patients of the denominator  presented at the pre-therapeutic tumour board</t>
  </si>
  <si>
    <t>Post-operative presentation of all primary-case patients in tumour board</t>
  </si>
  <si>
    <t>Primary cases of the denominator presented at the post-operative tumour board</t>
  </si>
  <si>
    <t xml:space="preserve">                        </t>
  </si>
  <si>
    <t xml:space="preserve">                         Target value not met</t>
  </si>
  <si>
    <t xml:space="preserve">         Erroneous</t>
  </si>
  <si>
    <t>SHGHoncoDoc</t>
  </si>
  <si>
    <t>Clinical Information Catalogue (CIC) (Eigenentwicklung)</t>
  </si>
  <si>
    <t>TD System KEM (Eigenentwicklung)</t>
  </si>
  <si>
    <t>The respective entry or change "number / numerator / denominator" (dotted fields) is only possible in the spreadsheet "Basic data", carry-over is automatic.
The numerator is always a subset of the denominator (exception: Indicator 6 - Share of studies patients).</t>
  </si>
  <si>
    <t>IN</t>
  </si>
  <si>
    <t>Yes</t>
  </si>
  <si>
    <t>Psycho-oncological distress-screeing</t>
  </si>
  <si>
    <t>Adequate rate of psycho-oncological distress-screening</t>
  </si>
  <si>
    <t>Patients of the denominator who were screened</t>
  </si>
  <si>
    <t>≥ 65%</t>
  </si>
  <si>
    <t>Adequate rate of social counselling</t>
  </si>
  <si>
    <t xml:space="preserve">22a
</t>
  </si>
  <si>
    <t xml:space="preserve">22b
</t>
  </si>
  <si>
    <t xml:space="preserve">22c
</t>
  </si>
  <si>
    <t xml:space="preserve">29
</t>
  </si>
  <si>
    <t>The Catalogue of Requirements is based on the TNM classification of malignant tumours, 8th edition 2017, ICD classification ICD-10-GM 2022 (DIMDI) and the OPS classification OPS 2022 (DIMDI).</t>
  </si>
  <si>
    <t>Stand 12.09.2022</t>
  </si>
  <si>
    <t>Primary cases with a positive patient questionnaire and MSI</t>
  </si>
  <si>
    <t>Patients with metastasised colorectal carcinoma and systhemic first-line treatment</t>
  </si>
  <si>
    <t>Patients with elective radically operated RC in the middle or lower third  (without transanal wall resection)</t>
  </si>
  <si>
    <t>Patients with UICC stage III colon carcinoma who had received adjuvant chemotherapy 
(= numerator of indicator 23)</t>
  </si>
  <si>
    <t>MTL22 Indicator (mortality, transfer, postoperative hospital stay)</t>
  </si>
  <si>
    <t>Electively operated patients 
(= denominator of indicator 19)</t>
  </si>
  <si>
    <t>22a</t>
  </si>
  <si>
    <t>22b</t>
  </si>
  <si>
    <t>22c</t>
  </si>
  <si>
    <t>24</t>
  </si>
  <si>
    <t>26</t>
  </si>
  <si>
    <t>Not binding in audit year 2023   
A comprehensive definition of the indicator for all organs is currently being prepared. Mandatory documentation of this indicator is not envisaged, irrespective of the results of the current discussions.</t>
  </si>
  <si>
    <t>≥ 50%</t>
  </si>
  <si>
    <t>Data quality indicators</t>
  </si>
  <si>
    <t>Liver metastasis resection performed at the surgical site of the Colorectal Cancer Centre (subset of  numerator 22a)</t>
  </si>
  <si>
    <t>Liver metastasis resection performed outside the surgical site of the Colorectal Cancer Centre (subset of numerator 22a)</t>
  </si>
  <si>
    <t>Surgeries of the denominator with revision surgery due to perioperative complications within 30 d of  surgery (not to be counted: diagnostic irrigation laparoscopies, endoscopic insert vacuum sponge)</t>
  </si>
  <si>
    <t>Patients of the denominator who
 - died within 30 d postoperatively (numerator of indicator 19) or
- transferred to another acute care hospital, or
- had a hospital stay &gt; 22d after tumour resection</t>
  </si>
  <si>
    <t>Patients included in a study with ethics vote or colorectal prevention study</t>
  </si>
  <si>
    <t>Anlage EB M1.1 (Auditjahr 2023 / Kennzahlenjahr 2022)</t>
  </si>
  <si>
    <t xml:space="preserve">Patients enrolled in a study </t>
  </si>
  <si>
    <t>Primary-case patients in the denominator with a completed patient questionnaire (http://dev.ecc-cert.org/wp-content/uploads/2023/01/patient-questionnaire_genetic_CCr-B2_190322-EN-final.pdf)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</si>
</sst>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57"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10"/>
      <color rgb="FFFF0000"/>
      <name val="Arial"/>
      <family val="2"/>
    </font>
    <font>
      <sz val="8"/>
      <color rgb="FFFF0000"/>
      <name val="Arial"/>
      <family val="2"/>
    </font>
    <font>
      <sz val="9"/>
      <color rgb="FFFF0000"/>
      <name val="Arial"/>
      <family val="2"/>
    </font>
    <font>
      <sz val="8"/>
      <color theme="1"/>
      <name val="Arial"/>
      <family val="2"/>
    </font>
    <font>
      <sz val="8"/>
      <color theme="1"/>
      <name val="Calibri"/>
      <family val="2"/>
    </font>
    <font>
      <b/>
      <sz val="8"/>
      <color theme="1"/>
      <name val="Arial"/>
      <family val="2"/>
    </font>
    <font>
      <sz val="11"/>
      <color theme="1"/>
      <name val="Calibri"/>
      <family val="2"/>
    </font>
    <font>
      <vertAlign val="superscript"/>
      <sz val="8"/>
      <color rgb="FFFF0000"/>
      <name val="Arial"/>
      <family val="2"/>
    </font>
    <font>
      <sz val="8"/>
      <color theme="0" tint="-0.499984740745262"/>
      <name val="Arial"/>
      <family val="2"/>
    </font>
    <font>
      <b/>
      <sz val="8"/>
      <color theme="0" tint="-0.499984740745262"/>
      <name val="Arial"/>
      <family val="2"/>
    </font>
    <font>
      <sz val="6"/>
      <color theme="0" tint="-0.499984740745262"/>
      <name val="Arial"/>
      <family val="2"/>
    </font>
    <font>
      <vertAlign val="superscript"/>
      <sz val="9"/>
      <name val="Arial"/>
      <family val="2"/>
    </font>
    <font>
      <b/>
      <sz val="9"/>
      <color indexed="81"/>
      <name val="Arial"/>
      <family val="2"/>
    </font>
    <font>
      <b/>
      <sz val="9.5500000000000007"/>
      <color indexed="81"/>
      <name val="Arial"/>
      <family val="2"/>
    </font>
    <font>
      <sz val="8"/>
      <color theme="0" tint="-0.499984740745262"/>
      <name val="Calibri"/>
      <family val="2"/>
    </font>
    <font>
      <sz val="8"/>
      <color indexed="23"/>
      <name val="Arial"/>
      <family val="2"/>
    </font>
    <font>
      <sz val="11"/>
      <color indexed="8"/>
      <name val="Arial"/>
      <family val="2"/>
    </font>
    <font>
      <sz val="11"/>
      <color theme="1"/>
      <name val="Calibri"/>
      <family val="2"/>
      <scheme val="minor"/>
    </font>
    <font>
      <b/>
      <sz val="10"/>
      <color indexed="8"/>
      <name val="Arial"/>
      <family val="2"/>
    </font>
    <font>
      <sz val="9"/>
      <name val="Arial"/>
      <family val="2"/>
    </font>
    <font>
      <b/>
      <sz val="9"/>
      <name val="Arial"/>
      <family val="2"/>
    </font>
    <font>
      <b/>
      <sz val="8"/>
      <name val="Arial"/>
      <family val="2"/>
    </font>
    <font>
      <sz val="9"/>
      <color indexed="8"/>
      <name val="Arial"/>
      <family val="2"/>
    </font>
    <font>
      <sz val="8"/>
      <name val="Arial"/>
      <family val="2"/>
    </font>
    <font>
      <sz val="8"/>
      <color theme="1"/>
      <name val="Arial"/>
      <family val="2"/>
    </font>
    <font>
      <sz val="11"/>
      <color theme="1"/>
      <name val="Arial"/>
      <family val="2"/>
    </font>
    <font>
      <b/>
      <sz val="10"/>
      <color indexed="8"/>
      <name val="Arial"/>
      <family val="2"/>
    </font>
    <font>
      <sz val="11"/>
      <color theme="1"/>
      <name val="Calibri"/>
      <family val="2"/>
      <scheme val="minor"/>
    </font>
    <font>
      <sz val="10"/>
      <color theme="1"/>
      <name val="Arial"/>
      <family val="2"/>
    </font>
    <font>
      <sz val="10"/>
      <color indexed="8"/>
      <name val="Arial"/>
      <family val="2"/>
    </font>
    <font>
      <b/>
      <sz val="8"/>
      <name val="Calibri"/>
      <family val="2"/>
    </font>
    <font>
      <vertAlign val="superscript"/>
      <sz val="9"/>
      <color theme="1"/>
      <name val="Arial"/>
      <family val="2"/>
    </font>
    <font>
      <vertAlign val="superscript"/>
      <sz val="9"/>
      <color indexed="8"/>
      <name val="Arial"/>
      <family val="2"/>
    </font>
    <font>
      <b/>
      <sz val="8"/>
      <name val="Arial Narrow"/>
      <family val="2"/>
    </font>
    <font>
      <sz val="11"/>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11"/>
      <color indexed="8"/>
      <name val="Calibri"/>
      <family val="2"/>
      <scheme val="minor"/>
    </font>
    <font>
      <vertAlign val="superscript"/>
      <sz val="10"/>
      <name val="Arial"/>
      <family val="2"/>
    </font>
    <font>
      <b/>
      <u/>
      <sz val="8"/>
      <name val="Arial"/>
      <family val="2"/>
    </font>
    <font>
      <sz val="11"/>
      <name val="Calibri"/>
      <family val="2"/>
      <scheme val="minor"/>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
      <sz val="9"/>
      <color indexed="81"/>
      <name val="Tahoma"/>
      <family val="2"/>
    </font>
    <font>
      <b/>
      <sz val="9"/>
      <color indexed="81"/>
      <name val="Tahoma"/>
      <family val="2"/>
    </font>
  </fonts>
  <fills count="93">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gray0625">
        <bgColor theme="0" tint="-0.14999847407452621"/>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patternFill>
    </fill>
    <fill>
      <patternFill patternType="solid">
        <fgColor theme="4"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bgColor indexed="64"/>
      </patternFill>
    </fill>
    <fill>
      <patternFill patternType="gray0625">
        <bgColor rgb="FFDCE6F1"/>
      </patternFill>
    </fill>
  </fills>
  <borders count="9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s>
  <cellStyleXfs count="1160">
    <xf numFmtId="0" fontId="0" fillId="0" borderId="0"/>
    <xf numFmtId="0" fontId="83" fillId="3" borderId="0" applyNumberFormat="0" applyBorder="0" applyAlignment="0" applyProtection="0"/>
    <xf numFmtId="0" fontId="83" fillId="3"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2" borderId="0" applyNumberFormat="0" applyBorder="0" applyAlignment="0" applyProtection="0"/>
    <xf numFmtId="0" fontId="84"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84"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84"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2" borderId="0" applyNumberFormat="0" applyBorder="0" applyAlignment="0" applyProtection="0"/>
    <xf numFmtId="0" fontId="84"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84" fillId="60"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46" fillId="23" borderId="0" applyNumberFormat="0" applyBorder="0" applyAlignment="0" applyProtection="0"/>
    <xf numFmtId="0" fontId="84"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84" fillId="62"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5" fillId="15" borderId="75" applyNumberFormat="0" applyAlignment="0" applyProtection="0"/>
    <xf numFmtId="0" fontId="85" fillId="15" borderId="75" applyNumberFormat="0" applyAlignment="0" applyProtection="0"/>
    <xf numFmtId="0" fontId="85" fillId="15" borderId="75" applyNumberFormat="0" applyAlignment="0" applyProtection="0"/>
    <xf numFmtId="0" fontId="58" fillId="15" borderId="2" applyNumberFormat="0" applyAlignment="0" applyProtection="0"/>
    <xf numFmtId="0" fontId="85" fillId="65" borderId="75" applyNumberFormat="0" applyAlignment="0" applyProtection="0"/>
    <xf numFmtId="0" fontId="85" fillId="65" borderId="75" applyNumberFormat="0" applyAlignment="0" applyProtection="0"/>
    <xf numFmtId="0" fontId="85" fillId="9" borderId="75" applyNumberFormat="0" applyAlignment="0" applyProtection="0"/>
    <xf numFmtId="0" fontId="58" fillId="9" borderId="2" applyNumberFormat="0" applyAlignment="0" applyProtection="0"/>
    <xf numFmtId="0" fontId="85" fillId="15" borderId="75" applyNumberFormat="0" applyAlignment="0" applyProtection="0"/>
    <xf numFmtId="0" fontId="58" fillId="9" borderId="2" applyNumberFormat="0" applyAlignment="0" applyProtection="0"/>
    <xf numFmtId="0" fontId="85" fillId="15" borderId="75" applyNumberFormat="0" applyAlignment="0" applyProtection="0"/>
    <xf numFmtId="0" fontId="85" fillId="15" borderId="75" applyNumberFormat="0" applyAlignment="0" applyProtection="0"/>
    <xf numFmtId="0" fontId="58"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85" fillId="15" borderId="75" applyNumberFormat="0" applyAlignment="0" applyProtection="0"/>
    <xf numFmtId="0" fontId="47" fillId="15" borderId="1" applyNumberFormat="0" applyAlignment="0" applyProtection="0"/>
    <xf numFmtId="0" fontId="58" fillId="15" borderId="2" applyNumberFormat="0" applyAlignment="0" applyProtection="0"/>
    <xf numFmtId="0" fontId="85" fillId="15" borderId="75" applyNumberFormat="0" applyAlignment="0" applyProtection="0"/>
    <xf numFmtId="0" fontId="85" fillId="15" borderId="75" applyNumberFormat="0" applyAlignment="0" applyProtection="0"/>
    <xf numFmtId="0" fontId="85"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87" fillId="15" borderId="76" applyNumberFormat="0" applyAlignment="0" applyProtection="0"/>
    <xf numFmtId="0" fontId="87" fillId="15" borderId="76" applyNumberFormat="0" applyAlignment="0" applyProtection="0"/>
    <xf numFmtId="0" fontId="87" fillId="65" borderId="76" applyNumberFormat="0" applyAlignment="0" applyProtection="0"/>
    <xf numFmtId="0" fontId="87" fillId="65" borderId="76" applyNumberFormat="0" applyAlignment="0" applyProtection="0"/>
    <xf numFmtId="0" fontId="87" fillId="9" borderId="76" applyNumberFormat="0" applyAlignment="0" applyProtection="0"/>
    <xf numFmtId="0" fontId="87" fillId="9" borderId="76" applyNumberFormat="0" applyAlignment="0" applyProtection="0"/>
    <xf numFmtId="0" fontId="87" fillId="9" borderId="76" applyNumberFormat="0" applyAlignment="0" applyProtection="0"/>
    <xf numFmtId="0" fontId="87"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87" fillId="15" borderId="76" applyNumberFormat="0" applyAlignment="0" applyProtection="0"/>
    <xf numFmtId="0" fontId="48" fillId="15" borderId="3" applyNumberFormat="0" applyAlignment="0" applyProtection="0"/>
    <xf numFmtId="0" fontId="87"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88" fillId="67" borderId="77" applyNumberFormat="0" applyAlignment="0" applyProtection="0"/>
    <xf numFmtId="0" fontId="88" fillId="67" borderId="5" applyNumberFormat="0" applyAlignment="0" applyProtection="0"/>
    <xf numFmtId="0" fontId="89"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90" fillId="0" borderId="6" applyNumberFormat="0" applyFill="0" applyAlignment="0" applyProtection="0"/>
    <xf numFmtId="0" fontId="13" fillId="0" borderId="6" applyNumberFormat="0" applyFill="0" applyAlignment="0" applyProtection="0"/>
    <xf numFmtId="0" fontId="9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2" fillId="69" borderId="0" applyNumberFormat="0" applyBorder="0" applyAlignment="0" applyProtection="0"/>
    <xf numFmtId="0" fontId="93" fillId="0" borderId="79" applyNumberFormat="0" applyFill="0" applyAlignment="0" applyProtection="0"/>
    <xf numFmtId="0" fontId="59" fillId="0" borderId="8" applyNumberFormat="0" applyFill="0" applyAlignment="0" applyProtection="0"/>
    <xf numFmtId="0" fontId="59" fillId="0" borderId="8" applyNumberFormat="0" applyFill="0" applyAlignment="0" applyProtection="0"/>
    <xf numFmtId="0" fontId="94" fillId="0" borderId="80" applyNumberFormat="0" applyFill="0" applyAlignment="0" applyProtection="0"/>
    <xf numFmtId="0" fontId="60" fillId="0" borderId="9" applyNumberFormat="0" applyFill="0" applyAlignment="0" applyProtection="0"/>
    <xf numFmtId="0" fontId="60" fillId="0" borderId="10" applyNumberFormat="0" applyFill="0" applyAlignment="0" applyProtection="0"/>
    <xf numFmtId="0" fontId="95" fillId="0" borderId="81" applyNumberFormat="0" applyFill="0" applyAlignment="0" applyProtection="0"/>
    <xf numFmtId="0" fontId="61" fillId="0" borderId="11" applyNumberFormat="0" applyFill="0" applyAlignment="0" applyProtection="0"/>
    <xf numFmtId="0" fontId="61" fillId="0" borderId="12" applyNumberFormat="0" applyFill="0" applyAlignment="0" applyProtection="0"/>
    <xf numFmtId="0" fontId="9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97" fillId="70" borderId="0" applyNumberFormat="0" applyBorder="0" applyAlignment="0" applyProtection="0"/>
    <xf numFmtId="0" fontId="83"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7"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3" fillId="0" borderId="0"/>
    <xf numFmtId="0" fontId="83" fillId="0" borderId="0"/>
    <xf numFmtId="0" fontId="83" fillId="0" borderId="0"/>
    <xf numFmtId="0" fontId="98" fillId="0" borderId="0"/>
    <xf numFmtId="0" fontId="3" fillId="0" borderId="0"/>
    <xf numFmtId="0" fontId="83" fillId="0" borderId="0"/>
    <xf numFmtId="0" fontId="83" fillId="0" borderId="0"/>
    <xf numFmtId="0" fontId="98"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83" fillId="0" borderId="0"/>
    <xf numFmtId="0" fontId="3" fillId="0" borderId="0"/>
    <xf numFmtId="0" fontId="3" fillId="0" borderId="0"/>
    <xf numFmtId="0" fontId="3" fillId="0" borderId="0"/>
    <xf numFmtId="0" fontId="3" fillId="0" borderId="0"/>
    <xf numFmtId="0" fontId="9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6" fillId="0" borderId="82" applyNumberFormat="0" applyFill="0" applyAlignment="0" applyProtection="0"/>
    <xf numFmtId="0" fontId="96" fillId="0" borderId="82" applyNumberFormat="0" applyFill="0" applyAlignment="0" applyProtection="0"/>
    <xf numFmtId="0" fontId="96"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8" fillId="67" borderId="77" applyNumberFormat="0" applyAlignment="0" applyProtection="0"/>
    <xf numFmtId="0" fontId="88" fillId="67" borderId="5" applyNumberFormat="0" applyAlignment="0" applyProtection="0"/>
    <xf numFmtId="0" fontId="88" fillId="67" borderId="77" applyNumberFormat="0" applyAlignment="0" applyProtection="0"/>
    <xf numFmtId="0" fontId="88" fillId="67" borderId="77" applyNumberFormat="0" applyAlignment="0" applyProtection="0"/>
    <xf numFmtId="0" fontId="88" fillId="67" borderId="5" applyNumberFormat="0" applyAlignment="0" applyProtection="0"/>
    <xf numFmtId="0" fontId="83" fillId="42"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3" borderId="0" applyNumberFormat="0" applyBorder="0" applyAlignment="0" applyProtection="0"/>
    <xf numFmtId="0" fontId="84" fillId="54"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21" borderId="0" applyNumberFormat="0" applyBorder="0" applyAlignment="0" applyProtection="0"/>
    <xf numFmtId="0" fontId="84" fillId="85" borderId="0" applyNumberFormat="0" applyBorder="0" applyAlignment="0" applyProtection="0"/>
    <xf numFmtId="0" fontId="84" fillId="23" borderId="0" applyNumberFormat="0" applyBorder="0" applyAlignment="0" applyProtection="0"/>
    <xf numFmtId="0" fontId="84" fillId="62" borderId="0" applyNumberFormat="0" applyBorder="0" applyAlignment="0" applyProtection="0"/>
    <xf numFmtId="0" fontId="84" fillId="18" borderId="0" applyNumberFormat="0" applyBorder="0" applyAlignment="0" applyProtection="0"/>
    <xf numFmtId="0" fontId="13" fillId="15" borderId="2" applyNumberFormat="0" applyAlignment="0" applyProtection="0"/>
    <xf numFmtId="0" fontId="85" fillId="65" borderId="75"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85" fillId="15" borderId="75" applyNumberFormat="0" applyAlignment="0" applyProtection="0"/>
    <xf numFmtId="0" fontId="87" fillId="65" borderId="76" applyNumberFormat="0" applyAlignment="0" applyProtection="0"/>
    <xf numFmtId="0" fontId="90" fillId="0" borderId="78" applyNumberFormat="0" applyFill="0" applyAlignment="0" applyProtection="0"/>
    <xf numFmtId="0" fontId="138" fillId="0" borderId="8" applyNumberFormat="0" applyFill="0" applyAlignment="0" applyProtection="0"/>
    <xf numFmtId="0" fontId="93" fillId="0" borderId="79" applyNumberFormat="0" applyFill="0" applyAlignment="0" applyProtection="0"/>
    <xf numFmtId="0" fontId="37" fillId="0" borderId="15" applyNumberFormat="0" applyFill="0" applyAlignment="0" applyProtection="0"/>
    <xf numFmtId="0" fontId="139" fillId="0" borderId="9" applyNumberFormat="0" applyFill="0" applyAlignment="0" applyProtection="0"/>
    <xf numFmtId="0" fontId="94" fillId="0" borderId="80" applyNumberFormat="0" applyFill="0" applyAlignment="0" applyProtection="0"/>
    <xf numFmtId="0" fontId="40" fillId="0" borderId="16" applyNumberFormat="0" applyFill="0" applyAlignment="0" applyProtection="0"/>
    <xf numFmtId="0" fontId="140" fillId="0" borderId="11" applyNumberFormat="0" applyFill="0" applyAlignment="0" applyProtection="0"/>
    <xf numFmtId="0" fontId="95" fillId="0" borderId="81" applyNumberFormat="0" applyFill="0" applyAlignment="0" applyProtection="0"/>
    <xf numFmtId="0" fontId="38" fillId="0" borderId="17" applyNumberFormat="0" applyFill="0" applyAlignment="0" applyProtection="0"/>
    <xf numFmtId="0" fontId="140" fillId="0" borderId="0" applyNumberFormat="0" applyFill="0" applyBorder="0" applyAlignment="0" applyProtection="0"/>
    <xf numFmtId="0" fontId="95" fillId="0" borderId="0" applyNumberFormat="0" applyFill="0" applyBorder="0" applyAlignment="0" applyProtection="0"/>
    <xf numFmtId="0" fontId="38" fillId="0" borderId="0" applyNumberFormat="0" applyFill="0" applyBorder="0" applyAlignment="0" applyProtection="0"/>
    <xf numFmtId="164" fontId="1" fillId="0" borderId="0" applyFont="0" applyFill="0" applyBorder="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0" fontId="137" fillId="0" borderId="0"/>
    <xf numFmtId="0" fontId="137" fillId="0" borderId="0"/>
    <xf numFmtId="0" fontId="141"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142" fillId="0" borderId="0" applyNumberFormat="0" applyFill="0" applyBorder="0" applyAlignment="0" applyProtection="0"/>
    <xf numFmtId="0" fontId="64" fillId="0" borderId="0" applyNumberFormat="0" applyFill="0" applyBorder="0" applyAlignment="0" applyProtection="0"/>
    <xf numFmtId="0" fontId="88" fillId="67" borderId="5" applyNumberFormat="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4" fillId="60" borderId="0" applyNumberFormat="0" applyBorder="0" applyAlignment="0" applyProtection="0"/>
    <xf numFmtId="0" fontId="84" fillId="62"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85" borderId="0" applyNumberFormat="0" applyBorder="0" applyAlignment="0" applyProtection="0"/>
    <xf numFmtId="0" fontId="84" fillId="85" borderId="0" applyNumberFormat="0" applyBorder="0" applyAlignment="0" applyProtection="0"/>
    <xf numFmtId="0" fontId="84" fillId="61"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143" fillId="9" borderId="2" applyNumberFormat="0" applyAlignment="0" applyProtection="0"/>
    <xf numFmtId="0" fontId="143" fillId="15" borderId="2" applyNumberFormat="0" applyAlignment="0" applyProtection="0"/>
    <xf numFmtId="0" fontId="143" fillId="15" borderId="2" applyNumberFormat="0" applyAlignment="0" applyProtection="0"/>
    <xf numFmtId="0" fontId="143" fillId="9" borderId="2" applyNumberFormat="0" applyAlignment="0" applyProtection="0"/>
    <xf numFmtId="0" fontId="143" fillId="9" borderId="2" applyNumberFormat="0" applyAlignment="0" applyProtection="0"/>
    <xf numFmtId="0" fontId="143" fillId="15" borderId="2" applyNumberFormat="0" applyAlignment="0" applyProtection="0"/>
    <xf numFmtId="0" fontId="143" fillId="15" borderId="2" applyNumberFormat="0" applyAlignment="0" applyProtection="0"/>
    <xf numFmtId="0" fontId="143" fillId="15" borderId="2" applyNumberFormat="0" applyAlignment="0" applyProtection="0"/>
    <xf numFmtId="0" fontId="52" fillId="6" borderId="0" applyNumberFormat="0" applyBorder="0" applyAlignment="0" applyProtection="0"/>
    <xf numFmtId="0" fontId="54" fillId="26" borderId="4" applyNumberFormat="0" applyAlignment="0" applyProtection="0"/>
    <xf numFmtId="0" fontId="88" fillId="67" borderId="5" applyNumberFormat="0" applyAlignment="0" applyProtection="0"/>
    <xf numFmtId="0" fontId="88" fillId="67" borderId="77" applyNumberFormat="0" applyAlignment="0" applyProtection="0"/>
    <xf numFmtId="0" fontId="88" fillId="67" borderId="77" applyNumberFormat="0" applyAlignment="0" applyProtection="0"/>
    <xf numFmtId="0" fontId="88" fillId="67" borderId="4" applyNumberFormat="0" applyAlignment="0" applyProtection="0"/>
    <xf numFmtId="0" fontId="51" fillId="8" borderId="0" applyNumberFormat="0" applyBorder="0" applyAlignment="0" applyProtection="0"/>
    <xf numFmtId="0" fontId="92" fillId="69" borderId="0" applyNumberFormat="0" applyBorder="0" applyAlignment="0" applyProtection="0"/>
    <xf numFmtId="0" fontId="138" fillId="0" borderId="8" applyNumberFormat="0" applyFill="0" applyAlignment="0" applyProtection="0"/>
    <xf numFmtId="0" fontId="93" fillId="0" borderId="79" applyNumberFormat="0" applyFill="0" applyAlignment="0" applyProtection="0"/>
    <xf numFmtId="0" fontId="139" fillId="0" borderId="10" applyNumberFormat="0" applyFill="0" applyAlignment="0" applyProtection="0"/>
    <xf numFmtId="0" fontId="139" fillId="0" borderId="9" applyNumberFormat="0" applyFill="0" applyAlignment="0" applyProtection="0"/>
    <xf numFmtId="0" fontId="94" fillId="0" borderId="80" applyNumberFormat="0" applyFill="0" applyAlignment="0" applyProtection="0"/>
    <xf numFmtId="0" fontId="140" fillId="0" borderId="12" applyNumberFormat="0" applyFill="0" applyAlignment="0" applyProtection="0"/>
    <xf numFmtId="0" fontId="140" fillId="0" borderId="11" applyNumberFormat="0" applyFill="0" applyAlignment="0" applyProtection="0"/>
    <xf numFmtId="0" fontId="95" fillId="0" borderId="81" applyNumberFormat="0" applyFill="0" applyAlignment="0" applyProtection="0"/>
    <xf numFmtId="0" fontId="140" fillId="0" borderId="0" applyNumberFormat="0" applyFill="0" applyBorder="0" applyAlignment="0" applyProtection="0"/>
    <xf numFmtId="0" fontId="95" fillId="0" borderId="0" applyNumberFormat="0" applyFill="0" applyBorder="0" applyAlignment="0" applyProtection="0"/>
    <xf numFmtId="0" fontId="53" fillId="0" borderId="13" applyNumberFormat="0" applyFill="0" applyAlignment="0" applyProtection="0"/>
    <xf numFmtId="0" fontId="97" fillId="70" borderId="0" applyNumberFormat="0" applyBorder="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83"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6" fillId="6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41" fillId="0" borderId="0" applyNumberFormat="0" applyFill="0" applyBorder="0" applyAlignment="0" applyProtection="0"/>
    <xf numFmtId="0" fontId="99" fillId="0" borderId="0" applyNumberFormat="0" applyFill="0" applyBorder="0" applyAlignment="0" applyProtection="0"/>
    <xf numFmtId="0" fontId="141" fillId="0" borderId="0" applyNumberFormat="0" applyFill="0" applyBorder="0" applyAlignment="0" applyProtection="0"/>
    <xf numFmtId="0" fontId="138" fillId="0" borderId="8" applyNumberFormat="0" applyFill="0" applyAlignment="0" applyProtection="0"/>
    <xf numFmtId="0" fontId="138" fillId="0" borderId="8" applyNumberFormat="0" applyFill="0" applyAlignment="0" applyProtection="0"/>
    <xf numFmtId="0" fontId="139" fillId="0" borderId="10" applyNumberFormat="0" applyFill="0" applyAlignment="0" applyProtection="0"/>
    <xf numFmtId="0" fontId="139" fillId="0" borderId="10" applyNumberFormat="0" applyFill="0" applyAlignment="0" applyProtection="0"/>
    <xf numFmtId="0" fontId="140" fillId="0" borderId="12" applyNumberFormat="0" applyFill="0" applyAlignment="0" applyProtection="0"/>
    <xf numFmtId="0" fontId="140" fillId="0" borderId="12"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96" fillId="0" borderId="82" applyNumberFormat="0" applyFill="0" applyAlignment="0" applyProtection="0"/>
    <xf numFmtId="0" fontId="88" fillId="67" borderId="5" applyNumberFormat="0" applyAlignment="0" applyProtection="0"/>
    <xf numFmtId="0" fontId="88" fillId="67" borderId="5" applyNumberFormat="0" applyAlignment="0" applyProtection="0"/>
    <xf numFmtId="0" fontId="88" fillId="67" borderId="77" applyNumberFormat="0" applyAlignment="0" applyProtection="0"/>
    <xf numFmtId="0" fontId="84" fillId="19" borderId="0" applyNumberFormat="0" applyBorder="0" applyAlignment="0" applyProtection="0"/>
    <xf numFmtId="0" fontId="84" fillId="25" borderId="0" applyNumberFormat="0" applyBorder="0" applyAlignment="0" applyProtection="0"/>
    <xf numFmtId="0" fontId="84" fillId="23" borderId="0" applyNumberFormat="0" applyBorder="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88" fillId="67" borderId="5" applyNumberFormat="0" applyAlignment="0" applyProtection="0"/>
    <xf numFmtId="0" fontId="59" fillId="0" borderId="8" applyNumberFormat="0" applyFill="0" applyAlignment="0" applyProtection="0"/>
    <xf numFmtId="0" fontId="59" fillId="0" borderId="8" applyNumberFormat="0" applyFill="0" applyAlignment="0" applyProtection="0"/>
    <xf numFmtId="0" fontId="60" fillId="0" borderId="9" applyNumberFormat="0" applyFill="0" applyAlignment="0" applyProtection="0"/>
    <xf numFmtId="0" fontId="60" fillId="0" borderId="10" applyNumberFormat="0" applyFill="0" applyAlignment="0" applyProtection="0"/>
    <xf numFmtId="0" fontId="61" fillId="0" borderId="11" applyNumberFormat="0" applyFill="0" applyAlignment="0" applyProtection="0"/>
    <xf numFmtId="0" fontId="61" fillId="0" borderId="1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4" fontId="1" fillId="0" borderId="0" applyFont="0" applyFill="0" applyBorder="0" applyAlignment="0" applyProtection="0"/>
  </cellStyleXfs>
  <cellXfs count="948">
    <xf numFmtId="0" fontId="0" fillId="0" borderId="0" xfId="0"/>
    <xf numFmtId="0" fontId="7" fillId="0" borderId="18" xfId="0" applyFont="1" applyBorder="1" applyAlignment="1">
      <alignment horizontal="center" vertical="center" wrapText="1"/>
    </xf>
    <xf numFmtId="0" fontId="8" fillId="0" borderId="0" xfId="0" applyFont="1" applyAlignment="1">
      <alignment horizontal="left"/>
    </xf>
    <xf numFmtId="0" fontId="8" fillId="0" borderId="0" xfId="0" applyFont="1"/>
    <xf numFmtId="0" fontId="7" fillId="0" borderId="0" xfId="0" applyFont="1"/>
    <xf numFmtId="0" fontId="7" fillId="0" borderId="0" xfId="509" applyFont="1" applyAlignment="1">
      <alignment horizontal="center"/>
    </xf>
    <xf numFmtId="0" fontId="7" fillId="0" borderId="0" xfId="510" applyFont="1"/>
    <xf numFmtId="0" fontId="7" fillId="0" borderId="0" xfId="0" applyFont="1" applyAlignment="1">
      <alignment wrapText="1"/>
    </xf>
    <xf numFmtId="0" fontId="19" fillId="0" borderId="0" xfId="0" applyFont="1"/>
    <xf numFmtId="0" fontId="23" fillId="0" borderId="0" xfId="0" applyFont="1"/>
    <xf numFmtId="0" fontId="4" fillId="0" borderId="0" xfId="477" applyFont="1"/>
    <xf numFmtId="0" fontId="14" fillId="0" borderId="0" xfId="0" applyFont="1"/>
    <xf numFmtId="0" fontId="23" fillId="0" borderId="0" xfId="0" applyFont="1" applyAlignment="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3" fillId="0" borderId="0" xfId="0" applyFont="1"/>
    <xf numFmtId="0" fontId="21" fillId="0" borderId="0" xfId="0" applyFont="1"/>
    <xf numFmtId="0" fontId="5" fillId="0" borderId="0" xfId="0" applyFont="1"/>
    <xf numFmtId="0" fontId="6" fillId="0" borderId="0" xfId="0" applyFont="1"/>
    <xf numFmtId="0" fontId="3" fillId="0" borderId="0" xfId="477"/>
    <xf numFmtId="0" fontId="24" fillId="0" borderId="0" xfId="0" applyFont="1"/>
    <xf numFmtId="0" fontId="15" fillId="0" borderId="0" xfId="0" applyFont="1"/>
    <xf numFmtId="0" fontId="27" fillId="0" borderId="0" xfId="0" applyFont="1"/>
    <xf numFmtId="0" fontId="3" fillId="0" borderId="0" xfId="477" applyAlignment="1">
      <alignment horizontal="left"/>
    </xf>
    <xf numFmtId="0" fontId="16" fillId="0" borderId="0" xfId="0" applyFont="1"/>
    <xf numFmtId="0" fontId="18" fillId="0" borderId="0" xfId="477" applyFont="1"/>
    <xf numFmtId="0" fontId="4" fillId="0" borderId="0" xfId="477" applyFont="1" applyAlignment="1">
      <alignment horizontal="left"/>
    </xf>
    <xf numFmtId="0" fontId="18" fillId="0" borderId="0" xfId="477" applyFont="1" applyAlignment="1">
      <alignment vertical="center"/>
    </xf>
    <xf numFmtId="0" fontId="23" fillId="28" borderId="0" xfId="0" applyFont="1" applyFill="1"/>
    <xf numFmtId="0" fontId="3" fillId="0" borderId="0" xfId="0" applyFont="1" applyAlignment="1">
      <alignment wrapText="1"/>
    </xf>
    <xf numFmtId="0" fontId="22" fillId="0" borderId="0" xfId="0" applyFont="1"/>
    <xf numFmtId="0" fontId="20" fillId="0" borderId="0" xfId="0" applyFont="1"/>
    <xf numFmtId="0" fontId="14" fillId="0" borderId="19" xfId="0" applyFont="1" applyBorder="1" applyAlignment="1">
      <alignment horizontal="center" vertical="center" wrapText="1"/>
    </xf>
    <xf numFmtId="0" fontId="14" fillId="0" borderId="0" xfId="0" applyFont="1" applyAlignment="1">
      <alignment vertical="center"/>
    </xf>
    <xf numFmtId="0" fontId="26" fillId="0" borderId="0" xfId="0" applyFont="1"/>
    <xf numFmtId="14" fontId="29" fillId="29" borderId="19" xfId="0" applyNumberFormat="1" applyFont="1" applyFill="1" applyBorder="1" applyAlignment="1">
      <alignment horizontal="center" vertical="center"/>
    </xf>
    <xf numFmtId="0" fontId="11" fillId="29" borderId="19" xfId="477" applyFont="1" applyFill="1" applyBorder="1" applyAlignment="1">
      <alignment vertical="center"/>
    </xf>
    <xf numFmtId="0" fontId="23" fillId="30" borderId="20" xfId="0" applyFont="1" applyFill="1" applyBorder="1" applyAlignment="1">
      <alignment horizontal="center" vertical="center"/>
    </xf>
    <xf numFmtId="0" fontId="19" fillId="0" borderId="0" xfId="0" applyFont="1" applyAlignment="1">
      <alignment horizontal="center" vertical="center" wrapText="1"/>
    </xf>
    <xf numFmtId="0" fontId="35" fillId="0" borderId="0" xfId="0" applyFont="1"/>
    <xf numFmtId="0" fontId="31" fillId="0" borderId="0" xfId="0" applyFont="1"/>
    <xf numFmtId="166" fontId="31" fillId="0" borderId="0" xfId="0" applyNumberFormat="1" applyFont="1"/>
    <xf numFmtId="0" fontId="23" fillId="27" borderId="20" xfId="0" applyFont="1" applyFill="1" applyBorder="1" applyAlignment="1">
      <alignment horizontal="center" vertical="center"/>
    </xf>
    <xf numFmtId="0" fontId="23" fillId="27" borderId="21" xfId="0" applyFont="1" applyFill="1" applyBorder="1" applyAlignment="1">
      <alignment horizontal="center" vertical="center"/>
    </xf>
    <xf numFmtId="49" fontId="19" fillId="0" borderId="0" xfId="0" applyNumberFormat="1" applyFont="1" applyAlignment="1">
      <alignment horizontal="center" vertical="center"/>
    </xf>
    <xf numFmtId="0" fontId="41" fillId="0" borderId="0" xfId="0" applyFont="1" applyAlignment="1">
      <alignment horizontal="left" vertical="top"/>
    </xf>
    <xf numFmtId="0" fontId="65" fillId="0" borderId="0" xfId="477" applyFont="1"/>
    <xf numFmtId="0" fontId="7" fillId="0" borderId="22" xfId="0" applyFont="1" applyBorder="1" applyAlignment="1">
      <alignment textRotation="90" wrapText="1"/>
    </xf>
    <xf numFmtId="0" fontId="19" fillId="0" borderId="23" xfId="0" applyFont="1" applyBorder="1"/>
    <xf numFmtId="0" fontId="7" fillId="0" borderId="24" xfId="0" applyFont="1" applyBorder="1" applyAlignment="1">
      <alignment horizontal="center" vertical="center" wrapText="1"/>
    </xf>
    <xf numFmtId="165" fontId="7" fillId="0" borderId="25" xfId="399" applyNumberFormat="1" applyFont="1" applyFill="1" applyBorder="1" applyAlignment="1" applyProtection="1">
      <alignment horizontal="center" vertical="center"/>
    </xf>
    <xf numFmtId="0" fontId="9" fillId="0" borderId="0" xfId="477" applyFont="1" applyAlignment="1">
      <alignment horizontal="left"/>
    </xf>
    <xf numFmtId="165" fontId="3" fillId="0" borderId="0" xfId="477" applyNumberFormat="1"/>
    <xf numFmtId="165" fontId="31" fillId="0" borderId="0" xfId="399" applyNumberFormat="1" applyFont="1" applyProtection="1"/>
    <xf numFmtId="10" fontId="31" fillId="0" borderId="0" xfId="399" applyNumberFormat="1" applyFont="1" applyProtection="1"/>
    <xf numFmtId="9" fontId="31" fillId="0" borderId="0" xfId="0" applyNumberFormat="1" applyFont="1"/>
    <xf numFmtId="165"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2" borderId="28" xfId="0" applyFont="1" applyFill="1" applyBorder="1" applyAlignment="1">
      <alignment horizontal="center" wrapText="1"/>
    </xf>
    <xf numFmtId="0" fontId="3" fillId="0" borderId="0" xfId="477" applyAlignment="1">
      <alignment vertical="center"/>
    </xf>
    <xf numFmtId="0" fontId="23" fillId="31" borderId="29" xfId="0" applyFont="1" applyFill="1" applyBorder="1" applyAlignment="1">
      <alignment horizontal="center" vertical="center" wrapText="1"/>
    </xf>
    <xf numFmtId="0" fontId="23" fillId="30" borderId="29" xfId="0" applyFont="1" applyFill="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4" fillId="0" borderId="0" xfId="0" applyFont="1" applyAlignment="1">
      <alignment vertical="center"/>
    </xf>
    <xf numFmtId="0" fontId="67" fillId="33" borderId="20" xfId="0" applyFont="1" applyFill="1" applyBorder="1" applyAlignment="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32" fillId="0" borderId="37" xfId="0" applyFont="1" applyBorder="1" applyAlignment="1">
      <alignment horizontal="center" vertical="center" wrapText="1"/>
    </xf>
    <xf numFmtId="0" fontId="10" fillId="0" borderId="38" xfId="0" applyFont="1" applyBorder="1" applyAlignment="1">
      <alignment horizontal="center" vertical="center"/>
    </xf>
    <xf numFmtId="0" fontId="7" fillId="0" borderId="28" xfId="0" applyFont="1" applyBorder="1" applyAlignment="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lignment horizontal="center" vertical="top" wrapText="1"/>
    </xf>
    <xf numFmtId="0" fontId="68" fillId="0" borderId="0" xfId="0" applyFont="1"/>
    <xf numFmtId="0" fontId="14" fillId="0" borderId="39" xfId="0" applyFont="1" applyBorder="1"/>
    <xf numFmtId="0" fontId="14" fillId="0" borderId="40" xfId="0" applyFont="1" applyBorder="1"/>
    <xf numFmtId="0" fontId="67" fillId="27" borderId="29" xfId="0" applyFont="1" applyFill="1" applyBorder="1" applyAlignment="1">
      <alignment horizontal="center" vertical="center"/>
    </xf>
    <xf numFmtId="0" fontId="67" fillId="27" borderId="31" xfId="0" applyFont="1" applyFill="1" applyBorder="1" applyAlignment="1">
      <alignment horizontal="center" vertical="center"/>
    </xf>
    <xf numFmtId="0" fontId="14" fillId="28" borderId="0" xfId="0" applyFont="1" applyFill="1" applyAlignment="1">
      <alignment horizontal="right" vertical="center"/>
    </xf>
    <xf numFmtId="0" fontId="14" fillId="28" borderId="0" xfId="0" applyFont="1" applyFill="1"/>
    <xf numFmtId="0" fontId="14" fillId="0" borderId="0" xfId="0" applyFont="1" applyAlignment="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xf numFmtId="0" fontId="17" fillId="0" borderId="42" xfId="0" applyFont="1" applyBorder="1"/>
    <xf numFmtId="0" fontId="14" fillId="0" borderId="19" xfId="0" applyFont="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xf numFmtId="0" fontId="17" fillId="0" borderId="43" xfId="0" applyFont="1" applyBorder="1"/>
    <xf numFmtId="0" fontId="14" fillId="0" borderId="43" xfId="0" applyFont="1" applyBorder="1"/>
    <xf numFmtId="0" fontId="14" fillId="0" borderId="40" xfId="0" applyFont="1" applyBorder="1" applyAlignment="1">
      <alignment horizontal="left" vertical="center"/>
    </xf>
    <xf numFmtId="0" fontId="26" fillId="0" borderId="43" xfId="0" applyFont="1" applyBorder="1" applyAlignment="1">
      <alignment horizontal="center" vertical="center"/>
    </xf>
    <xf numFmtId="1" fontId="68" fillId="0" borderId="0" xfId="0" applyNumberFormat="1" applyFont="1"/>
    <xf numFmtId="14" fontId="68" fillId="0" borderId="0" xfId="0" applyNumberFormat="1" applyFont="1" applyAlignment="1">
      <alignment horizontal="left" vertical="center"/>
    </xf>
    <xf numFmtId="14" fontId="68" fillId="0" borderId="0" xfId="0" applyNumberFormat="1" applyFont="1"/>
    <xf numFmtId="14" fontId="68" fillId="0" borderId="0" xfId="0" applyNumberFormat="1" applyFont="1" applyAlignment="1">
      <alignment horizontal="center"/>
    </xf>
    <xf numFmtId="0" fontId="68" fillId="36" borderId="19" xfId="0" applyFont="1" applyFill="1" applyBorder="1" applyAlignment="1">
      <alignment horizontal="center" vertical="center"/>
    </xf>
    <xf numFmtId="9" fontId="14" fillId="36" borderId="19" xfId="399" applyFont="1" applyFill="1" applyBorder="1" applyAlignment="1" applyProtection="1">
      <alignment horizontal="center" vertical="center"/>
    </xf>
    <xf numFmtId="167" fontId="14" fillId="36" borderId="19" xfId="399" applyNumberFormat="1" applyFont="1" applyFill="1" applyBorder="1" applyAlignment="1" applyProtection="1">
      <alignment horizontal="center" vertical="center"/>
    </xf>
    <xf numFmtId="0" fontId="68" fillId="0" borderId="43" xfId="0" applyFont="1" applyBorder="1" applyAlignment="1">
      <alignment horizontal="center" vertical="center"/>
    </xf>
    <xf numFmtId="167" fontId="14" fillId="36" borderId="43" xfId="399" applyNumberFormat="1" applyFont="1" applyFill="1" applyBorder="1" applyAlignment="1" applyProtection="1">
      <alignment horizontal="center" vertical="center"/>
    </xf>
    <xf numFmtId="167" fontId="14" fillId="0" borderId="43" xfId="399" applyNumberFormat="1" applyFont="1" applyBorder="1" applyAlignment="1" applyProtection="1">
      <alignment horizontal="center" vertical="center"/>
    </xf>
    <xf numFmtId="0" fontId="68" fillId="0" borderId="0" xfId="0" applyFont="1" applyAlignment="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14" fillId="0" borderId="27" xfId="0" applyFont="1" applyBorder="1" applyAlignment="1">
      <alignment vertical="center" wrapText="1"/>
    </xf>
    <xf numFmtId="1" fontId="26" fillId="29" borderId="27" xfId="0" applyNumberFormat="1" applyFont="1" applyFill="1" applyBorder="1" applyAlignment="1">
      <alignment horizontal="center" vertical="center" wrapText="1"/>
    </xf>
    <xf numFmtId="0" fontId="55" fillId="0" borderId="0" xfId="0" applyFont="1"/>
    <xf numFmtId="0" fontId="26" fillId="0" borderId="19" xfId="0" applyFont="1" applyBorder="1" applyAlignment="1">
      <alignment horizontal="center" vertical="center"/>
    </xf>
    <xf numFmtId="0" fontId="14" fillId="0" borderId="19" xfId="0" applyFont="1" applyBorder="1" applyAlignment="1">
      <alignment horizontal="left" vertical="center" wrapText="1"/>
    </xf>
    <xf numFmtId="0" fontId="14" fillId="0" borderId="0" xfId="0" applyFont="1" applyAlignment="1">
      <alignment horizontal="left" vertical="center"/>
    </xf>
    <xf numFmtId="0" fontId="26" fillId="0" borderId="0" xfId="0" applyFont="1" applyAlignment="1">
      <alignment horizontal="left" vertical="center"/>
    </xf>
    <xf numFmtId="0" fontId="7" fillId="0" borderId="0" xfId="0" applyFont="1" applyAlignment="1">
      <alignment horizontal="center" vertical="center"/>
    </xf>
    <xf numFmtId="0" fontId="7" fillId="0" borderId="19" xfId="0" applyFont="1" applyBorder="1" applyAlignment="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7" fontId="14" fillId="0" borderId="19" xfId="399" applyNumberFormat="1" applyFont="1" applyBorder="1" applyAlignment="1" applyProtection="1">
      <alignment horizontal="center" vertical="center"/>
    </xf>
    <xf numFmtId="165" fontId="7" fillId="31" borderId="20" xfId="399" applyNumberFormat="1" applyFont="1" applyFill="1" applyBorder="1" applyAlignment="1" applyProtection="1">
      <alignment horizontal="center" vertical="center" wrapText="1"/>
    </xf>
    <xf numFmtId="0" fontId="45" fillId="0" borderId="19" xfId="0" applyFont="1" applyBorder="1" applyAlignment="1">
      <alignment vertical="center"/>
    </xf>
    <xf numFmtId="0" fontId="14" fillId="36" borderId="19" xfId="0" applyFont="1" applyFill="1" applyBorder="1" applyAlignment="1">
      <alignment vertical="center"/>
    </xf>
    <xf numFmtId="9" fontId="68" fillId="36" borderId="19" xfId="0" applyNumberFormat="1" applyFont="1" applyFill="1" applyBorder="1" applyAlignment="1">
      <alignment horizontal="center" vertical="center"/>
    </xf>
    <xf numFmtId="0" fontId="68" fillId="0" borderId="43" xfId="0" applyFont="1" applyBorder="1" applyAlignment="1">
      <alignment vertical="center"/>
    </xf>
    <xf numFmtId="0" fontId="68" fillId="0" borderId="0" xfId="0" applyFont="1" applyAlignment="1">
      <alignment vertical="center"/>
    </xf>
    <xf numFmtId="0" fontId="68" fillId="0" borderId="46" xfId="0" applyFont="1" applyBorder="1" applyAlignment="1">
      <alignment vertical="center"/>
    </xf>
    <xf numFmtId="0" fontId="68" fillId="0" borderId="40" xfId="0" applyFont="1" applyBorder="1" applyAlignment="1">
      <alignment vertical="center"/>
    </xf>
    <xf numFmtId="0" fontId="68" fillId="0" borderId="39" xfId="0" applyFont="1" applyBorder="1" applyAlignment="1">
      <alignment vertical="center"/>
    </xf>
    <xf numFmtId="0" fontId="14" fillId="0" borderId="39"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vertical="center"/>
    </xf>
    <xf numFmtId="0" fontId="26" fillId="0" borderId="39" xfId="0" applyFont="1" applyBorder="1" applyAlignment="1">
      <alignment vertical="center"/>
    </xf>
    <xf numFmtId="0" fontId="14" fillId="31" borderId="47" xfId="0" applyFont="1" applyFill="1" applyBorder="1" applyAlignment="1">
      <alignment horizontal="center" vertical="center"/>
    </xf>
    <xf numFmtId="0" fontId="14" fillId="31" borderId="48" xfId="0" applyFont="1" applyFill="1" applyBorder="1" applyAlignment="1">
      <alignment horizontal="center" vertical="center"/>
    </xf>
    <xf numFmtId="49" fontId="14" fillId="37" borderId="47" xfId="0" applyNumberFormat="1" applyFont="1" applyFill="1" applyBorder="1" applyAlignment="1">
      <alignment horizontal="center" vertical="center" wrapText="1"/>
    </xf>
    <xf numFmtId="49" fontId="14" fillId="37" borderId="48"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67" fillId="0" borderId="0" xfId="0" applyFont="1" applyAlignment="1">
      <alignment horizontal="left" vertical="center"/>
    </xf>
    <xf numFmtId="0" fontId="67" fillId="0" borderId="0" xfId="0" applyFont="1" applyAlignment="1">
      <alignment vertical="center"/>
    </xf>
    <xf numFmtId="0" fontId="67" fillId="0" borderId="0" xfId="0" applyFont="1" applyAlignment="1">
      <alignment horizontal="center" vertical="center"/>
    </xf>
    <xf numFmtId="0" fontId="70" fillId="0" borderId="19" xfId="0" applyFont="1" applyBorder="1" applyAlignment="1">
      <alignment horizontal="center" vertical="center" wrapText="1"/>
    </xf>
    <xf numFmtId="0" fontId="70" fillId="0" borderId="19" xfId="0" applyFont="1" applyBorder="1" applyAlignment="1">
      <alignment horizontal="center" vertical="center"/>
    </xf>
    <xf numFmtId="0" fontId="14" fillId="31" borderId="45"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49" fontId="14" fillId="0" borderId="19"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4" fillId="0" borderId="0" xfId="0" applyFont="1" applyAlignment="1">
      <alignment horizontal="center" vertical="center"/>
    </xf>
    <xf numFmtId="9" fontId="68" fillId="0" borderId="19" xfId="0" applyNumberFormat="1" applyFont="1" applyBorder="1" applyAlignment="1">
      <alignment horizontal="center" vertical="center"/>
    </xf>
    <xf numFmtId="0" fontId="14" fillId="33" borderId="20" xfId="0" applyFont="1" applyFill="1" applyBorder="1" applyAlignment="1">
      <alignment horizontal="center" vertical="center"/>
    </xf>
    <xf numFmtId="0" fontId="14" fillId="30" borderId="20" xfId="0" applyFont="1" applyFill="1" applyBorder="1" applyAlignment="1">
      <alignment horizontal="center" vertical="center"/>
    </xf>
    <xf numFmtId="0" fontId="14" fillId="38" borderId="20" xfId="0" applyFont="1" applyFill="1" applyBorder="1" applyAlignment="1">
      <alignment horizontal="center" vertical="center"/>
    </xf>
    <xf numFmtId="0" fontId="14" fillId="38" borderId="21" xfId="0" applyFont="1" applyFill="1" applyBorder="1" applyAlignment="1">
      <alignment horizontal="center" vertical="center"/>
    </xf>
    <xf numFmtId="0" fontId="45" fillId="0" borderId="0" xfId="0" applyFont="1" applyAlignment="1">
      <alignment vertical="center"/>
    </xf>
    <xf numFmtId="0" fontId="14" fillId="31" borderId="29" xfId="0" applyFont="1" applyFill="1" applyBorder="1" applyAlignment="1">
      <alignment horizontal="center" vertical="center" wrapText="1"/>
    </xf>
    <xf numFmtId="0" fontId="14" fillId="30" borderId="29" xfId="0" applyFont="1" applyFill="1" applyBorder="1" applyAlignment="1">
      <alignment horizontal="center" vertical="center"/>
    </xf>
    <xf numFmtId="0" fontId="14" fillId="38" borderId="29" xfId="0" applyFont="1" applyFill="1" applyBorder="1" applyAlignment="1">
      <alignment horizontal="center" vertical="center"/>
    </xf>
    <xf numFmtId="0" fontId="14" fillId="38" borderId="31"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4" fillId="0" borderId="19" xfId="0" applyFont="1" applyBorder="1" applyAlignment="1">
      <alignment vertical="center"/>
    </xf>
    <xf numFmtId="0" fontId="7" fillId="0" borderId="19" xfId="0" applyFont="1" applyBorder="1" applyAlignment="1">
      <alignment vertical="center"/>
    </xf>
    <xf numFmtId="49" fontId="14" fillId="37" borderId="52" xfId="0" applyNumberFormat="1" applyFont="1" applyFill="1" applyBorder="1" applyAlignment="1">
      <alignment horizontal="center" vertical="center" wrapText="1"/>
    </xf>
    <xf numFmtId="0" fontId="15" fillId="0" borderId="0" xfId="0" applyFont="1" applyAlignment="1">
      <alignment vertical="center"/>
    </xf>
    <xf numFmtId="0" fontId="66" fillId="0" borderId="19" xfId="0" applyFont="1" applyBorder="1" applyAlignment="1">
      <alignment horizontal="left" vertical="center"/>
    </xf>
    <xf numFmtId="0" fontId="66" fillId="0" borderId="0" xfId="0" applyFont="1" applyAlignment="1">
      <alignment vertical="center"/>
    </xf>
    <xf numFmtId="0" fontId="4" fillId="0" borderId="0" xfId="477" applyFont="1" applyAlignment="1">
      <alignment vertical="center"/>
    </xf>
    <xf numFmtId="14" fontId="66" fillId="0" borderId="19" xfId="0" applyNumberFormat="1" applyFont="1" applyBorder="1" applyAlignment="1">
      <alignment horizontal="left" vertical="center"/>
    </xf>
    <xf numFmtId="0" fontId="66" fillId="0" borderId="31" xfId="0" applyFont="1" applyBorder="1" applyAlignment="1">
      <alignment horizontal="center" vertical="center"/>
    </xf>
    <xf numFmtId="0" fontId="66" fillId="0" borderId="0" xfId="0" applyFont="1" applyAlignment="1">
      <alignment horizontal="center" vertical="center"/>
    </xf>
    <xf numFmtId="0" fontId="0" fillId="0" borderId="0" xfId="0" applyAlignment="1">
      <alignment vertical="center"/>
    </xf>
    <xf numFmtId="0" fontId="67" fillId="0" borderId="0" xfId="0" applyFont="1" applyAlignment="1">
      <alignment horizontal="left" vertical="center" wrapText="1"/>
    </xf>
    <xf numFmtId="0" fontId="14" fillId="0" borderId="19" xfId="0" applyFont="1" applyBorder="1" applyAlignment="1">
      <alignment horizontal="left" vertical="center"/>
    </xf>
    <xf numFmtId="0" fontId="7" fillId="0" borderId="50" xfId="0" applyFont="1" applyBorder="1" applyAlignment="1">
      <alignment vertical="center"/>
    </xf>
    <xf numFmtId="0" fontId="7" fillId="0" borderId="51" xfId="0" applyFont="1" applyBorder="1" applyAlignment="1">
      <alignment vertical="center"/>
    </xf>
    <xf numFmtId="0" fontId="68" fillId="0" borderId="0" xfId="0" applyFont="1" applyAlignment="1">
      <alignment horizontal="left" vertical="center"/>
    </xf>
    <xf numFmtId="0" fontId="68" fillId="0" borderId="41" xfId="0" applyFont="1" applyBorder="1" applyAlignment="1">
      <alignment vertical="center"/>
    </xf>
    <xf numFmtId="0" fontId="68" fillId="0" borderId="50" xfId="0" applyFont="1" applyBorder="1" applyAlignment="1">
      <alignment vertical="center"/>
    </xf>
    <xf numFmtId="0" fontId="7" fillId="0" borderId="49" xfId="0" applyFont="1" applyBorder="1" applyAlignment="1">
      <alignment horizontal="center" vertical="center"/>
    </xf>
    <xf numFmtId="0" fontId="8" fillId="0" borderId="19" xfId="0" applyFont="1" applyBorder="1" applyAlignment="1">
      <alignment horizontal="center" vertical="center" wrapText="1"/>
    </xf>
    <xf numFmtId="0" fontId="71" fillId="0" borderId="0" xfId="0" applyFont="1" applyAlignment="1">
      <alignment vertical="center"/>
    </xf>
    <xf numFmtId="0" fontId="68" fillId="0" borderId="31" xfId="0" applyFont="1" applyBorder="1" applyAlignment="1">
      <alignment vertical="center"/>
    </xf>
    <xf numFmtId="4" fontId="68" fillId="0" borderId="31" xfId="0" applyNumberFormat="1" applyFont="1" applyBorder="1" applyAlignment="1">
      <alignment horizontal="center" vertical="center"/>
    </xf>
    <xf numFmtId="0" fontId="14" fillId="0" borderId="0" xfId="0" applyFont="1" applyAlignment="1">
      <alignment vertical="center" wrapText="1"/>
    </xf>
    <xf numFmtId="0" fontId="68" fillId="0" borderId="0" xfId="0" applyFont="1" applyAlignment="1">
      <alignment vertical="center" wrapText="1"/>
    </xf>
    <xf numFmtId="167" fontId="26" fillId="0" borderId="19" xfId="0" applyNumberFormat="1" applyFont="1" applyBorder="1" applyAlignment="1">
      <alignment horizontal="center" vertical="center" wrapText="1"/>
    </xf>
    <xf numFmtId="167" fontId="68" fillId="0" borderId="19" xfId="0" applyNumberFormat="1" applyFont="1" applyBorder="1" applyAlignment="1">
      <alignment horizontal="center" vertical="center" wrapText="1"/>
    </xf>
    <xf numFmtId="167" fontId="68" fillId="36" borderId="19" xfId="0" applyNumberFormat="1" applyFont="1" applyFill="1" applyBorder="1" applyAlignment="1">
      <alignment horizontal="center" vertical="center" wrapText="1"/>
    </xf>
    <xf numFmtId="167" fontId="14" fillId="0" borderId="19" xfId="399" applyNumberFormat="1" applyFont="1" applyBorder="1" applyAlignment="1" applyProtection="1">
      <alignment horizontal="center" vertical="center" wrapText="1"/>
    </xf>
    <xf numFmtId="0" fontId="68" fillId="0" borderId="19" xfId="0" applyFont="1" applyBorder="1" applyAlignment="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lignment vertical="center" wrapText="1"/>
    </xf>
    <xf numFmtId="167" fontId="14" fillId="36" borderId="19" xfId="399" applyNumberFormat="1" applyFont="1" applyFill="1" applyBorder="1" applyAlignment="1" applyProtection="1">
      <alignment horizontal="center" vertical="center" wrapText="1"/>
    </xf>
    <xf numFmtId="0" fontId="45" fillId="0" borderId="19" xfId="0" applyFont="1" applyBorder="1" applyAlignment="1">
      <alignment vertical="center" wrapText="1"/>
    </xf>
    <xf numFmtId="9" fontId="68" fillId="0" borderId="19" xfId="0" applyNumberFormat="1" applyFont="1" applyBorder="1" applyAlignment="1">
      <alignment horizontal="center" vertical="center" wrapText="1"/>
    </xf>
    <xf numFmtId="0" fontId="68" fillId="0" borderId="0" xfId="0" applyFont="1" applyAlignment="1">
      <alignment horizontal="center" vertical="center" wrapText="1"/>
    </xf>
    <xf numFmtId="167" fontId="14" fillId="36" borderId="43" xfId="399" applyNumberFormat="1" applyFont="1" applyFill="1" applyBorder="1" applyAlignment="1" applyProtection="1">
      <alignment horizontal="center" vertical="center" wrapText="1"/>
    </xf>
    <xf numFmtId="167" fontId="14" fillId="0" borderId="43" xfId="399" applyNumberFormat="1" applyFont="1" applyBorder="1" applyAlignment="1" applyProtection="1">
      <alignment horizontal="center" vertical="center" wrapText="1"/>
    </xf>
    <xf numFmtId="1" fontId="66" fillId="0" borderId="19" xfId="0" applyNumberFormat="1" applyFont="1" applyBorder="1" applyAlignment="1">
      <alignment horizontal="center" vertical="center"/>
    </xf>
    <xf numFmtId="0" fontId="23" fillId="0" borderId="19" xfId="0" applyFont="1" applyBorder="1" applyAlignment="1">
      <alignment horizontal="left" vertical="center"/>
    </xf>
    <xf numFmtId="0" fontId="15" fillId="0" borderId="19" xfId="0" applyFont="1" applyBorder="1" applyAlignment="1">
      <alignment horizontal="center" vertical="center"/>
    </xf>
    <xf numFmtId="0" fontId="66" fillId="0" borderId="19" xfId="0" applyFont="1" applyBorder="1" applyAlignment="1">
      <alignment horizontal="center" vertical="center"/>
    </xf>
    <xf numFmtId="0" fontId="66" fillId="0" borderId="31" xfId="0" applyFont="1" applyBorder="1" applyAlignment="1">
      <alignment horizontal="left" vertical="center" wrapText="1"/>
    </xf>
    <xf numFmtId="0" fontId="66" fillId="0" borderId="19" xfId="0" applyFont="1" applyBorder="1" applyAlignment="1">
      <alignment horizontal="left" vertical="center" wrapText="1"/>
    </xf>
    <xf numFmtId="0" fontId="14" fillId="0" borderId="19" xfId="0" applyFont="1" applyBorder="1" applyAlignment="1">
      <alignment vertical="center" wrapText="1"/>
    </xf>
    <xf numFmtId="0" fontId="68" fillId="0" borderId="19" xfId="0" applyFont="1" applyBorder="1" applyAlignment="1">
      <alignment horizontal="center" vertical="center"/>
    </xf>
    <xf numFmtId="49" fontId="14" fillId="0" borderId="0" xfId="0" applyNumberFormat="1" applyFont="1" applyAlignment="1">
      <alignment horizontal="center" vertical="center"/>
    </xf>
    <xf numFmtId="0" fontId="14" fillId="0" borderId="50" xfId="0" applyFont="1" applyBorder="1" applyAlignment="1">
      <alignment vertical="center"/>
    </xf>
    <xf numFmtId="0" fontId="14" fillId="0" borderId="53" xfId="0" applyFont="1" applyBorder="1" applyAlignment="1">
      <alignment horizontal="center" vertical="center"/>
    </xf>
    <xf numFmtId="0" fontId="7" fillId="0" borderId="49" xfId="0" applyFont="1" applyBorder="1" applyAlignment="1">
      <alignment vertical="center"/>
    </xf>
    <xf numFmtId="0" fontId="14" fillId="0" borderId="49" xfId="0" applyFont="1" applyBorder="1" applyAlignment="1">
      <alignment vertical="center"/>
    </xf>
    <xf numFmtId="0" fontId="14" fillId="0" borderId="54" xfId="0" applyFont="1" applyBorder="1" applyAlignment="1">
      <alignment horizontal="center" vertical="center"/>
    </xf>
    <xf numFmtId="0" fontId="71" fillId="0" borderId="19" xfId="0" applyFont="1" applyBorder="1" applyAlignment="1">
      <alignment horizontal="center" vertical="center" wrapText="1"/>
    </xf>
    <xf numFmtId="0" fontId="14" fillId="37" borderId="19" xfId="0" applyFont="1" applyFill="1" applyBorder="1" applyAlignment="1">
      <alignment horizontal="right" vertical="center"/>
    </xf>
    <xf numFmtId="0" fontId="68" fillId="37" borderId="19" xfId="0" applyFont="1" applyFill="1" applyBorder="1" applyAlignment="1">
      <alignment horizontal="center" vertical="center"/>
    </xf>
    <xf numFmtId="0" fontId="14" fillId="37" borderId="19" xfId="0" applyFont="1" applyFill="1" applyBorder="1" applyAlignment="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lignment horizontal="center" vertical="center"/>
    </xf>
    <xf numFmtId="0" fontId="4" fillId="0" borderId="19" xfId="477" applyFont="1" applyBorder="1" applyAlignment="1">
      <alignment horizontal="left" vertical="center"/>
    </xf>
    <xf numFmtId="0" fontId="72" fillId="0" borderId="19" xfId="0" applyFont="1" applyBorder="1" applyAlignment="1">
      <alignment horizontal="center" vertical="center"/>
    </xf>
    <xf numFmtId="0" fontId="7" fillId="0" borderId="19" xfId="0" applyFont="1" applyBorder="1" applyAlignment="1">
      <alignment horizontal="center" vertical="center" wrapText="1"/>
    </xf>
    <xf numFmtId="0" fontId="68" fillId="0" borderId="20" xfId="0" applyFont="1" applyBorder="1" applyAlignment="1">
      <alignment vertical="center"/>
    </xf>
    <xf numFmtId="0" fontId="68" fillId="0" borderId="19"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vertical="center"/>
    </xf>
    <xf numFmtId="0" fontId="14" fillId="33" borderId="29" xfId="0" applyFont="1" applyFill="1" applyBorder="1" applyAlignment="1">
      <alignment horizontal="center" vertical="center" wrapText="1"/>
    </xf>
    <xf numFmtId="0" fontId="68" fillId="0" borderId="31" xfId="0" applyFont="1" applyBorder="1" applyAlignment="1">
      <alignment horizontal="center" vertical="center"/>
    </xf>
    <xf numFmtId="0" fontId="68" fillId="0" borderId="21" xfId="0" applyFont="1" applyBorder="1" applyAlignment="1">
      <alignment vertical="center"/>
    </xf>
    <xf numFmtId="0" fontId="7" fillId="0" borderId="57" xfId="0" applyFont="1" applyBorder="1" applyAlignment="1">
      <alignment vertical="center"/>
    </xf>
    <xf numFmtId="0" fontId="14" fillId="0" borderId="21" xfId="0" applyFont="1" applyBorder="1" applyAlignment="1">
      <alignment horizontal="center" vertical="center" wrapText="1"/>
    </xf>
    <xf numFmtId="0" fontId="14" fillId="0" borderId="21" xfId="0" applyFont="1" applyBorder="1" applyAlignment="1">
      <alignment vertical="center"/>
    </xf>
    <xf numFmtId="0" fontId="14" fillId="0" borderId="58" xfId="0" applyFont="1" applyBorder="1" applyAlignment="1">
      <alignment horizontal="center" vertical="center"/>
    </xf>
    <xf numFmtId="0" fontId="14" fillId="30" borderId="47"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0" borderId="57" xfId="0" applyFont="1" applyBorder="1" applyAlignment="1">
      <alignment vertical="center"/>
    </xf>
    <xf numFmtId="0" fontId="14" fillId="0" borderId="59" xfId="0" applyFont="1" applyBorder="1" applyAlignment="1">
      <alignment horizontal="center" vertical="center"/>
    </xf>
    <xf numFmtId="0" fontId="7" fillId="0" borderId="57" xfId="0" applyFont="1" applyBorder="1" applyAlignment="1">
      <alignment horizontal="center" vertical="center"/>
    </xf>
    <xf numFmtId="0" fontId="72" fillId="0" borderId="19" xfId="0" applyFont="1" applyBorder="1" applyAlignment="1">
      <alignment horizontal="center" vertical="center" wrapText="1"/>
    </xf>
    <xf numFmtId="0" fontId="4" fillId="0" borderId="19" xfId="477" applyFont="1" applyBorder="1" applyAlignment="1">
      <alignment horizontal="center" vertical="center" wrapText="1"/>
    </xf>
    <xf numFmtId="0" fontId="68"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5" fillId="33" borderId="29" xfId="0" applyFont="1" applyFill="1" applyBorder="1" applyAlignment="1">
      <alignment horizontal="center" vertical="center" wrapText="1"/>
    </xf>
    <xf numFmtId="0" fontId="7" fillId="0" borderId="27" xfId="0" applyFont="1" applyBorder="1" applyAlignment="1">
      <alignment vertical="center" wrapText="1"/>
    </xf>
    <xf numFmtId="0" fontId="14" fillId="0" borderId="40" xfId="0" applyFont="1" applyBorder="1" applyAlignment="1">
      <alignment horizontal="right" vertical="center"/>
    </xf>
    <xf numFmtId="0" fontId="17" fillId="0" borderId="42" xfId="0" applyFont="1" applyBorder="1" applyAlignment="1">
      <alignment vertical="center"/>
    </xf>
    <xf numFmtId="0" fontId="17" fillId="0" borderId="43" xfId="0" applyFont="1" applyBorder="1" applyAlignment="1">
      <alignment vertical="center"/>
    </xf>
    <xf numFmtId="0" fontId="14" fillId="0" borderId="43" xfId="0" applyFont="1" applyBorder="1" applyAlignment="1">
      <alignment vertical="center"/>
    </xf>
    <xf numFmtId="0" fontId="14" fillId="0" borderId="40"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8" fillId="0" borderId="0" xfId="0" applyFont="1" applyAlignment="1">
      <alignment vertical="top"/>
    </xf>
    <xf numFmtId="1" fontId="68" fillId="0" borderId="0" xfId="0" applyNumberFormat="1" applyFont="1" applyAlignment="1">
      <alignment horizontal="center" vertical="center" wrapText="1"/>
    </xf>
    <xf numFmtId="0" fontId="68" fillId="36" borderId="19" xfId="0" applyFont="1" applyFill="1" applyBorder="1" applyAlignment="1">
      <alignment vertical="center"/>
    </xf>
    <xf numFmtId="0" fontId="62" fillId="0" borderId="0" xfId="0" applyFont="1" applyAlignment="1">
      <alignment vertical="center"/>
    </xf>
    <xf numFmtId="0" fontId="73" fillId="0" borderId="19" xfId="0" applyFont="1" applyBorder="1" applyAlignment="1">
      <alignment horizontal="center" vertical="center" wrapText="1"/>
    </xf>
    <xf numFmtId="0" fontId="68" fillId="0" borderId="19" xfId="0" applyFont="1" applyBorder="1" applyAlignment="1">
      <alignment vertical="center" wrapText="1"/>
    </xf>
    <xf numFmtId="10" fontId="14" fillId="0" borderId="19" xfId="0" applyNumberFormat="1" applyFont="1" applyBorder="1" applyAlignment="1">
      <alignment horizontal="center" vertical="center" wrapText="1"/>
    </xf>
    <xf numFmtId="0" fontId="7" fillId="0" borderId="19" xfId="0" applyFont="1" applyBorder="1" applyAlignment="1">
      <alignment horizontal="left" vertical="center" wrapText="1"/>
    </xf>
    <xf numFmtId="0" fontId="68" fillId="0" borderId="19" xfId="0" applyFont="1" applyBorder="1" applyAlignment="1">
      <alignment horizontal="left" vertical="center" wrapText="1"/>
    </xf>
    <xf numFmtId="10" fontId="68" fillId="0" borderId="19" xfId="0" applyNumberFormat="1" applyFont="1" applyBorder="1" applyAlignment="1">
      <alignment horizontal="center" vertical="center" wrapText="1"/>
    </xf>
    <xf numFmtId="0" fontId="16" fillId="0" borderId="0" xfId="0" applyFont="1" applyAlignment="1">
      <alignment horizontal="center" vertical="center"/>
    </xf>
    <xf numFmtId="0" fontId="0" fillId="36" borderId="19" xfId="0" applyFill="1" applyBorder="1" applyAlignment="1">
      <alignment horizontal="center" vertical="center"/>
    </xf>
    <xf numFmtId="0" fontId="62" fillId="0" borderId="0" xfId="0" applyFont="1" applyAlignment="1">
      <alignment vertical="center" wrapText="1"/>
    </xf>
    <xf numFmtId="9" fontId="74" fillId="0" borderId="19" xfId="0" quotePrefix="1" applyNumberFormat="1" applyFont="1" applyBorder="1" applyAlignment="1">
      <alignment horizontal="center" vertical="center" wrapText="1"/>
    </xf>
    <xf numFmtId="0" fontId="7" fillId="0" borderId="19" xfId="0" applyFont="1" applyBorder="1"/>
    <xf numFmtId="0" fontId="68" fillId="0" borderId="19" xfId="0" applyFont="1" applyBorder="1"/>
    <xf numFmtId="0" fontId="7" fillId="0" borderId="43" xfId="0" applyFont="1" applyBorder="1"/>
    <xf numFmtId="0" fontId="7" fillId="0" borderId="39" xfId="0" applyFont="1" applyBorder="1"/>
    <xf numFmtId="0" fontId="68"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68" fillId="0" borderId="21" xfId="0" applyFont="1" applyBorder="1"/>
    <xf numFmtId="0" fontId="68" fillId="0" borderId="20" xfId="0" applyFont="1" applyBorder="1"/>
    <xf numFmtId="0" fontId="7" fillId="0" borderId="27" xfId="0" applyFont="1" applyBorder="1" applyAlignment="1">
      <alignment horizontal="center" vertical="center" wrapText="1"/>
    </xf>
    <xf numFmtId="0" fontId="7" fillId="32" borderId="0" xfId="0" applyFont="1" applyFill="1" applyAlignment="1">
      <alignment horizontal="center" vertical="top" wrapText="1"/>
    </xf>
    <xf numFmtId="0" fontId="7" fillId="32" borderId="61" xfId="0" applyFont="1" applyFill="1" applyBorder="1" applyAlignment="1">
      <alignment horizontal="center" wrapText="1"/>
    </xf>
    <xf numFmtId="0" fontId="7" fillId="32" borderId="62" xfId="0" applyFont="1" applyFill="1" applyBorder="1" applyAlignment="1">
      <alignment horizontal="center" vertical="top" wrapText="1"/>
    </xf>
    <xf numFmtId="0" fontId="7" fillId="0" borderId="60" xfId="0" applyFont="1" applyBorder="1" applyAlignment="1">
      <alignment horizontal="center" vertical="center"/>
    </xf>
    <xf numFmtId="0" fontId="7" fillId="32" borderId="0" xfId="0" applyFont="1" applyFill="1" applyAlignment="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68" fillId="0" borderId="19" xfId="0" applyNumberFormat="1" applyFont="1" applyBorder="1" applyAlignment="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68" fillId="0" borderId="0" xfId="0" applyNumberFormat="1" applyFont="1" applyAlignment="1">
      <alignment horizontal="center" vertical="center" wrapText="1"/>
    </xf>
    <xf numFmtId="1" fontId="68" fillId="0" borderId="19"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7" fillId="32" borderId="46" xfId="0" applyFont="1" applyFill="1" applyBorder="1" applyAlignment="1">
      <alignment horizontal="center" wrapText="1"/>
    </xf>
    <xf numFmtId="0" fontId="7" fillId="0" borderId="25" xfId="0" applyFont="1" applyBorder="1" applyAlignment="1">
      <alignment horizontal="center" vertical="center"/>
    </xf>
    <xf numFmtId="1" fontId="7" fillId="32" borderId="46" xfId="0" applyNumberFormat="1" applyFont="1" applyFill="1" applyBorder="1" applyAlignment="1">
      <alignment horizontal="center" wrapText="1"/>
    </xf>
    <xf numFmtId="0" fontId="7" fillId="37" borderId="27" xfId="0" applyFont="1" applyFill="1" applyBorder="1" applyAlignment="1">
      <alignment horizontal="center" textRotation="90" wrapText="1"/>
    </xf>
    <xf numFmtId="167" fontId="68" fillId="0" borderId="19" xfId="0" applyNumberFormat="1" applyFont="1" applyBorder="1" applyAlignment="1">
      <alignment horizontal="center" vertical="center"/>
    </xf>
    <xf numFmtId="0" fontId="68" fillId="36" borderId="43" xfId="0" applyFont="1" applyFill="1" applyBorder="1" applyAlignment="1">
      <alignment horizontal="center" vertical="center"/>
    </xf>
    <xf numFmtId="167" fontId="68" fillId="36" borderId="19" xfId="0" applyNumberFormat="1" applyFont="1" applyFill="1" applyBorder="1" applyAlignment="1">
      <alignment horizontal="center" vertical="center"/>
    </xf>
    <xf numFmtId="0" fontId="26" fillId="0" borderId="19" xfId="0" applyFont="1" applyBorder="1" applyAlignment="1">
      <alignment vertical="center"/>
    </xf>
    <xf numFmtId="0" fontId="68" fillId="36" borderId="39" xfId="0" applyFont="1" applyFill="1" applyBorder="1" applyAlignment="1">
      <alignment vertical="center"/>
    </xf>
    <xf numFmtId="0" fontId="68" fillId="36" borderId="40" xfId="0" applyFont="1" applyFill="1" applyBorder="1" applyAlignment="1">
      <alignment vertical="center"/>
    </xf>
    <xf numFmtId="2" fontId="66" fillId="0" borderId="19" xfId="0"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80" fillId="0" borderId="0" xfId="0" applyFont="1" applyAlignment="1">
      <alignment vertical="top"/>
    </xf>
    <xf numFmtId="0" fontId="68" fillId="0" borderId="84" xfId="0" applyFont="1" applyBorder="1" applyAlignment="1">
      <alignment horizontal="center"/>
    </xf>
    <xf numFmtId="0" fontId="14" fillId="72" borderId="0" xfId="0" applyFont="1" applyFill="1" applyAlignment="1">
      <alignment horizontal="left"/>
    </xf>
    <xf numFmtId="0" fontId="101" fillId="0" borderId="0" xfId="0" applyFont="1"/>
    <xf numFmtId="0" fontId="102" fillId="0" borderId="0" xfId="0" applyFont="1"/>
    <xf numFmtId="0" fontId="103" fillId="0" borderId="0" xfId="0" applyFont="1"/>
    <xf numFmtId="0" fontId="105" fillId="0" borderId="0" xfId="0" applyFont="1" applyAlignment="1">
      <alignment vertical="center"/>
    </xf>
    <xf numFmtId="0" fontId="104" fillId="0" borderId="0" xfId="0" applyFont="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81" fillId="0" borderId="31" xfId="0" applyFont="1" applyBorder="1"/>
    <xf numFmtId="0" fontId="82" fillId="0" borderId="29" xfId="0" applyFont="1" applyBorder="1"/>
    <xf numFmtId="1" fontId="14" fillId="0" borderId="0" xfId="0" quotePrefix="1" applyNumberFormat="1" applyFont="1" applyAlignment="1">
      <alignment vertical="center"/>
    </xf>
    <xf numFmtId="1" fontId="14" fillId="0" borderId="0" xfId="0" applyNumberFormat="1" applyFont="1" applyAlignment="1">
      <alignment vertical="center"/>
    </xf>
    <xf numFmtId="0" fontId="98" fillId="0" borderId="0" xfId="0" applyFont="1" applyAlignment="1">
      <alignment horizontal="left" vertical="center"/>
    </xf>
    <xf numFmtId="0" fontId="2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5"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Alignment="1">
      <alignment vertical="center"/>
    </xf>
    <xf numFmtId="0" fontId="7" fillId="0" borderId="0" xfId="0" applyFont="1" applyAlignment="1">
      <alignment vertical="center" wrapText="1"/>
    </xf>
    <xf numFmtId="0" fontId="30" fillId="0" borderId="0" xfId="0" applyFont="1" applyAlignment="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9" fillId="28" borderId="19" xfId="418" applyFont="1" applyFill="1" applyBorder="1" applyAlignment="1" applyProtection="1">
      <alignment horizontal="center" vertical="center"/>
    </xf>
    <xf numFmtId="0" fontId="69" fillId="0" borderId="19" xfId="0" applyFont="1" applyBorder="1" applyAlignment="1">
      <alignment horizontal="center" vertical="center"/>
    </xf>
    <xf numFmtId="0" fontId="69" fillId="0" borderId="0" xfId="0" applyFont="1" applyAlignment="1">
      <alignment vertical="center"/>
    </xf>
    <xf numFmtId="0" fontId="109" fillId="0" borderId="0" xfId="0" applyFont="1"/>
    <xf numFmtId="0" fontId="106" fillId="0" borderId="27" xfId="0" applyFont="1" applyBorder="1" applyAlignment="1">
      <alignment vertical="center" wrapText="1"/>
    </xf>
    <xf numFmtId="1" fontId="108" fillId="39" borderId="27" xfId="399" applyNumberFormat="1" applyFont="1" applyFill="1" applyBorder="1" applyAlignment="1" applyProtection="1">
      <alignment horizontal="center" vertical="center" wrapText="1"/>
    </xf>
    <xf numFmtId="10" fontId="108" fillId="28" borderId="27" xfId="399" applyNumberFormat="1" applyFont="1" applyFill="1" applyBorder="1" applyAlignment="1" applyProtection="1">
      <alignment horizontal="center" vertical="center" wrapText="1"/>
    </xf>
    <xf numFmtId="0" fontId="7" fillId="32" borderId="36" xfId="0" applyFont="1" applyFill="1" applyBorder="1" applyAlignment="1">
      <alignment wrapText="1"/>
    </xf>
    <xf numFmtId="0" fontId="7" fillId="32" borderId="63" xfId="0" applyFont="1" applyFill="1" applyBorder="1" applyAlignment="1">
      <alignment wrapText="1"/>
    </xf>
    <xf numFmtId="0" fontId="7" fillId="32" borderId="85" xfId="0" applyFont="1" applyFill="1" applyBorder="1" applyAlignment="1">
      <alignment wrapText="1"/>
    </xf>
    <xf numFmtId="0" fontId="7" fillId="32" borderId="86" xfId="0" applyFont="1" applyFill="1" applyBorder="1" applyAlignment="1">
      <alignment wrapText="1"/>
    </xf>
    <xf numFmtId="0" fontId="7" fillId="32" borderId="86" xfId="0" applyFont="1" applyFill="1" applyBorder="1" applyAlignment="1">
      <alignment vertical="top" wrapText="1"/>
    </xf>
    <xf numFmtId="0" fontId="7" fillId="32" borderId="63" xfId="0" applyFont="1" applyFill="1" applyBorder="1" applyAlignment="1">
      <alignment vertical="top" wrapText="1"/>
    </xf>
    <xf numFmtId="0" fontId="7" fillId="32" borderId="85" xfId="0" applyFont="1" applyFill="1" applyBorder="1" applyAlignment="1">
      <alignment vertical="top" wrapText="1"/>
    </xf>
    <xf numFmtId="0" fontId="110" fillId="0" borderId="0" xfId="477" applyFont="1" applyAlignment="1">
      <alignment vertical="center" wrapText="1"/>
    </xf>
    <xf numFmtId="0" fontId="104" fillId="0" borderId="0" xfId="477" applyFont="1" applyAlignment="1">
      <alignment wrapText="1"/>
    </xf>
    <xf numFmtId="0" fontId="110" fillId="0" borderId="0" xfId="477" applyFont="1" applyAlignment="1">
      <alignment wrapText="1"/>
    </xf>
    <xf numFmtId="0" fontId="16"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6" fillId="0" borderId="19" xfId="0" applyFont="1" applyBorder="1" applyAlignment="1">
      <alignment horizontal="left" vertical="center"/>
    </xf>
    <xf numFmtId="10" fontId="14" fillId="0" borderId="19" xfId="399" applyNumberFormat="1" applyFont="1" applyBorder="1" applyAlignment="1" applyProtection="1">
      <alignment horizontal="center" vertical="center" wrapText="1"/>
    </xf>
    <xf numFmtId="167" fontId="14" fillId="0" borderId="19" xfId="399" applyNumberFormat="1" applyFont="1" applyFill="1" applyBorder="1" applyAlignment="1" applyProtection="1">
      <alignment horizontal="center" vertical="center" wrapText="1"/>
    </xf>
    <xf numFmtId="167" fontId="14" fillId="0" borderId="19" xfId="0" applyNumberFormat="1" applyFont="1" applyBorder="1" applyAlignment="1">
      <alignment vertical="center" wrapText="1"/>
    </xf>
    <xf numFmtId="167" fontId="68" fillId="0" borderId="0" xfId="0" applyNumberFormat="1" applyFont="1" applyAlignment="1">
      <alignment horizontal="center" vertical="center"/>
    </xf>
    <xf numFmtId="167" fontId="14" fillId="0" borderId="0" xfId="399" applyNumberFormat="1" applyFont="1" applyFill="1" applyBorder="1" applyAlignment="1" applyProtection="1">
      <alignment horizontal="center" vertical="center" wrapText="1"/>
    </xf>
    <xf numFmtId="0" fontId="66" fillId="75" borderId="31" xfId="0" applyFont="1" applyFill="1" applyBorder="1" applyAlignment="1">
      <alignment horizontal="center" vertical="center"/>
    </xf>
    <xf numFmtId="0" fontId="111" fillId="74" borderId="27" xfId="0" applyFont="1" applyFill="1" applyBorder="1" applyAlignment="1">
      <alignment vertical="center" wrapText="1"/>
    </xf>
    <xf numFmtId="10" fontId="112" fillId="74" borderId="27" xfId="399" applyNumberFormat="1" applyFont="1" applyFill="1" applyBorder="1" applyAlignment="1" applyProtection="1">
      <alignment horizontal="center" vertical="center" wrapText="1"/>
    </xf>
    <xf numFmtId="1" fontId="112" fillId="74" borderId="27" xfId="0" applyNumberFormat="1" applyFont="1" applyFill="1" applyBorder="1" applyAlignment="1">
      <alignment horizontal="center" vertical="center"/>
    </xf>
    <xf numFmtId="167" fontId="7" fillId="0" borderId="19" xfId="0" applyNumberFormat="1" applyFont="1" applyBorder="1" applyAlignment="1">
      <alignment vertical="center"/>
    </xf>
    <xf numFmtId="1" fontId="8" fillId="29" borderId="27" xfId="0" applyNumberFormat="1" applyFont="1" applyFill="1" applyBorder="1" applyAlignment="1">
      <alignment horizontal="center" vertical="center" wrapText="1"/>
    </xf>
    <xf numFmtId="0" fontId="14" fillId="0" borderId="19" xfId="0" quotePrefix="1" applyFont="1" applyBorder="1" applyAlignment="1">
      <alignment horizontal="center" vertical="center" wrapText="1"/>
    </xf>
    <xf numFmtId="0" fontId="119" fillId="0" borderId="0" xfId="0" applyFont="1"/>
    <xf numFmtId="0" fontId="120" fillId="0" borderId="0" xfId="0" applyFont="1"/>
    <xf numFmtId="0" fontId="121" fillId="0" borderId="0" xfId="0" applyFont="1"/>
    <xf numFmtId="0" fontId="125" fillId="0" borderId="0" xfId="0" applyFont="1" applyAlignment="1">
      <alignment vertical="center"/>
    </xf>
    <xf numFmtId="0" fontId="126" fillId="0" borderId="36" xfId="0" applyFont="1" applyBorder="1" applyAlignment="1">
      <alignment vertical="center" wrapText="1"/>
    </xf>
    <xf numFmtId="0" fontId="126" fillId="0" borderId="36" xfId="0" applyFont="1" applyBorder="1" applyAlignment="1">
      <alignment horizontal="center" vertical="center" wrapText="1"/>
    </xf>
    <xf numFmtId="0" fontId="126" fillId="0" borderId="27" xfId="0" applyFont="1" applyBorder="1" applyAlignment="1">
      <alignment horizontal="center" vertical="center" wrapText="1"/>
    </xf>
    <xf numFmtId="0" fontId="120" fillId="0" borderId="88" xfId="0" applyFont="1" applyBorder="1"/>
    <xf numFmtId="0" fontId="126" fillId="0" borderId="32" xfId="0" applyFont="1" applyBorder="1" applyAlignment="1">
      <alignment vertical="center" wrapText="1"/>
    </xf>
    <xf numFmtId="0" fontId="126" fillId="0" borderId="45" xfId="0" applyFont="1" applyBorder="1" applyAlignment="1">
      <alignment vertical="center" wrapText="1"/>
    </xf>
    <xf numFmtId="0" fontId="126" fillId="0" borderId="27" xfId="0" applyFont="1" applyBorder="1" applyAlignment="1">
      <alignment vertical="center" wrapText="1"/>
    </xf>
    <xf numFmtId="0" fontId="30" fillId="0" borderId="0" xfId="0" applyFont="1" applyAlignment="1">
      <alignment horizontal="left" vertical="center"/>
    </xf>
    <xf numFmtId="0" fontId="16" fillId="0" borderId="0" xfId="0" applyFont="1" applyAlignment="1">
      <alignment horizontal="center"/>
    </xf>
    <xf numFmtId="0" fontId="128" fillId="0" borderId="0" xfId="0" applyFont="1"/>
    <xf numFmtId="0" fontId="3" fillId="0" borderId="0" xfId="477" applyAlignment="1">
      <alignment horizontal="left" indent="3"/>
    </xf>
    <xf numFmtId="0" fontId="3" fillId="0" borderId="0" xfId="477" applyAlignment="1">
      <alignment horizontal="left" vertical="center" indent="3"/>
    </xf>
    <xf numFmtId="0" fontId="3" fillId="0" borderId="0" xfId="0" applyFont="1" applyAlignment="1">
      <alignment horizontal="left" indent="3"/>
    </xf>
    <xf numFmtId="0" fontId="16" fillId="28" borderId="0" xfId="0" applyFont="1" applyFill="1" applyAlignment="1">
      <alignment horizontal="center" vertical="center" wrapText="1"/>
    </xf>
    <xf numFmtId="0" fontId="14" fillId="0" borderId="0" xfId="0" applyFont="1" applyAlignment="1">
      <alignment vertical="top" wrapText="1"/>
    </xf>
    <xf numFmtId="0" fontId="7" fillId="0" borderId="0" xfId="477" applyFont="1"/>
    <xf numFmtId="49" fontId="126" fillId="0" borderId="63" xfId="0" applyNumberFormat="1" applyFont="1" applyBorder="1" applyAlignment="1">
      <alignment horizontal="center" vertical="top" wrapText="1"/>
    </xf>
    <xf numFmtId="49" fontId="126" fillId="0" borderId="60" xfId="0" applyNumberFormat="1" applyFont="1" applyBorder="1" applyAlignment="1">
      <alignment horizontal="center" vertical="top" wrapText="1"/>
    </xf>
    <xf numFmtId="0" fontId="126" fillId="0" borderId="60" xfId="0" applyFont="1" applyBorder="1" applyAlignment="1">
      <alignment horizontal="center" vertical="top" wrapText="1"/>
    </xf>
    <xf numFmtId="0" fontId="126" fillId="0" borderId="45" xfId="0" applyFont="1" applyBorder="1" applyAlignment="1">
      <alignment horizontal="left" vertical="center" wrapText="1"/>
    </xf>
    <xf numFmtId="0" fontId="127" fillId="0" borderId="0" xfId="0" applyFont="1" applyAlignment="1">
      <alignment horizontal="left" vertical="top"/>
    </xf>
    <xf numFmtId="0" fontId="127" fillId="0" borderId="26" xfId="0" applyFont="1" applyBorder="1" applyAlignment="1">
      <alignment horizontal="left" vertical="top"/>
    </xf>
    <xf numFmtId="0" fontId="126" fillId="0" borderId="27" xfId="0" applyFont="1" applyBorder="1" applyAlignment="1">
      <alignment horizontal="left" vertical="center" wrapText="1"/>
    </xf>
    <xf numFmtId="0" fontId="127" fillId="0" borderId="52" xfId="0" applyFont="1" applyBorder="1" applyAlignment="1">
      <alignment horizontal="left" vertical="top"/>
    </xf>
    <xf numFmtId="0" fontId="127" fillId="0" borderId="47" xfId="0" applyFont="1" applyBorder="1" applyAlignment="1">
      <alignment horizontal="left"/>
    </xf>
    <xf numFmtId="0" fontId="127" fillId="0" borderId="88" xfId="0" applyFont="1" applyBorder="1" applyAlignment="1">
      <alignment horizontal="left"/>
    </xf>
    <xf numFmtId="0" fontId="19" fillId="80" borderId="0" xfId="0" applyFont="1" applyFill="1" applyAlignment="1">
      <alignment vertical="center"/>
    </xf>
    <xf numFmtId="1" fontId="124" fillId="0" borderId="36" xfId="0" applyNumberFormat="1" applyFont="1" applyBorder="1" applyAlignment="1">
      <alignment horizontal="center" vertical="center"/>
    </xf>
    <xf numFmtId="1" fontId="126" fillId="81" borderId="27" xfId="0" applyNumberFormat="1" applyFont="1" applyFill="1" applyBorder="1" applyAlignment="1">
      <alignment horizontal="center" vertical="center"/>
    </xf>
    <xf numFmtId="0" fontId="106" fillId="0" borderId="36" xfId="0" applyFont="1" applyBorder="1" applyAlignment="1">
      <alignment horizontal="center" vertical="center" wrapText="1"/>
    </xf>
    <xf numFmtId="0" fontId="7" fillId="0" borderId="36" xfId="0" applyFont="1" applyBorder="1" applyAlignment="1">
      <alignment horizontal="center" vertical="center" wrapText="1"/>
    </xf>
    <xf numFmtId="1" fontId="8" fillId="0" borderId="36" xfId="0" applyNumberFormat="1" applyFont="1" applyBorder="1" applyAlignment="1">
      <alignment horizontal="center" vertical="center"/>
    </xf>
    <xf numFmtId="49" fontId="129" fillId="0" borderId="19" xfId="0" applyNumberFormat="1" applyFont="1" applyBorder="1" applyAlignment="1">
      <alignment horizontal="center" vertical="center"/>
    </xf>
    <xf numFmtId="0" fontId="129" fillId="0" borderId="19" xfId="0" applyFont="1" applyBorder="1" applyAlignment="1">
      <alignment horizontal="center" vertical="center"/>
    </xf>
    <xf numFmtId="0" fontId="130" fillId="0" borderId="0" xfId="0" applyFont="1"/>
    <xf numFmtId="49" fontId="131" fillId="0" borderId="19" xfId="0" applyNumberFormat="1" applyFont="1" applyBorder="1" applyAlignment="1">
      <alignment horizontal="center"/>
    </xf>
    <xf numFmtId="0" fontId="131" fillId="0" borderId="19" xfId="0" applyFont="1" applyBorder="1"/>
    <xf numFmtId="0" fontId="132" fillId="0" borderId="19" xfId="0" applyFont="1" applyBorder="1" applyAlignment="1">
      <alignment horizontal="center" vertical="center"/>
    </xf>
    <xf numFmtId="0" fontId="131" fillId="0" borderId="19" xfId="0" applyFont="1" applyBorder="1" applyAlignment="1">
      <alignment horizontal="center"/>
    </xf>
    <xf numFmtId="0" fontId="131" fillId="0" borderId="19" xfId="0" applyFont="1" applyBorder="1" applyAlignment="1">
      <alignment horizontal="left"/>
    </xf>
    <xf numFmtId="49" fontId="130" fillId="0" borderId="0" xfId="0" applyNumberFormat="1" applyFont="1" applyAlignment="1">
      <alignment horizontal="center"/>
    </xf>
    <xf numFmtId="0" fontId="130" fillId="0" borderId="0" xfId="0" applyFont="1" applyAlignment="1">
      <alignment horizontal="center"/>
    </xf>
    <xf numFmtId="0" fontId="132" fillId="72" borderId="19" xfId="0" applyFont="1" applyFill="1" applyBorder="1" applyAlignment="1">
      <alignment horizontal="center" vertical="center"/>
    </xf>
    <xf numFmtId="0" fontId="131" fillId="72" borderId="19" xfId="0" applyFont="1" applyFill="1" applyBorder="1" applyAlignment="1">
      <alignment horizontal="center"/>
    </xf>
    <xf numFmtId="1" fontId="120" fillId="0" borderId="0" xfId="0" applyNumberFormat="1" applyFont="1"/>
    <xf numFmtId="0" fontId="128" fillId="0" borderId="0" xfId="0" applyFont="1" applyAlignment="1">
      <alignment horizontal="center" vertical="center"/>
    </xf>
    <xf numFmtId="1" fontId="66" fillId="82" borderId="19" xfId="0" applyNumberFormat="1" applyFont="1" applyFill="1" applyBorder="1" applyAlignment="1">
      <alignment horizontal="center" vertical="center"/>
    </xf>
    <xf numFmtId="1" fontId="3" fillId="82" borderId="19" xfId="0" applyNumberFormat="1" applyFont="1" applyFill="1" applyBorder="1" applyAlignment="1">
      <alignment horizontal="center" vertical="center"/>
    </xf>
    <xf numFmtId="2" fontId="3" fillId="82" borderId="19" xfId="0" applyNumberFormat="1" applyFont="1" applyFill="1" applyBorder="1" applyAlignment="1">
      <alignment horizontal="center" vertical="center"/>
    </xf>
    <xf numFmtId="2" fontId="66" fillId="82" borderId="19" xfId="0" applyNumberFormat="1" applyFont="1" applyFill="1" applyBorder="1" applyAlignment="1">
      <alignment horizontal="center" vertical="center"/>
    </xf>
    <xf numFmtId="49" fontId="14" fillId="83" borderId="19" xfId="0" applyNumberFormat="1" applyFont="1" applyFill="1" applyBorder="1" applyAlignment="1">
      <alignment horizontal="center" vertical="center"/>
    </xf>
    <xf numFmtId="0" fontId="14" fillId="83" borderId="19" xfId="0" applyFont="1" applyFill="1" applyBorder="1" applyAlignment="1">
      <alignment horizontal="center" vertical="center"/>
    </xf>
    <xf numFmtId="9" fontId="14" fillId="83" borderId="19" xfId="418" applyFont="1" applyFill="1" applyBorder="1" applyAlignment="1" applyProtection="1">
      <alignment horizontal="center" vertical="center"/>
    </xf>
    <xf numFmtId="1" fontId="14" fillId="83" borderId="19" xfId="418" applyNumberFormat="1" applyFont="1" applyFill="1" applyBorder="1" applyAlignment="1" applyProtection="1">
      <alignment horizontal="center" vertical="center"/>
    </xf>
    <xf numFmtId="0" fontId="14" fillId="83" borderId="19" xfId="418" applyNumberFormat="1" applyFont="1" applyFill="1" applyBorder="1" applyAlignment="1" applyProtection="1">
      <alignment horizontal="center" vertical="center"/>
    </xf>
    <xf numFmtId="10" fontId="14" fillId="83" borderId="19" xfId="418" applyNumberFormat="1" applyFont="1" applyFill="1" applyBorder="1" applyAlignment="1" applyProtection="1">
      <alignment horizontal="center" vertical="center"/>
    </xf>
    <xf numFmtId="0" fontId="66" fillId="0" borderId="19" xfId="0" applyFont="1" applyBorder="1" applyAlignment="1">
      <alignment vertical="center"/>
    </xf>
    <xf numFmtId="1" fontId="66" fillId="0" borderId="43" xfId="0" applyNumberFormat="1" applyFont="1" applyBorder="1" applyAlignment="1">
      <alignment horizontal="center" vertical="center"/>
    </xf>
    <xf numFmtId="0" fontId="75" fillId="0" borderId="0" xfId="0" applyFont="1" applyAlignment="1">
      <alignment horizontal="center" vertical="center"/>
    </xf>
    <xf numFmtId="0" fontId="133" fillId="0" borderId="0" xfId="0" applyFont="1" applyAlignment="1">
      <alignment horizontal="center" vertical="center"/>
    </xf>
    <xf numFmtId="0" fontId="133" fillId="0" borderId="0" xfId="0" applyFont="1" applyAlignment="1">
      <alignment horizontal="center" vertical="center" wrapText="1"/>
    </xf>
    <xf numFmtId="49" fontId="14" fillId="76" borderId="19" xfId="0" applyNumberFormat="1" applyFont="1" applyFill="1" applyBorder="1" applyAlignment="1">
      <alignment horizontal="center" vertical="center"/>
    </xf>
    <xf numFmtId="0" fontId="14" fillId="76" borderId="19" xfId="0" applyFont="1" applyFill="1" applyBorder="1" applyAlignment="1">
      <alignment horizontal="center" vertical="center"/>
    </xf>
    <xf numFmtId="9" fontId="14" fillId="76" borderId="19" xfId="418" applyFont="1" applyFill="1" applyBorder="1" applyAlignment="1" applyProtection="1">
      <alignment horizontal="center" vertical="center"/>
    </xf>
    <xf numFmtId="1" fontId="14" fillId="76" borderId="19" xfId="418" applyNumberFormat="1" applyFont="1" applyFill="1" applyBorder="1" applyAlignment="1" applyProtection="1">
      <alignment horizontal="center" vertical="center"/>
    </xf>
    <xf numFmtId="0" fontId="14" fillId="76" borderId="19" xfId="418" applyNumberFormat="1" applyFont="1" applyFill="1" applyBorder="1" applyAlignment="1" applyProtection="1">
      <alignment horizontal="center" vertical="center"/>
    </xf>
    <xf numFmtId="2" fontId="66" fillId="76" borderId="19" xfId="0" applyNumberFormat="1" applyFont="1" applyFill="1" applyBorder="1" applyAlignment="1">
      <alignment horizontal="center" vertical="center"/>
    </xf>
    <xf numFmtId="0" fontId="22" fillId="83" borderId="0" xfId="0" applyFont="1" applyFill="1" applyAlignment="1">
      <alignment vertical="center"/>
    </xf>
    <xf numFmtId="0" fontId="19" fillId="83" borderId="0" xfId="0" applyFont="1" applyFill="1" applyAlignment="1">
      <alignment vertical="center"/>
    </xf>
    <xf numFmtId="0" fontId="7" fillId="83" borderId="0" xfId="0" applyFont="1" applyFill="1" applyAlignment="1">
      <alignment vertical="center" wrapText="1"/>
    </xf>
    <xf numFmtId="14" fontId="106" fillId="0" borderId="0" xfId="0" applyNumberFormat="1" applyFont="1" applyAlignment="1">
      <alignment vertical="center"/>
    </xf>
    <xf numFmtId="0" fontId="7" fillId="0" borderId="74" xfId="0" applyFont="1" applyBorder="1" applyAlignment="1">
      <alignment horizontal="center" vertical="center" wrapText="1"/>
    </xf>
    <xf numFmtId="0" fontId="7" fillId="0" borderId="39" xfId="510" applyFont="1" applyBorder="1"/>
    <xf numFmtId="1" fontId="14" fillId="0" borderId="0" xfId="0" applyNumberFormat="1" applyFont="1"/>
    <xf numFmtId="0" fontId="15" fillId="84" borderId="19" xfId="487" applyFont="1" applyFill="1" applyBorder="1" applyAlignment="1">
      <alignment horizontal="left" vertical="center"/>
    </xf>
    <xf numFmtId="0" fontId="16" fillId="84" borderId="19" xfId="0" applyFont="1" applyFill="1" applyBorder="1" applyAlignment="1">
      <alignment horizontal="left" vertical="center"/>
    </xf>
    <xf numFmtId="0" fontId="14" fillId="0" borderId="19" xfId="0" applyFont="1" applyBorder="1"/>
    <xf numFmtId="0" fontId="106" fillId="0" borderId="0" xfId="0" applyFont="1" applyAlignment="1">
      <alignment wrapText="1"/>
    </xf>
    <xf numFmtId="0" fontId="16" fillId="0" borderId="31" xfId="0" applyFont="1" applyBorder="1" applyAlignment="1">
      <alignment horizontal="center" vertical="center"/>
    </xf>
    <xf numFmtId="0" fontId="16" fillId="77" borderId="31" xfId="0" applyFont="1" applyFill="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9" xfId="0" applyFont="1" applyBorder="1" applyAlignment="1">
      <alignment horizontal="left" indent="2"/>
    </xf>
    <xf numFmtId="0" fontId="3" fillId="0" borderId="19" xfId="477" applyBorder="1" applyAlignment="1">
      <alignment horizontal="center" vertical="center"/>
    </xf>
    <xf numFmtId="0" fontId="3" fillId="0" borderId="0" xfId="477" applyAlignment="1">
      <alignment horizontal="center"/>
    </xf>
    <xf numFmtId="0" fontId="3" fillId="0" borderId="0" xfId="477" applyAlignment="1">
      <alignment horizontal="center" vertical="center"/>
    </xf>
    <xf numFmtId="0" fontId="15" fillId="83" borderId="19" xfId="0" applyFont="1" applyFill="1" applyBorder="1" applyAlignment="1">
      <alignment horizontal="center" vertical="center"/>
    </xf>
    <xf numFmtId="9" fontId="14" fillId="0" borderId="19" xfId="418" applyFont="1" applyFill="1" applyBorder="1" applyAlignment="1" applyProtection="1">
      <alignment horizontal="center" vertical="center"/>
    </xf>
    <xf numFmtId="1" fontId="16" fillId="0" borderId="19" xfId="0" applyNumberFormat="1" applyFont="1" applyBorder="1" applyAlignment="1">
      <alignment horizontal="center" vertical="center"/>
    </xf>
    <xf numFmtId="1" fontId="23" fillId="76" borderId="19" xfId="0" applyNumberFormat="1" applyFont="1" applyFill="1" applyBorder="1" applyAlignment="1">
      <alignment horizontal="center" vertical="center"/>
    </xf>
    <xf numFmtId="0" fontId="69" fillId="0" borderId="19" xfId="0" applyFont="1" applyBorder="1" applyAlignment="1">
      <alignment vertical="center"/>
    </xf>
    <xf numFmtId="0" fontId="7" fillId="0" borderId="36" xfId="0" applyFont="1" applyBorder="1" applyAlignment="1">
      <alignment vertical="center" wrapText="1"/>
    </xf>
    <xf numFmtId="165" fontId="7" fillId="0" borderId="0" xfId="916" applyNumberFormat="1" applyFont="1" applyFill="1" applyBorder="1" applyAlignment="1" applyProtection="1">
      <alignment vertical="center"/>
    </xf>
    <xf numFmtId="165" fontId="7" fillId="87" borderId="18" xfId="916" applyNumberFormat="1" applyFont="1" applyFill="1" applyBorder="1" applyAlignment="1" applyProtection="1">
      <alignment horizontal="center" vertical="center"/>
    </xf>
    <xf numFmtId="9" fontId="7" fillId="87" borderId="27" xfId="916" applyFont="1" applyFill="1" applyBorder="1" applyAlignment="1" applyProtection="1">
      <alignment horizontal="center" vertical="center"/>
    </xf>
    <xf numFmtId="165" fontId="7" fillId="88" borderId="32" xfId="916" applyNumberFormat="1" applyFont="1" applyFill="1" applyBorder="1" applyAlignment="1" applyProtection="1">
      <alignment horizontal="center" vertical="center"/>
    </xf>
    <xf numFmtId="165" fontId="7" fillId="88" borderId="36" xfId="916" applyNumberFormat="1" applyFont="1" applyFill="1" applyBorder="1" applyAlignment="1" applyProtection="1">
      <alignment horizontal="center" vertical="center"/>
    </xf>
    <xf numFmtId="165" fontId="7" fillId="0" borderId="0" xfId="916" applyNumberFormat="1" applyFont="1" applyFill="1" applyBorder="1" applyAlignment="1" applyProtection="1">
      <alignment vertical="center" wrapText="1"/>
    </xf>
    <xf numFmtId="165" fontId="7" fillId="0" borderId="18" xfId="916" applyNumberFormat="1" applyFont="1" applyFill="1" applyBorder="1" applyAlignment="1" applyProtection="1">
      <alignment horizontal="center" vertical="center"/>
    </xf>
    <xf numFmtId="165" fontId="7" fillId="0" borderId="60" xfId="916" applyNumberFormat="1" applyFont="1" applyFill="1" applyBorder="1" applyAlignment="1" applyProtection="1">
      <alignment horizontal="center" vertical="top" wrapText="1"/>
    </xf>
    <xf numFmtId="165" fontId="7" fillId="90" borderId="25" xfId="916" applyNumberFormat="1" applyFont="1" applyFill="1" applyBorder="1" applyAlignment="1" applyProtection="1">
      <alignment horizontal="center" vertical="center"/>
    </xf>
    <xf numFmtId="165" fontId="7" fillId="90" borderId="60" xfId="916" applyNumberFormat="1" applyFont="1" applyFill="1" applyBorder="1" applyAlignment="1" applyProtection="1">
      <alignment horizontal="center" vertical="center"/>
    </xf>
    <xf numFmtId="165" fontId="7" fillId="90" borderId="18" xfId="916" applyNumberFormat="1" applyFont="1" applyFill="1" applyBorder="1" applyAlignment="1" applyProtection="1">
      <alignment horizontal="center" vertical="center"/>
    </xf>
    <xf numFmtId="165" fontId="7" fillId="90" borderId="27" xfId="916" applyNumberFormat="1" applyFont="1" applyFill="1" applyBorder="1" applyAlignment="1" applyProtection="1">
      <alignment horizontal="center" vertical="center"/>
    </xf>
    <xf numFmtId="0" fontId="137" fillId="0" borderId="0" xfId="0" applyFont="1"/>
    <xf numFmtId="0" fontId="146" fillId="0" borderId="0" xfId="0" applyFont="1"/>
    <xf numFmtId="0" fontId="111" fillId="91" borderId="0" xfId="0" applyFont="1" applyFill="1" applyAlignment="1">
      <alignment horizontal="left" vertical="center" wrapText="1"/>
    </xf>
    <xf numFmtId="0" fontId="111" fillId="91" borderId="0" xfId="0" applyFont="1" applyFill="1" applyAlignment="1">
      <alignment vertical="center" wrapText="1"/>
    </xf>
    <xf numFmtId="10" fontId="112" fillId="91" borderId="0" xfId="399" applyNumberFormat="1" applyFont="1" applyFill="1" applyBorder="1" applyAlignment="1" applyProtection="1">
      <alignment horizontal="center" vertical="center" wrapText="1"/>
    </xf>
    <xf numFmtId="0" fontId="113" fillId="91" borderId="0" xfId="0" applyFont="1" applyFill="1" applyAlignment="1">
      <alignment horizontal="center" vertical="center" wrapText="1"/>
    </xf>
    <xf numFmtId="0" fontId="117" fillId="91" borderId="0" xfId="0" applyFont="1" applyFill="1" applyAlignment="1">
      <alignment horizontal="center" vertical="center" wrapText="1"/>
    </xf>
    <xf numFmtId="0" fontId="117" fillId="91" borderId="0" xfId="0" applyFont="1" applyFill="1" applyAlignment="1">
      <alignment vertical="center" wrapText="1"/>
    </xf>
    <xf numFmtId="1" fontId="14" fillId="0" borderId="0" xfId="0" applyNumberFormat="1" applyFont="1" applyAlignment="1">
      <alignment vertical="center" wrapText="1"/>
    </xf>
    <xf numFmtId="1" fontId="8" fillId="29" borderId="60" xfId="0" applyNumberFormat="1" applyFont="1" applyFill="1" applyBorder="1" applyAlignment="1">
      <alignment horizontal="center" vertical="center" wrapText="1"/>
    </xf>
    <xf numFmtId="0" fontId="147" fillId="0" borderId="27" xfId="0" applyFont="1" applyBorder="1" applyAlignment="1">
      <alignment vertical="center" wrapText="1"/>
    </xf>
    <xf numFmtId="0" fontId="14" fillId="0" borderId="45" xfId="0" applyFont="1" applyBorder="1" applyAlignment="1">
      <alignment vertical="center" wrapText="1"/>
    </xf>
    <xf numFmtId="10" fontId="26" fillId="28" borderId="36" xfId="399" applyNumberFormat="1" applyFont="1" applyFill="1" applyBorder="1" applyAlignment="1" applyProtection="1">
      <alignment horizontal="center" vertical="center" wrapText="1"/>
    </xf>
    <xf numFmtId="1" fontId="26" fillId="29" borderId="60" xfId="0" applyNumberFormat="1" applyFont="1" applyFill="1" applyBorder="1" applyAlignment="1">
      <alignment horizontal="center" vertical="center" wrapText="1"/>
    </xf>
    <xf numFmtId="0" fontId="147" fillId="0" borderId="45" xfId="0" applyFont="1" applyBorder="1" applyAlignment="1">
      <alignment vertical="center" wrapText="1"/>
    </xf>
    <xf numFmtId="1" fontId="151" fillId="29" borderId="60" xfId="0" applyNumberFormat="1" applyFont="1" applyFill="1" applyBorder="1" applyAlignment="1">
      <alignment horizontal="center" vertical="center" wrapText="1"/>
    </xf>
    <xf numFmtId="10" fontId="151" fillId="28" borderId="36" xfId="399" applyNumberFormat="1" applyFont="1" applyFill="1" applyBorder="1" applyAlignment="1" applyProtection="1">
      <alignment horizontal="center" vertical="center" wrapText="1"/>
    </xf>
    <xf numFmtId="0" fontId="7" fillId="0" borderId="45" xfId="0" applyFont="1" applyBorder="1" applyAlignment="1">
      <alignment vertical="center" wrapText="1"/>
    </xf>
    <xf numFmtId="10" fontId="8" fillId="28" borderId="60" xfId="399" applyNumberFormat="1" applyFont="1" applyFill="1" applyBorder="1" applyAlignment="1" applyProtection="1">
      <alignment horizontal="center" vertical="center" wrapText="1"/>
    </xf>
    <xf numFmtId="10" fontId="8" fillId="28" borderId="63" xfId="399" applyNumberFormat="1" applyFont="1" applyFill="1" applyBorder="1" applyAlignment="1" applyProtection="1">
      <alignment horizontal="center" vertical="center" wrapText="1"/>
    </xf>
    <xf numFmtId="10" fontId="8" fillId="28" borderId="36" xfId="399" applyNumberFormat="1" applyFont="1" applyFill="1" applyBorder="1" applyAlignment="1" applyProtection="1">
      <alignment horizontal="center" vertical="center" wrapText="1"/>
    </xf>
    <xf numFmtId="10" fontId="8" fillId="0" borderId="63" xfId="399" applyNumberFormat="1" applyFont="1" applyFill="1" applyBorder="1" applyAlignment="1" applyProtection="1">
      <alignment horizontal="center" vertical="center" wrapText="1"/>
    </xf>
    <xf numFmtId="0" fontId="3" fillId="35" borderId="19" xfId="477"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1" fontId="26" fillId="34" borderId="27" xfId="0" applyNumberFormat="1" applyFont="1" applyFill="1" applyBorder="1" applyAlignment="1" applyProtection="1">
      <alignment horizontal="center" vertical="center"/>
      <protection locked="0"/>
    </xf>
    <xf numFmtId="1" fontId="151" fillId="34" borderId="27" xfId="0" applyNumberFormat="1" applyFont="1" applyFill="1" applyBorder="1" applyAlignment="1" applyProtection="1">
      <alignment horizontal="center" vertical="center"/>
      <protection locked="0"/>
    </xf>
    <xf numFmtId="1" fontId="8" fillId="34" borderId="27" xfId="0" applyNumberFormat="1" applyFont="1" applyFill="1" applyBorder="1" applyAlignment="1" applyProtection="1">
      <alignment horizontal="center" vertical="center"/>
      <protection locked="0"/>
    </xf>
    <xf numFmtId="0" fontId="7" fillId="0" borderId="41" xfId="477" applyFont="1" applyBorder="1" applyAlignment="1">
      <alignment horizontal="center" vertical="center"/>
    </xf>
    <xf numFmtId="0" fontId="3" fillId="86" borderId="39" xfId="477" applyFill="1" applyBorder="1" applyAlignment="1" applyProtection="1">
      <alignment horizontal="center" vertical="center"/>
      <protection locked="0"/>
    </xf>
    <xf numFmtId="0" fontId="3" fillId="86" borderId="40" xfId="477" applyFill="1" applyBorder="1" applyAlignment="1" applyProtection="1">
      <alignment horizontal="center" vertical="center"/>
      <protection locked="0"/>
    </xf>
    <xf numFmtId="0" fontId="3" fillId="86" borderId="43" xfId="477" applyFill="1" applyBorder="1" applyAlignment="1" applyProtection="1">
      <alignment horizontal="center" vertical="center"/>
      <protection locked="0"/>
    </xf>
    <xf numFmtId="0" fontId="3" fillId="0" borderId="0" xfId="477" applyAlignment="1">
      <alignment horizontal="center" vertical="center" wrapText="1"/>
    </xf>
    <xf numFmtId="14" fontId="3" fillId="35" borderId="39" xfId="477" applyNumberFormat="1" applyFill="1" applyBorder="1" applyAlignment="1" applyProtection="1">
      <alignment horizontal="center" vertical="center"/>
      <protection locked="0"/>
    </xf>
    <xf numFmtId="14" fontId="3" fillId="35" borderId="43" xfId="477" applyNumberFormat="1" applyFill="1" applyBorder="1" applyAlignment="1" applyProtection="1">
      <alignment horizontal="center" vertical="center"/>
      <protection locked="0"/>
    </xf>
    <xf numFmtId="14" fontId="3" fillId="0" borderId="39" xfId="477" applyNumberFormat="1" applyBorder="1" applyAlignment="1">
      <alignment horizontal="center" vertical="center"/>
    </xf>
    <xf numFmtId="14" fontId="3" fillId="0" borderId="43" xfId="477" applyNumberFormat="1" applyBorder="1" applyAlignment="1">
      <alignment horizontal="center" vertical="center"/>
    </xf>
    <xf numFmtId="0" fontId="16" fillId="28" borderId="19" xfId="0" applyFont="1" applyFill="1" applyBorder="1" applyAlignment="1">
      <alignment horizontal="center" vertical="center" wrapText="1"/>
    </xf>
    <xf numFmtId="49" fontId="3" fillId="35" borderId="39" xfId="477" applyNumberFormat="1" applyFill="1" applyBorder="1" applyAlignment="1" applyProtection="1">
      <alignment horizontal="left" vertical="center"/>
      <protection locked="0"/>
    </xf>
    <xf numFmtId="49" fontId="3" fillId="35" borderId="40" xfId="477" applyNumberFormat="1" applyFill="1" applyBorder="1" applyAlignment="1" applyProtection="1">
      <alignment horizontal="left" vertical="center"/>
      <protection locked="0"/>
    </xf>
    <xf numFmtId="49" fontId="3" fillId="35" borderId="43" xfId="477" applyNumberFormat="1" applyFill="1" applyBorder="1" applyAlignment="1" applyProtection="1">
      <alignment horizontal="left" vertical="center"/>
      <protection locked="0"/>
    </xf>
    <xf numFmtId="0" fontId="3" fillId="0" borderId="39" xfId="477" applyBorder="1" applyAlignment="1">
      <alignment horizontal="center" vertical="center" wrapText="1"/>
    </xf>
    <xf numFmtId="0" fontId="3" fillId="0" borderId="40" xfId="477" applyBorder="1" applyAlignment="1">
      <alignment horizontal="center" vertical="center" wrapText="1"/>
    </xf>
    <xf numFmtId="0" fontId="3" fillId="0" borderId="43" xfId="477" applyBorder="1" applyAlignment="1">
      <alignment horizontal="center" vertical="center" wrapText="1"/>
    </xf>
    <xf numFmtId="0" fontId="3" fillId="0" borderId="0" xfId="477" applyAlignment="1">
      <alignment horizontal="center" vertical="center"/>
    </xf>
    <xf numFmtId="0" fontId="65" fillId="0" borderId="0" xfId="0" applyFont="1" applyAlignment="1">
      <alignment horizontal="justify" vertical="top" wrapText="1"/>
    </xf>
    <xf numFmtId="0" fontId="128" fillId="0" borderId="0" xfId="0" applyFont="1" applyAlignment="1">
      <alignment horizontal="justify" vertical="top" wrapText="1"/>
    </xf>
    <xf numFmtId="0" fontId="3" fillId="35" borderId="39" xfId="477" applyFill="1" applyBorder="1" applyAlignment="1" applyProtection="1">
      <alignment horizontal="center" vertical="center"/>
      <protection locked="0"/>
    </xf>
    <xf numFmtId="0" fontId="3" fillId="35" borderId="43" xfId="477" applyFill="1" applyBorder="1" applyAlignment="1" applyProtection="1">
      <alignment horizontal="center" vertical="center"/>
      <protection locked="0"/>
    </xf>
    <xf numFmtId="0" fontId="3" fillId="86" borderId="39" xfId="477" applyFill="1" applyBorder="1" applyAlignment="1" applyProtection="1">
      <alignment horizontal="left" vertical="center"/>
      <protection locked="0"/>
    </xf>
    <xf numFmtId="0" fontId="16" fillId="86" borderId="40" xfId="0" applyFont="1" applyFill="1" applyBorder="1" applyAlignment="1" applyProtection="1">
      <alignment horizontal="left" vertical="center"/>
      <protection locked="0"/>
    </xf>
    <xf numFmtId="0" fontId="16" fillId="86" borderId="43" xfId="0" applyFont="1" applyFill="1" applyBorder="1" applyAlignment="1" applyProtection="1">
      <alignment horizontal="left" vertical="center"/>
      <protection locked="0"/>
    </xf>
    <xf numFmtId="0" fontId="118" fillId="0" borderId="0" xfId="0" applyFont="1" applyAlignment="1">
      <alignment horizontal="center" vertical="center"/>
    </xf>
    <xf numFmtId="0" fontId="7" fillId="0" borderId="0" xfId="0" applyFont="1" applyAlignment="1">
      <alignment horizontal="justify" wrapText="1"/>
    </xf>
    <xf numFmtId="0" fontId="7" fillId="0" borderId="0" xfId="0" applyFont="1" applyAlignment="1">
      <alignment horizontal="justify"/>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74" xfId="0" applyFont="1" applyBorder="1" applyAlignment="1">
      <alignment horizontal="center" vertical="center" wrapText="1"/>
    </xf>
    <xf numFmtId="0" fontId="3" fillId="35" borderId="40" xfId="477" applyFill="1" applyBorder="1" applyAlignment="1" applyProtection="1">
      <alignment horizontal="center" vertical="center"/>
      <protection locked="0"/>
    </xf>
    <xf numFmtId="0" fontId="3" fillId="0" borderId="39" xfId="477" applyBorder="1" applyAlignment="1">
      <alignment horizontal="center" vertical="center"/>
    </xf>
    <xf numFmtId="0" fontId="3" fillId="0" borderId="40" xfId="477" applyBorder="1" applyAlignment="1">
      <alignment horizontal="center" vertical="center"/>
    </xf>
    <xf numFmtId="0" fontId="3" fillId="0" borderId="43" xfId="477"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477" applyBorder="1" applyAlignment="1">
      <alignment horizontal="center" vertical="center"/>
    </xf>
    <xf numFmtId="0" fontId="3" fillId="0" borderId="42" xfId="477" applyBorder="1" applyAlignment="1">
      <alignment horizontal="center" vertical="center"/>
    </xf>
    <xf numFmtId="0" fontId="3" fillId="28" borderId="19" xfId="477" applyFill="1" applyBorder="1" applyAlignment="1">
      <alignment horizontal="center" vertical="center" wrapText="1"/>
    </xf>
    <xf numFmtId="0" fontId="104" fillId="0" borderId="0" xfId="0" applyFont="1" applyAlignment="1">
      <alignment horizontal="left" vertical="center" wrapText="1"/>
    </xf>
    <xf numFmtId="0" fontId="7" fillId="0" borderId="0" xfId="0" applyFont="1" applyAlignment="1">
      <alignment horizontal="justify" vertical="center" wrapText="1"/>
    </xf>
    <xf numFmtId="0" fontId="7" fillId="0" borderId="0" xfId="0" applyFont="1" applyAlignment="1">
      <alignment horizontal="justify" vertical="center"/>
    </xf>
    <xf numFmtId="0" fontId="3" fillId="0" borderId="19" xfId="0" applyFont="1" applyBorder="1" applyAlignment="1">
      <alignment horizontal="center" vertical="center"/>
    </xf>
    <xf numFmtId="0" fontId="3" fillId="0" borderId="19" xfId="477" applyBorder="1" applyAlignment="1">
      <alignment horizontal="center" vertical="center"/>
    </xf>
    <xf numFmtId="0" fontId="3" fillId="0" borderId="21" xfId="477" applyBorder="1" applyAlignment="1">
      <alignment horizontal="center" vertical="center" wrapText="1"/>
    </xf>
    <xf numFmtId="0" fontId="3" fillId="0" borderId="31" xfId="477" applyBorder="1" applyAlignment="1">
      <alignment horizontal="center" vertical="center" wrapText="1"/>
    </xf>
    <xf numFmtId="0" fontId="3" fillId="0" borderId="90" xfId="477" applyBorder="1" applyAlignment="1">
      <alignment horizontal="center" vertical="center" wrapText="1"/>
    </xf>
    <xf numFmtId="0" fontId="3" fillId="0" borderId="31" xfId="0" applyFont="1" applyBorder="1" applyAlignment="1">
      <alignment horizontal="center" vertical="center"/>
    </xf>
    <xf numFmtId="0" fontId="16" fillId="0" borderId="21" xfId="0" applyFont="1" applyBorder="1" applyAlignment="1">
      <alignment horizontal="center" vertical="center"/>
    </xf>
    <xf numFmtId="0" fontId="16" fillId="0" borderId="90" xfId="0" applyFont="1" applyBorder="1" applyAlignment="1">
      <alignment horizontal="center" vertical="center"/>
    </xf>
    <xf numFmtId="0" fontId="16" fillId="0" borderId="31" xfId="0" applyFont="1" applyBorder="1" applyAlignment="1">
      <alignment horizontal="center" vertical="center"/>
    </xf>
    <xf numFmtId="0" fontId="32" fillId="33" borderId="36" xfId="0" applyFont="1" applyFill="1" applyBorder="1" applyAlignment="1">
      <alignment horizontal="center" vertical="center" wrapText="1"/>
    </xf>
    <xf numFmtId="0" fontId="32" fillId="33" borderId="63" xfId="0" applyFont="1" applyFill="1" applyBorder="1" applyAlignment="1">
      <alignment horizontal="center" vertical="center" wrapText="1"/>
    </xf>
    <xf numFmtId="0" fontId="32" fillId="33" borderId="60" xfId="0" applyFont="1" applyFill="1" applyBorder="1" applyAlignment="1">
      <alignment horizontal="center" vertical="center" wrapText="1"/>
    </xf>
    <xf numFmtId="0" fontId="23" fillId="81" borderId="36" xfId="0" applyFont="1" applyFill="1" applyBorder="1" applyAlignment="1" applyProtection="1">
      <alignment horizontal="left" vertical="center" wrapText="1"/>
      <protection locked="0"/>
    </xf>
    <xf numFmtId="0" fontId="11" fillId="92" borderId="27" xfId="0" applyFont="1" applyFill="1" applyBorder="1" applyAlignment="1" applyProtection="1">
      <alignment horizontal="left" vertical="center" wrapText="1"/>
      <protection locked="0"/>
    </xf>
    <xf numFmtId="0" fontId="23" fillId="34" borderId="36" xfId="0"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9" fontId="56" fillId="0" borderId="36" xfId="0" applyNumberFormat="1" applyFont="1" applyBorder="1" applyAlignment="1">
      <alignment horizontal="center" vertical="center" wrapText="1"/>
    </xf>
    <xf numFmtId="0" fontId="56" fillId="0" borderId="63"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36" xfId="0" applyFont="1" applyBorder="1" applyAlignment="1">
      <alignment horizontal="center" vertical="center" wrapText="1"/>
    </xf>
    <xf numFmtId="0" fontId="31" fillId="33" borderId="32" xfId="0" applyFont="1" applyFill="1" applyBorder="1" applyAlignment="1">
      <alignment horizontal="center" vertical="center" wrapText="1"/>
    </xf>
    <xf numFmtId="0" fontId="31" fillId="33" borderId="26" xfId="0" applyFont="1" applyFill="1" applyBorder="1" applyAlignment="1">
      <alignment horizontal="center" vertical="center" wrapText="1"/>
    </xf>
    <xf numFmtId="0" fontId="31" fillId="33" borderId="60" xfId="0" applyFont="1" applyFill="1" applyBorder="1" applyAlignment="1">
      <alignment horizontal="center" vertical="center" wrapText="1"/>
    </xf>
    <xf numFmtId="0" fontId="23" fillId="74" borderId="36" xfId="0" applyFont="1" applyFill="1" applyBorder="1" applyAlignment="1">
      <alignment horizontal="left" vertical="center" wrapText="1"/>
    </xf>
    <xf numFmtId="0" fontId="11" fillId="79" borderId="27" xfId="0" applyFont="1" applyFill="1" applyBorder="1" applyAlignment="1">
      <alignment horizontal="left" vertical="center" wrapText="1"/>
    </xf>
    <xf numFmtId="0" fontId="23" fillId="81" borderId="36" xfId="0" applyFont="1" applyFill="1" applyBorder="1" applyAlignment="1">
      <alignment horizontal="left" vertical="center" wrapText="1"/>
    </xf>
    <xf numFmtId="0" fontId="11" fillId="92" borderId="27" xfId="0" applyFont="1" applyFill="1" applyBorder="1" applyAlignment="1">
      <alignment horizontal="left" vertical="center" wrapText="1"/>
    </xf>
    <xf numFmtId="0" fontId="111" fillId="74" borderId="48" xfId="0" applyFont="1" applyFill="1" applyBorder="1" applyAlignment="1">
      <alignment horizontal="left" vertical="center" wrapText="1"/>
    </xf>
    <xf numFmtId="0" fontId="111" fillId="74" borderId="87" xfId="0" applyFont="1" applyFill="1" applyBorder="1" applyAlignment="1">
      <alignment horizontal="left" vertical="center" wrapText="1"/>
    </xf>
    <xf numFmtId="0" fontId="111" fillId="74" borderId="32" xfId="0" applyFont="1" applyFill="1" applyBorder="1" applyAlignment="1">
      <alignment horizontal="left" vertical="center" wrapText="1"/>
    </xf>
    <xf numFmtId="0" fontId="111" fillId="74" borderId="52" xfId="0" applyFont="1" applyFill="1" applyBorder="1" applyAlignment="1">
      <alignment horizontal="left" vertical="center" wrapText="1"/>
    </xf>
    <xf numFmtId="0" fontId="111" fillId="74" borderId="0" xfId="0" applyFont="1" applyFill="1" applyAlignment="1">
      <alignment horizontal="left" vertical="center" wrapText="1"/>
    </xf>
    <xf numFmtId="0" fontId="111" fillId="74" borderId="26" xfId="0" applyFont="1" applyFill="1" applyBorder="1" applyAlignment="1">
      <alignment horizontal="left" vertical="center" wrapText="1"/>
    </xf>
    <xf numFmtId="0" fontId="111" fillId="74" borderId="47" xfId="0" applyFont="1" applyFill="1" applyBorder="1" applyAlignment="1">
      <alignment horizontal="left" vertical="center" wrapText="1"/>
    </xf>
    <xf numFmtId="0" fontId="111" fillId="74" borderId="88" xfId="0" applyFont="1" applyFill="1" applyBorder="1" applyAlignment="1">
      <alignment horizontal="left" vertical="center" wrapText="1"/>
    </xf>
    <xf numFmtId="0" fontId="111" fillId="74" borderId="25" xfId="0" applyFont="1" applyFill="1" applyBorder="1" applyAlignment="1">
      <alignment horizontal="left" vertical="center" wrapText="1"/>
    </xf>
    <xf numFmtId="0" fontId="56" fillId="0" borderId="48"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25" xfId="0" applyFont="1" applyBorder="1" applyAlignment="1">
      <alignment horizontal="center" vertical="center" wrapText="1"/>
    </xf>
    <xf numFmtId="0" fontId="31" fillId="33" borderId="36" xfId="0" applyFont="1" applyFill="1" applyBorder="1" applyAlignment="1">
      <alignment horizontal="center" vertical="center" wrapText="1"/>
    </xf>
    <xf numFmtId="0" fontId="31" fillId="33" borderId="63" xfId="0" applyFont="1" applyFill="1" applyBorder="1" applyAlignment="1">
      <alignment horizontal="center" vertical="center" wrapText="1"/>
    </xf>
    <xf numFmtId="0" fontId="7" fillId="0" borderId="27" xfId="0" applyFont="1" applyBorder="1" applyAlignment="1">
      <alignment vertical="center" wrapText="1"/>
    </xf>
    <xf numFmtId="1" fontId="8" fillId="29" borderId="36" xfId="0" applyNumberFormat="1" applyFont="1" applyFill="1" applyBorder="1" applyAlignment="1">
      <alignment horizontal="center" vertical="center" wrapText="1"/>
    </xf>
    <xf numFmtId="1" fontId="8" fillId="29" borderId="63" xfId="0" applyNumberFormat="1" applyFont="1" applyFill="1" applyBorder="1" applyAlignment="1">
      <alignment horizontal="center" vertical="center" wrapText="1"/>
    </xf>
    <xf numFmtId="1" fontId="8" fillId="29" borderId="60" xfId="0" applyNumberFormat="1" applyFont="1" applyFill="1" applyBorder="1" applyAlignment="1">
      <alignment horizontal="center" vertical="center" wrapText="1"/>
    </xf>
    <xf numFmtId="0" fontId="7" fillId="0" borderId="36"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0" xfId="0" applyFont="1" applyBorder="1" applyAlignment="1">
      <alignment horizontal="center" vertical="center" wrapText="1"/>
    </xf>
    <xf numFmtId="0" fontId="7" fillId="0" borderId="36" xfId="0" applyFont="1" applyBorder="1" applyAlignment="1">
      <alignment vertical="center" wrapText="1"/>
    </xf>
    <xf numFmtId="0" fontId="75" fillId="0" borderId="63" xfId="0" applyFont="1" applyBorder="1" applyAlignment="1">
      <alignment vertical="center" wrapText="1"/>
    </xf>
    <xf numFmtId="0" fontId="75" fillId="0" borderId="60" xfId="0" applyFont="1" applyBorder="1" applyAlignment="1">
      <alignment vertical="center" wrapText="1"/>
    </xf>
    <xf numFmtId="0" fontId="7" fillId="0" borderId="48" xfId="0" applyFont="1" applyBorder="1" applyAlignment="1">
      <alignment vertical="center" wrapText="1"/>
    </xf>
    <xf numFmtId="0" fontId="75" fillId="0" borderId="32" xfId="0" applyFont="1" applyBorder="1" applyAlignment="1">
      <alignment vertical="center" wrapText="1"/>
    </xf>
    <xf numFmtId="0" fontId="75" fillId="0" borderId="52" xfId="0" applyFont="1" applyBorder="1" applyAlignment="1">
      <alignment vertical="center" wrapText="1"/>
    </xf>
    <xf numFmtId="0" fontId="75" fillId="0" borderId="26" xfId="0" applyFont="1" applyBorder="1" applyAlignment="1">
      <alignment vertical="center" wrapText="1"/>
    </xf>
    <xf numFmtId="0" fontId="75" fillId="0" borderId="47" xfId="0" applyFont="1" applyBorder="1" applyAlignment="1">
      <alignment vertical="center" wrapText="1"/>
    </xf>
    <xf numFmtId="0" fontId="75" fillId="0" borderId="25" xfId="0" applyFont="1" applyBorder="1" applyAlignment="1">
      <alignment vertical="center" wrapText="1"/>
    </xf>
    <xf numFmtId="49" fontId="32" fillId="0" borderId="36" xfId="0" applyNumberFormat="1" applyFont="1" applyBorder="1" applyAlignment="1">
      <alignment horizontal="center" vertical="center" wrapText="1"/>
    </xf>
    <xf numFmtId="49" fontId="76" fillId="0" borderId="63" xfId="0" applyNumberFormat="1" applyFont="1" applyBorder="1" applyAlignment="1">
      <alignment horizontal="center" vertical="center" wrapText="1"/>
    </xf>
    <xf numFmtId="49" fontId="76" fillId="0" borderId="60" xfId="0" applyNumberFormat="1" applyFont="1" applyBorder="1" applyAlignment="1">
      <alignment horizontal="center" vertical="center" wrapText="1"/>
    </xf>
    <xf numFmtId="0" fontId="32" fillId="0" borderId="36" xfId="0" applyFont="1" applyBorder="1" applyAlignment="1">
      <alignment horizontal="center" vertical="center" wrapText="1"/>
    </xf>
    <xf numFmtId="0" fontId="76" fillId="0" borderId="63" xfId="0" applyFont="1" applyBorder="1" applyAlignment="1">
      <alignment horizontal="center" vertical="center" wrapText="1"/>
    </xf>
    <xf numFmtId="0" fontId="76" fillId="0" borderId="60" xfId="0" applyFont="1" applyBorder="1" applyAlignment="1">
      <alignment horizontal="center" vertical="center" wrapText="1"/>
    </xf>
    <xf numFmtId="0" fontId="31" fillId="33" borderId="27" xfId="0" applyFont="1" applyFill="1" applyBorder="1" applyAlignment="1">
      <alignment horizontal="center" vertical="center" wrapText="1"/>
    </xf>
    <xf numFmtId="0" fontId="14" fillId="0" borderId="0" xfId="0" applyFont="1" applyAlignment="1">
      <alignment horizontal="justify" vertical="top" wrapText="1"/>
    </xf>
    <xf numFmtId="0" fontId="19" fillId="0" borderId="0" xfId="0" applyFont="1" applyAlignment="1">
      <alignment horizontal="justify" vertical="top"/>
    </xf>
    <xf numFmtId="0" fontId="14" fillId="0" borderId="0" xfId="0" applyFont="1" applyAlignment="1">
      <alignment horizontal="justify" vertical="center" wrapText="1"/>
    </xf>
    <xf numFmtId="165" fontId="7" fillId="87" borderId="48" xfId="916" applyNumberFormat="1" applyFont="1" applyFill="1" applyBorder="1" applyAlignment="1" applyProtection="1">
      <alignment horizontal="center" vertical="center"/>
    </xf>
    <xf numFmtId="165" fontId="7" fillId="87" borderId="32" xfId="916" applyNumberFormat="1" applyFont="1" applyFill="1" applyBorder="1" applyAlignment="1" applyProtection="1">
      <alignment horizontal="center" vertical="center"/>
    </xf>
    <xf numFmtId="165" fontId="7" fillId="87" borderId="52" xfId="916" applyNumberFormat="1" applyFont="1" applyFill="1" applyBorder="1" applyAlignment="1" applyProtection="1">
      <alignment horizontal="center" vertical="center"/>
    </xf>
    <xf numFmtId="165" fontId="7" fillId="87" borderId="26" xfId="916" applyNumberFormat="1" applyFont="1" applyFill="1" applyBorder="1" applyAlignment="1" applyProtection="1">
      <alignment horizontal="center" vertical="center"/>
    </xf>
    <xf numFmtId="165" fontId="7" fillId="0" borderId="27" xfId="916" applyNumberFormat="1" applyFont="1" applyFill="1" applyBorder="1" applyAlignment="1" applyProtection="1">
      <alignment horizontal="center" vertical="center"/>
    </xf>
    <xf numFmtId="165" fontId="7" fillId="0" borderId="36" xfId="916" applyNumberFormat="1" applyFont="1" applyFill="1" applyBorder="1" applyAlignment="1" applyProtection="1">
      <alignment horizontal="center" wrapText="1"/>
    </xf>
    <xf numFmtId="165" fontId="7" fillId="0" borderId="63" xfId="916" applyNumberFormat="1" applyFont="1" applyFill="1" applyBorder="1" applyAlignment="1" applyProtection="1">
      <alignment horizontal="center" wrapText="1"/>
    </xf>
    <xf numFmtId="165" fontId="7" fillId="89" borderId="45" xfId="916" applyNumberFormat="1" applyFont="1" applyFill="1" applyBorder="1" applyAlignment="1" applyProtection="1">
      <alignment horizontal="left" vertical="center" wrapText="1"/>
    </xf>
    <xf numFmtId="165" fontId="7" fillId="89" borderId="91" xfId="916" applyNumberFormat="1" applyFont="1" applyFill="1" applyBorder="1" applyAlignment="1" applyProtection="1">
      <alignment horizontal="left" vertical="center" wrapText="1"/>
    </xf>
    <xf numFmtId="165" fontId="7" fillId="89" borderId="18" xfId="916" applyNumberFormat="1" applyFont="1" applyFill="1" applyBorder="1" applyAlignment="1" applyProtection="1">
      <alignment horizontal="left" vertical="center" wrapText="1"/>
    </xf>
    <xf numFmtId="165" fontId="7" fillId="90" borderId="48" xfId="916" applyNumberFormat="1" applyFont="1" applyFill="1" applyBorder="1" applyAlignment="1" applyProtection="1">
      <alignment horizontal="center" vertical="center"/>
    </xf>
    <xf numFmtId="165" fontId="7" fillId="90" borderId="32" xfId="916" applyNumberFormat="1" applyFont="1" applyFill="1" applyBorder="1" applyAlignment="1" applyProtection="1">
      <alignment horizontal="center" vertical="center"/>
    </xf>
    <xf numFmtId="165" fontId="7" fillId="90" borderId="47" xfId="916" applyNumberFormat="1" applyFont="1" applyFill="1" applyBorder="1" applyAlignment="1" applyProtection="1">
      <alignment horizontal="center" vertical="center"/>
    </xf>
    <xf numFmtId="165" fontId="7" fillId="90" borderId="25" xfId="916" applyNumberFormat="1" applyFont="1" applyFill="1" applyBorder="1" applyAlignment="1" applyProtection="1">
      <alignment horizontal="center" vertical="center"/>
    </xf>
    <xf numFmtId="0" fontId="111" fillId="74" borderId="36" xfId="0" applyFont="1" applyFill="1" applyBorder="1" applyAlignment="1">
      <alignment horizontal="center" vertical="center" wrapText="1"/>
    </xf>
    <xf numFmtId="0" fontId="117" fillId="74" borderId="63" xfId="0" applyFont="1" applyFill="1" applyBorder="1" applyAlignment="1">
      <alignment horizontal="center" vertical="center" wrapText="1"/>
    </xf>
    <xf numFmtId="0" fontId="117" fillId="74" borderId="60" xfId="0" applyFont="1" applyFill="1" applyBorder="1" applyAlignment="1">
      <alignment horizontal="center" vertical="center" wrapText="1"/>
    </xf>
    <xf numFmtId="0" fontId="111" fillId="74" borderId="36" xfId="0" applyFont="1" applyFill="1" applyBorder="1" applyAlignment="1">
      <alignment vertical="center" wrapText="1"/>
    </xf>
    <xf numFmtId="0" fontId="117" fillId="74" borderId="63" xfId="0" applyFont="1" applyFill="1" applyBorder="1" applyAlignment="1">
      <alignment vertical="center" wrapText="1"/>
    </xf>
    <xf numFmtId="0" fontId="117" fillId="74" borderId="60" xfId="0" applyFont="1" applyFill="1" applyBorder="1" applyAlignment="1">
      <alignment vertical="center" wrapText="1"/>
    </xf>
    <xf numFmtId="0" fontId="111" fillId="74" borderId="48" xfId="0" applyFont="1" applyFill="1" applyBorder="1" applyAlignment="1">
      <alignment vertical="center" wrapText="1"/>
    </xf>
    <xf numFmtId="0" fontId="117" fillId="74" borderId="32" xfId="0" applyFont="1" applyFill="1" applyBorder="1" applyAlignment="1">
      <alignment vertical="center" wrapText="1"/>
    </xf>
    <xf numFmtId="0" fontId="117" fillId="74" borderId="52" xfId="0" applyFont="1" applyFill="1" applyBorder="1" applyAlignment="1">
      <alignment vertical="center" wrapText="1"/>
    </xf>
    <xf numFmtId="0" fontId="117" fillId="74" borderId="26" xfId="0" applyFont="1" applyFill="1" applyBorder="1" applyAlignment="1">
      <alignment vertical="center" wrapText="1"/>
    </xf>
    <xf numFmtId="0" fontId="117" fillId="74" borderId="47" xfId="0" applyFont="1" applyFill="1" applyBorder="1" applyAlignment="1">
      <alignment vertical="center" wrapText="1"/>
    </xf>
    <xf numFmtId="0" fontId="117" fillId="74" borderId="25" xfId="0" applyFont="1" applyFill="1" applyBorder="1" applyAlignment="1">
      <alignment vertical="center" wrapText="1"/>
    </xf>
    <xf numFmtId="0" fontId="113" fillId="74" borderId="27" xfId="0" applyFont="1" applyFill="1" applyBorder="1" applyAlignment="1">
      <alignment horizontal="center" vertical="center" wrapText="1"/>
    </xf>
    <xf numFmtId="0" fontId="152" fillId="81" borderId="36" xfId="0" applyFont="1" applyFill="1" applyBorder="1" applyAlignment="1" applyProtection="1">
      <alignment horizontal="left" vertical="center" wrapText="1"/>
      <protection locked="0"/>
    </xf>
    <xf numFmtId="0" fontId="154" fillId="92" borderId="27" xfId="0" applyFont="1" applyFill="1" applyBorder="1" applyAlignment="1" applyProtection="1">
      <alignment horizontal="left" vertical="center" wrapText="1"/>
      <protection locked="0"/>
    </xf>
    <xf numFmtId="0" fontId="11" fillId="29" borderId="39" xfId="477" applyFont="1" applyFill="1" applyBorder="1" applyAlignment="1">
      <alignment vertical="center"/>
    </xf>
    <xf numFmtId="0" fontId="11" fillId="29" borderId="40" xfId="477" applyFont="1" applyFill="1" applyBorder="1" applyAlignment="1">
      <alignment vertical="center"/>
    </xf>
    <xf numFmtId="0" fontId="29" fillId="29" borderId="40" xfId="0" applyFont="1" applyFill="1" applyBorder="1"/>
    <xf numFmtId="0" fontId="0" fillId="0" borderId="40" xfId="0" applyBorder="1"/>
    <xf numFmtId="0" fontId="0" fillId="0" borderId="43" xfId="0" applyBorder="1"/>
    <xf numFmtId="0" fontId="31" fillId="33" borderId="18" xfId="0" applyFont="1" applyFill="1" applyBorder="1" applyAlignment="1">
      <alignment horizontal="center" vertical="center" wrapText="1"/>
    </xf>
    <xf numFmtId="0" fontId="29" fillId="0" borderId="36" xfId="0" applyFont="1" applyBorder="1" applyAlignment="1">
      <alignment horizontal="center" vertical="center" wrapText="1"/>
    </xf>
    <xf numFmtId="0" fontId="29" fillId="0" borderId="60" xfId="0" applyFont="1" applyBorder="1" applyAlignment="1">
      <alignment horizontal="center" vertical="center" wrapText="1"/>
    </xf>
    <xf numFmtId="0" fontId="23" fillId="0" borderId="0" xfId="0" applyFont="1" applyAlignment="1">
      <alignment horizontal="left"/>
    </xf>
    <xf numFmtId="0" fontId="23" fillId="0" borderId="89" xfId="0" applyFont="1" applyBorder="1" applyAlignment="1">
      <alignment horizontal="left"/>
    </xf>
    <xf numFmtId="0" fontId="7" fillId="0" borderId="63" xfId="0" applyFont="1" applyBorder="1" applyAlignment="1">
      <alignment horizontal="center" vertical="center" wrapText="1"/>
    </xf>
    <xf numFmtId="0" fontId="7" fillId="0" borderId="60" xfId="0" applyFont="1" applyBorder="1" applyAlignment="1">
      <alignment horizontal="center" vertical="center" wrapText="1"/>
    </xf>
    <xf numFmtId="0" fontId="0" fillId="0" borderId="43" xfId="0" applyBorder="1" applyAlignment="1">
      <alignment vertical="center"/>
    </xf>
    <xf numFmtId="14" fontId="29" fillId="29" borderId="39" xfId="0" applyNumberFormat="1" applyFont="1" applyFill="1" applyBorder="1" applyAlignment="1">
      <alignment horizontal="center" vertical="center"/>
    </xf>
    <xf numFmtId="0" fontId="0" fillId="0" borderId="40" xfId="0" applyBorder="1" applyAlignment="1">
      <alignment horizontal="center" vertical="center"/>
    </xf>
    <xf numFmtId="0" fontId="29" fillId="0" borderId="4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5" xfId="0" applyFont="1" applyBorder="1" applyAlignment="1">
      <alignment horizontal="center" vertical="center" wrapText="1"/>
    </xf>
    <xf numFmtId="0" fontId="23" fillId="0" borderId="60" xfId="0" applyFont="1" applyBorder="1" applyAlignment="1">
      <alignment horizontal="center" vertical="center" wrapText="1"/>
    </xf>
    <xf numFmtId="0" fontId="29" fillId="0" borderId="45" xfId="0" applyFont="1" applyBorder="1" applyAlignment="1">
      <alignment horizontal="center" vertical="center"/>
    </xf>
    <xf numFmtId="0" fontId="29" fillId="0" borderId="18" xfId="0" applyFont="1" applyBorder="1" applyAlignment="1">
      <alignment horizontal="center" vertical="center"/>
    </xf>
    <xf numFmtId="0" fontId="29" fillId="0" borderId="27" xfId="0" applyFont="1" applyBorder="1" applyAlignment="1">
      <alignment horizontal="center" vertical="center" wrapText="1"/>
    </xf>
    <xf numFmtId="0" fontId="0" fillId="0" borderId="27" xfId="0" applyBorder="1" applyAlignment="1">
      <alignment horizontal="center" vertical="center" wrapText="1"/>
    </xf>
    <xf numFmtId="0" fontId="23" fillId="0" borderId="27" xfId="0" applyFont="1" applyBorder="1" applyAlignment="1">
      <alignment horizontal="center" vertical="center" wrapText="1"/>
    </xf>
    <xf numFmtId="0" fontId="136" fillId="0" borderId="27" xfId="0" applyFont="1" applyBorder="1" applyAlignment="1">
      <alignment horizontal="center" vertical="center" wrapText="1"/>
    </xf>
    <xf numFmtId="0" fontId="56" fillId="0" borderId="27" xfId="0" applyFont="1" applyBorder="1" applyAlignment="1">
      <alignment horizontal="center" vertical="center" wrapText="1"/>
    </xf>
    <xf numFmtId="0" fontId="136" fillId="0" borderId="36" xfId="0" applyFont="1" applyBorder="1" applyAlignment="1">
      <alignment horizontal="center" vertical="center" wrapText="1"/>
    </xf>
    <xf numFmtId="0" fontId="136" fillId="0" borderId="6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6" xfId="0" applyFont="1" applyBorder="1" applyAlignment="1">
      <alignment horizontal="center" vertical="center" wrapText="1"/>
    </xf>
    <xf numFmtId="0" fontId="150" fillId="0" borderId="36" xfId="0" applyFont="1" applyBorder="1" applyAlignment="1">
      <alignment horizontal="center" vertical="center" wrapText="1"/>
    </xf>
    <xf numFmtId="0" fontId="150" fillId="0" borderId="63" xfId="0" applyFont="1" applyBorder="1" applyAlignment="1">
      <alignment horizontal="center" vertical="center" wrapText="1"/>
    </xf>
    <xf numFmtId="0" fontId="150" fillId="0" borderId="60" xfId="0" applyFont="1" applyBorder="1" applyAlignment="1">
      <alignment horizontal="center" vertical="center" wrapText="1"/>
    </xf>
    <xf numFmtId="0" fontId="147" fillId="0" borderId="36" xfId="0" applyFont="1" applyBorder="1" applyAlignment="1">
      <alignment horizontal="center" vertical="center" wrapText="1"/>
    </xf>
    <xf numFmtId="0" fontId="149" fillId="0" borderId="63" xfId="0" applyFont="1" applyBorder="1" applyAlignment="1">
      <alignment horizontal="center" vertical="center" wrapText="1"/>
    </xf>
    <xf numFmtId="0" fontId="149" fillId="0" borderId="60" xfId="0" applyFont="1" applyBorder="1" applyAlignment="1">
      <alignment horizontal="center" vertical="center" wrapText="1"/>
    </xf>
    <xf numFmtId="0" fontId="148" fillId="0" borderId="36" xfId="0" applyFont="1" applyBorder="1" applyAlignment="1">
      <alignment horizontal="center" vertical="center" wrapText="1"/>
    </xf>
    <xf numFmtId="0" fontId="153" fillId="0" borderId="63" xfId="0" applyFont="1" applyBorder="1" applyAlignment="1">
      <alignment horizontal="center" vertical="center" wrapText="1"/>
    </xf>
    <xf numFmtId="0" fontId="153" fillId="0" borderId="60" xfId="0" applyFont="1" applyBorder="1" applyAlignment="1">
      <alignment horizontal="center" vertical="center" wrapText="1"/>
    </xf>
    <xf numFmtId="0" fontId="147" fillId="0" borderId="36" xfId="0" applyFont="1" applyBorder="1" applyAlignment="1">
      <alignment vertical="center" wrapText="1"/>
    </xf>
    <xf numFmtId="0" fontId="149" fillId="0" borderId="63" xfId="0" applyFont="1" applyBorder="1" applyAlignment="1">
      <alignment vertical="center" wrapText="1"/>
    </xf>
    <xf numFmtId="0" fontId="149" fillId="0" borderId="60" xfId="0" applyFont="1" applyBorder="1" applyAlignment="1">
      <alignment vertical="center" wrapText="1"/>
    </xf>
    <xf numFmtId="0" fontId="147" fillId="0" borderId="48" xfId="0" applyFont="1" applyBorder="1" applyAlignment="1">
      <alignment vertical="center" wrapText="1"/>
    </xf>
    <xf numFmtId="0" fontId="149" fillId="0" borderId="32" xfId="0" applyFont="1" applyBorder="1" applyAlignment="1">
      <alignment vertical="center" wrapText="1"/>
    </xf>
    <xf numFmtId="0" fontId="149" fillId="0" borderId="52" xfId="0" applyFont="1" applyBorder="1" applyAlignment="1">
      <alignment vertical="center" wrapText="1"/>
    </xf>
    <xf numFmtId="0" fontId="149" fillId="0" borderId="26" xfId="0" applyFont="1" applyBorder="1" applyAlignment="1">
      <alignment vertical="center" wrapText="1"/>
    </xf>
    <xf numFmtId="0" fontId="149" fillId="0" borderId="47" xfId="0" applyFont="1" applyBorder="1" applyAlignment="1">
      <alignment vertical="center" wrapText="1"/>
    </xf>
    <xf numFmtId="0" fontId="149" fillId="0" borderId="25" xfId="0" applyFont="1" applyBorder="1" applyAlignment="1">
      <alignment vertical="center" wrapText="1"/>
    </xf>
    <xf numFmtId="0" fontId="150" fillId="0" borderId="48" xfId="0" applyFont="1" applyBorder="1" applyAlignment="1">
      <alignment horizontal="center" vertical="center" wrapText="1"/>
    </xf>
    <xf numFmtId="0" fontId="150" fillId="0" borderId="32" xfId="0" applyFont="1" applyBorder="1" applyAlignment="1">
      <alignment horizontal="center" vertical="center" wrapText="1"/>
    </xf>
    <xf numFmtId="0" fontId="150" fillId="0" borderId="52" xfId="0" applyFont="1" applyBorder="1" applyAlignment="1">
      <alignment horizontal="center" vertical="center" wrapText="1"/>
    </xf>
    <xf numFmtId="0" fontId="150" fillId="0" borderId="26" xfId="0" applyFont="1" applyBorder="1" applyAlignment="1">
      <alignment horizontal="center" vertical="center" wrapText="1"/>
    </xf>
    <xf numFmtId="0" fontId="150" fillId="0" borderId="47" xfId="0" applyFont="1" applyBorder="1" applyAlignment="1">
      <alignment horizontal="center" vertical="center" wrapText="1"/>
    </xf>
    <xf numFmtId="0" fontId="150" fillId="0" borderId="25" xfId="0" applyFont="1" applyBorder="1" applyAlignment="1">
      <alignment horizontal="center" vertical="center" wrapText="1"/>
    </xf>
    <xf numFmtId="0" fontId="148" fillId="0" borderId="32" xfId="0" applyFont="1" applyBorder="1" applyAlignment="1">
      <alignment horizontal="center" vertical="center" wrapText="1"/>
    </xf>
    <xf numFmtId="0" fontId="148" fillId="0" borderId="63" xfId="0" applyFont="1" applyBorder="1" applyAlignment="1">
      <alignment horizontal="center" vertical="center" wrapText="1"/>
    </xf>
    <xf numFmtId="0" fontId="148" fillId="0" borderId="6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2"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0" fontId="32" fillId="0" borderId="3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63" xfId="0" applyFont="1" applyBorder="1" applyAlignment="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9" fontId="56" fillId="0" borderId="63" xfId="0" applyNumberFormat="1" applyFont="1" applyBorder="1" applyAlignment="1">
      <alignment horizontal="center" vertical="center" wrapText="1"/>
    </xf>
    <xf numFmtId="9" fontId="56" fillId="0" borderId="60" xfId="0" applyNumberFormat="1" applyFont="1" applyBorder="1" applyAlignment="1">
      <alignment horizontal="center" vertical="center" wrapText="1"/>
    </xf>
    <xf numFmtId="0" fontId="7" fillId="0" borderId="36" xfId="0" applyFont="1" applyBorder="1" applyAlignment="1">
      <alignment horizontal="left" vertical="center" wrapText="1"/>
    </xf>
    <xf numFmtId="0" fontId="7" fillId="0" borderId="63" xfId="0" applyFont="1" applyBorder="1" applyAlignment="1">
      <alignment horizontal="left" vertical="center" wrapText="1"/>
    </xf>
    <xf numFmtId="0" fontId="7" fillId="0" borderId="60" xfId="0" applyFont="1" applyBorder="1" applyAlignment="1">
      <alignment horizontal="left" vertical="center" wrapText="1"/>
    </xf>
    <xf numFmtId="0" fontId="7" fillId="0" borderId="48" xfId="0" quotePrefix="1" applyFont="1" applyBorder="1" applyAlignment="1">
      <alignment horizontal="left" vertical="center" wrapText="1"/>
    </xf>
    <xf numFmtId="0" fontId="7" fillId="0" borderId="32" xfId="0" applyFont="1" applyBorder="1" applyAlignment="1">
      <alignment horizontal="left" vertical="center" wrapText="1"/>
    </xf>
    <xf numFmtId="0" fontId="7" fillId="0" borderId="52" xfId="0" applyFont="1" applyBorder="1" applyAlignment="1">
      <alignment horizontal="left" vertical="center" wrapText="1"/>
    </xf>
    <xf numFmtId="0" fontId="7" fillId="0" borderId="26" xfId="0" applyFont="1" applyBorder="1" applyAlignment="1">
      <alignment horizontal="left" vertical="center" wrapText="1"/>
    </xf>
    <xf numFmtId="0" fontId="7" fillId="0" borderId="47" xfId="0" applyFont="1" applyBorder="1" applyAlignment="1">
      <alignment horizontal="left" vertical="center" wrapText="1"/>
    </xf>
    <xf numFmtId="0" fontId="7" fillId="0" borderId="25" xfId="0" applyFont="1" applyBorder="1" applyAlignment="1">
      <alignment horizontal="left" vertical="center" wrapText="1"/>
    </xf>
    <xf numFmtId="0" fontId="7" fillId="0" borderId="48" xfId="0" applyFont="1" applyBorder="1" applyAlignment="1">
      <alignment horizontal="left"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7" xfId="0" applyFont="1" applyBorder="1" applyAlignment="1">
      <alignment horizontal="center"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14" fillId="0" borderId="0" xfId="0" applyFont="1" applyAlignment="1">
      <alignment horizontal="justify" vertical="justify" wrapText="1"/>
    </xf>
    <xf numFmtId="0" fontId="0" fillId="0" borderId="40"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justify" vertical="center" wrapText="1"/>
    </xf>
    <xf numFmtId="0" fontId="122" fillId="0" borderId="0" xfId="0" applyFont="1" applyAlignment="1">
      <alignment horizontal="justify" vertical="center"/>
    </xf>
    <xf numFmtId="0" fontId="123" fillId="0" borderId="27" xfId="0" applyFont="1" applyBorder="1" applyAlignment="1">
      <alignment horizontal="center" vertical="center" wrapText="1"/>
    </xf>
    <xf numFmtId="0" fontId="123" fillId="0" borderId="36" xfId="0" applyFont="1" applyBorder="1" applyAlignment="1">
      <alignment horizontal="center" vertical="center" wrapText="1"/>
    </xf>
    <xf numFmtId="0" fontId="123" fillId="0" borderId="63" xfId="0" applyFont="1" applyBorder="1" applyAlignment="1">
      <alignment horizontal="center" vertical="center" wrapText="1"/>
    </xf>
    <xf numFmtId="0" fontId="123" fillId="0" borderId="60" xfId="0" applyFont="1" applyBorder="1" applyAlignment="1">
      <alignment horizontal="center" vertical="center" wrapText="1"/>
    </xf>
    <xf numFmtId="0" fontId="123" fillId="0" borderId="48" xfId="0" applyFont="1" applyBorder="1" applyAlignment="1">
      <alignment horizontal="center" vertical="center" wrapText="1"/>
    </xf>
    <xf numFmtId="0" fontId="123" fillId="0" borderId="32" xfId="0" applyFont="1" applyBorder="1" applyAlignment="1">
      <alignment horizontal="center" vertical="center" wrapText="1"/>
    </xf>
    <xf numFmtId="0" fontId="123" fillId="0" borderId="52" xfId="0" applyFont="1" applyBorder="1" applyAlignment="1">
      <alignment horizontal="center" vertical="center" wrapText="1"/>
    </xf>
    <xf numFmtId="0" fontId="123" fillId="0" borderId="26"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25" xfId="0" applyFont="1" applyBorder="1" applyAlignment="1">
      <alignment horizontal="center" vertical="center" wrapText="1"/>
    </xf>
    <xf numFmtId="0" fontId="124" fillId="0" borderId="36" xfId="0" applyFont="1" applyBorder="1" applyAlignment="1">
      <alignment horizontal="center" vertical="center" wrapText="1"/>
    </xf>
    <xf numFmtId="0" fontId="124" fillId="0" borderId="60" xfId="0" applyFont="1" applyBorder="1" applyAlignment="1">
      <alignment horizontal="center" vertical="center" wrapText="1"/>
    </xf>
    <xf numFmtId="0" fontId="126" fillId="0" borderId="45" xfId="0" applyFont="1" applyBorder="1" applyAlignment="1">
      <alignment horizontal="center" vertical="center" wrapText="1"/>
    </xf>
    <xf numFmtId="0" fontId="126" fillId="0" borderId="18" xfId="0" applyFont="1" applyBorder="1" applyAlignment="1">
      <alignment horizontal="center" vertical="center" wrapText="1"/>
    </xf>
    <xf numFmtId="0" fontId="126" fillId="0" borderId="36" xfId="0" applyFont="1" applyBorder="1" applyAlignment="1">
      <alignment horizontal="center" vertical="top" wrapText="1"/>
    </xf>
    <xf numFmtId="0" fontId="126" fillId="0" borderId="63" xfId="0" applyFont="1" applyBorder="1" applyAlignment="1">
      <alignment horizontal="center" vertical="top" wrapText="1"/>
    </xf>
    <xf numFmtId="0" fontId="126" fillId="0" borderId="60" xfId="0" applyFont="1" applyBorder="1" applyAlignment="1">
      <alignment horizontal="center" vertical="top" wrapText="1"/>
    </xf>
    <xf numFmtId="0" fontId="7" fillId="0" borderId="36" xfId="0" applyFont="1" applyBorder="1" applyAlignment="1">
      <alignment horizontal="center" vertical="top" wrapText="1"/>
    </xf>
    <xf numFmtId="0" fontId="7" fillId="0" borderId="27" xfId="0" applyFont="1" applyBorder="1" applyAlignment="1">
      <alignment horizontal="left" vertical="center" wrapText="1"/>
    </xf>
    <xf numFmtId="0" fontId="126" fillId="0" borderId="27" xfId="0" applyFont="1" applyBorder="1" applyAlignment="1">
      <alignment horizontal="left" vertical="center" wrapText="1"/>
    </xf>
    <xf numFmtId="0" fontId="127" fillId="0" borderId="48" xfId="0" applyFont="1" applyBorder="1" applyAlignment="1">
      <alignment horizontal="left"/>
    </xf>
    <xf numFmtId="0" fontId="127" fillId="0" borderId="87" xfId="0" applyFont="1" applyBorder="1" applyAlignment="1">
      <alignment horizontal="left"/>
    </xf>
    <xf numFmtId="0" fontId="127" fillId="0" borderId="52" xfId="0" applyFont="1" applyBorder="1" applyAlignment="1">
      <alignment horizontal="left"/>
    </xf>
    <xf numFmtId="0" fontId="127" fillId="0" borderId="0" xfId="0" applyFont="1" applyAlignment="1">
      <alignment horizontal="left"/>
    </xf>
    <xf numFmtId="0" fontId="127" fillId="0" borderId="47" xfId="0" applyFont="1" applyBorder="1" applyAlignment="1">
      <alignment horizontal="left"/>
    </xf>
    <xf numFmtId="0" fontId="127" fillId="0" borderId="88" xfId="0" applyFont="1" applyBorder="1" applyAlignment="1">
      <alignment horizontal="left"/>
    </xf>
    <xf numFmtId="0" fontId="127" fillId="0" borderId="36" xfId="0" applyFont="1" applyBorder="1" applyAlignment="1">
      <alignment horizontal="center" vertical="center"/>
    </xf>
    <xf numFmtId="0" fontId="127" fillId="0" borderId="63" xfId="0" applyFont="1" applyBorder="1" applyAlignment="1">
      <alignment horizontal="center" vertical="center"/>
    </xf>
    <xf numFmtId="0" fontId="127" fillId="0" borderId="60" xfId="0" applyFont="1" applyBorder="1" applyAlignment="1">
      <alignment horizontal="center" vertical="center"/>
    </xf>
    <xf numFmtId="0" fontId="127" fillId="0" borderId="36" xfId="0" applyFont="1" applyBorder="1" applyAlignment="1">
      <alignment horizontal="center" vertical="center" wrapText="1"/>
    </xf>
    <xf numFmtId="0" fontId="127" fillId="0" borderId="63" xfId="0" applyFont="1" applyBorder="1" applyAlignment="1">
      <alignment horizontal="center" vertical="center" wrapText="1"/>
    </xf>
    <xf numFmtId="0" fontId="127" fillId="0" borderId="60" xfId="0" applyFont="1" applyBorder="1" applyAlignment="1">
      <alignment horizontal="center" vertical="center" wrapText="1"/>
    </xf>
    <xf numFmtId="0" fontId="7" fillId="0" borderId="45" xfId="0" applyFont="1" applyBorder="1" applyAlignment="1">
      <alignment horizontal="left" vertical="top" wrapText="1"/>
    </xf>
    <xf numFmtId="0" fontId="126" fillId="0" borderId="18" xfId="0" applyFont="1" applyBorder="1" applyAlignment="1">
      <alignment horizontal="left" vertical="top" wrapText="1"/>
    </xf>
    <xf numFmtId="49" fontId="126" fillId="0" borderId="36" xfId="0" applyNumberFormat="1" applyFont="1" applyBorder="1" applyAlignment="1">
      <alignment horizontal="center" vertical="top" wrapText="1"/>
    </xf>
    <xf numFmtId="49" fontId="126" fillId="0" borderId="63" xfId="0" applyNumberFormat="1" applyFont="1" applyBorder="1" applyAlignment="1">
      <alignment horizontal="center" vertical="top" wrapText="1"/>
    </xf>
    <xf numFmtId="0" fontId="127" fillId="0" borderId="48" xfId="0" applyFont="1" applyBorder="1" applyAlignment="1">
      <alignment horizontal="left" vertical="top"/>
    </xf>
    <xf numFmtId="0" fontId="127" fillId="0" borderId="87" xfId="0" applyFont="1" applyBorder="1" applyAlignment="1">
      <alignment horizontal="left" vertical="top"/>
    </xf>
    <xf numFmtId="0" fontId="127" fillId="0" borderId="32" xfId="0" applyFont="1" applyBorder="1" applyAlignment="1">
      <alignment horizontal="left" vertical="top"/>
    </xf>
    <xf numFmtId="0" fontId="127" fillId="0" borderId="52" xfId="0" applyFont="1" applyBorder="1" applyAlignment="1">
      <alignment horizontal="left" vertical="top"/>
    </xf>
    <xf numFmtId="0" fontId="127" fillId="0" borderId="0" xfId="0" applyFont="1" applyAlignment="1">
      <alignment horizontal="left" vertical="top"/>
    </xf>
    <xf numFmtId="0" fontId="127" fillId="0" borderId="26" xfId="0" applyFont="1" applyBorder="1" applyAlignment="1">
      <alignment horizontal="left" vertical="top"/>
    </xf>
    <xf numFmtId="0" fontId="7" fillId="0" borderId="48" xfId="0" applyFont="1" applyBorder="1" applyAlignment="1">
      <alignment horizontal="left" vertical="top" wrapText="1"/>
    </xf>
    <xf numFmtId="0" fontId="126" fillId="0" borderId="32" xfId="0" applyFont="1" applyBorder="1" applyAlignment="1">
      <alignment horizontal="left" vertical="top" wrapText="1"/>
    </xf>
    <xf numFmtId="49" fontId="126" fillId="0" borderId="60" xfId="0" applyNumberFormat="1" applyFont="1" applyBorder="1" applyAlignment="1">
      <alignment horizontal="center" vertical="top" wrapText="1"/>
    </xf>
    <xf numFmtId="0" fontId="7" fillId="0" borderId="45" xfId="0" applyFont="1" applyBorder="1" applyAlignment="1">
      <alignment horizontal="left" vertical="center" wrapText="1"/>
    </xf>
    <xf numFmtId="0" fontId="126" fillId="0" borderId="18" xfId="0" applyFont="1" applyBorder="1" applyAlignment="1">
      <alignment horizontal="left" vertical="center" wrapText="1"/>
    </xf>
    <xf numFmtId="0" fontId="127" fillId="0" borderId="88" xfId="0" applyFont="1" applyBorder="1" applyAlignment="1">
      <alignment horizontal="left" vertical="top"/>
    </xf>
    <xf numFmtId="0" fontId="127" fillId="0" borderId="25" xfId="0" applyFont="1" applyBorder="1" applyAlignment="1">
      <alignment horizontal="left" vertical="top"/>
    </xf>
    <xf numFmtId="0" fontId="9" fillId="0" borderId="0" xfId="477" applyFont="1" applyAlignment="1">
      <alignment horizontal="justify" vertical="center"/>
    </xf>
    <xf numFmtId="0" fontId="9" fillId="0" borderId="0" xfId="477" applyFont="1" applyAlignment="1">
      <alignment horizontal="justify" vertical="center" wrapText="1"/>
    </xf>
    <xf numFmtId="0" fontId="7" fillId="0" borderId="0" xfId="477" applyFont="1" applyAlignment="1">
      <alignment horizontal="justify" vertical="center" wrapText="1"/>
    </xf>
    <xf numFmtId="0" fontId="7" fillId="28" borderId="64" xfId="0" applyFont="1" applyFill="1" applyBorder="1" applyAlignment="1">
      <alignment horizontal="center" vertical="center" wrapText="1"/>
    </xf>
    <xf numFmtId="0" fontId="0" fillId="0" borderId="64" xfId="0" applyBorder="1" applyAlignment="1">
      <alignment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7" xfId="0" applyFont="1" applyBorder="1" applyAlignment="1">
      <alignment horizontal="center" vertical="center" wrapText="1"/>
    </xf>
    <xf numFmtId="0" fontId="25" fillId="33" borderId="31" xfId="0" applyFont="1" applyFill="1" applyBorder="1" applyAlignment="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lignment horizontal="center" vertical="center"/>
    </xf>
    <xf numFmtId="0" fontId="0" fillId="0" borderId="31" xfId="0" applyBorder="1"/>
    <xf numFmtId="0" fontId="67" fillId="30" borderId="31" xfId="0" applyFont="1" applyFill="1" applyBorder="1" applyAlignment="1">
      <alignment horizontal="center" vertical="center"/>
    </xf>
    <xf numFmtId="0" fontId="69" fillId="0" borderId="31" xfId="0" applyFont="1" applyBorder="1"/>
    <xf numFmtId="0" fontId="23" fillId="27" borderId="31" xfId="0" applyFont="1" applyFill="1" applyBorder="1" applyAlignment="1">
      <alignment horizontal="center" vertical="center"/>
    </xf>
    <xf numFmtId="0" fontId="0" fillId="0" borderId="31" xfId="0" applyBorder="1" applyAlignment="1">
      <alignment horizontal="center" vertical="center"/>
    </xf>
    <xf numFmtId="0" fontId="29" fillId="29" borderId="40" xfId="0" applyFont="1" applyFill="1" applyBorder="1" applyAlignment="1">
      <alignment vertical="center"/>
    </xf>
    <xf numFmtId="0" fontId="29" fillId="0" borderId="40" xfId="0" applyFont="1" applyBorder="1" applyAlignment="1">
      <alignment vertical="center"/>
    </xf>
    <xf numFmtId="0" fontId="29" fillId="41" borderId="39" xfId="0" applyFont="1" applyFill="1" applyBorder="1" applyAlignment="1">
      <alignment vertical="center"/>
    </xf>
    <xf numFmtId="0" fontId="29" fillId="41" borderId="40" xfId="0" applyFont="1" applyFill="1" applyBorder="1" applyAlignment="1">
      <alignment vertical="center"/>
    </xf>
    <xf numFmtId="0" fontId="29" fillId="0" borderId="40" xfId="0" applyFont="1" applyBorder="1" applyAlignment="1">
      <alignment horizontal="center" vertical="center"/>
    </xf>
    <xf numFmtId="0" fontId="23" fillId="33" borderId="21" xfId="0" applyFont="1" applyFill="1" applyBorder="1" applyAlignment="1">
      <alignment horizontal="center" vertical="center"/>
    </xf>
    <xf numFmtId="0" fontId="0" fillId="0" borderId="21" xfId="0" applyBorder="1" applyAlignment="1">
      <alignment horizontal="center" vertical="center"/>
    </xf>
    <xf numFmtId="0" fontId="23" fillId="31" borderId="21" xfId="0" applyFont="1" applyFill="1" applyBorder="1" applyAlignment="1">
      <alignment horizontal="center" vertical="center"/>
    </xf>
    <xf numFmtId="0" fontId="0" fillId="0" borderId="21" xfId="0" applyBorder="1"/>
    <xf numFmtId="0" fontId="67" fillId="30" borderId="21" xfId="0" applyFont="1" applyFill="1" applyBorder="1" applyAlignment="1">
      <alignment horizontal="center" vertical="center"/>
    </xf>
    <xf numFmtId="0" fontId="69" fillId="30" borderId="21" xfId="0" applyFont="1" applyFill="1" applyBorder="1"/>
    <xf numFmtId="0" fontId="23" fillId="27" borderId="21" xfId="0" applyFont="1" applyFill="1" applyBorder="1" applyAlignment="1">
      <alignment horizontal="center" vertical="center"/>
    </xf>
    <xf numFmtId="0" fontId="77" fillId="0" borderId="21" xfId="0" applyFont="1" applyBorder="1" applyAlignment="1">
      <alignment horizontal="center" vertical="center"/>
    </xf>
    <xf numFmtId="0" fontId="105" fillId="0" borderId="0" xfId="0" applyFont="1" applyAlignment="1">
      <alignment horizontal="left" vertical="center"/>
    </xf>
    <xf numFmtId="0" fontId="7" fillId="0" borderId="68" xfId="0" applyFont="1" applyBorder="1" applyAlignment="1">
      <alignment horizontal="center" textRotation="90" wrapText="1"/>
    </xf>
    <xf numFmtId="0" fontId="7" fillId="0" borderId="69" xfId="0" applyFont="1" applyBorder="1" applyAlignment="1">
      <alignment horizontal="center" textRotation="90" wrapText="1"/>
    </xf>
    <xf numFmtId="0" fontId="7" fillId="0" borderId="36" xfId="477" applyFont="1" applyBorder="1" applyAlignment="1">
      <alignment horizontal="center" textRotation="90" wrapText="1"/>
    </xf>
    <xf numFmtId="0" fontId="7" fillId="0" borderId="60" xfId="477" applyFont="1" applyBorder="1" applyAlignment="1">
      <alignment horizontal="center" textRotation="90" wrapText="1"/>
    </xf>
    <xf numFmtId="0" fontId="7" fillId="0" borderId="36" xfId="0" applyFont="1" applyBorder="1" applyAlignment="1">
      <alignment horizontal="center" textRotation="90" wrapText="1"/>
    </xf>
    <xf numFmtId="0" fontId="7" fillId="0" borderId="60" xfId="0" applyFont="1" applyBorder="1" applyAlignment="1">
      <alignment horizontal="center" textRotation="90" wrapText="1"/>
    </xf>
    <xf numFmtId="0" fontId="7" fillId="0" borderId="70" xfId="477" applyFont="1" applyBorder="1" applyAlignment="1">
      <alignment horizontal="center" textRotation="90" wrapText="1"/>
    </xf>
    <xf numFmtId="0" fontId="0" fillId="0" borderId="59" xfId="0" applyBorder="1" applyAlignment="1">
      <alignment horizontal="center" textRotation="90" wrapText="1"/>
    </xf>
    <xf numFmtId="0" fontId="7" fillId="0" borderId="28" xfId="0" applyFont="1" applyBorder="1" applyAlignment="1">
      <alignment horizontal="center" vertical="center"/>
    </xf>
    <xf numFmtId="165" fontId="7" fillId="0" borderId="28" xfId="399" applyNumberFormat="1" applyFont="1" applyFill="1" applyBorder="1" applyAlignment="1" applyProtection="1">
      <alignment vertical="center"/>
    </xf>
    <xf numFmtId="165" fontId="7" fillId="0" borderId="71" xfId="399" applyNumberFormat="1" applyFont="1" applyFill="1" applyBorder="1" applyAlignment="1" applyProtection="1">
      <alignment vertical="center"/>
    </xf>
    <xf numFmtId="0" fontId="8" fillId="28" borderId="72" xfId="0" applyFont="1" applyFill="1" applyBorder="1" applyAlignment="1">
      <alignment horizontal="center" textRotation="90" wrapText="1"/>
    </xf>
    <xf numFmtId="0" fontId="8" fillId="28" borderId="73" xfId="0" applyFont="1" applyFill="1" applyBorder="1" applyAlignment="1">
      <alignment horizontal="center" textRotation="90" wrapText="1"/>
    </xf>
    <xf numFmtId="0" fontId="7" fillId="37" borderId="27" xfId="0" applyFont="1" applyFill="1" applyBorder="1" applyAlignment="1">
      <alignment horizontal="center" vertical="center" wrapText="1"/>
    </xf>
    <xf numFmtId="0" fontId="8" fillId="28" borderId="36" xfId="0" applyFont="1" applyFill="1" applyBorder="1" applyAlignment="1">
      <alignment horizontal="center" textRotation="90" wrapText="1"/>
    </xf>
    <xf numFmtId="0" fontId="8" fillId="28" borderId="60" xfId="0" applyFont="1" applyFill="1" applyBorder="1" applyAlignment="1">
      <alignment horizontal="center" textRotation="90" wrapText="1"/>
    </xf>
    <xf numFmtId="0" fontId="8" fillId="0" borderId="36" xfId="0" applyFont="1" applyBorder="1" applyAlignment="1">
      <alignment horizontal="center" textRotation="90" wrapText="1"/>
    </xf>
    <xf numFmtId="0" fontId="8" fillId="0" borderId="60" xfId="0" applyFont="1" applyBorder="1" applyAlignment="1">
      <alignment horizontal="center" textRotation="90" wrapText="1"/>
    </xf>
    <xf numFmtId="0" fontId="0" fillId="0" borderId="60" xfId="0" applyBorder="1" applyAlignment="1">
      <alignment horizontal="center" textRotation="90" wrapText="1"/>
    </xf>
    <xf numFmtId="0" fontId="78" fillId="0" borderId="36" xfId="0" applyFont="1" applyBorder="1" applyAlignment="1">
      <alignment horizontal="center" textRotation="90" wrapText="1"/>
    </xf>
    <xf numFmtId="0" fontId="79" fillId="0" borderId="60" xfId="0" applyFont="1" applyBorder="1" applyAlignment="1">
      <alignment horizontal="center" textRotation="90" wrapText="1"/>
    </xf>
    <xf numFmtId="0" fontId="7" fillId="37" borderId="36" xfId="0" applyFont="1" applyFill="1" applyBorder="1" applyAlignment="1">
      <alignment horizontal="center" textRotation="90" wrapText="1"/>
    </xf>
    <xf numFmtId="0" fontId="7" fillId="28" borderId="36" xfId="0" applyFont="1" applyFill="1" applyBorder="1" applyAlignment="1">
      <alignment horizontal="center" textRotation="90" wrapText="1"/>
    </xf>
    <xf numFmtId="0" fontId="7" fillId="28" borderId="60" xfId="0" applyFont="1" applyFill="1" applyBorder="1" applyAlignment="1">
      <alignment horizontal="center" textRotation="90" wrapText="1"/>
    </xf>
    <xf numFmtId="0" fontId="14" fillId="0" borderId="19" xfId="0" applyFont="1" applyBorder="1" applyAlignment="1">
      <alignment horizontal="center" vertical="center"/>
    </xf>
    <xf numFmtId="0" fontId="17" fillId="0" borderId="19" xfId="0" applyFont="1" applyBorder="1" applyAlignment="1">
      <alignment vertical="center"/>
    </xf>
    <xf numFmtId="0" fontId="14" fillId="27" borderId="1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39" xfId="0" applyFont="1" applyBorder="1" applyAlignment="1">
      <alignment vertical="center"/>
    </xf>
    <xf numFmtId="1" fontId="26" fillId="32" borderId="39" xfId="0" applyNumberFormat="1" applyFont="1" applyFill="1" applyBorder="1" applyAlignment="1">
      <alignment horizontal="center" vertical="center"/>
    </xf>
    <xf numFmtId="1" fontId="26" fillId="32" borderId="40" xfId="0" applyNumberFormat="1" applyFont="1" applyFill="1" applyBorder="1" applyAlignment="1">
      <alignment horizontal="center" vertical="center"/>
    </xf>
    <xf numFmtId="1" fontId="26" fillId="32" borderId="43" xfId="0" applyNumberFormat="1" applyFont="1" applyFill="1" applyBorder="1" applyAlignment="1">
      <alignment horizontal="center" vertical="center"/>
    </xf>
    <xf numFmtId="0" fontId="14" fillId="27" borderId="31" xfId="0" applyFont="1" applyFill="1" applyBorder="1" applyAlignment="1">
      <alignment horizontal="center" vertical="center" wrapText="1"/>
    </xf>
    <xf numFmtId="0" fontId="17" fillId="27" borderId="31" xfId="0" applyFont="1" applyFill="1" applyBorder="1" applyAlignment="1">
      <alignment horizontal="center" vertical="center" wrapText="1"/>
    </xf>
    <xf numFmtId="0" fontId="108" fillId="73" borderId="20" xfId="0" applyFont="1" applyFill="1" applyBorder="1" applyAlignment="1">
      <alignment horizontal="center" vertical="center"/>
    </xf>
    <xf numFmtId="0" fontId="107" fillId="73" borderId="41" xfId="0" applyFont="1" applyFill="1" applyBorder="1" applyAlignment="1">
      <alignment vertical="center"/>
    </xf>
    <xf numFmtId="0" fontId="107" fillId="73" borderId="42" xfId="0" applyFont="1" applyFill="1" applyBorder="1" applyAlignment="1">
      <alignment vertical="center"/>
    </xf>
    <xf numFmtId="0" fontId="26" fillId="0" borderId="19" xfId="0" applyFont="1" applyBorder="1" applyAlignment="1">
      <alignment horizontal="center" vertical="center"/>
    </xf>
    <xf numFmtId="0" fontId="26" fillId="0" borderId="39" xfId="0" applyFont="1" applyBorder="1" applyAlignment="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0" fontId="14" fillId="78" borderId="19" xfId="0" applyFont="1" applyFill="1" applyBorder="1" applyAlignment="1">
      <alignment horizontal="center" vertical="center" wrapText="1"/>
    </xf>
    <xf numFmtId="0" fontId="17" fillId="78" borderId="19" xfId="0" applyFont="1" applyFill="1" applyBorder="1" applyAlignment="1">
      <alignment horizontal="center" vertical="center" wrapText="1"/>
    </xf>
    <xf numFmtId="0" fontId="14" fillId="31" borderId="19" xfId="0" applyFont="1" applyFill="1" applyBorder="1" applyAlignment="1">
      <alignment horizontal="center" vertical="center" wrapText="1"/>
    </xf>
    <xf numFmtId="0" fontId="17" fillId="31" borderId="19" xfId="0" applyFont="1" applyFill="1" applyBorder="1" applyAlignment="1">
      <alignment horizontal="center" vertical="center" wrapText="1"/>
    </xf>
    <xf numFmtId="0" fontId="14" fillId="0" borderId="39" xfId="0" applyFont="1" applyBorder="1" applyAlignment="1">
      <alignment horizontal="center" vertical="center"/>
    </xf>
    <xf numFmtId="0" fontId="62" fillId="0" borderId="40" xfId="0" applyFont="1" applyBorder="1" applyAlignment="1">
      <alignment horizontal="center" vertical="center"/>
    </xf>
    <xf numFmtId="0" fontId="62" fillId="0" borderId="43"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31" borderId="39" xfId="0" applyFont="1" applyFill="1" applyBorder="1" applyAlignment="1">
      <alignment horizontal="center" vertical="center" wrapText="1"/>
    </xf>
    <xf numFmtId="0" fontId="14" fillId="31" borderId="40" xfId="0" applyFont="1" applyFill="1" applyBorder="1" applyAlignment="1">
      <alignment horizontal="center" vertical="center" wrapText="1"/>
    </xf>
    <xf numFmtId="0" fontId="14" fillId="31" borderId="43"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xf>
    <xf numFmtId="0" fontId="26" fillId="0" borderId="21" xfId="0" applyFont="1" applyBorder="1" applyAlignment="1">
      <alignment horizontal="center" vertical="center" wrapText="1"/>
    </xf>
    <xf numFmtId="0" fontId="68" fillId="0" borderId="31" xfId="0" applyFont="1" applyBorder="1" applyAlignment="1">
      <alignment horizontal="center" vertical="center"/>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14" fillId="31" borderId="52" xfId="0" applyFont="1" applyFill="1" applyBorder="1" applyAlignment="1">
      <alignment horizontal="center" vertical="center"/>
    </xf>
    <xf numFmtId="49" fontId="14" fillId="37" borderId="52" xfId="0" applyNumberFormat="1" applyFont="1" applyFill="1" applyBorder="1" applyAlignment="1">
      <alignment horizontal="center" vertical="center" wrapText="1"/>
    </xf>
    <xf numFmtId="0" fontId="14" fillId="31" borderId="52" xfId="0" applyFont="1" applyFill="1" applyBorder="1" applyAlignment="1">
      <alignment horizontal="center" vertical="center" wrapText="1"/>
    </xf>
    <xf numFmtId="0" fontId="29" fillId="0" borderId="19" xfId="0" applyFont="1" applyBorder="1" applyAlignment="1">
      <alignment horizontal="center" vertical="center" wrapText="1"/>
    </xf>
    <xf numFmtId="0" fontId="13"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3" fillId="0" borderId="19" xfId="0" applyFont="1" applyBorder="1" applyAlignment="1">
      <alignment horizontal="left" vertical="center"/>
    </xf>
    <xf numFmtId="0" fontId="0" fillId="0" borderId="19" xfId="0" applyBorder="1"/>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Alignment="1" applyProtection="1">
      <alignment wrapText="1"/>
      <protection locked="0"/>
    </xf>
    <xf numFmtId="0" fontId="0" fillId="0" borderId="19" xfId="0" applyBorder="1" applyProtection="1">
      <protection locked="0"/>
    </xf>
    <xf numFmtId="0" fontId="7" fillId="0" borderId="27" xfId="477" applyFont="1" applyBorder="1" applyAlignment="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lignment horizontal="center" vertical="center" wrapText="1"/>
    </xf>
    <xf numFmtId="0" fontId="14" fillId="30" borderId="40" xfId="0" applyFont="1" applyFill="1" applyBorder="1" applyAlignment="1">
      <alignment horizontal="center" vertical="center" wrapText="1"/>
    </xf>
    <xf numFmtId="0" fontId="14" fillId="30" borderId="43" xfId="0" applyFont="1" applyFill="1" applyBorder="1" applyAlignment="1">
      <alignment horizontal="center" vertical="center" wrapText="1"/>
    </xf>
    <xf numFmtId="0" fontId="14" fillId="27" borderId="39" xfId="0" applyFont="1" applyFill="1" applyBorder="1" applyAlignment="1">
      <alignment horizontal="center" vertical="center" wrapText="1"/>
    </xf>
    <xf numFmtId="0" fontId="14" fillId="27" borderId="40" xfId="0" applyFont="1" applyFill="1" applyBorder="1" applyAlignment="1">
      <alignment horizontal="center" vertical="center" wrapText="1"/>
    </xf>
    <xf numFmtId="0" fontId="14" fillId="27" borderId="43" xfId="0" applyFont="1" applyFill="1" applyBorder="1" applyAlignment="1">
      <alignment horizontal="center" vertical="center" wrapText="1"/>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29" fillId="0" borderId="21"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2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29" xfId="0" applyFont="1" applyBorder="1" applyAlignment="1">
      <alignment horizontal="left" vertical="center" wrapText="1"/>
    </xf>
    <xf numFmtId="0" fontId="29" fillId="0" borderId="74" xfId="0" applyFont="1" applyBorder="1" applyAlignment="1">
      <alignment horizontal="left" vertical="center" wrapText="1"/>
    </xf>
    <xf numFmtId="0" fontId="29" fillId="0" borderId="30" xfId="0" applyFont="1" applyBorder="1" applyAlignment="1">
      <alignment horizontal="left" vertical="center" wrapText="1"/>
    </xf>
  </cellXfs>
  <cellStyles count="1160">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546" xr:uid="{00000000-0005-0000-0000-000005000000}"/>
    <cellStyle name="20 % - Akzent1 2 3 3" xfId="6" xr:uid="{00000000-0005-0000-0000-000006000000}"/>
    <cellStyle name="20 % - Akzent1 2 4" xfId="7" xr:uid="{00000000-0005-0000-0000-000007000000}"/>
    <cellStyle name="20 % - Akzent1 3" xfId="8" xr:uid="{00000000-0005-0000-0000-000008000000}"/>
    <cellStyle name="20 % - Akzent1 3 2" xfId="9" xr:uid="{00000000-0005-0000-0000-000009000000}"/>
    <cellStyle name="20 % - Akzent1 3 2 2" xfId="611" xr:uid="{00000000-0005-0000-0000-00000A000000}"/>
    <cellStyle name="20 % - Akzent1 3 2 3" xfId="612" xr:uid="{00000000-0005-0000-0000-00000B000000}"/>
    <cellStyle name="20 % - Akzent1 3 2 4" xfId="613" xr:uid="{00000000-0005-0000-0000-00000C000000}"/>
    <cellStyle name="20 % - Akzent1 3 3" xfId="10" xr:uid="{00000000-0005-0000-0000-00000D000000}"/>
    <cellStyle name="20 % - Akzent1 3 4" xfId="614" xr:uid="{00000000-0005-0000-0000-00000E000000}"/>
    <cellStyle name="20 % - Akzent1 3 5" xfId="615" xr:uid="{00000000-0005-0000-0000-00000F000000}"/>
    <cellStyle name="20 % - Akzent1 4" xfId="11" xr:uid="{00000000-0005-0000-0000-000010000000}"/>
    <cellStyle name="20 % - Akzent1 4 2" xfId="12" xr:uid="{00000000-0005-0000-0000-000011000000}"/>
    <cellStyle name="20 % - Akzent1 4 2 2" xfId="616" xr:uid="{00000000-0005-0000-0000-000012000000}"/>
    <cellStyle name="20 % - Akzent1 4 2 3" xfId="617" xr:uid="{00000000-0005-0000-0000-000013000000}"/>
    <cellStyle name="20 % - Akzent1 4 2 4" xfId="618" xr:uid="{00000000-0005-0000-0000-000014000000}"/>
    <cellStyle name="20 % - Akzent1 4 3" xfId="13" xr:uid="{00000000-0005-0000-0000-000015000000}"/>
    <cellStyle name="20 % - Akzent1 4 4" xfId="619" xr:uid="{00000000-0005-0000-0000-000016000000}"/>
    <cellStyle name="20 % - Akzent1 4 5" xfId="620" xr:uid="{00000000-0005-0000-0000-000017000000}"/>
    <cellStyle name="20 % - Akzent1 5" xfId="14" xr:uid="{00000000-0005-0000-0000-000018000000}"/>
    <cellStyle name="20 % - Akzent1 5 2" xfId="621" xr:uid="{00000000-0005-0000-0000-000019000000}"/>
    <cellStyle name="20 % - Akzent1 5 3" xfId="622" xr:uid="{00000000-0005-0000-0000-00001A000000}"/>
    <cellStyle name="20 % - Akzent1 5 4" xfId="623" xr:uid="{00000000-0005-0000-0000-00001B000000}"/>
    <cellStyle name="20 % - Akzent1 6" xfId="15" xr:uid="{00000000-0005-0000-0000-00001C000000}"/>
    <cellStyle name="20 % - Akzent1 7" xfId="16" xr:uid="{00000000-0005-0000-0000-00001D000000}"/>
    <cellStyle name="20 % - Akzent2 2" xfId="17" xr:uid="{00000000-0005-0000-0000-00001E000000}"/>
    <cellStyle name="20 % - Akzent2 2 2" xfId="18" xr:uid="{00000000-0005-0000-0000-00001F000000}"/>
    <cellStyle name="20 % - Akzent2 2 3" xfId="19" xr:uid="{00000000-0005-0000-0000-000020000000}"/>
    <cellStyle name="20 % - Akzent2 2 3 2" xfId="20" xr:uid="{00000000-0005-0000-0000-000021000000}"/>
    <cellStyle name="20 % - Akzent2 2 3 2 2" xfId="21" xr:uid="{00000000-0005-0000-0000-000022000000}"/>
    <cellStyle name="20 % - Akzent2 2 3 2 3" xfId="547" xr:uid="{00000000-0005-0000-0000-000023000000}"/>
    <cellStyle name="20 % - Akzent2 2 3 3" xfId="22" xr:uid="{00000000-0005-0000-0000-000024000000}"/>
    <cellStyle name="20 % - Akzent2 2 4" xfId="23" xr:uid="{00000000-0005-0000-0000-000025000000}"/>
    <cellStyle name="20 % - Akzent2 3" xfId="24" xr:uid="{00000000-0005-0000-0000-000026000000}"/>
    <cellStyle name="20 % - Akzent2 3 2" xfId="25" xr:uid="{00000000-0005-0000-0000-000027000000}"/>
    <cellStyle name="20 % - Akzent2 3 2 2" xfId="624" xr:uid="{00000000-0005-0000-0000-000028000000}"/>
    <cellStyle name="20 % - Akzent2 3 2 3" xfId="625" xr:uid="{00000000-0005-0000-0000-000029000000}"/>
    <cellStyle name="20 % - Akzent2 3 2 4" xfId="626" xr:uid="{00000000-0005-0000-0000-00002A000000}"/>
    <cellStyle name="20 % - Akzent2 3 3" xfId="26" xr:uid="{00000000-0005-0000-0000-00002B000000}"/>
    <cellStyle name="20 % - Akzent2 3 4" xfId="627" xr:uid="{00000000-0005-0000-0000-00002C000000}"/>
    <cellStyle name="20 % - Akzent2 3 5" xfId="628" xr:uid="{00000000-0005-0000-0000-00002D000000}"/>
    <cellStyle name="20 % - Akzent2 4" xfId="27" xr:uid="{00000000-0005-0000-0000-00002E000000}"/>
    <cellStyle name="20 % - Akzent2 4 2" xfId="28" xr:uid="{00000000-0005-0000-0000-00002F000000}"/>
    <cellStyle name="20 % - Akzent2 4 2 2" xfId="629" xr:uid="{00000000-0005-0000-0000-000030000000}"/>
    <cellStyle name="20 % - Akzent2 4 2 3" xfId="630" xr:uid="{00000000-0005-0000-0000-000031000000}"/>
    <cellStyle name="20 % - Akzent2 4 2 4" xfId="631" xr:uid="{00000000-0005-0000-0000-000032000000}"/>
    <cellStyle name="20 % - Akzent2 4 3" xfId="29" xr:uid="{00000000-0005-0000-0000-000033000000}"/>
    <cellStyle name="20 % - Akzent2 4 4" xfId="632" xr:uid="{00000000-0005-0000-0000-000034000000}"/>
    <cellStyle name="20 % - Akzent2 4 5" xfId="633" xr:uid="{00000000-0005-0000-0000-000035000000}"/>
    <cellStyle name="20 % - Akzent2 5" xfId="30" xr:uid="{00000000-0005-0000-0000-000036000000}"/>
    <cellStyle name="20 % - Akzent2 5 2" xfId="634" xr:uid="{00000000-0005-0000-0000-000037000000}"/>
    <cellStyle name="20 % - Akzent2 5 3" xfId="635" xr:uid="{00000000-0005-0000-0000-000038000000}"/>
    <cellStyle name="20 % - Akzent2 5 4" xfId="636" xr:uid="{00000000-0005-0000-0000-000039000000}"/>
    <cellStyle name="20 % - Akzent2 6" xfId="31" xr:uid="{00000000-0005-0000-0000-00003A000000}"/>
    <cellStyle name="20 % - Akzent2 7" xfId="32" xr:uid="{00000000-0005-0000-0000-00003B000000}"/>
    <cellStyle name="20 % - Akzent3 2" xfId="33" xr:uid="{00000000-0005-0000-0000-00003C000000}"/>
    <cellStyle name="20 % - Akzent3 2 2" xfId="34" xr:uid="{00000000-0005-0000-0000-00003D000000}"/>
    <cellStyle name="20 % - Akzent3 2 3" xfId="35" xr:uid="{00000000-0005-0000-0000-00003E000000}"/>
    <cellStyle name="20 % - Akzent3 2 3 2" xfId="36" xr:uid="{00000000-0005-0000-0000-00003F000000}"/>
    <cellStyle name="20 % - Akzent3 2 3 2 2" xfId="37" xr:uid="{00000000-0005-0000-0000-000040000000}"/>
    <cellStyle name="20 % - Akzent3 2 3 2 3" xfId="548" xr:uid="{00000000-0005-0000-0000-000041000000}"/>
    <cellStyle name="20 % - Akzent3 2 3 3" xfId="38" xr:uid="{00000000-0005-0000-0000-000042000000}"/>
    <cellStyle name="20 % - Akzent3 2 4" xfId="39" xr:uid="{00000000-0005-0000-0000-000043000000}"/>
    <cellStyle name="20 % - Akzent3 3" xfId="40" xr:uid="{00000000-0005-0000-0000-000044000000}"/>
    <cellStyle name="20 % - Akzent3 3 2" xfId="41" xr:uid="{00000000-0005-0000-0000-000045000000}"/>
    <cellStyle name="20 % - Akzent3 3 2 2" xfId="637" xr:uid="{00000000-0005-0000-0000-000046000000}"/>
    <cellStyle name="20 % - Akzent3 3 2 3" xfId="638" xr:uid="{00000000-0005-0000-0000-000047000000}"/>
    <cellStyle name="20 % - Akzent3 3 2 4" xfId="639" xr:uid="{00000000-0005-0000-0000-000048000000}"/>
    <cellStyle name="20 % - Akzent3 3 3" xfId="42" xr:uid="{00000000-0005-0000-0000-000049000000}"/>
    <cellStyle name="20 % - Akzent3 3 4" xfId="640" xr:uid="{00000000-0005-0000-0000-00004A000000}"/>
    <cellStyle name="20 % - Akzent3 3 5" xfId="641" xr:uid="{00000000-0005-0000-0000-00004B000000}"/>
    <cellStyle name="20 % - Akzent3 4" xfId="43" xr:uid="{00000000-0005-0000-0000-00004C000000}"/>
    <cellStyle name="20 % - Akzent3 4 2" xfId="44" xr:uid="{00000000-0005-0000-0000-00004D000000}"/>
    <cellStyle name="20 % - Akzent3 4 2 2" xfId="642" xr:uid="{00000000-0005-0000-0000-00004E000000}"/>
    <cellStyle name="20 % - Akzent3 4 2 3" xfId="643" xr:uid="{00000000-0005-0000-0000-00004F000000}"/>
    <cellStyle name="20 % - Akzent3 4 2 4" xfId="644" xr:uid="{00000000-0005-0000-0000-000050000000}"/>
    <cellStyle name="20 % - Akzent3 4 3" xfId="45" xr:uid="{00000000-0005-0000-0000-000051000000}"/>
    <cellStyle name="20 % - Akzent3 4 4" xfId="645" xr:uid="{00000000-0005-0000-0000-000052000000}"/>
    <cellStyle name="20 % - Akzent3 4 5" xfId="646" xr:uid="{00000000-0005-0000-0000-000053000000}"/>
    <cellStyle name="20 % - Akzent3 5" xfId="46" xr:uid="{00000000-0005-0000-0000-000054000000}"/>
    <cellStyle name="20 % - Akzent3 5 2" xfId="647" xr:uid="{00000000-0005-0000-0000-000055000000}"/>
    <cellStyle name="20 % - Akzent3 5 3" xfId="648" xr:uid="{00000000-0005-0000-0000-000056000000}"/>
    <cellStyle name="20 % - Akzent3 5 4" xfId="649" xr:uid="{00000000-0005-0000-0000-000057000000}"/>
    <cellStyle name="20 % - Akzent3 6" xfId="47" xr:uid="{00000000-0005-0000-0000-000058000000}"/>
    <cellStyle name="20 % - Akzent3 7" xfId="48" xr:uid="{00000000-0005-0000-0000-000059000000}"/>
    <cellStyle name="20 % - Akzent4 2" xfId="49" xr:uid="{00000000-0005-0000-0000-00005A000000}"/>
    <cellStyle name="20 % - Akzent4 2 2" xfId="50" xr:uid="{00000000-0005-0000-0000-00005B000000}"/>
    <cellStyle name="20 % - Akzent4 2 3" xfId="51" xr:uid="{00000000-0005-0000-0000-00005C000000}"/>
    <cellStyle name="20 % - Akzent4 2 3 2" xfId="52" xr:uid="{00000000-0005-0000-0000-00005D000000}"/>
    <cellStyle name="20 % - Akzent4 2 3 2 2" xfId="53" xr:uid="{00000000-0005-0000-0000-00005E000000}"/>
    <cellStyle name="20 % - Akzent4 2 3 2 3" xfId="549" xr:uid="{00000000-0005-0000-0000-00005F000000}"/>
    <cellStyle name="20 % - Akzent4 2 3 3" xfId="54" xr:uid="{00000000-0005-0000-0000-000060000000}"/>
    <cellStyle name="20 % - Akzent4 2 4" xfId="55" xr:uid="{00000000-0005-0000-0000-000061000000}"/>
    <cellStyle name="20 % - Akzent4 3" xfId="56" xr:uid="{00000000-0005-0000-0000-000062000000}"/>
    <cellStyle name="20 % - Akzent4 3 2" xfId="57" xr:uid="{00000000-0005-0000-0000-000063000000}"/>
    <cellStyle name="20 % - Akzent4 3 2 2" xfId="650" xr:uid="{00000000-0005-0000-0000-000064000000}"/>
    <cellStyle name="20 % - Akzent4 3 2 3" xfId="651" xr:uid="{00000000-0005-0000-0000-000065000000}"/>
    <cellStyle name="20 % - Akzent4 3 2 4" xfId="652" xr:uid="{00000000-0005-0000-0000-000066000000}"/>
    <cellStyle name="20 % - Akzent4 3 3" xfId="58" xr:uid="{00000000-0005-0000-0000-000067000000}"/>
    <cellStyle name="20 % - Akzent4 3 4" xfId="653" xr:uid="{00000000-0005-0000-0000-000068000000}"/>
    <cellStyle name="20 % - Akzent4 3 5" xfId="654" xr:uid="{00000000-0005-0000-0000-000069000000}"/>
    <cellStyle name="20 % - Akzent4 4" xfId="59" xr:uid="{00000000-0005-0000-0000-00006A000000}"/>
    <cellStyle name="20 % - Akzent4 4 2" xfId="60" xr:uid="{00000000-0005-0000-0000-00006B000000}"/>
    <cellStyle name="20 % - Akzent4 4 2 2" xfId="655" xr:uid="{00000000-0005-0000-0000-00006C000000}"/>
    <cellStyle name="20 % - Akzent4 4 2 3" xfId="656" xr:uid="{00000000-0005-0000-0000-00006D000000}"/>
    <cellStyle name="20 % - Akzent4 4 2 4" xfId="657" xr:uid="{00000000-0005-0000-0000-00006E000000}"/>
    <cellStyle name="20 % - Akzent4 4 3" xfId="61" xr:uid="{00000000-0005-0000-0000-00006F000000}"/>
    <cellStyle name="20 % - Akzent4 4 4" xfId="658" xr:uid="{00000000-0005-0000-0000-000070000000}"/>
    <cellStyle name="20 % - Akzent4 4 5" xfId="659" xr:uid="{00000000-0005-0000-0000-000071000000}"/>
    <cellStyle name="20 % - Akzent4 5" xfId="62" xr:uid="{00000000-0005-0000-0000-000072000000}"/>
    <cellStyle name="20 % - Akzent4 5 2" xfId="660" xr:uid="{00000000-0005-0000-0000-000073000000}"/>
    <cellStyle name="20 % - Akzent4 5 3" xfId="661" xr:uid="{00000000-0005-0000-0000-000074000000}"/>
    <cellStyle name="20 % - Akzent4 5 4" xfId="662" xr:uid="{00000000-0005-0000-0000-000075000000}"/>
    <cellStyle name="20 % - Akzent4 6" xfId="63" xr:uid="{00000000-0005-0000-0000-000076000000}"/>
    <cellStyle name="20 % - Akzent4 7" xfId="64" xr:uid="{00000000-0005-0000-0000-000077000000}"/>
    <cellStyle name="20 % - Akzent5 2" xfId="65" xr:uid="{00000000-0005-0000-0000-000078000000}"/>
    <cellStyle name="20 % - Akzent5 2 2" xfId="66" xr:uid="{00000000-0005-0000-0000-000079000000}"/>
    <cellStyle name="20 % - Akzent5 2 2 2" xfId="67" xr:uid="{00000000-0005-0000-0000-00007A000000}"/>
    <cellStyle name="20 % - Akzent5 2 2 3" xfId="550" xr:uid="{00000000-0005-0000-0000-00007B000000}"/>
    <cellStyle name="20 % - Akzent5 2 3" xfId="68" xr:uid="{00000000-0005-0000-0000-00007C000000}"/>
    <cellStyle name="20 % - Akzent5 3" xfId="69" xr:uid="{00000000-0005-0000-0000-00007D000000}"/>
    <cellStyle name="20 % - Akzent5 3 2" xfId="70" xr:uid="{00000000-0005-0000-0000-00007E000000}"/>
    <cellStyle name="20 % - Akzent5 3 2 2" xfId="663" xr:uid="{00000000-0005-0000-0000-00007F000000}"/>
    <cellStyle name="20 % - Akzent5 3 2 3" xfId="664" xr:uid="{00000000-0005-0000-0000-000080000000}"/>
    <cellStyle name="20 % - Akzent5 3 2 4" xfId="665" xr:uid="{00000000-0005-0000-0000-000081000000}"/>
    <cellStyle name="20 % - Akzent5 3 3" xfId="71" xr:uid="{00000000-0005-0000-0000-000082000000}"/>
    <cellStyle name="20 % - Akzent5 3 4" xfId="666" xr:uid="{00000000-0005-0000-0000-000083000000}"/>
    <cellStyle name="20 % - Akzent5 3 5" xfId="667" xr:uid="{00000000-0005-0000-0000-000084000000}"/>
    <cellStyle name="20 % - Akzent5 4" xfId="72" xr:uid="{00000000-0005-0000-0000-000085000000}"/>
    <cellStyle name="20 % - Akzent5 4 2" xfId="73" xr:uid="{00000000-0005-0000-0000-000086000000}"/>
    <cellStyle name="20 % - Akzent5 4 2 2" xfId="668" xr:uid="{00000000-0005-0000-0000-000087000000}"/>
    <cellStyle name="20 % - Akzent5 4 2 3" xfId="669" xr:uid="{00000000-0005-0000-0000-000088000000}"/>
    <cellStyle name="20 % - Akzent5 4 2 4" xfId="670" xr:uid="{00000000-0005-0000-0000-000089000000}"/>
    <cellStyle name="20 % - Akzent5 4 3" xfId="74" xr:uid="{00000000-0005-0000-0000-00008A000000}"/>
    <cellStyle name="20 % - Akzent5 4 4" xfId="671" xr:uid="{00000000-0005-0000-0000-00008B000000}"/>
    <cellStyle name="20 % - Akzent5 4 5" xfId="672" xr:uid="{00000000-0005-0000-0000-00008C000000}"/>
    <cellStyle name="20 % - Akzent5 5" xfId="75" xr:uid="{00000000-0005-0000-0000-00008D000000}"/>
    <cellStyle name="20 % - Akzent5 5 2" xfId="673" xr:uid="{00000000-0005-0000-0000-00008E000000}"/>
    <cellStyle name="20 % - Akzent5 5 3" xfId="674" xr:uid="{00000000-0005-0000-0000-00008F000000}"/>
    <cellStyle name="20 % - Akzent5 5 4" xfId="675" xr:uid="{00000000-0005-0000-0000-000090000000}"/>
    <cellStyle name="20 % - Akzent5 6" xfId="76" xr:uid="{00000000-0005-0000-0000-000091000000}"/>
    <cellStyle name="20 % - Akzent5 7" xfId="77" xr:uid="{00000000-0005-0000-0000-000092000000}"/>
    <cellStyle name="20 % - Akzent6 2" xfId="78" xr:uid="{00000000-0005-0000-0000-000093000000}"/>
    <cellStyle name="20 % - Akzent6 3" xfId="79" xr:uid="{00000000-0005-0000-0000-000094000000}"/>
    <cellStyle name="20 % - Akzent6 3 2" xfId="80" xr:uid="{00000000-0005-0000-0000-000095000000}"/>
    <cellStyle name="20 % - Akzent6 3 2 2" xfId="676" xr:uid="{00000000-0005-0000-0000-000096000000}"/>
    <cellStyle name="20 % - Akzent6 3 2 3" xfId="677" xr:uid="{00000000-0005-0000-0000-000097000000}"/>
    <cellStyle name="20 % - Akzent6 3 2 4" xfId="678" xr:uid="{00000000-0005-0000-0000-000098000000}"/>
    <cellStyle name="20 % - Akzent6 3 3" xfId="81" xr:uid="{00000000-0005-0000-0000-000099000000}"/>
    <cellStyle name="20 % - Akzent6 3 4" xfId="679" xr:uid="{00000000-0005-0000-0000-00009A000000}"/>
    <cellStyle name="20 % - Akzent6 3 5" xfId="680" xr:uid="{00000000-0005-0000-0000-00009B000000}"/>
    <cellStyle name="20 % - Akzent6 4" xfId="82" xr:uid="{00000000-0005-0000-0000-00009C000000}"/>
    <cellStyle name="20 % - Akzent6 4 2" xfId="83" xr:uid="{00000000-0005-0000-0000-00009D000000}"/>
    <cellStyle name="20 % - Akzent6 4 2 2" xfId="681" xr:uid="{00000000-0005-0000-0000-00009E000000}"/>
    <cellStyle name="20 % - Akzent6 4 2 3" xfId="682" xr:uid="{00000000-0005-0000-0000-00009F000000}"/>
    <cellStyle name="20 % - Akzent6 4 2 4" xfId="683" xr:uid="{00000000-0005-0000-0000-0000A0000000}"/>
    <cellStyle name="20 % - Akzent6 4 3" xfId="84" xr:uid="{00000000-0005-0000-0000-0000A1000000}"/>
    <cellStyle name="20 % - Akzent6 4 4" xfId="684" xr:uid="{00000000-0005-0000-0000-0000A2000000}"/>
    <cellStyle name="20 % - Akzent6 4 5" xfId="685" xr:uid="{00000000-0005-0000-0000-0000A3000000}"/>
    <cellStyle name="20 % - Akzent6 5" xfId="85" xr:uid="{00000000-0005-0000-0000-0000A4000000}"/>
    <cellStyle name="20 % - Akzent6 5 2" xfId="686" xr:uid="{00000000-0005-0000-0000-0000A5000000}"/>
    <cellStyle name="20 % - Akzent6 5 3" xfId="687" xr:uid="{00000000-0005-0000-0000-0000A6000000}"/>
    <cellStyle name="20 % - Akzent6 5 4" xfId="688" xr:uid="{00000000-0005-0000-0000-0000A7000000}"/>
    <cellStyle name="20 % - Akzent6 6" xfId="86" xr:uid="{00000000-0005-0000-0000-0000A8000000}"/>
    <cellStyle name="20 % - Akzent6 7" xfId="87" xr:uid="{00000000-0005-0000-0000-0000A9000000}"/>
    <cellStyle name="40 % - Akzent1 2" xfId="88" xr:uid="{00000000-0005-0000-0000-0000AA000000}"/>
    <cellStyle name="40 % - Akzent1 2 2" xfId="89" xr:uid="{00000000-0005-0000-0000-0000AB000000}"/>
    <cellStyle name="40 % - Akzent1 2 3" xfId="90" xr:uid="{00000000-0005-0000-0000-0000AC000000}"/>
    <cellStyle name="40 % - Akzent1 3" xfId="91" xr:uid="{00000000-0005-0000-0000-0000AD000000}"/>
    <cellStyle name="40 % - Akzent1 3 2" xfId="92" xr:uid="{00000000-0005-0000-0000-0000AE000000}"/>
    <cellStyle name="40 % - Akzent1 3 2 2" xfId="689" xr:uid="{00000000-0005-0000-0000-0000AF000000}"/>
    <cellStyle name="40 % - Akzent1 3 2 3" xfId="690" xr:uid="{00000000-0005-0000-0000-0000B0000000}"/>
    <cellStyle name="40 % - Akzent1 3 2 4" xfId="691" xr:uid="{00000000-0005-0000-0000-0000B1000000}"/>
    <cellStyle name="40 % - Akzent1 3 3" xfId="93" xr:uid="{00000000-0005-0000-0000-0000B2000000}"/>
    <cellStyle name="40 % - Akzent1 3 4" xfId="692" xr:uid="{00000000-0005-0000-0000-0000B3000000}"/>
    <cellStyle name="40 % - Akzent1 3 5" xfId="693" xr:uid="{00000000-0005-0000-0000-0000B4000000}"/>
    <cellStyle name="40 % - Akzent1 4" xfId="94" xr:uid="{00000000-0005-0000-0000-0000B5000000}"/>
    <cellStyle name="40 % - Akzent1 4 2" xfId="95" xr:uid="{00000000-0005-0000-0000-0000B6000000}"/>
    <cellStyle name="40 % - Akzent1 4 2 2" xfId="694" xr:uid="{00000000-0005-0000-0000-0000B7000000}"/>
    <cellStyle name="40 % - Akzent1 4 2 3" xfId="695" xr:uid="{00000000-0005-0000-0000-0000B8000000}"/>
    <cellStyle name="40 % - Akzent1 4 2 4" xfId="696" xr:uid="{00000000-0005-0000-0000-0000B9000000}"/>
    <cellStyle name="40 % - Akzent1 4 3" xfId="96" xr:uid="{00000000-0005-0000-0000-0000BA000000}"/>
    <cellStyle name="40 % - Akzent1 4 4" xfId="697" xr:uid="{00000000-0005-0000-0000-0000BB000000}"/>
    <cellStyle name="40 % - Akzent1 4 5" xfId="698" xr:uid="{00000000-0005-0000-0000-0000BC000000}"/>
    <cellStyle name="40 % - Akzent1 5" xfId="97" xr:uid="{00000000-0005-0000-0000-0000BD000000}"/>
    <cellStyle name="40 % - Akzent1 5 2" xfId="699" xr:uid="{00000000-0005-0000-0000-0000BE000000}"/>
    <cellStyle name="40 % - Akzent1 5 3" xfId="700" xr:uid="{00000000-0005-0000-0000-0000BF000000}"/>
    <cellStyle name="40 % - Akzent1 5 4" xfId="701" xr:uid="{00000000-0005-0000-0000-0000C0000000}"/>
    <cellStyle name="40 % - Akzent1 6" xfId="98" xr:uid="{00000000-0005-0000-0000-0000C1000000}"/>
    <cellStyle name="40 % - Akzent1 7" xfId="99" xr:uid="{00000000-0005-0000-0000-0000C2000000}"/>
    <cellStyle name="40 % - Akzent2 2" xfId="100" xr:uid="{00000000-0005-0000-0000-0000C3000000}"/>
    <cellStyle name="40 % - Akzent2 3" xfId="101" xr:uid="{00000000-0005-0000-0000-0000C4000000}"/>
    <cellStyle name="40 % - Akzent2 3 2" xfId="102" xr:uid="{00000000-0005-0000-0000-0000C5000000}"/>
    <cellStyle name="40 % - Akzent2 3 2 2" xfId="702" xr:uid="{00000000-0005-0000-0000-0000C6000000}"/>
    <cellStyle name="40 % - Akzent2 3 2 3" xfId="703" xr:uid="{00000000-0005-0000-0000-0000C7000000}"/>
    <cellStyle name="40 % - Akzent2 3 2 4" xfId="704" xr:uid="{00000000-0005-0000-0000-0000C8000000}"/>
    <cellStyle name="40 % - Akzent2 3 3" xfId="103" xr:uid="{00000000-0005-0000-0000-0000C9000000}"/>
    <cellStyle name="40 % - Akzent2 3 4" xfId="705" xr:uid="{00000000-0005-0000-0000-0000CA000000}"/>
    <cellStyle name="40 % - Akzent2 3 5" xfId="706" xr:uid="{00000000-0005-0000-0000-0000CB000000}"/>
    <cellStyle name="40 % - Akzent2 4" xfId="104" xr:uid="{00000000-0005-0000-0000-0000CC000000}"/>
    <cellStyle name="40 % - Akzent2 4 2" xfId="105" xr:uid="{00000000-0005-0000-0000-0000CD000000}"/>
    <cellStyle name="40 % - Akzent2 4 2 2" xfId="707" xr:uid="{00000000-0005-0000-0000-0000CE000000}"/>
    <cellStyle name="40 % - Akzent2 4 2 3" xfId="708" xr:uid="{00000000-0005-0000-0000-0000CF000000}"/>
    <cellStyle name="40 % - Akzent2 4 2 4" xfId="709" xr:uid="{00000000-0005-0000-0000-0000D0000000}"/>
    <cellStyle name="40 % - Akzent2 4 3" xfId="106" xr:uid="{00000000-0005-0000-0000-0000D1000000}"/>
    <cellStyle name="40 % - Akzent2 4 4" xfId="710" xr:uid="{00000000-0005-0000-0000-0000D2000000}"/>
    <cellStyle name="40 % - Akzent2 4 5" xfId="711" xr:uid="{00000000-0005-0000-0000-0000D3000000}"/>
    <cellStyle name="40 % - Akzent2 5" xfId="107" xr:uid="{00000000-0005-0000-0000-0000D4000000}"/>
    <cellStyle name="40 % - Akzent2 5 2" xfId="712" xr:uid="{00000000-0005-0000-0000-0000D5000000}"/>
    <cellStyle name="40 % - Akzent2 5 3" xfId="713" xr:uid="{00000000-0005-0000-0000-0000D6000000}"/>
    <cellStyle name="40 % - Akzent2 5 4" xfId="714" xr:uid="{00000000-0005-0000-0000-0000D7000000}"/>
    <cellStyle name="40 % - Akzent2 6" xfId="108" xr:uid="{00000000-0005-0000-0000-0000D8000000}"/>
    <cellStyle name="40 % - Akzent2 7" xfId="109" xr:uid="{00000000-0005-0000-0000-0000D9000000}"/>
    <cellStyle name="40 % - Akzent3 2" xfId="110" xr:uid="{00000000-0005-0000-0000-0000DA000000}"/>
    <cellStyle name="40 % - Akzent3 2 2" xfId="111" xr:uid="{00000000-0005-0000-0000-0000DB000000}"/>
    <cellStyle name="40 % - Akzent3 2 3" xfId="112" xr:uid="{00000000-0005-0000-0000-0000DC000000}"/>
    <cellStyle name="40 % - Akzent3 2 3 2" xfId="113" xr:uid="{00000000-0005-0000-0000-0000DD000000}"/>
    <cellStyle name="40 % - Akzent3 2 3 2 2" xfId="114" xr:uid="{00000000-0005-0000-0000-0000DE000000}"/>
    <cellStyle name="40 % - Akzent3 2 3 2 3" xfId="551" xr:uid="{00000000-0005-0000-0000-0000DF000000}"/>
    <cellStyle name="40 % - Akzent3 2 3 3" xfId="115" xr:uid="{00000000-0005-0000-0000-0000E0000000}"/>
    <cellStyle name="40 % - Akzent3 2 4" xfId="116" xr:uid="{00000000-0005-0000-0000-0000E1000000}"/>
    <cellStyle name="40 % - Akzent3 3" xfId="117" xr:uid="{00000000-0005-0000-0000-0000E2000000}"/>
    <cellStyle name="40 % - Akzent3 3 2" xfId="118" xr:uid="{00000000-0005-0000-0000-0000E3000000}"/>
    <cellStyle name="40 % - Akzent3 3 2 2" xfId="715" xr:uid="{00000000-0005-0000-0000-0000E4000000}"/>
    <cellStyle name="40 % - Akzent3 3 2 3" xfId="716" xr:uid="{00000000-0005-0000-0000-0000E5000000}"/>
    <cellStyle name="40 % - Akzent3 3 2 4" xfId="717" xr:uid="{00000000-0005-0000-0000-0000E6000000}"/>
    <cellStyle name="40 % - Akzent3 3 3" xfId="119" xr:uid="{00000000-0005-0000-0000-0000E7000000}"/>
    <cellStyle name="40 % - Akzent3 3 4" xfId="718" xr:uid="{00000000-0005-0000-0000-0000E8000000}"/>
    <cellStyle name="40 % - Akzent3 3 5" xfId="719" xr:uid="{00000000-0005-0000-0000-0000E9000000}"/>
    <cellStyle name="40 % - Akzent3 4" xfId="120" xr:uid="{00000000-0005-0000-0000-0000EA000000}"/>
    <cellStyle name="40 % - Akzent3 4 2" xfId="121" xr:uid="{00000000-0005-0000-0000-0000EB000000}"/>
    <cellStyle name="40 % - Akzent3 4 2 2" xfId="720" xr:uid="{00000000-0005-0000-0000-0000EC000000}"/>
    <cellStyle name="40 % - Akzent3 4 2 3" xfId="721" xr:uid="{00000000-0005-0000-0000-0000ED000000}"/>
    <cellStyle name="40 % - Akzent3 4 2 4" xfId="722" xr:uid="{00000000-0005-0000-0000-0000EE000000}"/>
    <cellStyle name="40 % - Akzent3 4 3" xfId="122" xr:uid="{00000000-0005-0000-0000-0000EF000000}"/>
    <cellStyle name="40 % - Akzent3 4 4" xfId="723" xr:uid="{00000000-0005-0000-0000-0000F0000000}"/>
    <cellStyle name="40 % - Akzent3 4 5" xfId="724" xr:uid="{00000000-0005-0000-0000-0000F1000000}"/>
    <cellStyle name="40 % - Akzent3 5" xfId="123" xr:uid="{00000000-0005-0000-0000-0000F2000000}"/>
    <cellStyle name="40 % - Akzent3 5 2" xfId="725" xr:uid="{00000000-0005-0000-0000-0000F3000000}"/>
    <cellStyle name="40 % - Akzent3 5 3" xfId="726" xr:uid="{00000000-0005-0000-0000-0000F4000000}"/>
    <cellStyle name="40 % - Akzent3 5 4" xfId="727" xr:uid="{00000000-0005-0000-0000-0000F5000000}"/>
    <cellStyle name="40 % - Akzent3 6" xfId="124" xr:uid="{00000000-0005-0000-0000-0000F6000000}"/>
    <cellStyle name="40 % - Akzent3 7" xfId="125" xr:uid="{00000000-0005-0000-0000-0000F7000000}"/>
    <cellStyle name="40 % - Akzent4 2" xfId="126" xr:uid="{00000000-0005-0000-0000-0000F8000000}"/>
    <cellStyle name="40 % - Akzent4 2 2" xfId="127" xr:uid="{00000000-0005-0000-0000-0000F9000000}"/>
    <cellStyle name="40 % - Akzent4 2 2 2" xfId="128" xr:uid="{00000000-0005-0000-0000-0000FA000000}"/>
    <cellStyle name="40 % - Akzent4 2 2 3" xfId="552" xr:uid="{00000000-0005-0000-0000-0000FB000000}"/>
    <cellStyle name="40 % - Akzent4 2 3" xfId="129" xr:uid="{00000000-0005-0000-0000-0000FC000000}"/>
    <cellStyle name="40 % - Akzent4 3" xfId="130" xr:uid="{00000000-0005-0000-0000-0000FD000000}"/>
    <cellStyle name="40 % - Akzent4 3 2" xfId="131" xr:uid="{00000000-0005-0000-0000-0000FE000000}"/>
    <cellStyle name="40 % - Akzent4 3 2 2" xfId="728" xr:uid="{00000000-0005-0000-0000-0000FF000000}"/>
    <cellStyle name="40 % - Akzent4 3 2 3" xfId="729" xr:uid="{00000000-0005-0000-0000-000000010000}"/>
    <cellStyle name="40 % - Akzent4 3 2 4" xfId="730" xr:uid="{00000000-0005-0000-0000-000001010000}"/>
    <cellStyle name="40 % - Akzent4 3 3" xfId="132" xr:uid="{00000000-0005-0000-0000-000002010000}"/>
    <cellStyle name="40 % - Akzent4 3 4" xfId="731" xr:uid="{00000000-0005-0000-0000-000003010000}"/>
    <cellStyle name="40 % - Akzent4 3 5" xfId="732" xr:uid="{00000000-0005-0000-0000-000004010000}"/>
    <cellStyle name="40 % - Akzent4 4" xfId="133" xr:uid="{00000000-0005-0000-0000-000005010000}"/>
    <cellStyle name="40 % - Akzent4 4 2" xfId="134" xr:uid="{00000000-0005-0000-0000-000006010000}"/>
    <cellStyle name="40 % - Akzent4 4 2 2" xfId="733" xr:uid="{00000000-0005-0000-0000-000007010000}"/>
    <cellStyle name="40 % - Akzent4 4 2 3" xfId="734" xr:uid="{00000000-0005-0000-0000-000008010000}"/>
    <cellStyle name="40 % - Akzent4 4 2 4" xfId="735" xr:uid="{00000000-0005-0000-0000-000009010000}"/>
    <cellStyle name="40 % - Akzent4 4 3" xfId="135" xr:uid="{00000000-0005-0000-0000-00000A010000}"/>
    <cellStyle name="40 % - Akzent4 4 4" xfId="736" xr:uid="{00000000-0005-0000-0000-00000B010000}"/>
    <cellStyle name="40 % - Akzent4 4 5" xfId="737" xr:uid="{00000000-0005-0000-0000-00000C010000}"/>
    <cellStyle name="40 % - Akzent4 5" xfId="136" xr:uid="{00000000-0005-0000-0000-00000D010000}"/>
    <cellStyle name="40 % - Akzent4 5 2" xfId="738" xr:uid="{00000000-0005-0000-0000-00000E010000}"/>
    <cellStyle name="40 % - Akzent4 5 3" xfId="739" xr:uid="{00000000-0005-0000-0000-00000F010000}"/>
    <cellStyle name="40 % - Akzent4 5 4" xfId="740" xr:uid="{00000000-0005-0000-0000-000010010000}"/>
    <cellStyle name="40 % - Akzent4 6" xfId="137" xr:uid="{00000000-0005-0000-0000-000011010000}"/>
    <cellStyle name="40 % - Akzent4 7" xfId="138" xr:uid="{00000000-0005-0000-0000-000012010000}"/>
    <cellStyle name="40 % - Akzent5 2" xfId="139" xr:uid="{00000000-0005-0000-0000-000013010000}"/>
    <cellStyle name="40 % - Akzent5 2 2" xfId="140" xr:uid="{00000000-0005-0000-0000-000014010000}"/>
    <cellStyle name="40 % - Akzent5 2 3" xfId="141" xr:uid="{00000000-0005-0000-0000-000015010000}"/>
    <cellStyle name="40 % - Akzent5 3" xfId="142" xr:uid="{00000000-0005-0000-0000-000016010000}"/>
    <cellStyle name="40 % - Akzent5 3 2" xfId="143" xr:uid="{00000000-0005-0000-0000-000017010000}"/>
    <cellStyle name="40 % - Akzent5 3 2 2" xfId="741" xr:uid="{00000000-0005-0000-0000-000018010000}"/>
    <cellStyle name="40 % - Akzent5 3 2 3" xfId="742" xr:uid="{00000000-0005-0000-0000-000019010000}"/>
    <cellStyle name="40 % - Akzent5 3 2 4" xfId="743" xr:uid="{00000000-0005-0000-0000-00001A010000}"/>
    <cellStyle name="40 % - Akzent5 3 3" xfId="144" xr:uid="{00000000-0005-0000-0000-00001B010000}"/>
    <cellStyle name="40 % - Akzent5 3 4" xfId="744" xr:uid="{00000000-0005-0000-0000-00001C010000}"/>
    <cellStyle name="40 % - Akzent5 3 5" xfId="745" xr:uid="{00000000-0005-0000-0000-00001D010000}"/>
    <cellStyle name="40 % - Akzent5 4" xfId="145" xr:uid="{00000000-0005-0000-0000-00001E010000}"/>
    <cellStyle name="40 % - Akzent5 4 2" xfId="146" xr:uid="{00000000-0005-0000-0000-00001F010000}"/>
    <cellStyle name="40 % - Akzent5 4 2 2" xfId="746" xr:uid="{00000000-0005-0000-0000-000020010000}"/>
    <cellStyle name="40 % - Akzent5 4 2 3" xfId="747" xr:uid="{00000000-0005-0000-0000-000021010000}"/>
    <cellStyle name="40 % - Akzent5 4 2 4" xfId="748" xr:uid="{00000000-0005-0000-0000-000022010000}"/>
    <cellStyle name="40 % - Akzent5 4 3" xfId="147" xr:uid="{00000000-0005-0000-0000-000023010000}"/>
    <cellStyle name="40 % - Akzent5 4 4" xfId="749" xr:uid="{00000000-0005-0000-0000-000024010000}"/>
    <cellStyle name="40 % - Akzent5 4 5" xfId="750" xr:uid="{00000000-0005-0000-0000-000025010000}"/>
    <cellStyle name="40 % - Akzent5 5" xfId="148" xr:uid="{00000000-0005-0000-0000-000026010000}"/>
    <cellStyle name="40 % - Akzent5 5 2" xfId="751" xr:uid="{00000000-0005-0000-0000-000027010000}"/>
    <cellStyle name="40 % - Akzent5 5 3" xfId="752" xr:uid="{00000000-0005-0000-0000-000028010000}"/>
    <cellStyle name="40 % - Akzent5 5 4" xfId="753" xr:uid="{00000000-0005-0000-0000-000029010000}"/>
    <cellStyle name="40 % - Akzent5 6" xfId="149" xr:uid="{00000000-0005-0000-0000-00002A010000}"/>
    <cellStyle name="40 % - Akzent5 7" xfId="150" xr:uid="{00000000-0005-0000-0000-00002B010000}"/>
    <cellStyle name="40 % - Akzent6 2" xfId="151" xr:uid="{00000000-0005-0000-0000-00002C010000}"/>
    <cellStyle name="40 % - Akzent6 2 2" xfId="152" xr:uid="{00000000-0005-0000-0000-00002D010000}"/>
    <cellStyle name="40 % - Akzent6 2 2 2" xfId="153" xr:uid="{00000000-0005-0000-0000-00002E010000}"/>
    <cellStyle name="40 % - Akzent6 2 2 3" xfId="553" xr:uid="{00000000-0005-0000-0000-00002F010000}"/>
    <cellStyle name="40 % - Akzent6 2 3" xfId="154" xr:uid="{00000000-0005-0000-0000-000030010000}"/>
    <cellStyle name="40 % - Akzent6 3" xfId="155" xr:uid="{00000000-0005-0000-0000-000031010000}"/>
    <cellStyle name="40 % - Akzent6 3 2" xfId="156" xr:uid="{00000000-0005-0000-0000-000032010000}"/>
    <cellStyle name="40 % - Akzent6 3 2 2" xfId="754" xr:uid="{00000000-0005-0000-0000-000033010000}"/>
    <cellStyle name="40 % - Akzent6 3 2 3" xfId="755" xr:uid="{00000000-0005-0000-0000-000034010000}"/>
    <cellStyle name="40 % - Akzent6 3 2 4" xfId="756" xr:uid="{00000000-0005-0000-0000-000035010000}"/>
    <cellStyle name="40 % - Akzent6 3 3" xfId="157" xr:uid="{00000000-0005-0000-0000-000036010000}"/>
    <cellStyle name="40 % - Akzent6 3 4" xfId="757" xr:uid="{00000000-0005-0000-0000-000037010000}"/>
    <cellStyle name="40 % - Akzent6 3 5" xfId="758" xr:uid="{00000000-0005-0000-0000-000038010000}"/>
    <cellStyle name="40 % - Akzent6 4" xfId="158" xr:uid="{00000000-0005-0000-0000-000039010000}"/>
    <cellStyle name="40 % - Akzent6 4 2" xfId="159" xr:uid="{00000000-0005-0000-0000-00003A010000}"/>
    <cellStyle name="40 % - Akzent6 4 2 2" xfId="759" xr:uid="{00000000-0005-0000-0000-00003B010000}"/>
    <cellStyle name="40 % - Akzent6 4 2 3" xfId="760" xr:uid="{00000000-0005-0000-0000-00003C010000}"/>
    <cellStyle name="40 % - Akzent6 4 2 4" xfId="761" xr:uid="{00000000-0005-0000-0000-00003D010000}"/>
    <cellStyle name="40 % - Akzent6 4 3" xfId="160" xr:uid="{00000000-0005-0000-0000-00003E010000}"/>
    <cellStyle name="40 % - Akzent6 4 4" xfId="762" xr:uid="{00000000-0005-0000-0000-00003F010000}"/>
    <cellStyle name="40 % - Akzent6 4 5" xfId="763" xr:uid="{00000000-0005-0000-0000-000040010000}"/>
    <cellStyle name="40 % - Akzent6 5" xfId="161" xr:uid="{00000000-0005-0000-0000-000041010000}"/>
    <cellStyle name="40 % - Akzent6 5 2" xfId="764" xr:uid="{00000000-0005-0000-0000-000042010000}"/>
    <cellStyle name="40 % - Akzent6 5 3" xfId="765" xr:uid="{00000000-0005-0000-0000-000043010000}"/>
    <cellStyle name="40 % - Akzent6 5 4" xfId="766" xr:uid="{00000000-0005-0000-0000-000044010000}"/>
    <cellStyle name="40 % - Akzent6 6" xfId="162" xr:uid="{00000000-0005-0000-0000-000045010000}"/>
    <cellStyle name="40 % - Akzent6 7" xfId="163" xr:uid="{00000000-0005-0000-0000-000046010000}"/>
    <cellStyle name="60 % - Akzent1 2" xfId="164" xr:uid="{00000000-0005-0000-0000-000047010000}"/>
    <cellStyle name="60 % - Akzent1 2 2" xfId="165" xr:uid="{00000000-0005-0000-0000-000048010000}"/>
    <cellStyle name="60 % - Akzent1 2 2 2" xfId="166" xr:uid="{00000000-0005-0000-0000-000049010000}"/>
    <cellStyle name="60 % - Akzent1 2 2 3" xfId="554" xr:uid="{00000000-0005-0000-0000-00004A010000}"/>
    <cellStyle name="60 % - Akzent1 2 3" xfId="167" xr:uid="{00000000-0005-0000-0000-00004B010000}"/>
    <cellStyle name="60 % - Akzent1 3" xfId="168" xr:uid="{00000000-0005-0000-0000-00004C010000}"/>
    <cellStyle name="60 % - Akzent1 4" xfId="169" xr:uid="{00000000-0005-0000-0000-00004D010000}"/>
    <cellStyle name="60 % - Akzent1 5" xfId="170" xr:uid="{00000000-0005-0000-0000-00004E010000}"/>
    <cellStyle name="60 % - Akzent1 6" xfId="171" xr:uid="{00000000-0005-0000-0000-00004F010000}"/>
    <cellStyle name="60 % - Akzent2 2" xfId="172" xr:uid="{00000000-0005-0000-0000-000050010000}"/>
    <cellStyle name="60 % - Akzent2 3" xfId="173" xr:uid="{00000000-0005-0000-0000-000051010000}"/>
    <cellStyle name="60 % - Akzent2 4" xfId="174" xr:uid="{00000000-0005-0000-0000-000052010000}"/>
    <cellStyle name="60 % - Akzent2 5" xfId="175" xr:uid="{00000000-0005-0000-0000-000053010000}"/>
    <cellStyle name="60 % - Akzent2 6" xfId="176" xr:uid="{00000000-0005-0000-0000-000054010000}"/>
    <cellStyle name="60 % - Akzent3 2" xfId="177" xr:uid="{00000000-0005-0000-0000-000055010000}"/>
    <cellStyle name="60 % - Akzent3 3" xfId="178" xr:uid="{00000000-0005-0000-0000-000056010000}"/>
    <cellStyle name="60 % - Akzent3 4" xfId="179" xr:uid="{00000000-0005-0000-0000-000057010000}"/>
    <cellStyle name="60 % - Akzent3 5" xfId="180" xr:uid="{00000000-0005-0000-0000-000058010000}"/>
    <cellStyle name="60 % - Akzent3 6" xfId="181" xr:uid="{00000000-0005-0000-0000-000059010000}"/>
    <cellStyle name="60 % - Akzent4 2" xfId="182" xr:uid="{00000000-0005-0000-0000-00005A010000}"/>
    <cellStyle name="60 % - Akzent4 2 2" xfId="183" xr:uid="{00000000-0005-0000-0000-00005B010000}"/>
    <cellStyle name="60 % - Akzent4 2 3" xfId="184" xr:uid="{00000000-0005-0000-0000-00005C010000}"/>
    <cellStyle name="60 % - Akzent4 2 3 2" xfId="185" xr:uid="{00000000-0005-0000-0000-00005D010000}"/>
    <cellStyle name="60 % - Akzent4 2 3 2 2" xfId="186" xr:uid="{00000000-0005-0000-0000-00005E010000}"/>
    <cellStyle name="60 % - Akzent4 2 3 2 3" xfId="555" xr:uid="{00000000-0005-0000-0000-00005F010000}"/>
    <cellStyle name="60 % - Akzent4 2 3 3" xfId="187" xr:uid="{00000000-0005-0000-0000-000060010000}"/>
    <cellStyle name="60 % - Akzent4 2 4" xfId="188" xr:uid="{00000000-0005-0000-0000-000061010000}"/>
    <cellStyle name="60 % - Akzent4 3" xfId="189" xr:uid="{00000000-0005-0000-0000-000062010000}"/>
    <cellStyle name="60 % - Akzent4 4" xfId="190" xr:uid="{00000000-0005-0000-0000-000063010000}"/>
    <cellStyle name="60 % - Akzent4 5" xfId="191" xr:uid="{00000000-0005-0000-0000-000064010000}"/>
    <cellStyle name="60 % - Akzent4 6" xfId="192" xr:uid="{00000000-0005-0000-0000-000065010000}"/>
    <cellStyle name="60 % - Akzent5 2" xfId="193" xr:uid="{00000000-0005-0000-0000-000066010000}"/>
    <cellStyle name="60 % - Akzent5 2 2" xfId="194" xr:uid="{00000000-0005-0000-0000-000067010000}"/>
    <cellStyle name="60 % - Akzent5 2 2 2" xfId="195" xr:uid="{00000000-0005-0000-0000-000068010000}"/>
    <cellStyle name="60 % - Akzent5 2 2 3" xfId="556" xr:uid="{00000000-0005-0000-0000-000069010000}"/>
    <cellStyle name="60 % - Akzent5 2 3" xfId="196" xr:uid="{00000000-0005-0000-0000-00006A010000}"/>
    <cellStyle name="60 % - Akzent5 3" xfId="197" xr:uid="{00000000-0005-0000-0000-00006B010000}"/>
    <cellStyle name="60 % - Akzent5 4" xfId="198" xr:uid="{00000000-0005-0000-0000-00006C010000}"/>
    <cellStyle name="60 % - Akzent5 5" xfId="199" xr:uid="{00000000-0005-0000-0000-00006D010000}"/>
    <cellStyle name="60 % - Akzent5 6" xfId="200" xr:uid="{00000000-0005-0000-0000-00006E010000}"/>
    <cellStyle name="60 % - Akzent6 2" xfId="201" xr:uid="{00000000-0005-0000-0000-00006F010000}"/>
    <cellStyle name="60 % - Akzent6 2 2" xfId="202" xr:uid="{00000000-0005-0000-0000-000070010000}"/>
    <cellStyle name="60 % - Akzent6 2 3" xfId="203" xr:uid="{00000000-0005-0000-0000-000071010000}"/>
    <cellStyle name="60 % - Akzent6 2 3 2" xfId="204" xr:uid="{00000000-0005-0000-0000-000072010000}"/>
    <cellStyle name="60 % - Akzent6 2 3 2 2" xfId="205" xr:uid="{00000000-0005-0000-0000-000073010000}"/>
    <cellStyle name="60 % - Akzent6 2 3 2 3" xfId="557" xr:uid="{00000000-0005-0000-0000-000074010000}"/>
    <cellStyle name="60 % - Akzent6 2 3 3" xfId="206" xr:uid="{00000000-0005-0000-0000-000075010000}"/>
    <cellStyle name="60 % - Akzent6 2 4" xfId="207" xr:uid="{00000000-0005-0000-0000-000076010000}"/>
    <cellStyle name="60 % - Akzent6 3" xfId="208" xr:uid="{00000000-0005-0000-0000-000077010000}"/>
    <cellStyle name="60 % - Akzent6 4" xfId="209" xr:uid="{00000000-0005-0000-0000-000078010000}"/>
    <cellStyle name="60 % - Akzent6 5" xfId="210" xr:uid="{00000000-0005-0000-0000-000079010000}"/>
    <cellStyle name="60 % - Akzent6 6" xfId="211" xr:uid="{00000000-0005-0000-0000-00007A010000}"/>
    <cellStyle name="Accent1" xfId="225" xr:uid="{00000000-0005-0000-0000-00007B010000}"/>
    <cellStyle name="Accent1 2" xfId="212" xr:uid="{00000000-0005-0000-0000-00007C010000}"/>
    <cellStyle name="Accent1 3" xfId="213" xr:uid="{00000000-0005-0000-0000-00007D010000}"/>
    <cellStyle name="Accent1 3 2" xfId="214" xr:uid="{00000000-0005-0000-0000-00007E010000}"/>
    <cellStyle name="Accent1 3 3" xfId="558" xr:uid="{00000000-0005-0000-0000-00007F010000}"/>
    <cellStyle name="Accent1 4" xfId="215" xr:uid="{00000000-0005-0000-0000-000080010000}"/>
    <cellStyle name="Accent1 4 2" xfId="1136" xr:uid="{00000000-0005-0000-0000-000081010000}"/>
    <cellStyle name="Accent1 4 3" xfId="767" xr:uid="{00000000-0005-0000-0000-000082010000}"/>
    <cellStyle name="Accent1 5" xfId="559" xr:uid="{00000000-0005-0000-0000-000083010000}"/>
    <cellStyle name="Accent1 6" xfId="769" xr:uid="{00000000-0005-0000-0000-000084010000}"/>
    <cellStyle name="Accent2" xfId="228" xr:uid="{00000000-0005-0000-0000-000085010000}"/>
    <cellStyle name="Accent2 2" xfId="216" xr:uid="{00000000-0005-0000-0000-000086010000}"/>
    <cellStyle name="Accent2 3" xfId="217" xr:uid="{00000000-0005-0000-0000-000087010000}"/>
    <cellStyle name="Accent2 4" xfId="561" xr:uid="{00000000-0005-0000-0000-000088010000}"/>
    <cellStyle name="Accent2 4 2" xfId="771" xr:uid="{00000000-0005-0000-0000-000089010000}"/>
    <cellStyle name="Accent2 5" xfId="1138" xr:uid="{00000000-0005-0000-0000-00008A010000}"/>
    <cellStyle name="Accent2 6" xfId="560" xr:uid="{00000000-0005-0000-0000-00008B010000}"/>
    <cellStyle name="Accent3" xfId="231" xr:uid="{00000000-0005-0000-0000-00008C010000}"/>
    <cellStyle name="Accent3 2" xfId="218" xr:uid="{00000000-0005-0000-0000-00008D010000}"/>
    <cellStyle name="Accent3 3" xfId="773" xr:uid="{00000000-0005-0000-0000-00008E010000}"/>
    <cellStyle name="Accent4" xfId="234" xr:uid="{00000000-0005-0000-0000-00008F010000}"/>
    <cellStyle name="Accent4 2" xfId="219" xr:uid="{00000000-0005-0000-0000-000090010000}"/>
    <cellStyle name="Accent4 3" xfId="220" xr:uid="{00000000-0005-0000-0000-000091010000}"/>
    <cellStyle name="Accent4 3 2" xfId="221" xr:uid="{00000000-0005-0000-0000-000092010000}"/>
    <cellStyle name="Accent4 3 3" xfId="562" xr:uid="{00000000-0005-0000-0000-000093010000}"/>
    <cellStyle name="Accent4 4" xfId="222" xr:uid="{00000000-0005-0000-0000-000094010000}"/>
    <cellStyle name="Accent4 4 2" xfId="1137" xr:uid="{00000000-0005-0000-0000-000095010000}"/>
    <cellStyle name="Accent4 4 3" xfId="768" xr:uid="{00000000-0005-0000-0000-000096010000}"/>
    <cellStyle name="Accent4 5" xfId="563" xr:uid="{00000000-0005-0000-0000-000097010000}"/>
    <cellStyle name="Accent4 6" xfId="774" xr:uid="{00000000-0005-0000-0000-000098010000}"/>
    <cellStyle name="Accent5" xfId="237" xr:uid="{00000000-0005-0000-0000-000099010000}"/>
    <cellStyle name="Accent5 2" xfId="223" xr:uid="{00000000-0005-0000-0000-00009A010000}"/>
    <cellStyle name="Accent5 3" xfId="776" xr:uid="{00000000-0005-0000-0000-00009B010000}"/>
    <cellStyle name="Accent6" xfId="240" xr:uid="{00000000-0005-0000-0000-00009C010000}"/>
    <cellStyle name="Accent6 2" xfId="224" xr:uid="{00000000-0005-0000-0000-00009D010000}"/>
    <cellStyle name="Accent6 3" xfId="777" xr:uid="{00000000-0005-0000-0000-00009E010000}"/>
    <cellStyle name="Akzent1 2" xfId="226" xr:uid="{00000000-0005-0000-0000-00009F010000}"/>
    <cellStyle name="Akzent1 3" xfId="227" xr:uid="{00000000-0005-0000-0000-0000A0010000}"/>
    <cellStyle name="Akzent1 4" xfId="770" xr:uid="{00000000-0005-0000-0000-0000A1010000}"/>
    <cellStyle name="Akzent2 2" xfId="229" xr:uid="{00000000-0005-0000-0000-0000A2010000}"/>
    <cellStyle name="Akzent2 3" xfId="230" xr:uid="{00000000-0005-0000-0000-0000A3010000}"/>
    <cellStyle name="Akzent2 4" xfId="772" xr:uid="{00000000-0005-0000-0000-0000A4010000}"/>
    <cellStyle name="Akzent3 2" xfId="232" xr:uid="{00000000-0005-0000-0000-0000A5010000}"/>
    <cellStyle name="Akzent3 3" xfId="233" xr:uid="{00000000-0005-0000-0000-0000A6010000}"/>
    <cellStyle name="Akzent4 2" xfId="235" xr:uid="{00000000-0005-0000-0000-0000A7010000}"/>
    <cellStyle name="Akzent4 3" xfId="236" xr:uid="{00000000-0005-0000-0000-0000A8010000}"/>
    <cellStyle name="Akzent4 4" xfId="775" xr:uid="{00000000-0005-0000-0000-0000A9010000}"/>
    <cellStyle name="Akzent5 2" xfId="238" xr:uid="{00000000-0005-0000-0000-0000AA010000}"/>
    <cellStyle name="Akzent5 3" xfId="239" xr:uid="{00000000-0005-0000-0000-0000AB010000}"/>
    <cellStyle name="Akzent6 2" xfId="241" xr:uid="{00000000-0005-0000-0000-0000AC010000}"/>
    <cellStyle name="Akzent6 3" xfId="242" xr:uid="{00000000-0005-0000-0000-0000AD010000}"/>
    <cellStyle name="Ausgabe 2" xfId="243" xr:uid="{00000000-0005-0000-0000-0000AE010000}"/>
    <cellStyle name="Ausgabe 2 2" xfId="244" xr:uid="{00000000-0005-0000-0000-0000AF010000}"/>
    <cellStyle name="Ausgabe 2 2 2" xfId="245" xr:uid="{00000000-0005-0000-0000-0000B0010000}"/>
    <cellStyle name="Ausgabe 2 2 3" xfId="246" xr:uid="{00000000-0005-0000-0000-0000B1010000}"/>
    <cellStyle name="Ausgabe 2 2 3 2" xfId="1139" xr:uid="{00000000-0005-0000-0000-0000B2010000}"/>
    <cellStyle name="Ausgabe 2 2 3 3" xfId="780" xr:uid="{00000000-0005-0000-0000-0000B3010000}"/>
    <cellStyle name="Ausgabe 2 2 3 4" xfId="564" xr:uid="{00000000-0005-0000-0000-0000B4010000}"/>
    <cellStyle name="Ausgabe 2 2 4" xfId="779" xr:uid="{00000000-0005-0000-0000-0000B5010000}"/>
    <cellStyle name="Ausgabe 2 3" xfId="247" xr:uid="{00000000-0005-0000-0000-0000B6010000}"/>
    <cellStyle name="Ausgabe 2 3 2" xfId="248" xr:uid="{00000000-0005-0000-0000-0000B7010000}"/>
    <cellStyle name="Ausgabe 2 3 2 2" xfId="249" xr:uid="{00000000-0005-0000-0000-0000B8010000}"/>
    <cellStyle name="Ausgabe 2 3 2 3" xfId="565" xr:uid="{00000000-0005-0000-0000-0000B9010000}"/>
    <cellStyle name="Ausgabe 2 3 3" xfId="250" xr:uid="{00000000-0005-0000-0000-0000BA010000}"/>
    <cellStyle name="Ausgabe 2 3 3 2" xfId="1140" xr:uid="{00000000-0005-0000-0000-0000BB010000}"/>
    <cellStyle name="Ausgabe 2 3 3 3" xfId="781" xr:uid="{00000000-0005-0000-0000-0000BC010000}"/>
    <cellStyle name="Ausgabe 2 3 3 4" xfId="566" xr:uid="{00000000-0005-0000-0000-0000BD010000}"/>
    <cellStyle name="Ausgabe 2 4" xfId="251" xr:uid="{00000000-0005-0000-0000-0000BE010000}"/>
    <cellStyle name="Ausgabe 2 5" xfId="252" xr:uid="{00000000-0005-0000-0000-0000BF010000}"/>
    <cellStyle name="Ausgabe 2 5 2" xfId="1141" xr:uid="{00000000-0005-0000-0000-0000C0010000}"/>
    <cellStyle name="Ausgabe 2 5 3" xfId="782" xr:uid="{00000000-0005-0000-0000-0000C1010000}"/>
    <cellStyle name="Ausgabe 2 5 4" xfId="567" xr:uid="{00000000-0005-0000-0000-0000C2010000}"/>
    <cellStyle name="Ausgabe 2 6" xfId="778" xr:uid="{00000000-0005-0000-0000-0000C3010000}"/>
    <cellStyle name="Ausgabe 3" xfId="253" xr:uid="{00000000-0005-0000-0000-0000C4010000}"/>
    <cellStyle name="Ausgabe 3 2" xfId="254" xr:uid="{00000000-0005-0000-0000-0000C5010000}"/>
    <cellStyle name="Ausgabe 3 3" xfId="255" xr:uid="{00000000-0005-0000-0000-0000C6010000}"/>
    <cellStyle name="Ausgabe 3 3 2" xfId="1142" xr:uid="{00000000-0005-0000-0000-0000C7010000}"/>
    <cellStyle name="Ausgabe 3 3 3" xfId="784" xr:uid="{00000000-0005-0000-0000-0000C8010000}"/>
    <cellStyle name="Ausgabe 3 3 4" xfId="568" xr:uid="{00000000-0005-0000-0000-0000C9010000}"/>
    <cellStyle name="Ausgabe 3 4" xfId="783" xr:uid="{00000000-0005-0000-0000-0000CA010000}"/>
    <cellStyle name="Ausgabe 4" xfId="256" xr:uid="{00000000-0005-0000-0000-0000CB010000}"/>
    <cellStyle name="Ausgabe 5" xfId="257" xr:uid="{00000000-0005-0000-0000-0000CC010000}"/>
    <cellStyle name="Ausgabe 6" xfId="258" xr:uid="{00000000-0005-0000-0000-0000CD010000}"/>
    <cellStyle name="Ausgabe 7" xfId="259" xr:uid="{00000000-0005-0000-0000-0000CE010000}"/>
    <cellStyle name="Ausgabe 7 2" xfId="260" xr:uid="{00000000-0005-0000-0000-0000CF010000}"/>
    <cellStyle name="Ausgabe 7 3" xfId="261" xr:uid="{00000000-0005-0000-0000-0000D0010000}"/>
    <cellStyle name="Ausgabe 7 3 2" xfId="262" xr:uid="{00000000-0005-0000-0000-0000D1010000}"/>
    <cellStyle name="Ausgabe 7 3 3" xfId="569" xr:uid="{00000000-0005-0000-0000-0000D2010000}"/>
    <cellStyle name="Ausgabe 7 3 4" xfId="785" xr:uid="{00000000-0005-0000-0000-0000D3010000}"/>
    <cellStyle name="Ausgabe 7 4" xfId="263" xr:uid="{00000000-0005-0000-0000-0000D4010000}"/>
    <cellStyle name="Ausgabe 8" xfId="264" xr:uid="{00000000-0005-0000-0000-0000D5010000}"/>
    <cellStyle name="Ausgabe 8 2" xfId="265" xr:uid="{00000000-0005-0000-0000-0000D6010000}"/>
    <cellStyle name="Ausgabe 8 3" xfId="570" xr:uid="{00000000-0005-0000-0000-0000D7010000}"/>
    <cellStyle name="Bad" xfId="474" xr:uid="{00000000-0005-0000-0000-0000D8010000}"/>
    <cellStyle name="Bad 2" xfId="266" xr:uid="{00000000-0005-0000-0000-0000D9010000}"/>
    <cellStyle name="Bad 2 2" xfId="786" xr:uid="{00000000-0005-0000-0000-0000DA010000}"/>
    <cellStyle name="Bad 3" xfId="1074" xr:uid="{00000000-0005-0000-0000-0000DB010000}"/>
    <cellStyle name="Berechnung 2" xfId="267" xr:uid="{00000000-0005-0000-0000-0000DC010000}"/>
    <cellStyle name="Berechnung 2 2" xfId="268" xr:uid="{00000000-0005-0000-0000-0000DD010000}"/>
    <cellStyle name="Berechnung 2 3" xfId="269" xr:uid="{00000000-0005-0000-0000-0000DE010000}"/>
    <cellStyle name="Berechnung 2 3 2" xfId="270" xr:uid="{00000000-0005-0000-0000-0000DF010000}"/>
    <cellStyle name="Berechnung 2 3 2 2" xfId="271" xr:uid="{00000000-0005-0000-0000-0000E0010000}"/>
    <cellStyle name="Berechnung 2 3 2 3" xfId="571" xr:uid="{00000000-0005-0000-0000-0000E1010000}"/>
    <cellStyle name="Berechnung 2 3 3" xfId="272" xr:uid="{00000000-0005-0000-0000-0000E2010000}"/>
    <cellStyle name="Berechnung 2 4" xfId="273" xr:uid="{00000000-0005-0000-0000-0000E3010000}"/>
    <cellStyle name="Berechnung 3" xfId="274" xr:uid="{00000000-0005-0000-0000-0000E4010000}"/>
    <cellStyle name="Berechnung 4" xfId="275" xr:uid="{00000000-0005-0000-0000-0000E5010000}"/>
    <cellStyle name="Berechnung 5" xfId="276" xr:uid="{00000000-0005-0000-0000-0000E6010000}"/>
    <cellStyle name="Berechnung 6" xfId="277" xr:uid="{00000000-0005-0000-0000-0000E7010000}"/>
    <cellStyle name="Berechnung 7" xfId="278" xr:uid="{00000000-0005-0000-0000-0000E8010000}"/>
    <cellStyle name="Berechnung 7 2" xfId="279" xr:uid="{00000000-0005-0000-0000-0000E9010000}"/>
    <cellStyle name="Berechnung 7 3" xfId="280" xr:uid="{00000000-0005-0000-0000-0000EA010000}"/>
    <cellStyle name="Berechnung 8" xfId="281" xr:uid="{00000000-0005-0000-0000-0000EB010000}"/>
    <cellStyle name="Calculation 2" xfId="282" xr:uid="{00000000-0005-0000-0000-0000EC010000}"/>
    <cellStyle name="Check Cell" xfId="541" xr:uid="{00000000-0005-0000-0000-0000ED010000}"/>
    <cellStyle name="Check Cell 2" xfId="283" xr:uid="{00000000-0005-0000-0000-0000EE010000}"/>
    <cellStyle name="Check Cell 2 2" xfId="787" xr:uid="{00000000-0005-0000-0000-0000EF010000}"/>
    <cellStyle name="Check Cell 3" xfId="284" xr:uid="{00000000-0005-0000-0000-0000F0010000}"/>
    <cellStyle name="Check Cell 3 2" xfId="789" xr:uid="{00000000-0005-0000-0000-0000F1010000}"/>
    <cellStyle name="Check Cell 3 3" xfId="788" xr:uid="{00000000-0005-0000-0000-0000F2010000}"/>
    <cellStyle name="Check Cell 4" xfId="285" xr:uid="{00000000-0005-0000-0000-0000F3010000}"/>
    <cellStyle name="Check Cell 4 2" xfId="1143" xr:uid="{00000000-0005-0000-0000-0000F4010000}"/>
    <cellStyle name="Check Cell 4 3" xfId="790" xr:uid="{00000000-0005-0000-0000-0000F5010000}"/>
    <cellStyle name="Check Cell 5" xfId="791" xr:uid="{00000000-0005-0000-0000-0000F6010000}"/>
    <cellStyle name="Check Cell 6" xfId="1133" xr:uid="{00000000-0005-0000-0000-0000F7010000}"/>
    <cellStyle name="Eingabe 2" xfId="286" xr:uid="{00000000-0005-0000-0000-0000F8010000}"/>
    <cellStyle name="Eingabe 3" xfId="287" xr:uid="{00000000-0005-0000-0000-0000F9010000}"/>
    <cellStyle name="Eingabe 4" xfId="288" xr:uid="{00000000-0005-0000-0000-0000FA010000}"/>
    <cellStyle name="Eingabe 5" xfId="289" xr:uid="{00000000-0005-0000-0000-0000FB010000}"/>
    <cellStyle name="Eingabe 6" xfId="290" xr:uid="{00000000-0005-0000-0000-0000FC010000}"/>
    <cellStyle name="Eingabe 7" xfId="291" xr:uid="{00000000-0005-0000-0000-0000FD010000}"/>
    <cellStyle name="Ergebnis 2" xfId="292" xr:uid="{00000000-0005-0000-0000-0000FE010000}"/>
    <cellStyle name="Ergebnis 2 2" xfId="293" xr:uid="{00000000-0005-0000-0000-0000FF010000}"/>
    <cellStyle name="Ergebnis 2 2 2" xfId="294" xr:uid="{00000000-0005-0000-0000-000000020000}"/>
    <cellStyle name="Ergebnis 2 3" xfId="295" xr:uid="{00000000-0005-0000-0000-000001020000}"/>
    <cellStyle name="Ergebnis 2 4" xfId="296" xr:uid="{00000000-0005-0000-0000-000002020000}"/>
    <cellStyle name="Ergebnis 2 4 2" xfId="297" xr:uid="{00000000-0005-0000-0000-000003020000}"/>
    <cellStyle name="Ergebnis 2 4 2 2" xfId="298" xr:uid="{00000000-0005-0000-0000-000004020000}"/>
    <cellStyle name="Ergebnis 2 4 2 3" xfId="572" xr:uid="{00000000-0005-0000-0000-000005020000}"/>
    <cellStyle name="Ergebnis 2 4 3" xfId="299" xr:uid="{00000000-0005-0000-0000-000006020000}"/>
    <cellStyle name="Ergebnis 2 5" xfId="300" xr:uid="{00000000-0005-0000-0000-000007020000}"/>
    <cellStyle name="Ergebnis 3" xfId="301" xr:uid="{00000000-0005-0000-0000-000008020000}"/>
    <cellStyle name="Ergebnis 3 2" xfId="302" xr:uid="{00000000-0005-0000-0000-000009020000}"/>
    <cellStyle name="Ergebnis 4" xfId="303" xr:uid="{00000000-0005-0000-0000-00000A020000}"/>
    <cellStyle name="Ergebnis 4 2" xfId="304" xr:uid="{00000000-0005-0000-0000-00000B020000}"/>
    <cellStyle name="Ergebnis 5" xfId="305" xr:uid="{00000000-0005-0000-0000-00000C020000}"/>
    <cellStyle name="Ergebnis 6" xfId="306" xr:uid="{00000000-0005-0000-0000-00000D020000}"/>
    <cellStyle name="Ergebnis 7" xfId="307" xr:uid="{00000000-0005-0000-0000-00000E020000}"/>
    <cellStyle name="Ergebnis 8" xfId="308" xr:uid="{00000000-0005-0000-0000-00000F020000}"/>
    <cellStyle name="Ergebnis 8 2" xfId="309" xr:uid="{00000000-0005-0000-0000-000010020000}"/>
    <cellStyle name="Ergebnis 8 3" xfId="310" xr:uid="{00000000-0005-0000-0000-000011020000}"/>
    <cellStyle name="Ergebnis 9" xfId="311" xr:uid="{00000000-0005-0000-0000-000012020000}"/>
    <cellStyle name="Erklärender Text 2" xfId="312" xr:uid="{00000000-0005-0000-0000-000013020000}"/>
    <cellStyle name="Erklärender Text 3" xfId="313" xr:uid="{00000000-0005-0000-0000-000014020000}"/>
    <cellStyle name="Erklärender Text 4" xfId="314" xr:uid="{00000000-0005-0000-0000-000015020000}"/>
    <cellStyle name="Erklärender Text 5" xfId="315" xr:uid="{00000000-0005-0000-0000-000016020000}"/>
    <cellStyle name="Erklärender Text 6" xfId="316" xr:uid="{00000000-0005-0000-0000-000017020000}"/>
    <cellStyle name="Good" xfId="318" xr:uid="{00000000-0005-0000-0000-000018020000}"/>
    <cellStyle name="Good 2" xfId="317" xr:uid="{00000000-0005-0000-0000-000019020000}"/>
    <cellStyle name="Good 2 2" xfId="792" xr:uid="{00000000-0005-0000-0000-00001A020000}"/>
    <cellStyle name="Good 3" xfId="793" xr:uid="{00000000-0005-0000-0000-00001B020000}"/>
    <cellStyle name="Gut 2" xfId="319" xr:uid="{00000000-0005-0000-0000-00001C020000}"/>
    <cellStyle name="Gut 3" xfId="320" xr:uid="{00000000-0005-0000-0000-00001D020000}"/>
    <cellStyle name="Heading 1" xfId="516" xr:uid="{00000000-0005-0000-0000-00001E020000}"/>
    <cellStyle name="Heading 1 2" xfId="321" xr:uid="{00000000-0005-0000-0000-00001F020000}"/>
    <cellStyle name="Heading 1 2 2" xfId="322" xr:uid="{00000000-0005-0000-0000-000020020000}"/>
    <cellStyle name="Heading 1 2 2 2" xfId="1144" xr:uid="{00000000-0005-0000-0000-000021020000}"/>
    <cellStyle name="Heading 1 2 2 3" xfId="794" xr:uid="{00000000-0005-0000-0000-000022020000}"/>
    <cellStyle name="Heading 1 2 3" xfId="574" xr:uid="{00000000-0005-0000-0000-000023020000}"/>
    <cellStyle name="Heading 1 2 4" xfId="573" xr:uid="{00000000-0005-0000-0000-000024020000}"/>
    <cellStyle name="Heading 1 3" xfId="323" xr:uid="{00000000-0005-0000-0000-000025020000}"/>
    <cellStyle name="Heading 1 3 2" xfId="1145" xr:uid="{00000000-0005-0000-0000-000026020000}"/>
    <cellStyle name="Heading 1 3 3" xfId="795" xr:uid="{00000000-0005-0000-0000-000027020000}"/>
    <cellStyle name="Heading 1 4" xfId="575" xr:uid="{00000000-0005-0000-0000-000028020000}"/>
    <cellStyle name="Heading 1 5" xfId="1123" xr:uid="{00000000-0005-0000-0000-000029020000}"/>
    <cellStyle name="Heading 2" xfId="519" xr:uid="{00000000-0005-0000-0000-00002A020000}"/>
    <cellStyle name="Heading 2 2" xfId="324" xr:uid="{00000000-0005-0000-0000-00002B020000}"/>
    <cellStyle name="Heading 2 2 2" xfId="325" xr:uid="{00000000-0005-0000-0000-00002C020000}"/>
    <cellStyle name="Heading 2 2 2 2" xfId="1146" xr:uid="{00000000-0005-0000-0000-00002D020000}"/>
    <cellStyle name="Heading 2 2 2 3" xfId="797" xr:uid="{00000000-0005-0000-0000-00002E020000}"/>
    <cellStyle name="Heading 2 2 3" xfId="577" xr:uid="{00000000-0005-0000-0000-00002F020000}"/>
    <cellStyle name="Heading 2 2 4" xfId="796" xr:uid="{00000000-0005-0000-0000-000030020000}"/>
    <cellStyle name="Heading 2 2 5" xfId="576" xr:uid="{00000000-0005-0000-0000-000031020000}"/>
    <cellStyle name="Heading 2 3" xfId="326" xr:uid="{00000000-0005-0000-0000-000032020000}"/>
    <cellStyle name="Heading 2 3 2" xfId="1147" xr:uid="{00000000-0005-0000-0000-000033020000}"/>
    <cellStyle name="Heading 2 3 3" xfId="798" xr:uid="{00000000-0005-0000-0000-000034020000}"/>
    <cellStyle name="Heading 2 4" xfId="578" xr:uid="{00000000-0005-0000-0000-000035020000}"/>
    <cellStyle name="Heading 2 5" xfId="1125" xr:uid="{00000000-0005-0000-0000-000036020000}"/>
    <cellStyle name="Heading 3" xfId="522" xr:uid="{00000000-0005-0000-0000-000037020000}"/>
    <cellStyle name="Heading 3 2" xfId="327" xr:uid="{00000000-0005-0000-0000-000038020000}"/>
    <cellStyle name="Heading 3 2 2" xfId="328" xr:uid="{00000000-0005-0000-0000-000039020000}"/>
    <cellStyle name="Heading 3 2 2 2" xfId="1148" xr:uid="{00000000-0005-0000-0000-00003A020000}"/>
    <cellStyle name="Heading 3 2 2 3" xfId="800" xr:uid="{00000000-0005-0000-0000-00003B020000}"/>
    <cellStyle name="Heading 3 2 3" xfId="580" xr:uid="{00000000-0005-0000-0000-00003C020000}"/>
    <cellStyle name="Heading 3 2 4" xfId="799" xr:uid="{00000000-0005-0000-0000-00003D020000}"/>
    <cellStyle name="Heading 3 2 5" xfId="579" xr:uid="{00000000-0005-0000-0000-00003E020000}"/>
    <cellStyle name="Heading 3 3" xfId="329" xr:uid="{00000000-0005-0000-0000-00003F020000}"/>
    <cellStyle name="Heading 3 3 2" xfId="1149" xr:uid="{00000000-0005-0000-0000-000040020000}"/>
    <cellStyle name="Heading 3 3 3" xfId="801" xr:uid="{00000000-0005-0000-0000-000041020000}"/>
    <cellStyle name="Heading 3 4" xfId="581" xr:uid="{00000000-0005-0000-0000-000042020000}"/>
    <cellStyle name="Heading 3 5" xfId="1127" xr:uid="{00000000-0005-0000-0000-000043020000}"/>
    <cellStyle name="Heading 4" xfId="525" xr:uid="{00000000-0005-0000-0000-000044020000}"/>
    <cellStyle name="Heading 4 2" xfId="330" xr:uid="{00000000-0005-0000-0000-000045020000}"/>
    <cellStyle name="Heading 4 2 2" xfId="331" xr:uid="{00000000-0005-0000-0000-000046020000}"/>
    <cellStyle name="Heading 4 2 2 2" xfId="1150" xr:uid="{00000000-0005-0000-0000-000047020000}"/>
    <cellStyle name="Heading 4 2 2 3" xfId="802" xr:uid="{00000000-0005-0000-0000-000048020000}"/>
    <cellStyle name="Heading 4 2 3" xfId="583" xr:uid="{00000000-0005-0000-0000-000049020000}"/>
    <cellStyle name="Heading 4 2 4" xfId="582" xr:uid="{00000000-0005-0000-0000-00004A020000}"/>
    <cellStyle name="Heading 4 3" xfId="332" xr:uid="{00000000-0005-0000-0000-00004B020000}"/>
    <cellStyle name="Heading 4 3 2" xfId="1151" xr:uid="{00000000-0005-0000-0000-00004C020000}"/>
    <cellStyle name="Heading 4 3 3" xfId="803" xr:uid="{00000000-0005-0000-0000-00004D020000}"/>
    <cellStyle name="Heading 4 4" xfId="584" xr:uid="{00000000-0005-0000-0000-00004E020000}"/>
    <cellStyle name="Heading 4 5" xfId="1129" xr:uid="{00000000-0005-0000-0000-00004F020000}"/>
    <cellStyle name="Input 2" xfId="333" xr:uid="{00000000-0005-0000-0000-000050020000}"/>
    <cellStyle name="Komma 2" xfId="585" xr:uid="{00000000-0005-0000-0000-000051020000}"/>
    <cellStyle name="Komma 2 2" xfId="1159" xr:uid="{00000000-0005-0000-0000-000052020000}"/>
    <cellStyle name="Linked Cell" xfId="530" xr:uid="{00000000-0005-0000-0000-000053020000}"/>
    <cellStyle name="Linked Cell 2" xfId="334" xr:uid="{00000000-0005-0000-0000-000054020000}"/>
    <cellStyle name="Linked Cell 2 2" xfId="804" xr:uid="{00000000-0005-0000-0000-000055020000}"/>
    <cellStyle name="Linked Cell 3" xfId="1132" xr:uid="{00000000-0005-0000-0000-000056020000}"/>
    <cellStyle name="Neutral" xfId="335" builtinId="28" customBuiltin="1"/>
    <cellStyle name="Neutral 2" xfId="805" xr:uid="{00000000-0005-0000-0000-000058020000}"/>
    <cellStyle name="Normal 2" xfId="336" xr:uid="{00000000-0005-0000-0000-000059020000}"/>
    <cellStyle name="Note" xfId="342" xr:uid="{00000000-0005-0000-0000-00005A020000}"/>
    <cellStyle name="Note 2" xfId="337" xr:uid="{00000000-0005-0000-0000-00005B020000}"/>
    <cellStyle name="Note 2 2" xfId="338" xr:uid="{00000000-0005-0000-0000-00005C020000}"/>
    <cellStyle name="Note 3" xfId="339" xr:uid="{00000000-0005-0000-0000-00005D020000}"/>
    <cellStyle name="Note 3 2" xfId="806" xr:uid="{00000000-0005-0000-0000-00005E020000}"/>
    <cellStyle name="Note 4" xfId="340" xr:uid="{00000000-0005-0000-0000-00005F020000}"/>
    <cellStyle name="Note 4 2" xfId="808" xr:uid="{00000000-0005-0000-0000-000060020000}"/>
    <cellStyle name="Note 4 3" xfId="807" xr:uid="{00000000-0005-0000-0000-000061020000}"/>
    <cellStyle name="Note 5" xfId="341" xr:uid="{00000000-0005-0000-0000-000062020000}"/>
    <cellStyle name="Note 5 2" xfId="809" xr:uid="{00000000-0005-0000-0000-000063020000}"/>
    <cellStyle name="Note 5 3" xfId="587" xr:uid="{00000000-0005-0000-0000-000064020000}"/>
    <cellStyle name="Note 6" xfId="810" xr:uid="{00000000-0005-0000-0000-000065020000}"/>
    <cellStyle name="Note 7" xfId="586" xr:uid="{00000000-0005-0000-0000-000066020000}"/>
    <cellStyle name="Notiz 2" xfId="343" xr:uid="{00000000-0005-0000-0000-000067020000}"/>
    <cellStyle name="Notiz 2 2" xfId="344" xr:uid="{00000000-0005-0000-0000-000068020000}"/>
    <cellStyle name="Notiz 2 2 2" xfId="345" xr:uid="{00000000-0005-0000-0000-000069020000}"/>
    <cellStyle name="Notiz 2 2 2 2" xfId="346" xr:uid="{00000000-0005-0000-0000-00006A020000}"/>
    <cellStyle name="Notiz 2 2 2 2 2" xfId="347" xr:uid="{00000000-0005-0000-0000-00006B020000}"/>
    <cellStyle name="Notiz 2 2 2 2 2 2" xfId="811" xr:uid="{00000000-0005-0000-0000-00006C020000}"/>
    <cellStyle name="Notiz 2 2 2 2 2 3" xfId="812" xr:uid="{00000000-0005-0000-0000-00006D020000}"/>
    <cellStyle name="Notiz 2 2 2 2 2 4" xfId="813" xr:uid="{00000000-0005-0000-0000-00006E020000}"/>
    <cellStyle name="Notiz 2 2 2 2 3" xfId="814" xr:uid="{00000000-0005-0000-0000-00006F020000}"/>
    <cellStyle name="Notiz 2 2 2 2 4" xfId="815" xr:uid="{00000000-0005-0000-0000-000070020000}"/>
    <cellStyle name="Notiz 2 2 2 2 5" xfId="816" xr:uid="{00000000-0005-0000-0000-000071020000}"/>
    <cellStyle name="Notiz 2 2 2 3" xfId="348" xr:uid="{00000000-0005-0000-0000-000072020000}"/>
    <cellStyle name="Notiz 2 2 2 3 2" xfId="817" xr:uid="{00000000-0005-0000-0000-000073020000}"/>
    <cellStyle name="Notiz 2 2 2 3 3" xfId="818" xr:uid="{00000000-0005-0000-0000-000074020000}"/>
    <cellStyle name="Notiz 2 2 2 3 4" xfId="819" xr:uid="{00000000-0005-0000-0000-000075020000}"/>
    <cellStyle name="Notiz 2 2 2 4" xfId="820" xr:uid="{00000000-0005-0000-0000-000076020000}"/>
    <cellStyle name="Notiz 2 2 2 5" xfId="821" xr:uid="{00000000-0005-0000-0000-000077020000}"/>
    <cellStyle name="Notiz 2 2 2 6" xfId="822" xr:uid="{00000000-0005-0000-0000-000078020000}"/>
    <cellStyle name="Notiz 2 2 3" xfId="349" xr:uid="{00000000-0005-0000-0000-000079020000}"/>
    <cellStyle name="Notiz 2 2 3 2" xfId="350" xr:uid="{00000000-0005-0000-0000-00007A020000}"/>
    <cellStyle name="Notiz 2 2 3 2 2" xfId="823" xr:uid="{00000000-0005-0000-0000-00007B020000}"/>
    <cellStyle name="Notiz 2 2 3 2 3" xfId="824" xr:uid="{00000000-0005-0000-0000-00007C020000}"/>
    <cellStyle name="Notiz 2 2 3 2 4" xfId="825" xr:uid="{00000000-0005-0000-0000-00007D020000}"/>
    <cellStyle name="Notiz 2 2 3 3" xfId="826" xr:uid="{00000000-0005-0000-0000-00007E020000}"/>
    <cellStyle name="Notiz 2 2 3 4" xfId="827" xr:uid="{00000000-0005-0000-0000-00007F020000}"/>
    <cellStyle name="Notiz 2 2 3 5" xfId="828" xr:uid="{00000000-0005-0000-0000-000080020000}"/>
    <cellStyle name="Notiz 2 2 4" xfId="351" xr:uid="{00000000-0005-0000-0000-000081020000}"/>
    <cellStyle name="Notiz 2 2 4 2" xfId="352" xr:uid="{00000000-0005-0000-0000-000082020000}"/>
    <cellStyle name="Notiz 2 2 4 3" xfId="353" xr:uid="{00000000-0005-0000-0000-000083020000}"/>
    <cellStyle name="Notiz 2 2 4 3 2" xfId="354" xr:uid="{00000000-0005-0000-0000-000084020000}"/>
    <cellStyle name="Notiz 2 2 4 3 3" xfId="355" xr:uid="{00000000-0005-0000-0000-000085020000}"/>
    <cellStyle name="Notiz 2 2 4 3 4" xfId="829" xr:uid="{00000000-0005-0000-0000-000086020000}"/>
    <cellStyle name="Notiz 2 2 4 4" xfId="356" xr:uid="{00000000-0005-0000-0000-000087020000}"/>
    <cellStyle name="Notiz 2 2 4 4 2" xfId="830" xr:uid="{00000000-0005-0000-0000-000088020000}"/>
    <cellStyle name="Notiz 2 2 4 4 3" xfId="590" xr:uid="{00000000-0005-0000-0000-000089020000}"/>
    <cellStyle name="Notiz 2 2 4 5" xfId="831" xr:uid="{00000000-0005-0000-0000-00008A020000}"/>
    <cellStyle name="Notiz 2 2 4 6" xfId="589" xr:uid="{00000000-0005-0000-0000-00008B020000}"/>
    <cellStyle name="Notiz 2 2 5" xfId="357" xr:uid="{00000000-0005-0000-0000-00008C020000}"/>
    <cellStyle name="Notiz 2 2 5 2" xfId="358" xr:uid="{00000000-0005-0000-0000-00008D020000}"/>
    <cellStyle name="Notiz 2 2 5 3" xfId="359" xr:uid="{00000000-0005-0000-0000-00008E020000}"/>
    <cellStyle name="Notiz 2 2 5 4" xfId="360" xr:uid="{00000000-0005-0000-0000-00008F020000}"/>
    <cellStyle name="Notiz 2 2 5 4 2" xfId="1152" xr:uid="{00000000-0005-0000-0000-000090020000}"/>
    <cellStyle name="Notiz 2 2 5 4 3" xfId="832" xr:uid="{00000000-0005-0000-0000-000091020000}"/>
    <cellStyle name="Notiz 2 2 5 4 4" xfId="592" xr:uid="{00000000-0005-0000-0000-000092020000}"/>
    <cellStyle name="Notiz 2 2 5 5" xfId="591" xr:uid="{00000000-0005-0000-0000-000093020000}"/>
    <cellStyle name="Notiz 2 2 6" xfId="833" xr:uid="{00000000-0005-0000-0000-000094020000}"/>
    <cellStyle name="Notiz 2 2 7" xfId="588" xr:uid="{00000000-0005-0000-0000-000095020000}"/>
    <cellStyle name="Notiz 2 3" xfId="361" xr:uid="{00000000-0005-0000-0000-000096020000}"/>
    <cellStyle name="Notiz 2 3 2" xfId="362" xr:uid="{00000000-0005-0000-0000-000097020000}"/>
    <cellStyle name="Notiz 2 3 2 2" xfId="363" xr:uid="{00000000-0005-0000-0000-000098020000}"/>
    <cellStyle name="Notiz 2 3 2 2 2" xfId="834" xr:uid="{00000000-0005-0000-0000-000099020000}"/>
    <cellStyle name="Notiz 2 3 2 2 3" xfId="835" xr:uid="{00000000-0005-0000-0000-00009A020000}"/>
    <cellStyle name="Notiz 2 3 2 2 4" xfId="836" xr:uid="{00000000-0005-0000-0000-00009B020000}"/>
    <cellStyle name="Notiz 2 3 2 3" xfId="837" xr:uid="{00000000-0005-0000-0000-00009C020000}"/>
    <cellStyle name="Notiz 2 3 2 4" xfId="838" xr:uid="{00000000-0005-0000-0000-00009D020000}"/>
    <cellStyle name="Notiz 2 3 2 5" xfId="839" xr:uid="{00000000-0005-0000-0000-00009E020000}"/>
    <cellStyle name="Notiz 2 3 3" xfId="364" xr:uid="{00000000-0005-0000-0000-00009F020000}"/>
    <cellStyle name="Notiz 2 3 3 2" xfId="840" xr:uid="{00000000-0005-0000-0000-0000A0020000}"/>
    <cellStyle name="Notiz 2 3 3 3" xfId="841" xr:uid="{00000000-0005-0000-0000-0000A1020000}"/>
    <cellStyle name="Notiz 2 3 3 4" xfId="842" xr:uid="{00000000-0005-0000-0000-0000A2020000}"/>
    <cellStyle name="Notiz 2 3 4" xfId="843" xr:uid="{00000000-0005-0000-0000-0000A3020000}"/>
    <cellStyle name="Notiz 2 3 5" xfId="844" xr:uid="{00000000-0005-0000-0000-0000A4020000}"/>
    <cellStyle name="Notiz 2 3 6" xfId="845" xr:uid="{00000000-0005-0000-0000-0000A5020000}"/>
    <cellStyle name="Notiz 2 4" xfId="365" xr:uid="{00000000-0005-0000-0000-0000A6020000}"/>
    <cellStyle name="Notiz 2 4 2" xfId="366" xr:uid="{00000000-0005-0000-0000-0000A7020000}"/>
    <cellStyle name="Notiz 2 4 2 2" xfId="846" xr:uid="{00000000-0005-0000-0000-0000A8020000}"/>
    <cellStyle name="Notiz 2 4 2 3" xfId="847" xr:uid="{00000000-0005-0000-0000-0000A9020000}"/>
    <cellStyle name="Notiz 2 4 2 4" xfId="848" xr:uid="{00000000-0005-0000-0000-0000AA020000}"/>
    <cellStyle name="Notiz 2 4 3" xfId="849" xr:uid="{00000000-0005-0000-0000-0000AB020000}"/>
    <cellStyle name="Notiz 2 4 4" xfId="850" xr:uid="{00000000-0005-0000-0000-0000AC020000}"/>
    <cellStyle name="Notiz 2 4 5" xfId="851" xr:uid="{00000000-0005-0000-0000-0000AD020000}"/>
    <cellStyle name="Notiz 2 5" xfId="367" xr:uid="{00000000-0005-0000-0000-0000AE020000}"/>
    <cellStyle name="Notiz 2 5 2" xfId="852" xr:uid="{00000000-0005-0000-0000-0000AF020000}"/>
    <cellStyle name="Notiz 2 5 3" xfId="853" xr:uid="{00000000-0005-0000-0000-0000B0020000}"/>
    <cellStyle name="Notiz 2 5 4" xfId="854" xr:uid="{00000000-0005-0000-0000-0000B1020000}"/>
    <cellStyle name="Notiz 2 6" xfId="855" xr:uid="{00000000-0005-0000-0000-0000B2020000}"/>
    <cellStyle name="Notiz 2 7" xfId="856" xr:uid="{00000000-0005-0000-0000-0000B3020000}"/>
    <cellStyle name="Notiz 2 8" xfId="857" xr:uid="{00000000-0005-0000-0000-0000B4020000}"/>
    <cellStyle name="Notiz 3" xfId="368" xr:uid="{00000000-0005-0000-0000-0000B5020000}"/>
    <cellStyle name="Notiz 3 2" xfId="369" xr:uid="{00000000-0005-0000-0000-0000B6020000}"/>
    <cellStyle name="Notiz 3 2 2" xfId="370" xr:uid="{00000000-0005-0000-0000-0000B7020000}"/>
    <cellStyle name="Notiz 3 2 2 2" xfId="371" xr:uid="{00000000-0005-0000-0000-0000B8020000}"/>
    <cellStyle name="Notiz 3 2 2 2 2" xfId="858" xr:uid="{00000000-0005-0000-0000-0000B9020000}"/>
    <cellStyle name="Notiz 3 2 2 2 3" xfId="859" xr:uid="{00000000-0005-0000-0000-0000BA020000}"/>
    <cellStyle name="Notiz 3 2 2 2 4" xfId="860" xr:uid="{00000000-0005-0000-0000-0000BB020000}"/>
    <cellStyle name="Notiz 3 2 2 3" xfId="861" xr:uid="{00000000-0005-0000-0000-0000BC020000}"/>
    <cellStyle name="Notiz 3 2 2 4" xfId="862" xr:uid="{00000000-0005-0000-0000-0000BD020000}"/>
    <cellStyle name="Notiz 3 2 2 5" xfId="863" xr:uid="{00000000-0005-0000-0000-0000BE020000}"/>
    <cellStyle name="Notiz 3 2 3" xfId="372" xr:uid="{00000000-0005-0000-0000-0000BF020000}"/>
    <cellStyle name="Notiz 3 2 3 2" xfId="864" xr:uid="{00000000-0005-0000-0000-0000C0020000}"/>
    <cellStyle name="Notiz 3 2 3 3" xfId="865" xr:uid="{00000000-0005-0000-0000-0000C1020000}"/>
    <cellStyle name="Notiz 3 2 3 4" xfId="866" xr:uid="{00000000-0005-0000-0000-0000C2020000}"/>
    <cellStyle name="Notiz 3 2 4" xfId="867" xr:uid="{00000000-0005-0000-0000-0000C3020000}"/>
    <cellStyle name="Notiz 3 2 5" xfId="868" xr:uid="{00000000-0005-0000-0000-0000C4020000}"/>
    <cellStyle name="Notiz 3 2 6" xfId="869" xr:uid="{00000000-0005-0000-0000-0000C5020000}"/>
    <cellStyle name="Notiz 3 3" xfId="373" xr:uid="{00000000-0005-0000-0000-0000C6020000}"/>
    <cellStyle name="Notiz 3 3 2" xfId="374" xr:uid="{00000000-0005-0000-0000-0000C7020000}"/>
    <cellStyle name="Notiz 3 3 2 2" xfId="870" xr:uid="{00000000-0005-0000-0000-0000C8020000}"/>
    <cellStyle name="Notiz 3 3 2 3" xfId="871" xr:uid="{00000000-0005-0000-0000-0000C9020000}"/>
    <cellStyle name="Notiz 3 3 2 4" xfId="872" xr:uid="{00000000-0005-0000-0000-0000CA020000}"/>
    <cellStyle name="Notiz 3 3 3" xfId="873" xr:uid="{00000000-0005-0000-0000-0000CB020000}"/>
    <cellStyle name="Notiz 3 3 4" xfId="874" xr:uid="{00000000-0005-0000-0000-0000CC020000}"/>
    <cellStyle name="Notiz 3 3 5" xfId="875" xr:uid="{00000000-0005-0000-0000-0000CD020000}"/>
    <cellStyle name="Notiz 3 4" xfId="375" xr:uid="{00000000-0005-0000-0000-0000CE020000}"/>
    <cellStyle name="Notiz 3 4 2" xfId="876" xr:uid="{00000000-0005-0000-0000-0000CF020000}"/>
    <cellStyle name="Notiz 3 4 3" xfId="877" xr:uid="{00000000-0005-0000-0000-0000D0020000}"/>
    <cellStyle name="Notiz 3 4 4" xfId="878" xr:uid="{00000000-0005-0000-0000-0000D1020000}"/>
    <cellStyle name="Notiz 3 5" xfId="879" xr:uid="{00000000-0005-0000-0000-0000D2020000}"/>
    <cellStyle name="Notiz 3 6" xfId="880" xr:uid="{00000000-0005-0000-0000-0000D3020000}"/>
    <cellStyle name="Notiz 3 7" xfId="881" xr:uid="{00000000-0005-0000-0000-0000D4020000}"/>
    <cellStyle name="Notiz 4" xfId="376" xr:uid="{00000000-0005-0000-0000-0000D5020000}"/>
    <cellStyle name="Notiz 4 2" xfId="377" xr:uid="{00000000-0005-0000-0000-0000D6020000}"/>
    <cellStyle name="Notiz 4 2 2" xfId="378" xr:uid="{00000000-0005-0000-0000-0000D7020000}"/>
    <cellStyle name="Notiz 4 2 2 2" xfId="882" xr:uid="{00000000-0005-0000-0000-0000D8020000}"/>
    <cellStyle name="Notiz 4 2 2 3" xfId="883" xr:uid="{00000000-0005-0000-0000-0000D9020000}"/>
    <cellStyle name="Notiz 4 2 2 4" xfId="884" xr:uid="{00000000-0005-0000-0000-0000DA020000}"/>
    <cellStyle name="Notiz 4 2 3" xfId="885" xr:uid="{00000000-0005-0000-0000-0000DB020000}"/>
    <cellStyle name="Notiz 4 2 4" xfId="886" xr:uid="{00000000-0005-0000-0000-0000DC020000}"/>
    <cellStyle name="Notiz 4 2 5" xfId="887" xr:uid="{00000000-0005-0000-0000-0000DD020000}"/>
    <cellStyle name="Notiz 4 3" xfId="379" xr:uid="{00000000-0005-0000-0000-0000DE020000}"/>
    <cellStyle name="Notiz 4 3 2" xfId="888" xr:uid="{00000000-0005-0000-0000-0000DF020000}"/>
    <cellStyle name="Notiz 4 3 3" xfId="889" xr:uid="{00000000-0005-0000-0000-0000E0020000}"/>
    <cellStyle name="Notiz 4 3 4" xfId="890" xr:uid="{00000000-0005-0000-0000-0000E1020000}"/>
    <cellStyle name="Notiz 4 4" xfId="891" xr:uid="{00000000-0005-0000-0000-0000E2020000}"/>
    <cellStyle name="Notiz 4 5" xfId="892" xr:uid="{00000000-0005-0000-0000-0000E3020000}"/>
    <cellStyle name="Notiz 4 6" xfId="893" xr:uid="{00000000-0005-0000-0000-0000E4020000}"/>
    <cellStyle name="Notiz 5" xfId="380" xr:uid="{00000000-0005-0000-0000-0000E5020000}"/>
    <cellStyle name="Notiz 5 2" xfId="381" xr:uid="{00000000-0005-0000-0000-0000E6020000}"/>
    <cellStyle name="Notiz 5 2 2" xfId="382" xr:uid="{00000000-0005-0000-0000-0000E7020000}"/>
    <cellStyle name="Notiz 5 2 2 2" xfId="894" xr:uid="{00000000-0005-0000-0000-0000E8020000}"/>
    <cellStyle name="Notiz 5 2 2 3" xfId="895" xr:uid="{00000000-0005-0000-0000-0000E9020000}"/>
    <cellStyle name="Notiz 5 2 2 4" xfId="896" xr:uid="{00000000-0005-0000-0000-0000EA020000}"/>
    <cellStyle name="Notiz 5 2 3" xfId="897" xr:uid="{00000000-0005-0000-0000-0000EB020000}"/>
    <cellStyle name="Notiz 5 2 4" xfId="898" xr:uid="{00000000-0005-0000-0000-0000EC020000}"/>
    <cellStyle name="Notiz 5 2 5" xfId="899" xr:uid="{00000000-0005-0000-0000-0000ED020000}"/>
    <cellStyle name="Notiz 5 3" xfId="383" xr:uid="{00000000-0005-0000-0000-0000EE020000}"/>
    <cellStyle name="Notiz 5 3 2" xfId="900" xr:uid="{00000000-0005-0000-0000-0000EF020000}"/>
    <cellStyle name="Notiz 5 3 3" xfId="901" xr:uid="{00000000-0005-0000-0000-0000F0020000}"/>
    <cellStyle name="Notiz 5 3 4" xfId="902" xr:uid="{00000000-0005-0000-0000-0000F1020000}"/>
    <cellStyle name="Notiz 5 4" xfId="903" xr:uid="{00000000-0005-0000-0000-0000F2020000}"/>
    <cellStyle name="Notiz 5 5" xfId="904" xr:uid="{00000000-0005-0000-0000-0000F3020000}"/>
    <cellStyle name="Notiz 5 6" xfId="905" xr:uid="{00000000-0005-0000-0000-0000F4020000}"/>
    <cellStyle name="Notiz 6" xfId="384" xr:uid="{00000000-0005-0000-0000-0000F5020000}"/>
    <cellStyle name="Notiz 6 2" xfId="385" xr:uid="{00000000-0005-0000-0000-0000F6020000}"/>
    <cellStyle name="Notiz 6 2 2" xfId="906" xr:uid="{00000000-0005-0000-0000-0000F7020000}"/>
    <cellStyle name="Notiz 6 2 3" xfId="907" xr:uid="{00000000-0005-0000-0000-0000F8020000}"/>
    <cellStyle name="Notiz 6 2 4" xfId="908" xr:uid="{00000000-0005-0000-0000-0000F9020000}"/>
    <cellStyle name="Notiz 6 3" xfId="909" xr:uid="{00000000-0005-0000-0000-0000FA020000}"/>
    <cellStyle name="Notiz 6 4" xfId="910" xr:uid="{00000000-0005-0000-0000-0000FB020000}"/>
    <cellStyle name="Notiz 6 5" xfId="911" xr:uid="{00000000-0005-0000-0000-0000FC020000}"/>
    <cellStyle name="Notiz 7" xfId="386" xr:uid="{00000000-0005-0000-0000-0000FD020000}"/>
    <cellStyle name="Notiz 7 2" xfId="912" xr:uid="{00000000-0005-0000-0000-0000FE020000}"/>
    <cellStyle name="Notiz 7 3" xfId="913" xr:uid="{00000000-0005-0000-0000-0000FF020000}"/>
    <cellStyle name="Notiz 7 4" xfId="914" xr:uid="{00000000-0005-0000-0000-000000030000}"/>
    <cellStyle name="Notiz 8" xfId="387" xr:uid="{00000000-0005-0000-0000-000001030000}"/>
    <cellStyle name="Notiz 9" xfId="915" xr:uid="{00000000-0005-0000-0000-000002030000}"/>
    <cellStyle name="Output 2" xfId="388" xr:uid="{00000000-0005-0000-0000-000003030000}"/>
    <cellStyle name="Percent 2" xfId="916" xr:uid="{00000000-0005-0000-0000-000004030000}"/>
    <cellStyle name="Prozent" xfId="389" builtinId="5"/>
    <cellStyle name="Prozent 10" xfId="390" xr:uid="{00000000-0005-0000-0000-000006030000}"/>
    <cellStyle name="Prozent 10 2" xfId="391" xr:uid="{00000000-0005-0000-0000-000007030000}"/>
    <cellStyle name="Prozent 10 3" xfId="392" xr:uid="{00000000-0005-0000-0000-000008030000}"/>
    <cellStyle name="Prozent 10 3 2" xfId="918" xr:uid="{00000000-0005-0000-0000-000009030000}"/>
    <cellStyle name="Prozent 10 3 3" xfId="917" xr:uid="{00000000-0005-0000-0000-00000A030000}"/>
    <cellStyle name="Prozent 10 4" xfId="393" xr:uid="{00000000-0005-0000-0000-00000B030000}"/>
    <cellStyle name="Prozent 10 4 2" xfId="1153" xr:uid="{00000000-0005-0000-0000-00000C030000}"/>
    <cellStyle name="Prozent 10 4 3" xfId="919" xr:uid="{00000000-0005-0000-0000-00000D030000}"/>
    <cellStyle name="Prozent 10 4 4" xfId="594" xr:uid="{00000000-0005-0000-0000-00000E030000}"/>
    <cellStyle name="Prozent 10 5" xfId="593" xr:uid="{00000000-0005-0000-0000-00000F030000}"/>
    <cellStyle name="Prozent 11" xfId="394" xr:uid="{00000000-0005-0000-0000-000010030000}"/>
    <cellStyle name="Prozent 12" xfId="395" xr:uid="{00000000-0005-0000-0000-000011030000}"/>
    <cellStyle name="Prozent 13" xfId="920" xr:uid="{00000000-0005-0000-0000-000012030000}"/>
    <cellStyle name="Prozent 2" xfId="396" xr:uid="{00000000-0005-0000-0000-000013030000}"/>
    <cellStyle name="Prozent 3" xfId="397" xr:uid="{00000000-0005-0000-0000-000014030000}"/>
    <cellStyle name="Prozent 3 2" xfId="398" xr:uid="{00000000-0005-0000-0000-000015030000}"/>
    <cellStyle name="Prozent 3 2 2" xfId="399" xr:uid="{00000000-0005-0000-0000-000016030000}"/>
    <cellStyle name="Prozent 3 2 2 2" xfId="400" xr:uid="{00000000-0005-0000-0000-000017030000}"/>
    <cellStyle name="Prozent 3 2 2 2 2" xfId="401" xr:uid="{00000000-0005-0000-0000-000018030000}"/>
    <cellStyle name="Prozent 3 2 2 2 2 2" xfId="921" xr:uid="{00000000-0005-0000-0000-000019030000}"/>
    <cellStyle name="Prozent 3 2 2 2 2 3" xfId="922" xr:uid="{00000000-0005-0000-0000-00001A030000}"/>
    <cellStyle name="Prozent 3 2 2 2 2 4" xfId="923" xr:uid="{00000000-0005-0000-0000-00001B030000}"/>
    <cellStyle name="Prozent 3 2 2 2 3" xfId="924" xr:uid="{00000000-0005-0000-0000-00001C030000}"/>
    <cellStyle name="Prozent 3 2 2 2 4" xfId="925" xr:uid="{00000000-0005-0000-0000-00001D030000}"/>
    <cellStyle name="Prozent 3 2 2 2 5" xfId="926" xr:uid="{00000000-0005-0000-0000-00001E030000}"/>
    <cellStyle name="Prozent 3 2 2 3" xfId="402" xr:uid="{00000000-0005-0000-0000-00001F030000}"/>
    <cellStyle name="Prozent 3 2 2 3 2" xfId="927" xr:uid="{00000000-0005-0000-0000-000020030000}"/>
    <cellStyle name="Prozent 3 2 2 3 3" xfId="928" xr:uid="{00000000-0005-0000-0000-000021030000}"/>
    <cellStyle name="Prozent 3 2 2 3 4" xfId="929" xr:uid="{00000000-0005-0000-0000-000022030000}"/>
    <cellStyle name="Prozent 3 2 2 4" xfId="930" xr:uid="{00000000-0005-0000-0000-000023030000}"/>
    <cellStyle name="Prozent 3 2 2 5" xfId="931" xr:uid="{00000000-0005-0000-0000-000024030000}"/>
    <cellStyle name="Prozent 3 2 2 6" xfId="932" xr:uid="{00000000-0005-0000-0000-000025030000}"/>
    <cellStyle name="Prozent 3 2 3" xfId="403" xr:uid="{00000000-0005-0000-0000-000026030000}"/>
    <cellStyle name="Prozent 3 2 3 2" xfId="404" xr:uid="{00000000-0005-0000-0000-000027030000}"/>
    <cellStyle name="Prozent 3 2 3 2 2" xfId="933" xr:uid="{00000000-0005-0000-0000-000028030000}"/>
    <cellStyle name="Prozent 3 2 3 2 3" xfId="934" xr:uid="{00000000-0005-0000-0000-000029030000}"/>
    <cellStyle name="Prozent 3 2 3 2 4" xfId="935" xr:uid="{00000000-0005-0000-0000-00002A030000}"/>
    <cellStyle name="Prozent 3 2 3 3" xfId="936" xr:uid="{00000000-0005-0000-0000-00002B030000}"/>
    <cellStyle name="Prozent 3 2 3 4" xfId="937" xr:uid="{00000000-0005-0000-0000-00002C030000}"/>
    <cellStyle name="Prozent 3 2 3 5" xfId="938" xr:uid="{00000000-0005-0000-0000-00002D030000}"/>
    <cellStyle name="Prozent 3 2 4" xfId="405" xr:uid="{00000000-0005-0000-0000-00002E030000}"/>
    <cellStyle name="Prozent 3 2 4 2" xfId="406" xr:uid="{00000000-0005-0000-0000-00002F030000}"/>
    <cellStyle name="Prozent 3 2 4 3" xfId="407" xr:uid="{00000000-0005-0000-0000-000030030000}"/>
    <cellStyle name="Prozent 3 2 4 4" xfId="939" xr:uid="{00000000-0005-0000-0000-000031030000}"/>
    <cellStyle name="Prozent 3 2 4 5" xfId="940" xr:uid="{00000000-0005-0000-0000-000032030000}"/>
    <cellStyle name="Prozent 3 2 5" xfId="408" xr:uid="{00000000-0005-0000-0000-000033030000}"/>
    <cellStyle name="Prozent 3 3" xfId="409" xr:uid="{00000000-0005-0000-0000-000034030000}"/>
    <cellStyle name="Prozent 3 3 2" xfId="410" xr:uid="{00000000-0005-0000-0000-000035030000}"/>
    <cellStyle name="Prozent 3 3 2 2" xfId="411" xr:uid="{00000000-0005-0000-0000-000036030000}"/>
    <cellStyle name="Prozent 3 3 2 2 2" xfId="941" xr:uid="{00000000-0005-0000-0000-000037030000}"/>
    <cellStyle name="Prozent 3 3 2 2 3" xfId="942" xr:uid="{00000000-0005-0000-0000-000038030000}"/>
    <cellStyle name="Prozent 3 3 2 2 4" xfId="943" xr:uid="{00000000-0005-0000-0000-000039030000}"/>
    <cellStyle name="Prozent 3 3 2 3" xfId="944" xr:uid="{00000000-0005-0000-0000-00003A030000}"/>
    <cellStyle name="Prozent 3 3 2 4" xfId="945" xr:uid="{00000000-0005-0000-0000-00003B030000}"/>
    <cellStyle name="Prozent 3 3 2 5" xfId="946" xr:uid="{00000000-0005-0000-0000-00003C030000}"/>
    <cellStyle name="Prozent 3 3 3" xfId="412" xr:uid="{00000000-0005-0000-0000-00003D030000}"/>
    <cellStyle name="Prozent 3 3 3 2" xfId="947" xr:uid="{00000000-0005-0000-0000-00003E030000}"/>
    <cellStyle name="Prozent 3 3 3 3" xfId="948" xr:uid="{00000000-0005-0000-0000-00003F030000}"/>
    <cellStyle name="Prozent 3 3 3 4" xfId="949" xr:uid="{00000000-0005-0000-0000-000040030000}"/>
    <cellStyle name="Prozent 3 3 4" xfId="950" xr:uid="{00000000-0005-0000-0000-000041030000}"/>
    <cellStyle name="Prozent 3 3 5" xfId="951" xr:uid="{00000000-0005-0000-0000-000042030000}"/>
    <cellStyle name="Prozent 3 3 6" xfId="952" xr:uid="{00000000-0005-0000-0000-000043030000}"/>
    <cellStyle name="Prozent 3 4" xfId="413" xr:uid="{00000000-0005-0000-0000-000044030000}"/>
    <cellStyle name="Prozent 3 4 2" xfId="414" xr:uid="{00000000-0005-0000-0000-000045030000}"/>
    <cellStyle name="Prozent 3 4 2 2" xfId="953" xr:uid="{00000000-0005-0000-0000-000046030000}"/>
    <cellStyle name="Prozent 3 4 2 3" xfId="954" xr:uid="{00000000-0005-0000-0000-000047030000}"/>
    <cellStyle name="Prozent 3 4 2 4" xfId="955" xr:uid="{00000000-0005-0000-0000-000048030000}"/>
    <cellStyle name="Prozent 3 4 3" xfId="956" xr:uid="{00000000-0005-0000-0000-000049030000}"/>
    <cellStyle name="Prozent 3 4 4" xfId="957" xr:uid="{00000000-0005-0000-0000-00004A030000}"/>
    <cellStyle name="Prozent 3 4 5" xfId="958" xr:uid="{00000000-0005-0000-0000-00004B030000}"/>
    <cellStyle name="Prozent 3 5" xfId="415" xr:uid="{00000000-0005-0000-0000-00004C030000}"/>
    <cellStyle name="Prozent 3 5 2" xfId="959" xr:uid="{00000000-0005-0000-0000-00004D030000}"/>
    <cellStyle name="Prozent 3 5 3" xfId="960" xr:uid="{00000000-0005-0000-0000-00004E030000}"/>
    <cellStyle name="Prozent 3 5 4" xfId="961" xr:uid="{00000000-0005-0000-0000-00004F030000}"/>
    <cellStyle name="Prozent 3 6" xfId="962" xr:uid="{00000000-0005-0000-0000-000050030000}"/>
    <cellStyle name="Prozent 3 7" xfId="963" xr:uid="{00000000-0005-0000-0000-000051030000}"/>
    <cellStyle name="Prozent 3 8" xfId="964" xr:uid="{00000000-0005-0000-0000-000052030000}"/>
    <cellStyle name="Prozent 4" xfId="416" xr:uid="{00000000-0005-0000-0000-000053030000}"/>
    <cellStyle name="Prozent 4 2" xfId="417" xr:uid="{00000000-0005-0000-0000-000054030000}"/>
    <cellStyle name="Prozent 4 2 2" xfId="418" xr:uid="{00000000-0005-0000-0000-000055030000}"/>
    <cellStyle name="Prozent 4 2 2 2" xfId="419" xr:uid="{00000000-0005-0000-0000-000056030000}"/>
    <cellStyle name="Prozent 4 2 2 2 2" xfId="420" xr:uid="{00000000-0005-0000-0000-000057030000}"/>
    <cellStyle name="Prozent 4 2 2 2 2 2" xfId="965" xr:uid="{00000000-0005-0000-0000-000058030000}"/>
    <cellStyle name="Prozent 4 2 2 2 2 3" xfId="966" xr:uid="{00000000-0005-0000-0000-000059030000}"/>
    <cellStyle name="Prozent 4 2 2 2 2 4" xfId="967" xr:uid="{00000000-0005-0000-0000-00005A030000}"/>
    <cellStyle name="Prozent 4 2 2 2 3" xfId="968" xr:uid="{00000000-0005-0000-0000-00005B030000}"/>
    <cellStyle name="Prozent 4 2 2 2 4" xfId="969" xr:uid="{00000000-0005-0000-0000-00005C030000}"/>
    <cellStyle name="Prozent 4 2 2 2 5" xfId="970" xr:uid="{00000000-0005-0000-0000-00005D030000}"/>
    <cellStyle name="Prozent 4 2 2 3" xfId="421" xr:uid="{00000000-0005-0000-0000-00005E030000}"/>
    <cellStyle name="Prozent 4 2 2 3 2" xfId="971" xr:uid="{00000000-0005-0000-0000-00005F030000}"/>
    <cellStyle name="Prozent 4 2 2 3 3" xfId="972" xr:uid="{00000000-0005-0000-0000-000060030000}"/>
    <cellStyle name="Prozent 4 2 2 3 4" xfId="973" xr:uid="{00000000-0005-0000-0000-000061030000}"/>
    <cellStyle name="Prozent 4 2 2 4" xfId="974" xr:uid="{00000000-0005-0000-0000-000062030000}"/>
    <cellStyle name="Prozent 4 2 2 5" xfId="975" xr:uid="{00000000-0005-0000-0000-000063030000}"/>
    <cellStyle name="Prozent 4 2 2 6" xfId="976" xr:uid="{00000000-0005-0000-0000-000064030000}"/>
    <cellStyle name="Prozent 4 2 3" xfId="422" xr:uid="{00000000-0005-0000-0000-000065030000}"/>
    <cellStyle name="Prozent 4 2 3 2" xfId="423" xr:uid="{00000000-0005-0000-0000-000066030000}"/>
    <cellStyle name="Prozent 4 2 3 2 2" xfId="977" xr:uid="{00000000-0005-0000-0000-000067030000}"/>
    <cellStyle name="Prozent 4 2 3 2 3" xfId="978" xr:uid="{00000000-0005-0000-0000-000068030000}"/>
    <cellStyle name="Prozent 4 2 3 2 4" xfId="979" xr:uid="{00000000-0005-0000-0000-000069030000}"/>
    <cellStyle name="Prozent 4 2 3 3" xfId="980" xr:uid="{00000000-0005-0000-0000-00006A030000}"/>
    <cellStyle name="Prozent 4 2 3 4" xfId="981" xr:uid="{00000000-0005-0000-0000-00006B030000}"/>
    <cellStyle name="Prozent 4 2 3 5" xfId="982" xr:uid="{00000000-0005-0000-0000-00006C030000}"/>
    <cellStyle name="Prozent 4 2 4" xfId="424" xr:uid="{00000000-0005-0000-0000-00006D030000}"/>
    <cellStyle name="Prozent 4 2 4 2" xfId="983" xr:uid="{00000000-0005-0000-0000-00006E030000}"/>
    <cellStyle name="Prozent 4 2 4 3" xfId="984" xr:uid="{00000000-0005-0000-0000-00006F030000}"/>
    <cellStyle name="Prozent 4 2 4 4" xfId="985" xr:uid="{00000000-0005-0000-0000-000070030000}"/>
    <cellStyle name="Prozent 4 2 5" xfId="986" xr:uid="{00000000-0005-0000-0000-000071030000}"/>
    <cellStyle name="Prozent 4 2 6" xfId="987" xr:uid="{00000000-0005-0000-0000-000072030000}"/>
    <cellStyle name="Prozent 4 2 7" xfId="988" xr:uid="{00000000-0005-0000-0000-000073030000}"/>
    <cellStyle name="Prozent 4 3" xfId="425" xr:uid="{00000000-0005-0000-0000-000074030000}"/>
    <cellStyle name="Prozent 4 3 2" xfId="426" xr:uid="{00000000-0005-0000-0000-000075030000}"/>
    <cellStyle name="Prozent 4 3 2 2" xfId="427" xr:uid="{00000000-0005-0000-0000-000076030000}"/>
    <cellStyle name="Prozent 4 3 2 2 2" xfId="989" xr:uid="{00000000-0005-0000-0000-000077030000}"/>
    <cellStyle name="Prozent 4 3 2 2 3" xfId="990" xr:uid="{00000000-0005-0000-0000-000078030000}"/>
    <cellStyle name="Prozent 4 3 2 2 4" xfId="991" xr:uid="{00000000-0005-0000-0000-000079030000}"/>
    <cellStyle name="Prozent 4 3 2 3" xfId="992" xr:uid="{00000000-0005-0000-0000-00007A030000}"/>
    <cellStyle name="Prozent 4 3 2 4" xfId="993" xr:uid="{00000000-0005-0000-0000-00007B030000}"/>
    <cellStyle name="Prozent 4 3 2 5" xfId="994" xr:uid="{00000000-0005-0000-0000-00007C030000}"/>
    <cellStyle name="Prozent 4 3 3" xfId="428" xr:uid="{00000000-0005-0000-0000-00007D030000}"/>
    <cellStyle name="Prozent 4 3 3 2" xfId="429" xr:uid="{00000000-0005-0000-0000-00007E030000}"/>
    <cellStyle name="Prozent 4 3 3 2 2" xfId="995" xr:uid="{00000000-0005-0000-0000-00007F030000}"/>
    <cellStyle name="Prozent 4 3 3 2 3" xfId="996" xr:uid="{00000000-0005-0000-0000-000080030000}"/>
    <cellStyle name="Prozent 4 3 3 2 4" xfId="997" xr:uid="{00000000-0005-0000-0000-000081030000}"/>
    <cellStyle name="Prozent 4 3 3 3" xfId="998" xr:uid="{00000000-0005-0000-0000-000082030000}"/>
    <cellStyle name="Prozent 4 3 3 4" xfId="999" xr:uid="{00000000-0005-0000-0000-000083030000}"/>
    <cellStyle name="Prozent 4 3 3 5" xfId="1000" xr:uid="{00000000-0005-0000-0000-000084030000}"/>
    <cellStyle name="Prozent 4 3 4" xfId="430" xr:uid="{00000000-0005-0000-0000-000085030000}"/>
    <cellStyle name="Prozent 4 3 4 2" xfId="431" xr:uid="{00000000-0005-0000-0000-000086030000}"/>
    <cellStyle name="Prozent 4 3 4 3" xfId="432" xr:uid="{00000000-0005-0000-0000-000087030000}"/>
    <cellStyle name="Prozent 4 3 4 4" xfId="433" xr:uid="{00000000-0005-0000-0000-000088030000}"/>
    <cellStyle name="Prozent 4 3 4 4 2" xfId="1154" xr:uid="{00000000-0005-0000-0000-000089030000}"/>
    <cellStyle name="Prozent 4 3 4 4 3" xfId="1001" xr:uid="{00000000-0005-0000-0000-00008A030000}"/>
    <cellStyle name="Prozent 4 3 4 4 4" xfId="597" xr:uid="{00000000-0005-0000-0000-00008B030000}"/>
    <cellStyle name="Prozent 4 3 4 5" xfId="596" xr:uid="{00000000-0005-0000-0000-00008C030000}"/>
    <cellStyle name="Prozent 4 3 5" xfId="1002" xr:uid="{00000000-0005-0000-0000-00008D030000}"/>
    <cellStyle name="Prozent 4 3 6" xfId="595" xr:uid="{00000000-0005-0000-0000-00008E030000}"/>
    <cellStyle name="Prozent 4 4" xfId="434" xr:uid="{00000000-0005-0000-0000-00008F030000}"/>
    <cellStyle name="Prozent 4 4 2" xfId="435" xr:uid="{00000000-0005-0000-0000-000090030000}"/>
    <cellStyle name="Prozent 4 4 2 2" xfId="1003" xr:uid="{00000000-0005-0000-0000-000091030000}"/>
    <cellStyle name="Prozent 4 4 2 3" xfId="1004" xr:uid="{00000000-0005-0000-0000-000092030000}"/>
    <cellStyle name="Prozent 4 4 2 4" xfId="1005" xr:uid="{00000000-0005-0000-0000-000093030000}"/>
    <cellStyle name="Prozent 4 4 3" xfId="1006" xr:uid="{00000000-0005-0000-0000-000094030000}"/>
    <cellStyle name="Prozent 4 4 4" xfId="1007" xr:uid="{00000000-0005-0000-0000-000095030000}"/>
    <cellStyle name="Prozent 4 4 5" xfId="1008" xr:uid="{00000000-0005-0000-0000-000096030000}"/>
    <cellStyle name="Prozent 4 5" xfId="436" xr:uid="{00000000-0005-0000-0000-000097030000}"/>
    <cellStyle name="Prozent 4 5 2" xfId="1009" xr:uid="{00000000-0005-0000-0000-000098030000}"/>
    <cellStyle name="Prozent 4 5 3" xfId="1010" xr:uid="{00000000-0005-0000-0000-000099030000}"/>
    <cellStyle name="Prozent 4 5 4" xfId="1011" xr:uid="{00000000-0005-0000-0000-00009A030000}"/>
    <cellStyle name="Prozent 4 6" xfId="1012" xr:uid="{00000000-0005-0000-0000-00009B030000}"/>
    <cellStyle name="Prozent 4 7" xfId="1013" xr:uid="{00000000-0005-0000-0000-00009C030000}"/>
    <cellStyle name="Prozent 4 8" xfId="1014" xr:uid="{00000000-0005-0000-0000-00009D030000}"/>
    <cellStyle name="Prozent 5" xfId="437" xr:uid="{00000000-0005-0000-0000-00009E030000}"/>
    <cellStyle name="Prozent 5 2" xfId="438" xr:uid="{00000000-0005-0000-0000-00009F030000}"/>
    <cellStyle name="Prozent 5 2 2" xfId="439" xr:uid="{00000000-0005-0000-0000-0000A0030000}"/>
    <cellStyle name="Prozent 5 2 2 2" xfId="440" xr:uid="{00000000-0005-0000-0000-0000A1030000}"/>
    <cellStyle name="Prozent 5 2 2 2 2" xfId="1015" xr:uid="{00000000-0005-0000-0000-0000A2030000}"/>
    <cellStyle name="Prozent 5 2 2 2 3" xfId="1016" xr:uid="{00000000-0005-0000-0000-0000A3030000}"/>
    <cellStyle name="Prozent 5 2 2 2 4" xfId="1017" xr:uid="{00000000-0005-0000-0000-0000A4030000}"/>
    <cellStyle name="Prozent 5 2 2 3" xfId="1018" xr:uid="{00000000-0005-0000-0000-0000A5030000}"/>
    <cellStyle name="Prozent 5 2 2 4" xfId="1019" xr:uid="{00000000-0005-0000-0000-0000A6030000}"/>
    <cellStyle name="Prozent 5 2 2 5" xfId="1020" xr:uid="{00000000-0005-0000-0000-0000A7030000}"/>
    <cellStyle name="Prozent 5 2 3" xfId="441" xr:uid="{00000000-0005-0000-0000-0000A8030000}"/>
    <cellStyle name="Prozent 5 2 3 2" xfId="1021" xr:uid="{00000000-0005-0000-0000-0000A9030000}"/>
    <cellStyle name="Prozent 5 2 3 3" xfId="1022" xr:uid="{00000000-0005-0000-0000-0000AA030000}"/>
    <cellStyle name="Prozent 5 2 3 4" xfId="1023" xr:uid="{00000000-0005-0000-0000-0000AB030000}"/>
    <cellStyle name="Prozent 5 2 4" xfId="1024" xr:uid="{00000000-0005-0000-0000-0000AC030000}"/>
    <cellStyle name="Prozent 5 2 5" xfId="1025" xr:uid="{00000000-0005-0000-0000-0000AD030000}"/>
    <cellStyle name="Prozent 5 2 6" xfId="1026" xr:uid="{00000000-0005-0000-0000-0000AE030000}"/>
    <cellStyle name="Prozent 5 3" xfId="442" xr:uid="{00000000-0005-0000-0000-0000AF030000}"/>
    <cellStyle name="Prozent 5 3 2" xfId="443" xr:uid="{00000000-0005-0000-0000-0000B0030000}"/>
    <cellStyle name="Prozent 5 3 2 2" xfId="1027" xr:uid="{00000000-0005-0000-0000-0000B1030000}"/>
    <cellStyle name="Prozent 5 3 2 3" xfId="1028" xr:uid="{00000000-0005-0000-0000-0000B2030000}"/>
    <cellStyle name="Prozent 5 3 2 4" xfId="1029" xr:uid="{00000000-0005-0000-0000-0000B3030000}"/>
    <cellStyle name="Prozent 5 3 3" xfId="1030" xr:uid="{00000000-0005-0000-0000-0000B4030000}"/>
    <cellStyle name="Prozent 5 3 4" xfId="1031" xr:uid="{00000000-0005-0000-0000-0000B5030000}"/>
    <cellStyle name="Prozent 5 3 5" xfId="1032" xr:uid="{00000000-0005-0000-0000-0000B6030000}"/>
    <cellStyle name="Prozent 5 4" xfId="444" xr:uid="{00000000-0005-0000-0000-0000B7030000}"/>
    <cellStyle name="Prozent 5 4 2" xfId="445" xr:uid="{00000000-0005-0000-0000-0000B8030000}"/>
    <cellStyle name="Prozent 5 4 3" xfId="446" xr:uid="{00000000-0005-0000-0000-0000B9030000}"/>
    <cellStyle name="Prozent 5 4 3 2" xfId="447" xr:uid="{00000000-0005-0000-0000-0000BA030000}"/>
    <cellStyle name="Prozent 5 4 3 3" xfId="448" xr:uid="{00000000-0005-0000-0000-0000BB030000}"/>
    <cellStyle name="Prozent 5 4 3 4" xfId="1033" xr:uid="{00000000-0005-0000-0000-0000BC030000}"/>
    <cellStyle name="Prozent 5 4 4" xfId="449" xr:uid="{00000000-0005-0000-0000-0000BD030000}"/>
    <cellStyle name="Prozent 5 4 4 2" xfId="1034" xr:uid="{00000000-0005-0000-0000-0000BE030000}"/>
    <cellStyle name="Prozent 5 4 4 3" xfId="600" xr:uid="{00000000-0005-0000-0000-0000BF030000}"/>
    <cellStyle name="Prozent 5 4 5" xfId="1035" xr:uid="{00000000-0005-0000-0000-0000C0030000}"/>
    <cellStyle name="Prozent 5 4 6" xfId="599" xr:uid="{00000000-0005-0000-0000-0000C1030000}"/>
    <cellStyle name="Prozent 5 5" xfId="450" xr:uid="{00000000-0005-0000-0000-0000C2030000}"/>
    <cellStyle name="Prozent 5 5 2" xfId="451" xr:uid="{00000000-0005-0000-0000-0000C3030000}"/>
    <cellStyle name="Prozent 5 5 3" xfId="452" xr:uid="{00000000-0005-0000-0000-0000C4030000}"/>
    <cellStyle name="Prozent 5 5 4" xfId="453" xr:uid="{00000000-0005-0000-0000-0000C5030000}"/>
    <cellStyle name="Prozent 5 5 4 2" xfId="1155" xr:uid="{00000000-0005-0000-0000-0000C6030000}"/>
    <cellStyle name="Prozent 5 5 4 3" xfId="1036" xr:uid="{00000000-0005-0000-0000-0000C7030000}"/>
    <cellStyle name="Prozent 5 5 4 4" xfId="602" xr:uid="{00000000-0005-0000-0000-0000C8030000}"/>
    <cellStyle name="Prozent 5 5 5" xfId="601" xr:uid="{00000000-0005-0000-0000-0000C9030000}"/>
    <cellStyle name="Prozent 5 6" xfId="1037" xr:uid="{00000000-0005-0000-0000-0000CA030000}"/>
    <cellStyle name="Prozent 5 7" xfId="598" xr:uid="{00000000-0005-0000-0000-0000CB030000}"/>
    <cellStyle name="Prozent 6" xfId="454" xr:uid="{00000000-0005-0000-0000-0000CC030000}"/>
    <cellStyle name="Prozent 6 2" xfId="455" xr:uid="{00000000-0005-0000-0000-0000CD030000}"/>
    <cellStyle name="Prozent 6 2 2" xfId="456" xr:uid="{00000000-0005-0000-0000-0000CE030000}"/>
    <cellStyle name="Prozent 6 2 2 2" xfId="1038" xr:uid="{00000000-0005-0000-0000-0000CF030000}"/>
    <cellStyle name="Prozent 6 2 2 3" xfId="1039" xr:uid="{00000000-0005-0000-0000-0000D0030000}"/>
    <cellStyle name="Prozent 6 2 2 4" xfId="1040" xr:uid="{00000000-0005-0000-0000-0000D1030000}"/>
    <cellStyle name="Prozent 6 2 3" xfId="1041" xr:uid="{00000000-0005-0000-0000-0000D2030000}"/>
    <cellStyle name="Prozent 6 2 4" xfId="1042" xr:uid="{00000000-0005-0000-0000-0000D3030000}"/>
    <cellStyle name="Prozent 6 2 5" xfId="1043" xr:uid="{00000000-0005-0000-0000-0000D4030000}"/>
    <cellStyle name="Prozent 6 3" xfId="457" xr:uid="{00000000-0005-0000-0000-0000D5030000}"/>
    <cellStyle name="Prozent 6 3 2" xfId="1044" xr:uid="{00000000-0005-0000-0000-0000D6030000}"/>
    <cellStyle name="Prozent 6 3 3" xfId="1045" xr:uid="{00000000-0005-0000-0000-0000D7030000}"/>
    <cellStyle name="Prozent 6 3 4" xfId="1046" xr:uid="{00000000-0005-0000-0000-0000D8030000}"/>
    <cellStyle name="Prozent 6 4" xfId="1047" xr:uid="{00000000-0005-0000-0000-0000D9030000}"/>
    <cellStyle name="Prozent 6 5" xfId="1048" xr:uid="{00000000-0005-0000-0000-0000DA030000}"/>
    <cellStyle name="Prozent 6 6" xfId="1049" xr:uid="{00000000-0005-0000-0000-0000DB030000}"/>
    <cellStyle name="Prozent 7" xfId="458" xr:uid="{00000000-0005-0000-0000-0000DC030000}"/>
    <cellStyle name="Prozent 7 2" xfId="459" xr:uid="{00000000-0005-0000-0000-0000DD030000}"/>
    <cellStyle name="Prozent 7 2 2" xfId="460" xr:uid="{00000000-0005-0000-0000-0000DE030000}"/>
    <cellStyle name="Prozent 7 2 2 2" xfId="1050" xr:uid="{00000000-0005-0000-0000-0000DF030000}"/>
    <cellStyle name="Prozent 7 2 2 3" xfId="1051" xr:uid="{00000000-0005-0000-0000-0000E0030000}"/>
    <cellStyle name="Prozent 7 2 2 4" xfId="1052" xr:uid="{00000000-0005-0000-0000-0000E1030000}"/>
    <cellStyle name="Prozent 7 2 3" xfId="1053" xr:uid="{00000000-0005-0000-0000-0000E2030000}"/>
    <cellStyle name="Prozent 7 2 4" xfId="1054" xr:uid="{00000000-0005-0000-0000-0000E3030000}"/>
    <cellStyle name="Prozent 7 2 5" xfId="1055" xr:uid="{00000000-0005-0000-0000-0000E4030000}"/>
    <cellStyle name="Prozent 7 3" xfId="461" xr:uid="{00000000-0005-0000-0000-0000E5030000}"/>
    <cellStyle name="Prozent 7 3 2" xfId="1056" xr:uid="{00000000-0005-0000-0000-0000E6030000}"/>
    <cellStyle name="Prozent 7 3 3" xfId="1057" xr:uid="{00000000-0005-0000-0000-0000E7030000}"/>
    <cellStyle name="Prozent 7 3 4" xfId="1058" xr:uid="{00000000-0005-0000-0000-0000E8030000}"/>
    <cellStyle name="Prozent 7 4" xfId="1059" xr:uid="{00000000-0005-0000-0000-0000E9030000}"/>
    <cellStyle name="Prozent 7 5" xfId="1060" xr:uid="{00000000-0005-0000-0000-0000EA030000}"/>
    <cellStyle name="Prozent 7 6" xfId="1061" xr:uid="{00000000-0005-0000-0000-0000EB030000}"/>
    <cellStyle name="Prozent 8" xfId="462" xr:uid="{00000000-0005-0000-0000-0000EC030000}"/>
    <cellStyle name="Prozent 8 2" xfId="463" xr:uid="{00000000-0005-0000-0000-0000ED030000}"/>
    <cellStyle name="Prozent 8 2 2" xfId="464" xr:uid="{00000000-0005-0000-0000-0000EE030000}"/>
    <cellStyle name="Prozent 8 2 3" xfId="465" xr:uid="{00000000-0005-0000-0000-0000EF030000}"/>
    <cellStyle name="Prozent 8 2 4" xfId="1062" xr:uid="{00000000-0005-0000-0000-0000F0030000}"/>
    <cellStyle name="Prozent 8 3" xfId="466" xr:uid="{00000000-0005-0000-0000-0000F1030000}"/>
    <cellStyle name="Prozent 8 3 2" xfId="467" xr:uid="{00000000-0005-0000-0000-0000F2030000}"/>
    <cellStyle name="Prozent 8 3 2 2" xfId="468" xr:uid="{00000000-0005-0000-0000-0000F3030000}"/>
    <cellStyle name="Prozent 8 3 2 2 2" xfId="1064" xr:uid="{00000000-0005-0000-0000-0000F4030000}"/>
    <cellStyle name="Prozent 8 3 2 2 3" xfId="1063" xr:uid="{00000000-0005-0000-0000-0000F5030000}"/>
    <cellStyle name="Prozent 8 3 2 3" xfId="469" xr:uid="{00000000-0005-0000-0000-0000F6030000}"/>
    <cellStyle name="Prozent 8 3 2 3 2" xfId="1156" xr:uid="{00000000-0005-0000-0000-0000F7030000}"/>
    <cellStyle name="Prozent 8 3 2 3 3" xfId="1065" xr:uid="{00000000-0005-0000-0000-0000F8030000}"/>
    <cellStyle name="Prozent 8 3 2 4" xfId="1066" xr:uid="{00000000-0005-0000-0000-0000F9030000}"/>
    <cellStyle name="Prozent 8 3 2 5" xfId="1067" xr:uid="{00000000-0005-0000-0000-0000FA030000}"/>
    <cellStyle name="Prozent 8 3 3" xfId="470" xr:uid="{00000000-0005-0000-0000-0000FB030000}"/>
    <cellStyle name="Prozent 8 3 3 2" xfId="471" xr:uid="{00000000-0005-0000-0000-0000FC030000}"/>
    <cellStyle name="Prozent 8 3 3 3" xfId="472" xr:uid="{00000000-0005-0000-0000-0000FD030000}"/>
    <cellStyle name="Prozent 8 3 4" xfId="1068" xr:uid="{00000000-0005-0000-0000-0000FE030000}"/>
    <cellStyle name="Prozent 8 3 5" xfId="1069" xr:uid="{00000000-0005-0000-0000-0000FF030000}"/>
    <cellStyle name="Prozent 8 3 6" xfId="1070" xr:uid="{00000000-0005-0000-0000-000000040000}"/>
    <cellStyle name="Prozent 9" xfId="473" xr:uid="{00000000-0005-0000-0000-000001040000}"/>
    <cellStyle name="Prozent 9 2" xfId="1071" xr:uid="{00000000-0005-0000-0000-000002040000}"/>
    <cellStyle name="Prozent 9 3" xfId="1072" xr:uid="{00000000-0005-0000-0000-000003040000}"/>
    <cellStyle name="Prozent 9 4" xfId="1073" xr:uid="{00000000-0005-0000-0000-000004040000}"/>
    <cellStyle name="Schlecht 2" xfId="475" xr:uid="{00000000-0005-0000-0000-000005040000}"/>
    <cellStyle name="Schlecht 3" xfId="476" xr:uid="{00000000-0005-0000-0000-000006040000}"/>
    <cellStyle name="Standard" xfId="0" builtinId="0"/>
    <cellStyle name="Standard 2" xfId="477" xr:uid="{00000000-0005-0000-0000-000008040000}"/>
    <cellStyle name="Standard 2 2" xfId="478" xr:uid="{00000000-0005-0000-0000-000009040000}"/>
    <cellStyle name="Standard 2 2 2" xfId="479" xr:uid="{00000000-0005-0000-0000-00000A040000}"/>
    <cellStyle name="Standard 2 2 3" xfId="480" xr:uid="{00000000-0005-0000-0000-00000B040000}"/>
    <cellStyle name="Standard 2 3" xfId="481" xr:uid="{00000000-0005-0000-0000-00000C040000}"/>
    <cellStyle name="Standard 2 4" xfId="482" xr:uid="{00000000-0005-0000-0000-00000D040000}"/>
    <cellStyle name="Standard 2 5" xfId="483" xr:uid="{00000000-0005-0000-0000-00000E040000}"/>
    <cellStyle name="Standard 2 6" xfId="484" xr:uid="{00000000-0005-0000-0000-00000F040000}"/>
    <cellStyle name="Standard 3" xfId="485" xr:uid="{00000000-0005-0000-0000-000010040000}"/>
    <cellStyle name="Standard 3 2" xfId="486" xr:uid="{00000000-0005-0000-0000-000011040000}"/>
    <cellStyle name="Standard 3 2 2" xfId="487" xr:uid="{00000000-0005-0000-0000-000012040000}"/>
    <cellStyle name="Standard 3 2 2 2" xfId="488" xr:uid="{00000000-0005-0000-0000-000013040000}"/>
    <cellStyle name="Standard 3 2 2 2 2" xfId="489" xr:uid="{00000000-0005-0000-0000-000014040000}"/>
    <cellStyle name="Standard 3 2 2 2 2 2" xfId="1075" xr:uid="{00000000-0005-0000-0000-000015040000}"/>
    <cellStyle name="Standard 3 2 2 2 2 3" xfId="1076" xr:uid="{00000000-0005-0000-0000-000016040000}"/>
    <cellStyle name="Standard 3 2 2 2 2 4" xfId="1077" xr:uid="{00000000-0005-0000-0000-000017040000}"/>
    <cellStyle name="Standard 3 2 2 2 3" xfId="1078" xr:uid="{00000000-0005-0000-0000-000018040000}"/>
    <cellStyle name="Standard 3 2 2 2 4" xfId="1079" xr:uid="{00000000-0005-0000-0000-000019040000}"/>
    <cellStyle name="Standard 3 2 2 2 5" xfId="1080" xr:uid="{00000000-0005-0000-0000-00001A040000}"/>
    <cellStyle name="Standard 3 2 2 3" xfId="490" xr:uid="{00000000-0005-0000-0000-00001B040000}"/>
    <cellStyle name="Standard 3 2 2 3 2" xfId="1081" xr:uid="{00000000-0005-0000-0000-00001C040000}"/>
    <cellStyle name="Standard 3 2 2 3 3" xfId="1082" xr:uid="{00000000-0005-0000-0000-00001D040000}"/>
    <cellStyle name="Standard 3 2 2 3 4" xfId="1083" xr:uid="{00000000-0005-0000-0000-00001E040000}"/>
    <cellStyle name="Standard 3 2 2 4" xfId="1084" xr:uid="{00000000-0005-0000-0000-00001F040000}"/>
    <cellStyle name="Standard 3 2 2 5" xfId="1085" xr:uid="{00000000-0005-0000-0000-000020040000}"/>
    <cellStyle name="Standard 3 2 2 6" xfId="1086" xr:uid="{00000000-0005-0000-0000-000021040000}"/>
    <cellStyle name="Standard 3 2 3" xfId="491" xr:uid="{00000000-0005-0000-0000-000022040000}"/>
    <cellStyle name="Standard 3 2 3 2" xfId="492" xr:uid="{00000000-0005-0000-0000-000023040000}"/>
    <cellStyle name="Standard 3 2 3 2 2" xfId="1087" xr:uid="{00000000-0005-0000-0000-000024040000}"/>
    <cellStyle name="Standard 3 2 3 2 3" xfId="1088" xr:uid="{00000000-0005-0000-0000-000025040000}"/>
    <cellStyle name="Standard 3 2 3 2 4" xfId="1089" xr:uid="{00000000-0005-0000-0000-000026040000}"/>
    <cellStyle name="Standard 3 2 3 3" xfId="1090" xr:uid="{00000000-0005-0000-0000-000027040000}"/>
    <cellStyle name="Standard 3 2 3 4" xfId="1091" xr:uid="{00000000-0005-0000-0000-000028040000}"/>
    <cellStyle name="Standard 3 2 3 5" xfId="1092" xr:uid="{00000000-0005-0000-0000-000029040000}"/>
    <cellStyle name="Standard 3 2 4" xfId="493" xr:uid="{00000000-0005-0000-0000-00002A040000}"/>
    <cellStyle name="Standard 3 2 4 2" xfId="494" xr:uid="{00000000-0005-0000-0000-00002B040000}"/>
    <cellStyle name="Standard 3 2 4 3" xfId="495" xr:uid="{00000000-0005-0000-0000-00002C040000}"/>
    <cellStyle name="Standard 3 2 4 4" xfId="1093" xr:uid="{00000000-0005-0000-0000-00002D040000}"/>
    <cellStyle name="Standard 3 2 4 5" xfId="1094" xr:uid="{00000000-0005-0000-0000-00002E040000}"/>
    <cellStyle name="Standard 3 2 5" xfId="496" xr:uid="{00000000-0005-0000-0000-00002F040000}"/>
    <cellStyle name="Standard 3 2 6" xfId="497" xr:uid="{00000000-0005-0000-0000-000030040000}"/>
    <cellStyle name="Standard 3 3" xfId="498" xr:uid="{00000000-0005-0000-0000-000031040000}"/>
    <cellStyle name="Standard 3 3 2" xfId="499" xr:uid="{00000000-0005-0000-0000-000032040000}"/>
    <cellStyle name="Standard 3 3 2 2" xfId="500" xr:uid="{00000000-0005-0000-0000-000033040000}"/>
    <cellStyle name="Standard 3 3 2 2 2" xfId="1095" xr:uid="{00000000-0005-0000-0000-000034040000}"/>
    <cellStyle name="Standard 3 3 2 2 3" xfId="1096" xr:uid="{00000000-0005-0000-0000-000035040000}"/>
    <cellStyle name="Standard 3 3 2 2 4" xfId="1097" xr:uid="{00000000-0005-0000-0000-000036040000}"/>
    <cellStyle name="Standard 3 3 2 3" xfId="1098" xr:uid="{00000000-0005-0000-0000-000037040000}"/>
    <cellStyle name="Standard 3 3 2 4" xfId="1099" xr:uid="{00000000-0005-0000-0000-000038040000}"/>
    <cellStyle name="Standard 3 3 2 5" xfId="1100" xr:uid="{00000000-0005-0000-0000-000039040000}"/>
    <cellStyle name="Standard 3 3 3" xfId="501" xr:uid="{00000000-0005-0000-0000-00003A040000}"/>
    <cellStyle name="Standard 3 3 3 2" xfId="1101" xr:uid="{00000000-0005-0000-0000-00003B040000}"/>
    <cellStyle name="Standard 3 3 3 3" xfId="1102" xr:uid="{00000000-0005-0000-0000-00003C040000}"/>
    <cellStyle name="Standard 3 3 3 4" xfId="1103" xr:uid="{00000000-0005-0000-0000-00003D040000}"/>
    <cellStyle name="Standard 3 3 4" xfId="1104" xr:uid="{00000000-0005-0000-0000-00003E040000}"/>
    <cellStyle name="Standard 3 3 5" xfId="1105" xr:uid="{00000000-0005-0000-0000-00003F040000}"/>
    <cellStyle name="Standard 3 3 6" xfId="1106" xr:uid="{00000000-0005-0000-0000-000040040000}"/>
    <cellStyle name="Standard 3 4" xfId="502" xr:uid="{00000000-0005-0000-0000-000041040000}"/>
    <cellStyle name="Standard 3 4 2" xfId="503" xr:uid="{00000000-0005-0000-0000-000042040000}"/>
    <cellStyle name="Standard 3 4 2 2" xfId="1107" xr:uid="{00000000-0005-0000-0000-000043040000}"/>
    <cellStyle name="Standard 3 4 2 3" xfId="1108" xr:uid="{00000000-0005-0000-0000-000044040000}"/>
    <cellStyle name="Standard 3 4 2 4" xfId="1109" xr:uid="{00000000-0005-0000-0000-000045040000}"/>
    <cellStyle name="Standard 3 4 3" xfId="1110" xr:uid="{00000000-0005-0000-0000-000046040000}"/>
    <cellStyle name="Standard 3 4 4" xfId="1111" xr:uid="{00000000-0005-0000-0000-000047040000}"/>
    <cellStyle name="Standard 3 4 5" xfId="1112" xr:uid="{00000000-0005-0000-0000-000048040000}"/>
    <cellStyle name="Standard 3 5" xfId="504" xr:uid="{00000000-0005-0000-0000-000049040000}"/>
    <cellStyle name="Standard 3 5 2" xfId="1113" xr:uid="{00000000-0005-0000-0000-00004A040000}"/>
    <cellStyle name="Standard 3 5 3" xfId="1114" xr:uid="{00000000-0005-0000-0000-00004B040000}"/>
    <cellStyle name="Standard 3 5 4" xfId="1115" xr:uid="{00000000-0005-0000-0000-00004C040000}"/>
    <cellStyle name="Standard 3 6" xfId="505" xr:uid="{00000000-0005-0000-0000-00004D040000}"/>
    <cellStyle name="Standard 3 6 2" xfId="1117" xr:uid="{00000000-0005-0000-0000-00004E040000}"/>
    <cellStyle name="Standard 3 6 3" xfId="1116" xr:uid="{00000000-0005-0000-0000-00004F040000}"/>
    <cellStyle name="Standard 3 7" xfId="1118" xr:uid="{00000000-0005-0000-0000-000050040000}"/>
    <cellStyle name="Standard 3 8" xfId="1119" xr:uid="{00000000-0005-0000-0000-000051040000}"/>
    <cellStyle name="Standard 4" xfId="506" xr:uid="{00000000-0005-0000-0000-000052040000}"/>
    <cellStyle name="Standard 5" xfId="507" xr:uid="{00000000-0005-0000-0000-000053040000}"/>
    <cellStyle name="Standard 5 2" xfId="508" xr:uid="{00000000-0005-0000-0000-000054040000}"/>
    <cellStyle name="Standard 6" xfId="603" xr:uid="{00000000-0005-0000-0000-000055040000}"/>
    <cellStyle name="Standard 7" xfId="604" xr:uid="{00000000-0005-0000-0000-000056040000}"/>
    <cellStyle name="Standard_Bearbeitungsqualität 2011" xfId="509" xr:uid="{00000000-0005-0000-0000-000057040000}"/>
    <cellStyle name="Standard_Werte" xfId="510" xr:uid="{00000000-0005-0000-0000-000058040000}"/>
    <cellStyle name="Title" xfId="515" xr:uid="{00000000-0005-0000-0000-000059040000}"/>
    <cellStyle name="Title 2" xfId="511" xr:uid="{00000000-0005-0000-0000-00005A040000}"/>
    <cellStyle name="Title 2 2" xfId="512" xr:uid="{00000000-0005-0000-0000-00005B040000}"/>
    <cellStyle name="Title 2 2 2" xfId="1157" xr:uid="{00000000-0005-0000-0000-00005C040000}"/>
    <cellStyle name="Title 2 2 3" xfId="1120" xr:uid="{00000000-0005-0000-0000-00005D040000}"/>
    <cellStyle name="Title 2 3" xfId="606" xr:uid="{00000000-0005-0000-0000-00005E040000}"/>
    <cellStyle name="Title 2 4" xfId="605" xr:uid="{00000000-0005-0000-0000-00005F040000}"/>
    <cellStyle name="Title 3" xfId="513" xr:uid="{00000000-0005-0000-0000-000060040000}"/>
    <cellStyle name="Title 3 2" xfId="1158" xr:uid="{00000000-0005-0000-0000-000061040000}"/>
    <cellStyle name="Title 3 3" xfId="1121" xr:uid="{00000000-0005-0000-0000-000062040000}"/>
    <cellStyle name="Title 4" xfId="607" xr:uid="{00000000-0005-0000-0000-000063040000}"/>
    <cellStyle name="Title 5" xfId="1122" xr:uid="{00000000-0005-0000-0000-000064040000}"/>
    <cellStyle name="Total 2" xfId="514" xr:uid="{00000000-0005-0000-0000-000065040000}"/>
    <cellStyle name="Überschrift 1 2" xfId="517" xr:uid="{00000000-0005-0000-0000-000066040000}"/>
    <cellStyle name="Überschrift 1 3" xfId="518" xr:uid="{00000000-0005-0000-0000-000067040000}"/>
    <cellStyle name="Überschrift 1 4" xfId="1124" xr:uid="{00000000-0005-0000-0000-000068040000}"/>
    <cellStyle name="Überschrift 2 2" xfId="520" xr:uid="{00000000-0005-0000-0000-000069040000}"/>
    <cellStyle name="Überschrift 2 3" xfId="521" xr:uid="{00000000-0005-0000-0000-00006A040000}"/>
    <cellStyle name="Überschrift 2 4" xfId="1126" xr:uid="{00000000-0005-0000-0000-00006B040000}"/>
    <cellStyle name="Überschrift 3 2" xfId="523" xr:uid="{00000000-0005-0000-0000-00006C040000}"/>
    <cellStyle name="Überschrift 3 3" xfId="524" xr:uid="{00000000-0005-0000-0000-00006D040000}"/>
    <cellStyle name="Überschrift 3 4" xfId="1128" xr:uid="{00000000-0005-0000-0000-00006E040000}"/>
    <cellStyle name="Überschrift 4 2" xfId="526" xr:uid="{00000000-0005-0000-0000-00006F040000}"/>
    <cellStyle name="Überschrift 4 3" xfId="527" xr:uid="{00000000-0005-0000-0000-000070040000}"/>
    <cellStyle name="Überschrift 4 4" xfId="1130" xr:uid="{00000000-0005-0000-0000-000071040000}"/>
    <cellStyle name="Überschrift 5" xfId="528" xr:uid="{00000000-0005-0000-0000-000072040000}"/>
    <cellStyle name="Überschrift 6" xfId="529" xr:uid="{00000000-0005-0000-0000-000073040000}"/>
    <cellStyle name="Überschrift 7" xfId="1131" xr:uid="{00000000-0005-0000-0000-000074040000}"/>
    <cellStyle name="Verknüpfte Zelle 2" xfId="531" xr:uid="{00000000-0005-0000-0000-000075040000}"/>
    <cellStyle name="Verknüpfte Zelle 3" xfId="532" xr:uid="{00000000-0005-0000-0000-000076040000}"/>
    <cellStyle name="Warnender Text 2" xfId="533" xr:uid="{00000000-0005-0000-0000-000077040000}"/>
    <cellStyle name="Warnender Text 2 2" xfId="534" xr:uid="{00000000-0005-0000-0000-000078040000}"/>
    <cellStyle name="Warnender Text 2 3" xfId="535" xr:uid="{00000000-0005-0000-0000-000079040000}"/>
    <cellStyle name="Warnender Text 2 3 2" xfId="536" xr:uid="{00000000-0005-0000-0000-00007A040000}"/>
    <cellStyle name="Warnender Text 2 3 2 2" xfId="609" xr:uid="{00000000-0005-0000-0000-00007B040000}"/>
    <cellStyle name="Warnender Text 2 3 2 3" xfId="608" xr:uid="{00000000-0005-0000-0000-00007C040000}"/>
    <cellStyle name="Warnender Text 3" xfId="537" xr:uid="{00000000-0005-0000-0000-00007D040000}"/>
    <cellStyle name="Warnender Text 4" xfId="538" xr:uid="{00000000-0005-0000-0000-00007E040000}"/>
    <cellStyle name="Warnender Text 5" xfId="539" xr:uid="{00000000-0005-0000-0000-00007F040000}"/>
    <cellStyle name="Warnender Text 6" xfId="540" xr:uid="{00000000-0005-0000-0000-000080040000}"/>
    <cellStyle name="Zelle überprüfen 2" xfId="542" xr:uid="{00000000-0005-0000-0000-000081040000}"/>
    <cellStyle name="Zelle überprüfen 2 2" xfId="543" xr:uid="{00000000-0005-0000-0000-000082040000}"/>
    <cellStyle name="Zelle überprüfen 2 3" xfId="610" xr:uid="{00000000-0005-0000-0000-000083040000}"/>
    <cellStyle name="Zelle überprüfen 3" xfId="544" xr:uid="{00000000-0005-0000-0000-000084040000}"/>
    <cellStyle name="Zelle überprüfen 3 2" xfId="1135" xr:uid="{00000000-0005-0000-0000-000085040000}"/>
    <cellStyle name="Zelle überprüfen 3 3" xfId="1134" xr:uid="{00000000-0005-0000-0000-000086040000}"/>
    <cellStyle name="Zelle überprüfen 4" xfId="545" xr:uid="{00000000-0005-0000-0000-000087040000}"/>
  </cellStyles>
  <dxfs count="446">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CFFCC"/>
        </patternFill>
      </fill>
    </dxf>
    <dxf>
      <fill>
        <patternFill>
          <bgColor rgb="FFCCFFCC"/>
        </patternFill>
      </fill>
    </dxf>
    <dxf>
      <fill>
        <patternFill>
          <bgColor rgb="FFCCFFCC"/>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theme="0" tint="-0.24994659260841701"/>
        </patternFill>
      </fill>
    </dxf>
    <dxf>
      <fill>
        <patternFill>
          <bgColor rgb="FFDCE6F1"/>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indexed="43"/>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10"/>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22"/>
        </patternFill>
      </fill>
    </dxf>
    <dxf>
      <fill>
        <patternFill>
          <bgColor rgb="FF99FF66"/>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indexed="22"/>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indexed="10"/>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indexed="43"/>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indexed="22"/>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indexed="22"/>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C0C0C0"/>
      <color rgb="FF808080"/>
      <color rgb="FFCCFFCC"/>
      <color rgb="FFFF7C80"/>
      <color rgb="FFFFFF99"/>
      <color rgb="FF99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11</xdr:row>
      <xdr:rowOff>9525</xdr:rowOff>
    </xdr:from>
    <xdr:to>
      <xdr:col>8</xdr:col>
      <xdr:colOff>0</xdr:colOff>
      <xdr:row>11</xdr:row>
      <xdr:rowOff>104775</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xdr:row>
      <xdr:rowOff>9525</xdr:rowOff>
    </xdr:from>
    <xdr:to>
      <xdr:col>3</xdr:col>
      <xdr:colOff>9525</xdr:colOff>
      <xdr:row>5</xdr:row>
      <xdr:rowOff>104775</xdr:rowOff>
    </xdr:to>
    <xdr:pic>
      <xdr:nvPicPr>
        <xdr:cNvPr id="236032" name="Grafik 26">
          <a:extLst>
            <a:ext uri="{FF2B5EF4-FFF2-40B4-BE49-F238E27FC236}">
              <a16:creationId xmlns:a16="http://schemas.microsoft.com/office/drawing/2014/main" id="{00000000-0008-0000-0000-000000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236035" name="Grafik 22">
          <a:extLst>
            <a:ext uri="{FF2B5EF4-FFF2-40B4-BE49-F238E27FC236}">
              <a16:creationId xmlns:a16="http://schemas.microsoft.com/office/drawing/2014/main" id="{00000000-0008-0000-0000-000003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236036" name="Grafik 18">
          <a:extLst>
            <a:ext uri="{FF2B5EF4-FFF2-40B4-BE49-F238E27FC236}">
              <a16:creationId xmlns:a16="http://schemas.microsoft.com/office/drawing/2014/main" id="{00000000-0008-0000-0000-000004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2190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236048" name="Grafik 23">
          <a:extLst>
            <a:ext uri="{FF2B5EF4-FFF2-40B4-BE49-F238E27FC236}">
              <a16:creationId xmlns:a16="http://schemas.microsoft.com/office/drawing/2014/main" id="{00000000-0008-0000-0000-000010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11</xdr:row>
      <xdr:rowOff>0</xdr:rowOff>
    </xdr:from>
    <xdr:to>
      <xdr:col>4</xdr:col>
      <xdr:colOff>9525</xdr:colOff>
      <xdr:row>11</xdr:row>
      <xdr:rowOff>95250</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89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807720</xdr:colOff>
      <xdr:row>0</xdr:row>
      <xdr:rowOff>22860</xdr:rowOff>
    </xdr:from>
    <xdr:to>
      <xdr:col>8</xdr:col>
      <xdr:colOff>2164</xdr:colOff>
      <xdr:row>4</xdr:row>
      <xdr:rowOff>131008</xdr:rowOff>
    </xdr:to>
    <xdr:pic>
      <xdr:nvPicPr>
        <xdr:cNvPr id="23" name="Grafik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65320" y="22860"/>
          <a:ext cx="1724284" cy="729178"/>
        </a:xfrm>
        <a:prstGeom prst="rect">
          <a:avLst/>
        </a:prstGeom>
      </xdr:spPr>
    </xdr:pic>
    <xdr:clientData/>
  </xdr:twoCellAnchor>
  <xdr:twoCellAnchor editAs="oneCell">
    <xdr:from>
      <xdr:col>7</xdr:col>
      <xdr:colOff>542925</xdr:colOff>
      <xdr:row>4</xdr:row>
      <xdr:rowOff>371475</xdr:rowOff>
    </xdr:from>
    <xdr:to>
      <xdr:col>7</xdr:col>
      <xdr:colOff>645795</xdr:colOff>
      <xdr:row>5</xdr:row>
      <xdr:rowOff>76200</xdr:rowOff>
    </xdr:to>
    <xdr:pic>
      <xdr:nvPicPr>
        <xdr:cNvPr id="25" name="Grafik 23">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3145" y="1049655"/>
          <a:ext cx="112395" cy="93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990600</xdr:colOff>
      <xdr:row>29</xdr:row>
      <xdr:rowOff>0</xdr:rowOff>
    </xdr:from>
    <xdr:to>
      <xdr:col>0</xdr:col>
      <xdr:colOff>1093531</xdr:colOff>
      <xdr:row>29</xdr:row>
      <xdr:rowOff>104775</xdr:rowOff>
    </xdr:to>
    <xdr:pic>
      <xdr:nvPicPr>
        <xdr:cNvPr id="42" name="Grafik 22">
          <a:extLst>
            <a:ext uri="{FF2B5EF4-FFF2-40B4-BE49-F238E27FC236}">
              <a16:creationId xmlns:a16="http://schemas.microsoft.com/office/drawing/2014/main" id="{8F787AD0-546B-44D6-B762-88D819F638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4333875"/>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1000125</xdr:colOff>
      <xdr:row>32</xdr:row>
      <xdr:rowOff>9525</xdr:rowOff>
    </xdr:from>
    <xdr:to>
      <xdr:col>1</xdr:col>
      <xdr:colOff>7681</xdr:colOff>
      <xdr:row>32</xdr:row>
      <xdr:rowOff>114300</xdr:rowOff>
    </xdr:to>
    <xdr:pic>
      <xdr:nvPicPr>
        <xdr:cNvPr id="43" name="Grafik 22">
          <a:extLst>
            <a:ext uri="{FF2B5EF4-FFF2-40B4-BE49-F238E27FC236}">
              <a16:creationId xmlns:a16="http://schemas.microsoft.com/office/drawing/2014/main" id="{7BD7B55F-0688-4B16-9C4B-DDF2D1BB4A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5476875"/>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32</xdr:row>
      <xdr:rowOff>9525</xdr:rowOff>
    </xdr:from>
    <xdr:to>
      <xdr:col>2</xdr:col>
      <xdr:colOff>2459</xdr:colOff>
      <xdr:row>32</xdr:row>
      <xdr:rowOff>114300</xdr:rowOff>
    </xdr:to>
    <xdr:pic>
      <xdr:nvPicPr>
        <xdr:cNvPr id="45" name="Grafik 22">
          <a:extLst>
            <a:ext uri="{FF2B5EF4-FFF2-40B4-BE49-F238E27FC236}">
              <a16:creationId xmlns:a16="http://schemas.microsoft.com/office/drawing/2014/main" id="{B671A6CD-51E2-4840-93B0-5A74FDB58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075" y="5476875"/>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32</xdr:row>
      <xdr:rowOff>9525</xdr:rowOff>
    </xdr:from>
    <xdr:to>
      <xdr:col>3</xdr:col>
      <xdr:colOff>2458</xdr:colOff>
      <xdr:row>32</xdr:row>
      <xdr:rowOff>114300</xdr:rowOff>
    </xdr:to>
    <xdr:pic>
      <xdr:nvPicPr>
        <xdr:cNvPr id="46" name="Grafik 22">
          <a:extLst>
            <a:ext uri="{FF2B5EF4-FFF2-40B4-BE49-F238E27FC236}">
              <a16:creationId xmlns:a16="http://schemas.microsoft.com/office/drawing/2014/main" id="{FCBFD325-972A-4DDB-B207-726C7C1396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54768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802005</xdr:colOff>
      <xdr:row>32</xdr:row>
      <xdr:rowOff>9525</xdr:rowOff>
    </xdr:from>
    <xdr:to>
      <xdr:col>4</xdr:col>
      <xdr:colOff>902627</xdr:colOff>
      <xdr:row>32</xdr:row>
      <xdr:rowOff>114300</xdr:rowOff>
    </xdr:to>
    <xdr:pic>
      <xdr:nvPicPr>
        <xdr:cNvPr id="47" name="Grafik 22">
          <a:extLst>
            <a:ext uri="{FF2B5EF4-FFF2-40B4-BE49-F238E27FC236}">
              <a16:creationId xmlns:a16="http://schemas.microsoft.com/office/drawing/2014/main" id="{70BA853C-C2BC-44C3-8D88-C40155FF72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3830" y="5495925"/>
          <a:ext cx="10062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33</xdr:row>
      <xdr:rowOff>9525</xdr:rowOff>
    </xdr:from>
    <xdr:to>
      <xdr:col>2</xdr:col>
      <xdr:colOff>2459</xdr:colOff>
      <xdr:row>33</xdr:row>
      <xdr:rowOff>114300</xdr:rowOff>
    </xdr:to>
    <xdr:pic>
      <xdr:nvPicPr>
        <xdr:cNvPr id="48" name="Grafik 22">
          <a:extLst>
            <a:ext uri="{FF2B5EF4-FFF2-40B4-BE49-F238E27FC236}">
              <a16:creationId xmlns:a16="http://schemas.microsoft.com/office/drawing/2014/main" id="{FE48D4D2-813F-4536-A7B6-341DEF666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075" y="5667375"/>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34</xdr:row>
      <xdr:rowOff>9525</xdr:rowOff>
    </xdr:from>
    <xdr:to>
      <xdr:col>2</xdr:col>
      <xdr:colOff>2459</xdr:colOff>
      <xdr:row>34</xdr:row>
      <xdr:rowOff>114300</xdr:rowOff>
    </xdr:to>
    <xdr:pic>
      <xdr:nvPicPr>
        <xdr:cNvPr id="49" name="Grafik 22">
          <a:extLst>
            <a:ext uri="{FF2B5EF4-FFF2-40B4-BE49-F238E27FC236}">
              <a16:creationId xmlns:a16="http://schemas.microsoft.com/office/drawing/2014/main" id="{F747D185-9B4D-4F9F-A9B1-4F0424A257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075" y="5857875"/>
          <a:ext cx="107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33</xdr:row>
      <xdr:rowOff>9525</xdr:rowOff>
    </xdr:from>
    <xdr:to>
      <xdr:col>4</xdr:col>
      <xdr:colOff>11983</xdr:colOff>
      <xdr:row>33</xdr:row>
      <xdr:rowOff>114300</xdr:rowOff>
    </xdr:to>
    <xdr:pic>
      <xdr:nvPicPr>
        <xdr:cNvPr id="50" name="Grafik 22">
          <a:extLst>
            <a:ext uri="{FF2B5EF4-FFF2-40B4-BE49-F238E27FC236}">
              <a16:creationId xmlns:a16="http://schemas.microsoft.com/office/drawing/2014/main" id="{83A63D2E-D152-4BC1-87F2-55873F9D7C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56673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34</xdr:row>
      <xdr:rowOff>9525</xdr:rowOff>
    </xdr:from>
    <xdr:to>
      <xdr:col>3</xdr:col>
      <xdr:colOff>2458</xdr:colOff>
      <xdr:row>34</xdr:row>
      <xdr:rowOff>114300</xdr:rowOff>
    </xdr:to>
    <xdr:pic>
      <xdr:nvPicPr>
        <xdr:cNvPr id="51" name="Grafik 22">
          <a:extLst>
            <a:ext uri="{FF2B5EF4-FFF2-40B4-BE49-F238E27FC236}">
              <a16:creationId xmlns:a16="http://schemas.microsoft.com/office/drawing/2014/main" id="{0A4EEB5C-C9CA-49A7-9B25-58CABFE978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58578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34</xdr:row>
      <xdr:rowOff>9525</xdr:rowOff>
    </xdr:from>
    <xdr:to>
      <xdr:col>4</xdr:col>
      <xdr:colOff>11983</xdr:colOff>
      <xdr:row>34</xdr:row>
      <xdr:rowOff>114300</xdr:rowOff>
    </xdr:to>
    <xdr:pic>
      <xdr:nvPicPr>
        <xdr:cNvPr id="54" name="Grafik 22">
          <a:extLst>
            <a:ext uri="{FF2B5EF4-FFF2-40B4-BE49-F238E27FC236}">
              <a16:creationId xmlns:a16="http://schemas.microsoft.com/office/drawing/2014/main" id="{B8FBC500-D121-4B5E-9C6A-99E65E8555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58578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723900</xdr:colOff>
      <xdr:row>32</xdr:row>
      <xdr:rowOff>9525</xdr:rowOff>
    </xdr:from>
    <xdr:ext cx="107233" cy="104775"/>
    <xdr:pic>
      <xdr:nvPicPr>
        <xdr:cNvPr id="56" name="Grafik 22">
          <a:extLst>
            <a:ext uri="{FF2B5EF4-FFF2-40B4-BE49-F238E27FC236}">
              <a16:creationId xmlns:a16="http://schemas.microsoft.com/office/drawing/2014/main" id="{002E679F-3663-4214-9B18-B76C2A8B07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1850" y="5476875"/>
          <a:ext cx="10723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542925</xdr:colOff>
      <xdr:row>32</xdr:row>
      <xdr:rowOff>0</xdr:rowOff>
    </xdr:from>
    <xdr:to>
      <xdr:col>7</xdr:col>
      <xdr:colOff>645856</xdr:colOff>
      <xdr:row>32</xdr:row>
      <xdr:rowOff>104775</xdr:rowOff>
    </xdr:to>
    <xdr:pic>
      <xdr:nvPicPr>
        <xdr:cNvPr id="59" name="Grafik 22">
          <a:extLst>
            <a:ext uri="{FF2B5EF4-FFF2-40B4-BE49-F238E27FC236}">
              <a16:creationId xmlns:a16="http://schemas.microsoft.com/office/drawing/2014/main" id="{ED3DF0A4-A05B-4B52-AA8E-50E5678A1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5467350"/>
          <a:ext cx="1029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9</xdr:row>
      <xdr:rowOff>9525</xdr:rowOff>
    </xdr:from>
    <xdr:to>
      <xdr:col>0</xdr:col>
      <xdr:colOff>457200</xdr:colOff>
      <xdr:row>9</xdr:row>
      <xdr:rowOff>114300</xdr:rowOff>
    </xdr:to>
    <xdr:pic>
      <xdr:nvPicPr>
        <xdr:cNvPr id="237422" name="Grafik 6">
          <a:extLst>
            <a:ext uri="{FF2B5EF4-FFF2-40B4-BE49-F238E27FC236}">
              <a16:creationId xmlns:a16="http://schemas.microsoft.com/office/drawing/2014/main" id="{00000000-0008-0000-0400-00006E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4295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237423" name="Grafik 18">
          <a:extLst>
            <a:ext uri="{FF2B5EF4-FFF2-40B4-BE49-F238E27FC236}">
              <a16:creationId xmlns:a16="http://schemas.microsoft.com/office/drawing/2014/main" id="{00000000-0008-0000-0400-00006F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4890135</xdr:colOff>
      <xdr:row>10</xdr:row>
      <xdr:rowOff>9525</xdr:rowOff>
    </xdr:from>
    <xdr:to>
      <xdr:col>17</xdr:col>
      <xdr:colOff>3810</xdr:colOff>
      <xdr:row>10</xdr:row>
      <xdr:rowOff>114300</xdr:rowOff>
    </xdr:to>
    <xdr:pic>
      <xdr:nvPicPr>
        <xdr:cNvPr id="237424" name="Grafik 18">
          <a:extLst>
            <a:ext uri="{FF2B5EF4-FFF2-40B4-BE49-F238E27FC236}">
              <a16:creationId xmlns:a16="http://schemas.microsoft.com/office/drawing/2014/main" id="{00000000-0008-0000-0400-000070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8015" y="4642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339090</xdr:colOff>
      <xdr:row>9</xdr:row>
      <xdr:rowOff>9525</xdr:rowOff>
    </xdr:from>
    <xdr:to>
      <xdr:col>14</xdr:col>
      <xdr:colOff>443865</xdr:colOff>
      <xdr:row>9</xdr:row>
      <xdr:rowOff>114300</xdr:rowOff>
    </xdr:to>
    <xdr:pic>
      <xdr:nvPicPr>
        <xdr:cNvPr id="237425" name="Grafik 18">
          <a:extLst>
            <a:ext uri="{FF2B5EF4-FFF2-40B4-BE49-F238E27FC236}">
              <a16:creationId xmlns:a16="http://schemas.microsoft.com/office/drawing/2014/main" id="{00000000-0008-0000-0400-000071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9240" y="4295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521970</xdr:colOff>
      <xdr:row>7</xdr:row>
      <xdr:rowOff>9525</xdr:rowOff>
    </xdr:from>
    <xdr:to>
      <xdr:col>14</xdr:col>
      <xdr:colOff>9525</xdr:colOff>
      <xdr:row>7</xdr:row>
      <xdr:rowOff>114300</xdr:rowOff>
    </xdr:to>
    <xdr:pic>
      <xdr:nvPicPr>
        <xdr:cNvPr id="237426" name="Grafik 18">
          <a:extLst>
            <a:ext uri="{FF2B5EF4-FFF2-40B4-BE49-F238E27FC236}">
              <a16:creationId xmlns:a16="http://schemas.microsoft.com/office/drawing/2014/main" id="{00000000-0008-0000-0400-000072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2995" y="1162050"/>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521970</xdr:colOff>
      <xdr:row>5</xdr:row>
      <xdr:rowOff>9525</xdr:rowOff>
    </xdr:from>
    <xdr:to>
      <xdr:col>14</xdr:col>
      <xdr:colOff>9525</xdr:colOff>
      <xdr:row>5</xdr:row>
      <xdr:rowOff>114300</xdr:rowOff>
    </xdr:to>
    <xdr:pic>
      <xdr:nvPicPr>
        <xdr:cNvPr id="237427" name="Grafik 18">
          <a:extLst>
            <a:ext uri="{FF2B5EF4-FFF2-40B4-BE49-F238E27FC236}">
              <a16:creationId xmlns:a16="http://schemas.microsoft.com/office/drawing/2014/main" id="{00000000-0008-0000-0400-000073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2995" y="88582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237428" name="Grafik 18">
          <a:extLst>
            <a:ext uri="{FF2B5EF4-FFF2-40B4-BE49-F238E27FC236}">
              <a16:creationId xmlns:a16="http://schemas.microsoft.com/office/drawing/2014/main" id="{00000000-0008-0000-0400-000074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56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348615</xdr:colOff>
      <xdr:row>21</xdr:row>
      <xdr:rowOff>9525</xdr:rowOff>
    </xdr:from>
    <xdr:to>
      <xdr:col>14</xdr:col>
      <xdr:colOff>453390</xdr:colOff>
      <xdr:row>21</xdr:row>
      <xdr:rowOff>114300</xdr:rowOff>
    </xdr:to>
    <xdr:pic>
      <xdr:nvPicPr>
        <xdr:cNvPr id="237429" name="Grafik 18">
          <a:extLst>
            <a:ext uri="{FF2B5EF4-FFF2-40B4-BE49-F238E27FC236}">
              <a16:creationId xmlns:a16="http://schemas.microsoft.com/office/drawing/2014/main" id="{00000000-0008-0000-0400-000075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3555" y="762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24</xdr:row>
      <xdr:rowOff>9525</xdr:rowOff>
    </xdr:from>
    <xdr:to>
      <xdr:col>14</xdr:col>
      <xdr:colOff>447675</xdr:colOff>
      <xdr:row>24</xdr:row>
      <xdr:rowOff>114300</xdr:rowOff>
    </xdr:to>
    <xdr:pic>
      <xdr:nvPicPr>
        <xdr:cNvPr id="237430" name="Grafik 18">
          <a:extLst>
            <a:ext uri="{FF2B5EF4-FFF2-40B4-BE49-F238E27FC236}">
              <a16:creationId xmlns:a16="http://schemas.microsoft.com/office/drawing/2014/main" id="{00000000-0008-0000-0400-000076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27</xdr:row>
      <xdr:rowOff>9525</xdr:rowOff>
    </xdr:from>
    <xdr:to>
      <xdr:col>14</xdr:col>
      <xdr:colOff>447675</xdr:colOff>
      <xdr:row>27</xdr:row>
      <xdr:rowOff>114300</xdr:rowOff>
    </xdr:to>
    <xdr:pic>
      <xdr:nvPicPr>
        <xdr:cNvPr id="237431" name="Grafik 18">
          <a:extLst>
            <a:ext uri="{FF2B5EF4-FFF2-40B4-BE49-F238E27FC236}">
              <a16:creationId xmlns:a16="http://schemas.microsoft.com/office/drawing/2014/main" id="{00000000-0008-0000-0400-00007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30</xdr:row>
      <xdr:rowOff>9525</xdr:rowOff>
    </xdr:from>
    <xdr:to>
      <xdr:col>14</xdr:col>
      <xdr:colOff>447675</xdr:colOff>
      <xdr:row>30</xdr:row>
      <xdr:rowOff>114300</xdr:rowOff>
    </xdr:to>
    <xdr:pic>
      <xdr:nvPicPr>
        <xdr:cNvPr id="237432" name="Grafik 18">
          <a:extLst>
            <a:ext uri="{FF2B5EF4-FFF2-40B4-BE49-F238E27FC236}">
              <a16:creationId xmlns:a16="http://schemas.microsoft.com/office/drawing/2014/main" id="{00000000-0008-0000-0400-00007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50</xdr:row>
      <xdr:rowOff>9525</xdr:rowOff>
    </xdr:from>
    <xdr:to>
      <xdr:col>14</xdr:col>
      <xdr:colOff>447675</xdr:colOff>
      <xdr:row>50</xdr:row>
      <xdr:rowOff>114300</xdr:rowOff>
    </xdr:to>
    <xdr:pic>
      <xdr:nvPicPr>
        <xdr:cNvPr id="237435" name="Grafik 18">
          <a:extLst>
            <a:ext uri="{FF2B5EF4-FFF2-40B4-BE49-F238E27FC236}">
              <a16:creationId xmlns:a16="http://schemas.microsoft.com/office/drawing/2014/main" id="{00000000-0008-0000-0400-00007B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6" name="Grafik 18">
          <a:extLst>
            <a:ext uri="{FF2B5EF4-FFF2-40B4-BE49-F238E27FC236}">
              <a16:creationId xmlns:a16="http://schemas.microsoft.com/office/drawing/2014/main" id="{00000000-0008-0000-0400-00007C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57</xdr:row>
      <xdr:rowOff>9525</xdr:rowOff>
    </xdr:from>
    <xdr:to>
      <xdr:col>14</xdr:col>
      <xdr:colOff>447675</xdr:colOff>
      <xdr:row>57</xdr:row>
      <xdr:rowOff>114300</xdr:rowOff>
    </xdr:to>
    <xdr:pic>
      <xdr:nvPicPr>
        <xdr:cNvPr id="237437" name="Grafik 19">
          <a:extLst>
            <a:ext uri="{FF2B5EF4-FFF2-40B4-BE49-F238E27FC236}">
              <a16:creationId xmlns:a16="http://schemas.microsoft.com/office/drawing/2014/main" id="{00000000-0008-0000-0400-00007D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60</xdr:row>
      <xdr:rowOff>9525</xdr:rowOff>
    </xdr:from>
    <xdr:to>
      <xdr:col>14</xdr:col>
      <xdr:colOff>447675</xdr:colOff>
      <xdr:row>60</xdr:row>
      <xdr:rowOff>114300</xdr:rowOff>
    </xdr:to>
    <xdr:pic>
      <xdr:nvPicPr>
        <xdr:cNvPr id="237438" name="Grafik 20">
          <a:extLst>
            <a:ext uri="{FF2B5EF4-FFF2-40B4-BE49-F238E27FC236}">
              <a16:creationId xmlns:a16="http://schemas.microsoft.com/office/drawing/2014/main" id="{00000000-0008-0000-0400-00007E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69</xdr:row>
      <xdr:rowOff>9525</xdr:rowOff>
    </xdr:from>
    <xdr:to>
      <xdr:col>14</xdr:col>
      <xdr:colOff>447675</xdr:colOff>
      <xdr:row>69</xdr:row>
      <xdr:rowOff>114300</xdr:rowOff>
    </xdr:to>
    <xdr:pic>
      <xdr:nvPicPr>
        <xdr:cNvPr id="237439" name="Grafik 22">
          <a:extLst>
            <a:ext uri="{FF2B5EF4-FFF2-40B4-BE49-F238E27FC236}">
              <a16:creationId xmlns:a16="http://schemas.microsoft.com/office/drawing/2014/main" id="{00000000-0008-0000-0400-00007F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360045</xdr:colOff>
      <xdr:row>48</xdr:row>
      <xdr:rowOff>4445</xdr:rowOff>
    </xdr:from>
    <xdr:to>
      <xdr:col>15</xdr:col>
      <xdr:colOff>212</xdr:colOff>
      <xdr:row>48</xdr:row>
      <xdr:rowOff>109220</xdr:rowOff>
    </xdr:to>
    <xdr:pic>
      <xdr:nvPicPr>
        <xdr:cNvPr id="237446" name="Grafik 29">
          <a:extLst>
            <a:ext uri="{FF2B5EF4-FFF2-40B4-BE49-F238E27FC236}">
              <a16:creationId xmlns:a16="http://schemas.microsoft.com/office/drawing/2014/main" id="{00000000-0008-0000-0400-000086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7895" y="1760664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169545</xdr:colOff>
      <xdr:row>9</xdr:row>
      <xdr:rowOff>9525</xdr:rowOff>
    </xdr:from>
    <xdr:to>
      <xdr:col>1</xdr:col>
      <xdr:colOff>283845</xdr:colOff>
      <xdr:row>9</xdr:row>
      <xdr:rowOff>114300</xdr:rowOff>
    </xdr:to>
    <xdr:pic>
      <xdr:nvPicPr>
        <xdr:cNvPr id="237447" name="Grafik 6">
          <a:extLst>
            <a:ext uri="{FF2B5EF4-FFF2-40B4-BE49-F238E27FC236}">
              <a16:creationId xmlns:a16="http://schemas.microsoft.com/office/drawing/2014/main" id="{00000000-0008-0000-0400-00008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4295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33</xdr:row>
      <xdr:rowOff>9525</xdr:rowOff>
    </xdr:from>
    <xdr:to>
      <xdr:col>14</xdr:col>
      <xdr:colOff>447675</xdr:colOff>
      <xdr:row>33</xdr:row>
      <xdr:rowOff>114300</xdr:rowOff>
    </xdr:to>
    <xdr:pic>
      <xdr:nvPicPr>
        <xdr:cNvPr id="237448" name="Grafik 18">
          <a:extLst>
            <a:ext uri="{FF2B5EF4-FFF2-40B4-BE49-F238E27FC236}">
              <a16:creationId xmlns:a16="http://schemas.microsoft.com/office/drawing/2014/main" id="{00000000-0008-0000-0400-00008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45</xdr:row>
      <xdr:rowOff>9525</xdr:rowOff>
    </xdr:from>
    <xdr:to>
      <xdr:col>14</xdr:col>
      <xdr:colOff>447675</xdr:colOff>
      <xdr:row>45</xdr:row>
      <xdr:rowOff>114300</xdr:rowOff>
    </xdr:to>
    <xdr:pic>
      <xdr:nvPicPr>
        <xdr:cNvPr id="237449" name="Grafik 29">
          <a:extLst>
            <a:ext uri="{FF2B5EF4-FFF2-40B4-BE49-F238E27FC236}">
              <a16:creationId xmlns:a16="http://schemas.microsoft.com/office/drawing/2014/main" id="{00000000-0008-0000-0400-000089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74</xdr:row>
      <xdr:rowOff>9525</xdr:rowOff>
    </xdr:from>
    <xdr:to>
      <xdr:col>14</xdr:col>
      <xdr:colOff>447675</xdr:colOff>
      <xdr:row>74</xdr:row>
      <xdr:rowOff>114300</xdr:rowOff>
    </xdr:to>
    <xdr:pic>
      <xdr:nvPicPr>
        <xdr:cNvPr id="237451" name="Grafik 33">
          <a:extLst>
            <a:ext uri="{FF2B5EF4-FFF2-40B4-BE49-F238E27FC236}">
              <a16:creationId xmlns:a16="http://schemas.microsoft.com/office/drawing/2014/main" id="{00000000-0008-0000-0400-00008B9F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72</xdr:row>
      <xdr:rowOff>9525</xdr:rowOff>
    </xdr:from>
    <xdr:to>
      <xdr:col>14</xdr:col>
      <xdr:colOff>447675</xdr:colOff>
      <xdr:row>72</xdr:row>
      <xdr:rowOff>114300</xdr:rowOff>
    </xdr:to>
    <xdr:pic>
      <xdr:nvPicPr>
        <xdr:cNvPr id="237458" name="Grafik 22">
          <a:extLst>
            <a:ext uri="{FF2B5EF4-FFF2-40B4-BE49-F238E27FC236}">
              <a16:creationId xmlns:a16="http://schemas.microsoft.com/office/drawing/2014/main" id="{00000000-0008-0000-0400-000092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29</xdr:row>
      <xdr:rowOff>9525</xdr:rowOff>
    </xdr:from>
    <xdr:to>
      <xdr:col>14</xdr:col>
      <xdr:colOff>447675</xdr:colOff>
      <xdr:row>29</xdr:row>
      <xdr:rowOff>114300</xdr:rowOff>
    </xdr:to>
    <xdr:pic>
      <xdr:nvPicPr>
        <xdr:cNvPr id="34" name="Grafik 29">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102</xdr:row>
      <xdr:rowOff>9525</xdr:rowOff>
    </xdr:from>
    <xdr:to>
      <xdr:col>14</xdr:col>
      <xdr:colOff>447675</xdr:colOff>
      <xdr:row>102</xdr:row>
      <xdr:rowOff>114300</xdr:rowOff>
    </xdr:to>
    <xdr:pic>
      <xdr:nvPicPr>
        <xdr:cNvPr id="35" name="Grafik 22">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40500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83</xdr:row>
      <xdr:rowOff>9525</xdr:rowOff>
    </xdr:from>
    <xdr:to>
      <xdr:col>14</xdr:col>
      <xdr:colOff>447675</xdr:colOff>
      <xdr:row>83</xdr:row>
      <xdr:rowOff>114300</xdr:rowOff>
    </xdr:to>
    <xdr:pic>
      <xdr:nvPicPr>
        <xdr:cNvPr id="30" name="Grafik 2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33699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81915</xdr:colOff>
      <xdr:row>0</xdr:row>
      <xdr:rowOff>0</xdr:rowOff>
    </xdr:from>
    <xdr:to>
      <xdr:col>15</xdr:col>
      <xdr:colOff>527944</xdr:colOff>
      <xdr:row>3</xdr:row>
      <xdr:rowOff>177050</xdr:rowOff>
    </xdr:to>
    <xdr:pic>
      <xdr:nvPicPr>
        <xdr:cNvPr id="32" name="Grafik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54415" y="0"/>
          <a:ext cx="1522354" cy="672350"/>
        </a:xfrm>
        <a:prstGeom prst="rect">
          <a:avLst/>
        </a:prstGeom>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33" name="Grafik 18">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0210" y="433768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0210" y="433768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4874895</xdr:colOff>
      <xdr:row>10</xdr:row>
      <xdr:rowOff>9525</xdr:rowOff>
    </xdr:from>
    <xdr:to>
      <xdr:col>17</xdr:col>
      <xdr:colOff>3810</xdr:colOff>
      <xdr:row>10</xdr:row>
      <xdr:rowOff>114300</xdr:rowOff>
    </xdr:to>
    <xdr:pic>
      <xdr:nvPicPr>
        <xdr:cNvPr id="40" name="Grafik 18">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0895" y="464248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4749165</xdr:colOff>
      <xdr:row>10</xdr:row>
      <xdr:rowOff>7620</xdr:rowOff>
    </xdr:from>
    <xdr:to>
      <xdr:col>16</xdr:col>
      <xdr:colOff>4853940</xdr:colOff>
      <xdr:row>10</xdr:row>
      <xdr:rowOff>112395</xdr:rowOff>
    </xdr:to>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9915" y="47605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105</xdr:row>
      <xdr:rowOff>9525</xdr:rowOff>
    </xdr:from>
    <xdr:to>
      <xdr:col>14</xdr:col>
      <xdr:colOff>447675</xdr:colOff>
      <xdr:row>105</xdr:row>
      <xdr:rowOff>114300</xdr:rowOff>
    </xdr:to>
    <xdr:pic>
      <xdr:nvPicPr>
        <xdr:cNvPr id="38" name="Grafik 22">
          <a:extLst>
            <a:ext uri="{FF2B5EF4-FFF2-40B4-BE49-F238E27FC236}">
              <a16:creationId xmlns:a16="http://schemas.microsoft.com/office/drawing/2014/main" id="{817CF2F6-31C4-4054-AD01-353134129F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44557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18</xdr:row>
      <xdr:rowOff>0</xdr:rowOff>
    </xdr:from>
    <xdr:to>
      <xdr:col>15</xdr:col>
      <xdr:colOff>0</xdr:colOff>
      <xdr:row>18</xdr:row>
      <xdr:rowOff>104775</xdr:rowOff>
    </xdr:to>
    <xdr:pic>
      <xdr:nvPicPr>
        <xdr:cNvPr id="39" name="Grafik 18">
          <a:extLst>
            <a:ext uri="{FF2B5EF4-FFF2-40B4-BE49-F238E27FC236}">
              <a16:creationId xmlns:a16="http://schemas.microsoft.com/office/drawing/2014/main" id="{E4CFC5D1-3074-446A-8ADE-CBB695618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7315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1247775</xdr:colOff>
      <xdr:row>23</xdr:row>
      <xdr:rowOff>9525</xdr:rowOff>
    </xdr:from>
    <xdr:to>
      <xdr:col>3</xdr:col>
      <xdr:colOff>0</xdr:colOff>
      <xdr:row>23</xdr:row>
      <xdr:rowOff>114300</xdr:rowOff>
    </xdr:to>
    <xdr:pic>
      <xdr:nvPicPr>
        <xdr:cNvPr id="2" name="Grafik 18">
          <a:extLst>
            <a:ext uri="{FF2B5EF4-FFF2-40B4-BE49-F238E27FC236}">
              <a16:creationId xmlns:a16="http://schemas.microsoft.com/office/drawing/2014/main" id="{2F7CDF0F-A8B1-422C-B9E4-E67C45CE0F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819150</xdr:colOff>
      <xdr:row>23</xdr:row>
      <xdr:rowOff>9525</xdr:rowOff>
    </xdr:from>
    <xdr:to>
      <xdr:col>6</xdr:col>
      <xdr:colOff>933450</xdr:colOff>
      <xdr:row>23</xdr:row>
      <xdr:rowOff>114300</xdr:rowOff>
    </xdr:to>
    <xdr:pic>
      <xdr:nvPicPr>
        <xdr:cNvPr id="3" name="Grafik 18">
          <a:extLst>
            <a:ext uri="{FF2B5EF4-FFF2-40B4-BE49-F238E27FC236}">
              <a16:creationId xmlns:a16="http://schemas.microsoft.com/office/drawing/2014/main" id="{3DCFE606-7E20-4037-87F5-E671B0681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651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105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225952" name="Grafik 6">
          <a:extLst>
            <a:ext uri="{FF2B5EF4-FFF2-40B4-BE49-F238E27FC236}">
              <a16:creationId xmlns:a16="http://schemas.microsoft.com/office/drawing/2014/main"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228933" name="Grafik 6">
          <a:extLst>
            <a:ext uri="{FF2B5EF4-FFF2-40B4-BE49-F238E27FC236}">
              <a16:creationId xmlns:a16="http://schemas.microsoft.com/office/drawing/2014/main"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66:S87" totalsRowShown="0" headerRowDxfId="432" dataDxfId="430" headerRowBorderDxfId="431" totalsRowBorderDxfId="429">
  <tableColumns count="19">
    <tableColumn id="1" xr3:uid="{00000000-0010-0000-0000-000001000000}" name="Baden-Württemberg" dataDxfId="428"/>
    <tableColumn id="2" xr3:uid="{00000000-0010-0000-0000-000002000000}" name="Bayern" dataDxfId="427"/>
    <tableColumn id="3" xr3:uid="{00000000-0010-0000-0000-000003000000}" name="Berlin" dataDxfId="426"/>
    <tableColumn id="4" xr3:uid="{00000000-0010-0000-0000-000004000000}" name="Brandenburg" dataDxfId="425"/>
    <tableColumn id="5" xr3:uid="{00000000-0010-0000-0000-000005000000}" name="Bremen" dataDxfId="424"/>
    <tableColumn id="6" xr3:uid="{00000000-0010-0000-0000-000006000000}" name="Hamburg" dataDxfId="423"/>
    <tableColumn id="7" xr3:uid="{00000000-0010-0000-0000-000007000000}" name="Hessen" dataDxfId="422"/>
    <tableColumn id="8" xr3:uid="{00000000-0010-0000-0000-000008000000}" name="Mecklenburg-Vorpommern" dataDxfId="421"/>
    <tableColumn id="9" xr3:uid="{00000000-0010-0000-0000-000009000000}" name="Niedersachsen" dataDxfId="420"/>
    <tableColumn id="10" xr3:uid="{00000000-0010-0000-0000-00000A000000}" name="Nordrhein-Westfalen" dataDxfId="419"/>
    <tableColumn id="11" xr3:uid="{00000000-0010-0000-0000-00000B000000}" name="Rheinland-Pfalz" dataDxfId="418"/>
    <tableColumn id="12" xr3:uid="{00000000-0010-0000-0000-00000C000000}" name="Saarland" dataDxfId="417"/>
    <tableColumn id="13" xr3:uid="{00000000-0010-0000-0000-00000D000000}" name="Sachsen" dataDxfId="416"/>
    <tableColumn id="14" xr3:uid="{00000000-0010-0000-0000-00000E000000}" name="Sachsen-Anhalt" dataDxfId="415"/>
    <tableColumn id="15" xr3:uid="{00000000-0010-0000-0000-00000F000000}" name="Schleswig-Holstein" dataDxfId="414"/>
    <tableColumn id="16" xr3:uid="{00000000-0010-0000-0000-000010000000}" name="Thüringen" dataDxfId="413"/>
    <tableColumn id="17" xr3:uid="{00000000-0010-0000-0000-000011000000}" name="Schweiz" dataDxfId="412"/>
    <tableColumn id="18" xr3:uid="{00000000-0010-0000-0000-000012000000}" name="Österreich" dataDxfId="411"/>
    <tableColumn id="19" xr3:uid="{00000000-0010-0000-0000-000013000000}" name="Italien" dataDxfId="41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60"/>
  <sheetViews>
    <sheetView showGridLines="0" showRuler="0" topLeftCell="A25" zoomScaleNormal="100" zoomScaleSheetLayoutView="100" workbookViewId="0">
      <selection activeCell="B8" sqref="B8:H8"/>
    </sheetView>
  </sheetViews>
  <sheetFormatPr baseColWidth="10" defaultColWidth="9.1328125" defaultRowHeight="12.75" x14ac:dyDescent="0.35"/>
  <cols>
    <col min="1" max="1" width="16.3984375" style="26" customWidth="1"/>
    <col min="2" max="2" width="11.265625" style="26" customWidth="1"/>
    <col min="3" max="3" width="12" style="26" customWidth="1"/>
    <col min="4" max="4" width="12.3984375" style="26" customWidth="1"/>
    <col min="5" max="5" width="13.59765625" style="26" customWidth="1"/>
    <col min="6" max="6" width="12.73046875" style="26" customWidth="1"/>
    <col min="7" max="7" width="14.73046875" style="26" customWidth="1"/>
    <col min="8" max="8" width="9.73046875" style="26" customWidth="1"/>
    <col min="9" max="16384" width="9.1328125" style="26"/>
  </cols>
  <sheetData>
    <row r="1" spans="1:8" ht="5.25" customHeight="1" x14ac:dyDescent="0.35"/>
    <row r="2" spans="1:8" ht="12.95" customHeight="1" x14ac:dyDescent="0.35">
      <c r="A2" s="17" t="s">
        <v>1307</v>
      </c>
    </row>
    <row r="3" spans="1:8" ht="15" x14ac:dyDescent="0.35">
      <c r="A3" s="403" t="s">
        <v>876</v>
      </c>
    </row>
    <row r="4" spans="1:8" ht="15.75" customHeight="1" x14ac:dyDescent="0.35">
      <c r="A4" s="545" t="s">
        <v>877</v>
      </c>
      <c r="B4" s="546"/>
      <c r="C4" s="546"/>
      <c r="D4" s="546"/>
      <c r="E4" s="546"/>
      <c r="F4" s="546"/>
    </row>
    <row r="5" spans="1:8" ht="30.75" customHeight="1" x14ac:dyDescent="0.35">
      <c r="A5" s="545" t="s">
        <v>878</v>
      </c>
      <c r="B5" s="546"/>
      <c r="C5" s="546"/>
      <c r="D5" s="546"/>
      <c r="E5" s="546"/>
      <c r="F5" s="546"/>
      <c r="G5" s="404"/>
      <c r="H5" s="404"/>
    </row>
    <row r="6" spans="1:8" ht="13.5" x14ac:dyDescent="0.35">
      <c r="A6" s="63" t="s">
        <v>879</v>
      </c>
      <c r="B6" s="547" t="s">
        <v>894</v>
      </c>
      <c r="C6" s="548"/>
      <c r="D6" s="441"/>
      <c r="E6" s="405"/>
      <c r="G6" s="552" t="s">
        <v>893</v>
      </c>
      <c r="H6" s="552"/>
    </row>
    <row r="7" spans="1:8" ht="6.95" customHeight="1" x14ac:dyDescent="0.4">
      <c r="C7" s="21"/>
      <c r="D7" s="21"/>
      <c r="E7" s="21"/>
      <c r="F7" s="21"/>
      <c r="G7" s="21"/>
      <c r="H7" s="10"/>
    </row>
    <row r="8" spans="1:8" ht="15" customHeight="1" x14ac:dyDescent="0.35">
      <c r="A8" s="63" t="s">
        <v>880</v>
      </c>
      <c r="B8" s="549"/>
      <c r="C8" s="550"/>
      <c r="D8" s="550"/>
      <c r="E8" s="550"/>
      <c r="F8" s="550"/>
      <c r="G8" s="550"/>
      <c r="H8" s="551"/>
    </row>
    <row r="9" spans="1:8" ht="6.95" customHeight="1" x14ac:dyDescent="0.35">
      <c r="A9" s="21"/>
      <c r="B9" s="481"/>
      <c r="C9" s="481"/>
      <c r="D9" s="481"/>
      <c r="E9" s="481"/>
      <c r="F9" s="481"/>
      <c r="G9" s="404"/>
      <c r="H9" s="404"/>
    </row>
    <row r="10" spans="1:8" ht="15" customHeight="1" x14ac:dyDescent="0.35">
      <c r="A10" s="63" t="s">
        <v>881</v>
      </c>
      <c r="B10" s="549"/>
      <c r="C10" s="550"/>
      <c r="D10" s="550"/>
      <c r="E10" s="550"/>
      <c r="F10" s="550"/>
      <c r="G10" s="550"/>
      <c r="H10" s="551"/>
    </row>
    <row r="11" spans="1:8" ht="6.95" customHeight="1" x14ac:dyDescent="0.35">
      <c r="A11" s="21"/>
      <c r="B11" s="481"/>
      <c r="C11" s="481"/>
      <c r="D11" s="481"/>
      <c r="E11" s="481"/>
      <c r="F11" s="481"/>
      <c r="G11" s="404"/>
      <c r="H11" s="404"/>
    </row>
    <row r="12" spans="1:8" ht="15" customHeight="1" x14ac:dyDescent="0.35">
      <c r="A12" s="336" t="s">
        <v>882</v>
      </c>
      <c r="B12" s="538"/>
      <c r="C12" s="539"/>
      <c r="D12" s="540"/>
      <c r="E12" s="482" t="s">
        <v>1211</v>
      </c>
      <c r="F12" s="482"/>
      <c r="G12" s="533"/>
      <c r="H12" s="534"/>
    </row>
    <row r="13" spans="1:8" ht="6.95" customHeight="1" x14ac:dyDescent="0.35">
      <c r="C13" s="21"/>
      <c r="D13" s="21"/>
      <c r="E13" s="406"/>
      <c r="F13" s="406"/>
    </row>
    <row r="14" spans="1:8" ht="15" customHeight="1" x14ac:dyDescent="0.35">
      <c r="A14" s="63"/>
      <c r="E14" s="407" t="s">
        <v>883</v>
      </c>
      <c r="F14" s="407"/>
      <c r="G14" s="535" t="str">
        <f>IF($B$6="","",Datenquelle!F104)</f>
        <v>-----</v>
      </c>
      <c r="H14" s="536"/>
    </row>
    <row r="15" spans="1:8" ht="6.95" customHeight="1" x14ac:dyDescent="0.4">
      <c r="C15" s="21"/>
      <c r="D15" s="21"/>
      <c r="E15" s="406"/>
      <c r="F15" s="406"/>
      <c r="G15" s="21"/>
      <c r="H15" s="10"/>
    </row>
    <row r="16" spans="1:8" ht="15.75" customHeight="1" x14ac:dyDescent="0.35">
      <c r="A16" s="63"/>
      <c r="E16" s="408" t="s">
        <v>884</v>
      </c>
      <c r="F16" s="408"/>
      <c r="G16" s="537">
        <v>2022</v>
      </c>
      <c r="H16" s="537"/>
    </row>
    <row r="17" spans="1:8" ht="5.25" customHeight="1" x14ac:dyDescent="0.35">
      <c r="A17" s="63"/>
      <c r="F17" s="17"/>
      <c r="G17" s="409"/>
    </row>
    <row r="18" spans="1:8" ht="5.25" customHeight="1" x14ac:dyDescent="0.35"/>
    <row r="19" spans="1:8" ht="3.75" customHeight="1" x14ac:dyDescent="0.4">
      <c r="E19" s="21"/>
      <c r="F19" s="21"/>
      <c r="G19" s="21"/>
      <c r="H19" s="10"/>
    </row>
    <row r="20" spans="1:8" ht="3.75" customHeight="1" x14ac:dyDescent="0.35"/>
    <row r="21" spans="1:8" ht="3.75" customHeight="1" x14ac:dyDescent="0.4">
      <c r="F21" s="21"/>
      <c r="G21" s="21"/>
      <c r="H21" s="10"/>
    </row>
    <row r="22" spans="1:8" ht="6" customHeight="1" x14ac:dyDescent="0.35">
      <c r="A22" s="21"/>
      <c r="B22" s="21"/>
      <c r="C22" s="21"/>
      <c r="D22" s="21"/>
      <c r="F22" s="21"/>
    </row>
    <row r="23" spans="1:8" ht="15" customHeight="1" x14ac:dyDescent="0.35">
      <c r="A23" s="541" t="s">
        <v>1196</v>
      </c>
      <c r="B23" s="542"/>
      <c r="C23" s="542"/>
      <c r="D23" s="543"/>
      <c r="E23" s="532"/>
      <c r="F23" s="532"/>
      <c r="G23" s="532"/>
      <c r="H23" s="532"/>
    </row>
    <row r="24" spans="1:8" ht="15" customHeight="1" x14ac:dyDescent="0.35">
      <c r="A24" s="529"/>
      <c r="B24" s="530"/>
      <c r="C24" s="530"/>
      <c r="D24" s="531"/>
      <c r="E24" s="544"/>
      <c r="F24" s="544"/>
      <c r="G24" s="544"/>
      <c r="H24" s="544"/>
    </row>
    <row r="25" spans="1:8" ht="15" customHeight="1" x14ac:dyDescent="0.35">
      <c r="A25" s="21"/>
      <c r="B25" s="21"/>
      <c r="C25" s="21"/>
      <c r="D25" s="21"/>
      <c r="F25" s="21"/>
    </row>
    <row r="26" spans="1:8" ht="15" customHeight="1" x14ac:dyDescent="0.35">
      <c r="A26" s="541" t="s">
        <v>885</v>
      </c>
      <c r="B26" s="542"/>
      <c r="C26" s="542"/>
      <c r="D26" s="543"/>
      <c r="E26" s="567" t="s">
        <v>886</v>
      </c>
      <c r="F26" s="567"/>
      <c r="G26" s="567"/>
      <c r="H26" s="567"/>
    </row>
    <row r="27" spans="1:8" ht="15" customHeight="1" x14ac:dyDescent="0.35">
      <c r="A27" s="547"/>
      <c r="B27" s="558"/>
      <c r="C27" s="558"/>
      <c r="D27" s="558"/>
      <c r="E27" s="559" t="s">
        <v>1276</v>
      </c>
      <c r="F27" s="560"/>
      <c r="G27" s="560"/>
      <c r="H27" s="561"/>
    </row>
    <row r="28" spans="1:8" ht="15" customHeight="1" x14ac:dyDescent="0.35">
      <c r="E28" s="528"/>
      <c r="F28" s="528"/>
      <c r="G28" s="528"/>
      <c r="H28" s="528"/>
    </row>
    <row r="29" spans="1:8" ht="15" customHeight="1" x14ac:dyDescent="0.35">
      <c r="A29" s="568"/>
      <c r="B29" s="568"/>
      <c r="C29" s="568"/>
      <c r="D29" s="568"/>
      <c r="E29" s="568"/>
      <c r="F29" s="568"/>
      <c r="G29" s="568"/>
      <c r="H29" s="568"/>
    </row>
    <row r="30" spans="1:8" ht="16.5" customHeight="1" x14ac:dyDescent="0.35">
      <c r="A30" s="555" t="s">
        <v>887</v>
      </c>
      <c r="B30" s="562" t="s">
        <v>1205</v>
      </c>
      <c r="C30" s="563"/>
      <c r="D30" s="564"/>
      <c r="E30" s="573" t="s">
        <v>1207</v>
      </c>
      <c r="F30" s="565" t="s">
        <v>889</v>
      </c>
      <c r="G30" s="566"/>
      <c r="H30" s="577" t="s">
        <v>890</v>
      </c>
    </row>
    <row r="31" spans="1:8" ht="26.25" customHeight="1" x14ac:dyDescent="0.35">
      <c r="A31" s="556"/>
      <c r="B31" s="571" t="s">
        <v>1204</v>
      </c>
      <c r="C31" s="571"/>
      <c r="D31" s="572" t="s">
        <v>1206</v>
      </c>
      <c r="E31" s="575"/>
      <c r="F31" s="572" t="s">
        <v>1208</v>
      </c>
      <c r="G31" s="573" t="s">
        <v>1209</v>
      </c>
      <c r="H31" s="578"/>
    </row>
    <row r="32" spans="1:8" ht="46.5" customHeight="1" x14ac:dyDescent="0.35">
      <c r="A32" s="557"/>
      <c r="B32" s="476" t="s">
        <v>1203</v>
      </c>
      <c r="C32" s="477" t="s">
        <v>1198</v>
      </c>
      <c r="D32" s="572"/>
      <c r="E32" s="576"/>
      <c r="F32" s="572"/>
      <c r="G32" s="574"/>
      <c r="H32" s="579"/>
    </row>
    <row r="33" spans="1:8" ht="15" customHeight="1" x14ac:dyDescent="0.35">
      <c r="A33" s="478" t="s">
        <v>888</v>
      </c>
      <c r="B33" s="474" t="str">
        <f t="shared" ref="B33:H33" si="0">IF(AND(B34="",B35=""),"",SUM(B34:B35))</f>
        <v/>
      </c>
      <c r="C33" s="474" t="str">
        <f t="shared" si="0"/>
        <v/>
      </c>
      <c r="D33" s="474" t="str">
        <f t="shared" si="0"/>
        <v/>
      </c>
      <c r="E33" s="474" t="str">
        <f t="shared" si="0"/>
        <v/>
      </c>
      <c r="F33" s="474" t="str">
        <f t="shared" si="0"/>
        <v/>
      </c>
      <c r="G33" s="474" t="str">
        <f t="shared" si="0"/>
        <v/>
      </c>
      <c r="H33" s="474" t="str">
        <f t="shared" si="0"/>
        <v/>
      </c>
    </row>
    <row r="34" spans="1:8" ht="15" customHeight="1" x14ac:dyDescent="0.35">
      <c r="A34" s="479" t="s">
        <v>891</v>
      </c>
      <c r="B34" s="523"/>
      <c r="C34" s="475"/>
      <c r="D34" s="523"/>
      <c r="E34" s="523"/>
      <c r="F34" s="523"/>
      <c r="G34" s="475"/>
      <c r="H34" s="480" t="str">
        <f>IF(AND(B34="",D34="",E34="",F34="",G34=""),"",SUM(B34:G34))</f>
        <v/>
      </c>
    </row>
    <row r="35" spans="1:8" ht="15" customHeight="1" x14ac:dyDescent="0.35">
      <c r="A35" s="479" t="s">
        <v>892</v>
      </c>
      <c r="B35" s="523"/>
      <c r="C35" s="523"/>
      <c r="D35" s="523"/>
      <c r="E35" s="523"/>
      <c r="F35" s="523"/>
      <c r="G35" s="523"/>
      <c r="H35" s="480" t="str">
        <f>IF(AND(B35="",C35="",D35="",E35="",F35="",G35=""),"",SUM(B35:G35))</f>
        <v/>
      </c>
    </row>
    <row r="36" spans="1:8" ht="6.75" customHeight="1" x14ac:dyDescent="0.4">
      <c r="E36" s="21"/>
      <c r="F36" s="21"/>
      <c r="G36" s="21"/>
      <c r="H36" s="10"/>
    </row>
    <row r="37" spans="1:8" ht="24.75" customHeight="1" x14ac:dyDescent="0.35">
      <c r="A37" s="569" t="s">
        <v>1286</v>
      </c>
      <c r="B37" s="569"/>
      <c r="C37" s="570"/>
      <c r="D37" s="570"/>
      <c r="E37" s="570"/>
      <c r="F37" s="570"/>
      <c r="G37" s="570"/>
      <c r="H37" s="570"/>
    </row>
    <row r="38" spans="1:8" ht="222.75" customHeight="1" x14ac:dyDescent="0.35">
      <c r="A38" s="553" t="s">
        <v>1210</v>
      </c>
      <c r="B38" s="553"/>
      <c r="C38" s="554"/>
      <c r="D38" s="554"/>
      <c r="E38" s="554"/>
      <c r="F38" s="554"/>
      <c r="G38" s="554"/>
      <c r="H38" s="554"/>
    </row>
    <row r="39" spans="1:8" ht="12.75" customHeight="1" x14ac:dyDescent="0.35">
      <c r="A39" s="410" t="s">
        <v>16</v>
      </c>
      <c r="B39" s="410"/>
      <c r="C39" s="410"/>
      <c r="D39" s="410"/>
      <c r="E39" s="410"/>
      <c r="F39" s="410"/>
      <c r="G39" s="410"/>
      <c r="H39" s="410"/>
    </row>
    <row r="40" spans="1:8" ht="12.75" customHeight="1" x14ac:dyDescent="0.35">
      <c r="A40" s="410" t="s">
        <v>17</v>
      </c>
      <c r="B40" s="410"/>
      <c r="C40" s="410"/>
      <c r="D40" s="410"/>
      <c r="E40" s="410"/>
      <c r="F40" s="410"/>
      <c r="G40" s="410"/>
      <c r="H40" s="410"/>
    </row>
    <row r="41" spans="1:8" x14ac:dyDescent="0.35">
      <c r="A41" s="410"/>
      <c r="B41" s="410"/>
      <c r="C41" s="410"/>
      <c r="D41" s="410"/>
      <c r="E41" s="410"/>
      <c r="F41" s="410"/>
      <c r="G41" s="410"/>
      <c r="H41" s="410"/>
    </row>
    <row r="42" spans="1:8" x14ac:dyDescent="0.35">
      <c r="A42" s="411"/>
      <c r="B42" s="411"/>
      <c r="C42" s="411"/>
      <c r="D42" s="411"/>
      <c r="E42" s="411"/>
      <c r="F42" s="411"/>
      <c r="G42" s="411"/>
      <c r="H42" s="411"/>
    </row>
    <row r="60" ht="12.75" customHeight="1" x14ac:dyDescent="0.35"/>
  </sheetData>
  <sheetProtection algorithmName="SHA-512" hashValue="TKiLi6SPoiaUpLVRO0Se4bCuJQ4VeucuE1arB0y8FFxnQzncXxg0h8Thda5hMe8OL6HRyIYMag4pi9YGx9bk+Q==" saltValue="GDCfBfbMk7l2HQS8f5fGxQ==" spinCount="100000" sheet="1" objects="1" scenarios="1" selectLockedCells="1"/>
  <dataConsolidate/>
  <mergeCells count="31">
    <mergeCell ref="A38:H38"/>
    <mergeCell ref="A26:D26"/>
    <mergeCell ref="A30:A32"/>
    <mergeCell ref="A27:D27"/>
    <mergeCell ref="E27:H27"/>
    <mergeCell ref="B30:D30"/>
    <mergeCell ref="F30:G30"/>
    <mergeCell ref="E26:H26"/>
    <mergeCell ref="A29:H29"/>
    <mergeCell ref="A37:H37"/>
    <mergeCell ref="B31:C31"/>
    <mergeCell ref="D31:D32"/>
    <mergeCell ref="F31:F32"/>
    <mergeCell ref="G31:G32"/>
    <mergeCell ref="E30:E32"/>
    <mergeCell ref="H30:H32"/>
    <mergeCell ref="A4:F4"/>
    <mergeCell ref="A5:F5"/>
    <mergeCell ref="B6:C6"/>
    <mergeCell ref="B8:H8"/>
    <mergeCell ref="B10:H10"/>
    <mergeCell ref="G6:H6"/>
    <mergeCell ref="E28:H28"/>
    <mergeCell ref="A24:D24"/>
    <mergeCell ref="E23:H23"/>
    <mergeCell ref="G12:H12"/>
    <mergeCell ref="G14:H14"/>
    <mergeCell ref="G16:H16"/>
    <mergeCell ref="B12:D12"/>
    <mergeCell ref="A23:D23"/>
    <mergeCell ref="E24:H24"/>
  </mergeCells>
  <phoneticPr fontId="75" type="noConversion"/>
  <conditionalFormatting sqref="B12">
    <cfRule type="expression" dxfId="445" priority="50" stopIfTrue="1">
      <formula>LEN(TRIM(B12))=0</formula>
    </cfRule>
  </conditionalFormatting>
  <conditionalFormatting sqref="A27">
    <cfRule type="expression" dxfId="444" priority="42" stopIfTrue="1">
      <formula>LEN(TRIM(A27))=0</formula>
    </cfRule>
  </conditionalFormatting>
  <conditionalFormatting sqref="B6">
    <cfRule type="expression" dxfId="443" priority="29" stopIfTrue="1">
      <formula>LEN(TRIM(B6))=0</formula>
    </cfRule>
  </conditionalFormatting>
  <conditionalFormatting sqref="E27">
    <cfRule type="expression" dxfId="442" priority="17" stopIfTrue="1">
      <formula>LEN(TRIM(E27))=0</formula>
    </cfRule>
  </conditionalFormatting>
  <conditionalFormatting sqref="G12">
    <cfRule type="expression" dxfId="441" priority="16" stopIfTrue="1">
      <formula>LEN(TRIM(G12))=0</formula>
    </cfRule>
  </conditionalFormatting>
  <conditionalFormatting sqref="B8:H8">
    <cfRule type="expression" dxfId="440" priority="15">
      <formula>LEN(TRIM(B8))=0</formula>
    </cfRule>
  </conditionalFormatting>
  <conditionalFormatting sqref="B10:H10">
    <cfRule type="expression" dxfId="439" priority="14">
      <formula>LEN(TRIM(B10))=0</formula>
    </cfRule>
  </conditionalFormatting>
  <conditionalFormatting sqref="A24:D24">
    <cfRule type="expression" dxfId="438" priority="13">
      <formula>LEN(TRIM(A24))=0</formula>
    </cfRule>
  </conditionalFormatting>
  <conditionalFormatting sqref="E35:G35 C35">
    <cfRule type="expression" dxfId="437" priority="5" stopIfTrue="1">
      <formula>LEN(TRIM(C35))=0</formula>
    </cfRule>
  </conditionalFormatting>
  <conditionalFormatting sqref="B34">
    <cfRule type="expression" dxfId="436" priority="4" stopIfTrue="1">
      <formula>LEN(TRIM(B34))=0</formula>
    </cfRule>
  </conditionalFormatting>
  <conditionalFormatting sqref="B35">
    <cfRule type="expression" dxfId="435" priority="3" stopIfTrue="1">
      <formula>LEN(TRIM(B35))=0</formula>
    </cfRule>
  </conditionalFormatting>
  <conditionalFormatting sqref="E34:F34">
    <cfRule type="expression" dxfId="434" priority="2" stopIfTrue="1">
      <formula>LEN(TRIM(E34))=0</formula>
    </cfRule>
  </conditionalFormatting>
  <conditionalFormatting sqref="D34:D35">
    <cfRule type="expression" dxfId="433" priority="1" stopIfTrue="1">
      <formula>LEN(TRIM(D34))=0</formula>
    </cfRule>
  </conditionalFormatting>
  <dataValidations count="11">
    <dataValidation allowBlank="1" showInputMessage="1" showErrorMessage="1" errorTitle="Eingabefehler" sqref="G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whole" allowBlank="1" showInputMessage="1" showErrorMessage="1" errorTitle="Eingabefehler" error="Ganze Zahl zwischen 0 und 5000 eingeben." sqref="G34 C34" xr:uid="{00000000-0002-0000-0000-000002000000}">
      <formula1>0</formula1>
      <formula2>5000</formula2>
    </dataValidation>
    <dataValidation errorStyle="information" allowBlank="1" showInputMessage="1" showErrorMessage="1" sqref="G16" xr:uid="{00000000-0002-0000-0000-000003000000}"/>
    <dataValidation allowBlank="1" showInputMessage="1" showErrorMessage="1" errorTitle="Hinweis" error="Auswahl treffen über Dropdown-Liste." sqref="E24:H24" xr:uid="{00000000-0002-0000-0000-000004000000}"/>
    <dataValidation type="date" allowBlank="1" showErrorMessage="1" errorTitle="Input data error" error="Format: dd.mm.yyyy_x000a_Time period between 01.10.2022 - 31.01.2024." sqref="G12:H12" xr:uid="{00000000-0002-0000-0000-000005000000}">
      <formula1>44835</formula1>
      <formula2>45322</formula2>
    </dataValidation>
    <dataValidation type="list" allowBlank="1" showInputMessage="1" showErrorMessage="1" errorTitle="Input data error" error="Only values from the dropdown list are allowed" sqref="A24:D24" xr:uid="{00000000-0002-0000-0000-000006000000}">
      <formula1>countries</formula1>
    </dataValidation>
    <dataValidation allowBlank="1" showInputMessage="1" showErrorMessage="1" errorTitle="Indication" error="Select option via drop-down list" sqref="B6:C6" xr:uid="{00000000-0002-0000-0000-000007000000}"/>
    <dataValidation type="textLength" allowBlank="1" showErrorMessage="1" errorTitle="Input data error" error="Text input only up 100 characters" prompt="Name, Vorname" sqref="B12:D12" xr:uid="{00000000-0002-0000-0000-000008000000}">
      <formula1>0</formula1>
      <formula2>100</formula2>
    </dataValidation>
    <dataValidation allowBlank="1" showInputMessage="1" showErrorMessage="1" errorTitle="Input data error" error="Whole number between 0 and 5000." sqref="C34" xr:uid="{00000000-0002-0000-0000-000009000000}"/>
    <dataValidation type="whole" allowBlank="1" showInputMessage="1" showErrorMessage="1" errorTitle="Input data error" error="Whole number between 0 and 5000." sqref="B34 B35 C35 D34 D35 E34 E35 F34 F35 G35" xr:uid="{C67529EC-10EC-494F-B35E-BE1BD92A2F8D}">
      <formula1>0</formula1>
      <formula2>5000</formula2>
    </dataValidation>
  </dataValidations>
  <pageMargins left="0.59055118110236227" right="3.937007874015748E-2" top="0.39370078740157483" bottom="0.39370078740157483" header="0.11811023622047245" footer="0.11811023622047245"/>
  <pageSetup paperSize="9" scale="93" orientation="portrait" r:id="rId1"/>
  <headerFooter>
    <oddFooter>&amp;L&amp;"Arial,Standard"&amp;7&amp;F&amp;C&amp;"Arial,Standard"&amp;7 © DKG  Alle Rechte vorbehalten&amp;R&amp;"Arial,Standard"&amp;7&amp;P</oddFooter>
  </headerFooter>
  <rowBreaks count="1" manualBreakCount="1">
    <brk id="38" max="7"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list" showInputMessage="1" showErrorMessage="1" errorTitle="Input data error" error="Only values from the dropdown list are allowed." xr:uid="{00000000-0002-0000-0000-00000A000000}">
          <x14:formula1>
            <xm:f>Datenquelle!$B$1:$B$51</xm:f>
          </x14:formula1>
          <xm:sqref>A27:D27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H12"/>
  <sheetViews>
    <sheetView workbookViewId="0">
      <selection activeCell="G25" sqref="G25"/>
    </sheetView>
  </sheetViews>
  <sheetFormatPr baseColWidth="10" defaultColWidth="9.1328125" defaultRowHeight="12.75" x14ac:dyDescent="0.45"/>
  <cols>
    <col min="1" max="1" width="15.3984375" style="177" customWidth="1"/>
    <col min="2" max="2" width="15.59765625" style="177" customWidth="1"/>
    <col min="3" max="4" width="14.3984375" style="177" customWidth="1"/>
    <col min="5" max="5" width="14" style="177" customWidth="1"/>
    <col min="6" max="6" width="17.1328125" style="177" customWidth="1"/>
    <col min="7" max="7" width="22.1328125" style="177" customWidth="1"/>
    <col min="8" max="8" width="13.73046875" style="177" customWidth="1"/>
    <col min="9" max="16384" width="9.1328125" style="177"/>
  </cols>
  <sheetData>
    <row r="1" spans="1:8" ht="66.75" customHeight="1" x14ac:dyDescent="0.45">
      <c r="A1" s="252" t="s">
        <v>1214</v>
      </c>
      <c r="B1" s="374" t="s">
        <v>1215</v>
      </c>
      <c r="C1" s="374" t="s">
        <v>1216</v>
      </c>
      <c r="D1" s="374" t="s">
        <v>1217</v>
      </c>
      <c r="E1" s="253" t="s">
        <v>1218</v>
      </c>
      <c r="F1" s="253" t="s">
        <v>1219</v>
      </c>
      <c r="G1" s="253" t="s">
        <v>1220</v>
      </c>
      <c r="H1" s="374" t="s">
        <v>1221</v>
      </c>
    </row>
    <row r="2" spans="1:8" ht="15" customHeight="1" x14ac:dyDescent="0.45">
      <c r="A2" s="214" t="s">
        <v>1222</v>
      </c>
      <c r="B2" s="180" t="str">
        <f>IF('Basic data'!B33="","",'Basic data'!B33)</f>
        <v/>
      </c>
      <c r="C2" s="180" t="str">
        <f>IF('Basic data'!C33="","",'Basic data'!C33)</f>
        <v/>
      </c>
      <c r="D2" s="180" t="str">
        <f>IF('Basic data'!D33="","",'Basic data'!D33)</f>
        <v/>
      </c>
      <c r="E2" s="180" t="str">
        <f>IF('Basic data'!E33="","",'Basic data'!E33)</f>
        <v/>
      </c>
      <c r="F2" s="180" t="str">
        <f>IF('Basic data'!F33="","",'Basic data'!F33)</f>
        <v/>
      </c>
      <c r="G2" s="180" t="str">
        <f>IF('Basic data'!G33="","",'Basic data'!G33)</f>
        <v/>
      </c>
      <c r="H2" s="180" t="str">
        <f>IF('Basic data'!H33="","",'Basic data'!H33)</f>
        <v/>
      </c>
    </row>
    <row r="3" spans="1:8" ht="15" customHeight="1" x14ac:dyDescent="0.45">
      <c r="A3" s="215" t="s">
        <v>1223</v>
      </c>
      <c r="B3" s="180" t="str">
        <f>IF('Basic data'!B34="","",'Basic data'!B34)</f>
        <v/>
      </c>
      <c r="C3" s="180" t="str">
        <f>IF('Basic data'!C34="","",'Basic data'!C34)</f>
        <v/>
      </c>
      <c r="D3" s="385" t="str">
        <f>IF('Basic data'!D34="","",'Basic data'!D34)</f>
        <v/>
      </c>
      <c r="E3" s="180" t="str">
        <f>IF('Basic data'!E34="","",'Basic data'!E34)</f>
        <v/>
      </c>
      <c r="F3" s="180" t="str">
        <f>IF('Basic data'!F34="","",'Basic data'!F34)</f>
        <v/>
      </c>
      <c r="G3" s="385" t="str">
        <f>IF('Basic data'!G34="","",'Basic data'!G34)</f>
        <v/>
      </c>
      <c r="H3" s="180" t="str">
        <f>IF('Basic data'!H34="","",'Basic data'!H34)</f>
        <v/>
      </c>
    </row>
    <row r="4" spans="1:8" x14ac:dyDescent="0.45">
      <c r="A4" s="215" t="s">
        <v>1224</v>
      </c>
      <c r="B4" s="180" t="str">
        <f>IF('Basic data'!B35="","",'Basic data'!B35)</f>
        <v/>
      </c>
      <c r="C4" s="180" t="str">
        <f>IF('Basic data'!C35="","",'Basic data'!C35)</f>
        <v/>
      </c>
      <c r="D4" s="180" t="str">
        <f>IF('Basic data'!D35="","",'Basic data'!D35)</f>
        <v/>
      </c>
      <c r="E4" s="180" t="str">
        <f>IF('Basic data'!E35="","",'Basic data'!E35)</f>
        <v/>
      </c>
      <c r="F4" s="180" t="str">
        <f>IF('Basic data'!F35="","",'Basic data'!F35)</f>
        <v/>
      </c>
      <c r="G4" s="180" t="str">
        <f>IF('Basic data'!G35="","",'Basic data'!G35)</f>
        <v/>
      </c>
      <c r="H4" s="180" t="str">
        <f>IF('Basic data'!H35="","",'Basic data'!H35)</f>
        <v/>
      </c>
    </row>
    <row r="5" spans="1:8" x14ac:dyDescent="0.45">
      <c r="B5" s="181"/>
      <c r="C5" s="181"/>
      <c r="D5" s="181"/>
      <c r="E5" s="181"/>
      <c r="F5" s="181"/>
      <c r="G5" s="181"/>
      <c r="H5" s="181"/>
    </row>
    <row r="12" spans="1:8" x14ac:dyDescent="0.45">
      <c r="D12" s="336"/>
    </row>
  </sheetData>
  <phoneticPr fontId="75"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D9"/>
  <sheetViews>
    <sheetView workbookViewId="0">
      <selection activeCell="D6" sqref="D6"/>
    </sheetView>
  </sheetViews>
  <sheetFormatPr baseColWidth="10" defaultColWidth="9.1328125" defaultRowHeight="12.75" x14ac:dyDescent="0.45"/>
  <cols>
    <col min="1" max="1" width="36.59765625" style="336" customWidth="1"/>
    <col min="2" max="2" width="47.1328125" style="336" customWidth="1"/>
    <col min="3" max="3" width="44.265625" style="336" customWidth="1"/>
    <col min="4" max="4" width="38.59765625" style="336" customWidth="1"/>
    <col min="5" max="5" width="39.3984375" style="336" customWidth="1"/>
    <col min="6" max="6" width="41.1328125" style="336" customWidth="1"/>
    <col min="7" max="7" width="46.73046875" style="336" customWidth="1"/>
    <col min="8" max="8" width="38.265625" style="336" customWidth="1"/>
    <col min="9" max="9" width="42.86328125" style="336" customWidth="1"/>
    <col min="10" max="10" width="43.73046875" style="336" customWidth="1"/>
    <col min="11" max="11" width="36" style="336" customWidth="1"/>
    <col min="12" max="12" width="16.59765625" style="336" customWidth="1"/>
    <col min="13" max="13" width="24.1328125" style="336" customWidth="1"/>
    <col min="14" max="14" width="35" style="336" customWidth="1"/>
    <col min="15" max="15" width="28.1328125" style="336" customWidth="1"/>
    <col min="16" max="16" width="27.73046875" style="336" customWidth="1"/>
    <col min="17" max="17" width="30.1328125" style="336" customWidth="1"/>
    <col min="18" max="18" width="28.1328125" style="336" customWidth="1"/>
    <col min="19" max="19" width="29.73046875" style="336" customWidth="1"/>
    <col min="20" max="20" width="15.265625" style="336" customWidth="1"/>
    <col min="21" max="21" width="17.265625" style="336" customWidth="1"/>
    <col min="22" max="16384" width="9.1328125" style="336"/>
  </cols>
  <sheetData>
    <row r="1" spans="1:4" ht="13.15" x14ac:dyDescent="0.45">
      <c r="A1" s="375" t="s">
        <v>112</v>
      </c>
      <c r="B1" s="376" t="str">
        <f>IF('Basic data'!B12=0,"",'Basic data'!B12)</f>
        <v/>
      </c>
    </row>
    <row r="2" spans="1:4" ht="13.15" x14ac:dyDescent="0.45">
      <c r="A2" s="375" t="s">
        <v>306</v>
      </c>
      <c r="B2" s="377" t="str">
        <f>IF('Basic data'!G12=0,"",'Basic data'!G12)</f>
        <v/>
      </c>
    </row>
    <row r="3" spans="1:4" ht="13.15" x14ac:dyDescent="0.45">
      <c r="A3" s="375" t="s">
        <v>348</v>
      </c>
      <c r="B3" s="377" t="str">
        <f>IF('Basic data'!G14=0,"",'Basic data'!G14)</f>
        <v>-----</v>
      </c>
    </row>
    <row r="4" spans="1:4" x14ac:dyDescent="0.45">
      <c r="A4" s="337"/>
      <c r="B4" s="335"/>
    </row>
    <row r="5" spans="1:4" ht="13.15" x14ac:dyDescent="0.45">
      <c r="A5" s="378" t="s">
        <v>199</v>
      </c>
      <c r="B5" s="378" t="s">
        <v>202</v>
      </c>
      <c r="C5" s="470" t="s">
        <v>434</v>
      </c>
      <c r="D5" s="378" t="s">
        <v>161</v>
      </c>
    </row>
    <row r="6" spans="1:4" x14ac:dyDescent="0.45">
      <c r="A6" s="379" t="str">
        <f>IF('Basic data'!A24=0,"",'Basic data'!A24)</f>
        <v/>
      </c>
      <c r="B6" s="379" t="str">
        <f>IF('Basic data'!A27=0,"",'Basic data'!A27)</f>
        <v/>
      </c>
      <c r="C6" s="471" t="str">
        <f>IF('Basic data'!E24=0,"",'Basic data'!E24)</f>
        <v/>
      </c>
      <c r="D6" s="379" t="str">
        <f>IF('Basic data'!E27=0,"",'Basic data'!E27)</f>
        <v>Yes</v>
      </c>
    </row>
    <row r="7" spans="1:4" x14ac:dyDescent="0.45">
      <c r="A7" s="337"/>
    </row>
    <row r="8" spans="1:4" x14ac:dyDescent="0.45">
      <c r="A8" s="337"/>
      <c r="B8" s="335"/>
    </row>
    <row r="9" spans="1:4" x14ac:dyDescent="0.45">
      <c r="A9" s="337"/>
      <c r="B9" s="335"/>
    </row>
  </sheetData>
  <phoneticPr fontId="7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IF306"/>
  <sheetViews>
    <sheetView topLeftCell="A74" zoomScaleNormal="100" workbookViewId="0">
      <selection activeCell="D31" sqref="D31"/>
    </sheetView>
  </sheetViews>
  <sheetFormatPr baseColWidth="10" defaultColWidth="9.1328125" defaultRowHeight="10.15" x14ac:dyDescent="0.3"/>
  <cols>
    <col min="1" max="1" width="33.1328125" style="11" customWidth="1"/>
    <col min="2" max="2" width="50.3984375" style="82" customWidth="1"/>
    <col min="3" max="3" width="69.265625" style="82" customWidth="1"/>
    <col min="4" max="4" width="20.3984375" style="82" customWidth="1"/>
    <col min="5" max="5" width="10.265625" style="82" customWidth="1"/>
    <col min="6" max="6" width="15.86328125" style="254" customWidth="1"/>
    <col min="7" max="8" width="9.1328125" style="82" customWidth="1"/>
    <col min="9" max="9" width="38.3984375" style="82" bestFit="1" customWidth="1"/>
    <col min="10" max="10" width="34" style="82" bestFit="1" customWidth="1"/>
    <col min="11" max="12" width="35" style="82" bestFit="1" customWidth="1"/>
    <col min="13" max="15" width="32.73046875" style="82" bestFit="1" customWidth="1"/>
    <col min="16" max="16" width="33.86328125" style="82" bestFit="1" customWidth="1"/>
    <col min="17" max="17" width="34.86328125" style="82" customWidth="1"/>
    <col min="18" max="18" width="32.73046875" style="82" customWidth="1"/>
    <col min="19" max="20" width="32.73046875" style="82" bestFit="1" customWidth="1"/>
    <col min="21" max="22" width="33.86328125" style="82" bestFit="1" customWidth="1"/>
    <col min="23" max="23" width="37.265625" style="82" bestFit="1" customWidth="1"/>
    <col min="24" max="24" width="33.86328125" style="82" bestFit="1" customWidth="1"/>
    <col min="25" max="25" width="18.1328125" style="82" bestFit="1" customWidth="1"/>
    <col min="26" max="26" width="23" style="82" bestFit="1" customWidth="1"/>
    <col min="27" max="27" width="18.1328125" style="82" bestFit="1" customWidth="1"/>
    <col min="28" max="32" width="9.1328125" style="82" customWidth="1"/>
    <col min="33" max="33" width="13.59765625" style="82" customWidth="1"/>
    <col min="34" max="93" width="9.1328125" style="82" customWidth="1"/>
    <col min="94" max="94" width="19" style="82" customWidth="1"/>
    <col min="95" max="16384" width="9.1328125" style="82"/>
  </cols>
  <sheetData>
    <row r="1" spans="1:240" x14ac:dyDescent="0.3">
      <c r="A1" s="468" t="s">
        <v>0</v>
      </c>
      <c r="B1" s="173" t="s">
        <v>993</v>
      </c>
      <c r="C1" s="173" t="s">
        <v>4</v>
      </c>
      <c r="D1" s="340"/>
    </row>
    <row r="2" spans="1:240" x14ac:dyDescent="0.3">
      <c r="A2" s="329" t="s">
        <v>1287</v>
      </c>
      <c r="B2" s="173" t="s">
        <v>2</v>
      </c>
      <c r="C2" s="173" t="s">
        <v>2</v>
      </c>
      <c r="D2" s="341"/>
      <c r="E2" s="11" t="s">
        <v>263</v>
      </c>
      <c r="F2" s="255"/>
    </row>
    <row r="3" spans="1:240" x14ac:dyDescent="0.3">
      <c r="B3" s="173" t="s">
        <v>113</v>
      </c>
      <c r="C3" s="173" t="s">
        <v>113</v>
      </c>
      <c r="D3" s="341"/>
      <c r="E3" s="13" t="str">
        <f>'Basic data'!G14</f>
        <v>-----</v>
      </c>
      <c r="F3" s="255">
        <f>IF(E3&gt;E4,0,DATEDIF(E3,E4,"y"))</f>
        <v>0</v>
      </c>
    </row>
    <row r="4" spans="1:240" x14ac:dyDescent="0.3">
      <c r="B4" s="173" t="s">
        <v>866</v>
      </c>
      <c r="C4" s="173" t="s">
        <v>866</v>
      </c>
      <c r="D4" s="341"/>
      <c r="E4" s="14">
        <v>45291</v>
      </c>
      <c r="F4" s="255"/>
      <c r="G4" s="5"/>
    </row>
    <row r="5" spans="1:240" x14ac:dyDescent="0.3">
      <c r="B5" s="173" t="s">
        <v>396</v>
      </c>
      <c r="C5" s="173" t="s">
        <v>396</v>
      </c>
      <c r="D5" s="509"/>
      <c r="E5" s="105"/>
      <c r="G5" s="5"/>
      <c r="H5" s="2"/>
    </row>
    <row r="6" spans="1:240" x14ac:dyDescent="0.3">
      <c r="B6" s="173" t="s">
        <v>114</v>
      </c>
      <c r="C6" s="173" t="s">
        <v>114</v>
      </c>
      <c r="D6" s="341"/>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3">
      <c r="A7" s="6"/>
      <c r="B7" s="173" t="s">
        <v>867</v>
      </c>
      <c r="C7" s="173" t="s">
        <v>867</v>
      </c>
      <c r="D7" s="341"/>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3">
      <c r="B8" s="173" t="s">
        <v>115</v>
      </c>
      <c r="C8" s="173" t="s">
        <v>115</v>
      </c>
      <c r="D8" s="341"/>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3">
      <c r="A9" s="6"/>
      <c r="B9" s="173" t="s">
        <v>868</v>
      </c>
      <c r="C9" s="173" t="s">
        <v>1272</v>
      </c>
      <c r="D9" s="341" t="s">
        <v>422</v>
      </c>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3">
      <c r="A10" s="6"/>
      <c r="B10" s="173" t="s">
        <v>3</v>
      </c>
      <c r="C10" s="173" t="s">
        <v>868</v>
      </c>
      <c r="D10" s="341"/>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3">
      <c r="A11" s="6"/>
      <c r="B11" s="173" t="s">
        <v>869</v>
      </c>
      <c r="C11" s="173" t="s">
        <v>3</v>
      </c>
      <c r="D11" s="341"/>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3">
      <c r="A12" s="6"/>
      <c r="B12" s="173" t="s">
        <v>397</v>
      </c>
      <c r="C12" s="173" t="s">
        <v>869</v>
      </c>
      <c r="D12" s="341" t="s">
        <v>418</v>
      </c>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3">
      <c r="A13" s="6"/>
      <c r="B13" s="173" t="s">
        <v>398</v>
      </c>
      <c r="C13" s="173" t="s">
        <v>397</v>
      </c>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3">
      <c r="A14" s="6"/>
      <c r="B14" s="173" t="s">
        <v>5</v>
      </c>
      <c r="C14" s="173" t="s">
        <v>398</v>
      </c>
      <c r="D14" s="341"/>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3">
      <c r="A15" s="6"/>
      <c r="B15" s="173" t="s">
        <v>116</v>
      </c>
      <c r="C15" s="173" t="s">
        <v>5</v>
      </c>
      <c r="D15" s="341"/>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3">
      <c r="A16" s="6"/>
      <c r="B16" s="173" t="s">
        <v>157</v>
      </c>
      <c r="C16" s="173" t="s">
        <v>116</v>
      </c>
      <c r="D16" s="341"/>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3">
      <c r="A17" s="6"/>
      <c r="B17" s="173" t="s">
        <v>6</v>
      </c>
      <c r="C17" s="173" t="s">
        <v>157</v>
      </c>
      <c r="D17" s="341"/>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3">
      <c r="A18" s="6"/>
      <c r="B18" s="173" t="s">
        <v>163</v>
      </c>
      <c r="C18" s="173" t="s">
        <v>6</v>
      </c>
      <c r="D18" s="341"/>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ht="10.5" x14ac:dyDescent="0.3">
      <c r="A19" s="6"/>
      <c r="B19" s="173" t="s">
        <v>7</v>
      </c>
      <c r="C19" s="173" t="s">
        <v>163</v>
      </c>
      <c r="D19" s="342"/>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3">
      <c r="A20" s="6"/>
      <c r="B20" s="173" t="s">
        <v>117</v>
      </c>
      <c r="C20" s="173" t="s">
        <v>7</v>
      </c>
      <c r="D20" s="341"/>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3">
      <c r="A21" s="6"/>
      <c r="B21" s="173" t="s">
        <v>8</v>
      </c>
      <c r="C21" s="173" t="s">
        <v>117</v>
      </c>
      <c r="D21" s="341" t="s">
        <v>418</v>
      </c>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3">
      <c r="A22" s="6"/>
      <c r="B22" s="173" t="s">
        <v>408</v>
      </c>
      <c r="C22" s="173" t="s">
        <v>8</v>
      </c>
      <c r="D22" s="341" t="s">
        <v>418</v>
      </c>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3">
      <c r="A23" s="6"/>
      <c r="B23" s="173" t="s">
        <v>9</v>
      </c>
      <c r="C23" s="472" t="s">
        <v>408</v>
      </c>
      <c r="D23" s="341"/>
      <c r="E23" s="254"/>
      <c r="F23" s="5"/>
      <c r="G23" s="3"/>
      <c r="I23" s="6"/>
      <c r="J23" s="6"/>
      <c r="L23" s="6"/>
      <c r="M23" s="6"/>
      <c r="O23" s="6"/>
      <c r="P23" s="6"/>
      <c r="R23" s="6"/>
      <c r="S23" s="6"/>
      <c r="U23" s="6"/>
      <c r="V23" s="6"/>
      <c r="X23" s="6"/>
      <c r="Y23" s="6"/>
      <c r="AA23" s="6"/>
      <c r="AB23" s="6"/>
      <c r="AD23" s="6"/>
      <c r="AE23" s="6"/>
      <c r="AF23" s="6"/>
      <c r="AH23" s="6"/>
      <c r="AI23" s="6"/>
      <c r="AK23" s="6"/>
      <c r="AL23" s="6"/>
      <c r="AN23" s="6"/>
      <c r="AO23" s="6"/>
      <c r="AQ23" s="6"/>
      <c r="AR23" s="6"/>
      <c r="AT23" s="6"/>
      <c r="AU23" s="6"/>
      <c r="AW23" s="6"/>
      <c r="AX23" s="6"/>
      <c r="AZ23" s="6"/>
      <c r="BA23" s="6"/>
      <c r="BC23" s="6"/>
      <c r="BD23" s="6"/>
      <c r="BF23" s="6"/>
      <c r="BG23" s="6"/>
      <c r="BI23" s="6"/>
      <c r="BJ23" s="6"/>
      <c r="BL23" s="6"/>
      <c r="BM23" s="6"/>
      <c r="BO23" s="6"/>
      <c r="BP23" s="6"/>
      <c r="BR23" s="6"/>
      <c r="BS23" s="6"/>
      <c r="BU23" s="6"/>
      <c r="BV23" s="6"/>
      <c r="BX23" s="6"/>
      <c r="BY23" s="6"/>
      <c r="CA23" s="6"/>
      <c r="CB23" s="6"/>
      <c r="CD23" s="6"/>
      <c r="CE23" s="6"/>
      <c r="CG23" s="6"/>
      <c r="CH23" s="6"/>
      <c r="CJ23" s="6"/>
      <c r="CK23" s="6"/>
      <c r="CM23" s="6"/>
      <c r="CN23" s="6"/>
      <c r="CP23" s="6"/>
      <c r="CQ23" s="6"/>
      <c r="CS23" s="6"/>
      <c r="CT23" s="6"/>
      <c r="CV23" s="6"/>
      <c r="CW23" s="6"/>
      <c r="CY23" s="6"/>
      <c r="CZ23" s="6"/>
      <c r="DB23" s="6"/>
      <c r="DC23" s="6"/>
      <c r="DE23" s="6"/>
      <c r="DF23" s="6"/>
      <c r="DH23" s="6"/>
      <c r="DI23" s="6"/>
      <c r="DK23" s="6"/>
      <c r="DL23" s="6"/>
      <c r="DN23" s="6"/>
      <c r="DO23" s="6"/>
      <c r="DQ23" s="6"/>
      <c r="DR23" s="6"/>
      <c r="DT23" s="6"/>
      <c r="DU23" s="6"/>
      <c r="DW23" s="6"/>
      <c r="DX23" s="6"/>
      <c r="DZ23" s="6"/>
      <c r="EA23" s="6"/>
      <c r="EC23" s="6"/>
      <c r="ED23" s="6"/>
      <c r="EF23" s="6"/>
      <c r="EG23" s="6"/>
      <c r="EI23" s="6"/>
      <c r="EJ23" s="6"/>
      <c r="EL23" s="6"/>
      <c r="EM23" s="6"/>
      <c r="EO23" s="6"/>
      <c r="EP23" s="6"/>
      <c r="ER23" s="6"/>
      <c r="ES23" s="6"/>
      <c r="EU23" s="6"/>
      <c r="EV23" s="6"/>
      <c r="EX23" s="6"/>
      <c r="EY23" s="6"/>
      <c r="FA23" s="6"/>
      <c r="FB23" s="6"/>
      <c r="FD23" s="6"/>
      <c r="FE23" s="6"/>
      <c r="FG23" s="6"/>
      <c r="FH23" s="6"/>
      <c r="FJ23" s="6"/>
      <c r="FK23" s="6"/>
      <c r="FM23" s="6"/>
      <c r="FN23" s="6"/>
      <c r="FP23" s="6"/>
      <c r="FQ23" s="6"/>
      <c r="FS23" s="6"/>
      <c r="FT23" s="6"/>
      <c r="FV23" s="6"/>
      <c r="FW23" s="6"/>
      <c r="FY23" s="6"/>
      <c r="FZ23" s="6"/>
      <c r="GB23" s="6"/>
      <c r="GC23" s="6"/>
      <c r="GE23" s="6"/>
      <c r="GF23" s="6"/>
      <c r="GH23" s="6"/>
      <c r="GI23" s="6"/>
      <c r="GK23" s="6"/>
      <c r="GL23" s="6"/>
      <c r="GN23" s="6"/>
      <c r="GO23" s="6"/>
      <c r="GQ23" s="6"/>
      <c r="GR23" s="6"/>
      <c r="GT23" s="6"/>
      <c r="GU23" s="6"/>
      <c r="GW23" s="6"/>
      <c r="GX23" s="6"/>
      <c r="GZ23" s="6"/>
      <c r="HA23" s="6"/>
      <c r="HC23" s="6"/>
      <c r="HD23" s="6"/>
      <c r="HF23" s="6"/>
      <c r="HG23" s="6"/>
      <c r="HI23" s="6"/>
      <c r="HJ23" s="6"/>
      <c r="HL23" s="6"/>
      <c r="HM23" s="6"/>
      <c r="HO23" s="6"/>
      <c r="HP23" s="6"/>
      <c r="HR23" s="6"/>
      <c r="HS23" s="6"/>
      <c r="HU23" s="6"/>
      <c r="HV23" s="6"/>
      <c r="HX23" s="6"/>
      <c r="HY23" s="6"/>
      <c r="IA23" s="6"/>
      <c r="IB23" s="6"/>
      <c r="ID23" s="6"/>
      <c r="IE23" s="6"/>
    </row>
    <row r="24" spans="1:240" x14ac:dyDescent="0.3">
      <c r="A24" s="6"/>
      <c r="B24" s="173" t="s">
        <v>811</v>
      </c>
      <c r="C24" s="173" t="s">
        <v>9</v>
      </c>
      <c r="D24" s="341"/>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3">
      <c r="A25" s="6"/>
      <c r="B25" s="173" t="s">
        <v>118</v>
      </c>
      <c r="C25" s="173" t="s">
        <v>419</v>
      </c>
      <c r="D25" s="341" t="s">
        <v>420</v>
      </c>
      <c r="E25" s="6"/>
      <c r="G25" s="5"/>
      <c r="H25" s="3"/>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x14ac:dyDescent="0.3">
      <c r="A26" s="6"/>
      <c r="B26" s="173" t="s">
        <v>399</v>
      </c>
      <c r="C26" s="173" t="s">
        <v>811</v>
      </c>
      <c r="D26" s="341"/>
      <c r="E26" s="6"/>
      <c r="G26" s="5"/>
      <c r="H26" s="3"/>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3">
      <c r="A27" s="6"/>
      <c r="B27" s="173" t="s">
        <v>119</v>
      </c>
      <c r="C27" s="173" t="s">
        <v>870</v>
      </c>
      <c r="D27" s="341" t="s">
        <v>422</v>
      </c>
      <c r="E27" s="6"/>
      <c r="G27" s="5"/>
      <c r="H27" s="3"/>
      <c r="J27" s="6"/>
      <c r="K27" s="6"/>
      <c r="M27" s="6"/>
      <c r="N27" s="6"/>
      <c r="P27" s="6"/>
      <c r="Q27" s="6"/>
      <c r="S27" s="6"/>
      <c r="T27" s="6"/>
      <c r="V27" s="6"/>
      <c r="W27" s="6"/>
      <c r="Y27" s="6"/>
      <c r="Z27" s="6"/>
      <c r="AB27" s="6"/>
      <c r="AC27" s="6"/>
      <c r="AE27" s="6"/>
      <c r="AF27" s="6"/>
      <c r="AG27" s="6"/>
      <c r="AI27" s="6"/>
      <c r="AJ27" s="6"/>
      <c r="AL27" s="6"/>
      <c r="AM27" s="6"/>
      <c r="AO27" s="6"/>
      <c r="AP27" s="6"/>
      <c r="AR27" s="6"/>
      <c r="AS27" s="6"/>
      <c r="AU27" s="6"/>
      <c r="AV27" s="6"/>
      <c r="AX27" s="6"/>
      <c r="AY27" s="6"/>
      <c r="BA27" s="6"/>
      <c r="BB27" s="6"/>
      <c r="BD27" s="6"/>
      <c r="BE27" s="6"/>
      <c r="BG27" s="6"/>
      <c r="BH27" s="6"/>
      <c r="BJ27" s="6"/>
      <c r="BK27" s="6"/>
      <c r="BM27" s="6"/>
      <c r="BN27" s="6"/>
      <c r="BP27" s="6"/>
      <c r="BQ27" s="6"/>
      <c r="BS27" s="6"/>
      <c r="BT27" s="6"/>
      <c r="BV27" s="6"/>
      <c r="BW27" s="6"/>
      <c r="BY27" s="6"/>
      <c r="BZ27" s="6"/>
      <c r="CB27" s="6"/>
      <c r="CC27" s="6"/>
      <c r="CE27" s="6"/>
      <c r="CF27" s="6"/>
      <c r="CH27" s="6"/>
      <c r="CI27" s="6"/>
      <c r="CK27" s="6"/>
      <c r="CL27" s="6"/>
      <c r="CN27" s="6"/>
      <c r="CO27" s="6"/>
      <c r="CQ27" s="6"/>
      <c r="CR27" s="6"/>
      <c r="CT27" s="6"/>
      <c r="CU27" s="6"/>
      <c r="CW27" s="6"/>
      <c r="CX27" s="6"/>
      <c r="CZ27" s="6"/>
      <c r="DA27" s="6"/>
      <c r="DC27" s="6"/>
      <c r="DD27" s="6"/>
      <c r="DF27" s="6"/>
      <c r="DG27" s="6"/>
      <c r="DI27" s="6"/>
      <c r="DJ27" s="6"/>
      <c r="DL27" s="6"/>
      <c r="DM27" s="6"/>
      <c r="DO27" s="6"/>
      <c r="DP27" s="6"/>
      <c r="DR27" s="6"/>
      <c r="DS27" s="6"/>
      <c r="DU27" s="6"/>
      <c r="DV27" s="6"/>
      <c r="DX27" s="6"/>
      <c r="DY27" s="6"/>
      <c r="EA27" s="6"/>
      <c r="EB27" s="6"/>
      <c r="ED27" s="6"/>
      <c r="EE27" s="6"/>
      <c r="EG27" s="6"/>
      <c r="EH27" s="6"/>
      <c r="EJ27" s="6"/>
      <c r="EK27" s="6"/>
      <c r="EM27" s="6"/>
      <c r="EN27" s="6"/>
      <c r="EP27" s="6"/>
      <c r="EQ27" s="6"/>
      <c r="ES27" s="6"/>
      <c r="ET27" s="6"/>
      <c r="EV27" s="6"/>
      <c r="EW27" s="6"/>
      <c r="EY27" s="6"/>
      <c r="EZ27" s="6"/>
      <c r="FB27" s="6"/>
      <c r="FC27" s="6"/>
      <c r="FE27" s="6"/>
      <c r="FF27" s="6"/>
      <c r="FH27" s="6"/>
      <c r="FI27" s="6"/>
      <c r="FK27" s="6"/>
      <c r="FL27" s="6"/>
      <c r="FN27" s="6"/>
      <c r="FO27" s="6"/>
      <c r="FQ27" s="6"/>
      <c r="FR27" s="6"/>
      <c r="FT27" s="6"/>
      <c r="FU27" s="6"/>
      <c r="FW27" s="6"/>
      <c r="FX27" s="6"/>
      <c r="FZ27" s="6"/>
      <c r="GA27" s="6"/>
      <c r="GC27" s="6"/>
      <c r="GD27" s="6"/>
      <c r="GF27" s="6"/>
      <c r="GG27" s="6"/>
      <c r="GI27" s="6"/>
      <c r="GJ27" s="6"/>
      <c r="GL27" s="6"/>
      <c r="GM27" s="6"/>
      <c r="GO27" s="6"/>
      <c r="GP27" s="6"/>
      <c r="GR27" s="6"/>
      <c r="GS27" s="6"/>
      <c r="GU27" s="6"/>
      <c r="GV27" s="6"/>
      <c r="GX27" s="6"/>
      <c r="GY27" s="6"/>
      <c r="HA27" s="6"/>
      <c r="HB27" s="6"/>
      <c r="HD27" s="6"/>
      <c r="HE27" s="6"/>
      <c r="HG27" s="6"/>
      <c r="HH27" s="6"/>
      <c r="HJ27" s="6"/>
      <c r="HK27" s="6"/>
      <c r="HM27" s="6"/>
      <c r="HN27" s="6"/>
      <c r="HP27" s="6"/>
      <c r="HQ27" s="6"/>
      <c r="HS27" s="6"/>
      <c r="HT27" s="6"/>
      <c r="HV27" s="6"/>
      <c r="HW27" s="6"/>
      <c r="HY27" s="6"/>
      <c r="HZ27" s="6"/>
      <c r="IB27" s="6"/>
      <c r="IC27" s="6"/>
      <c r="IE27" s="6"/>
      <c r="IF27" s="6"/>
    </row>
    <row r="28" spans="1:240" x14ac:dyDescent="0.3">
      <c r="A28" s="6"/>
      <c r="B28" s="173" t="s">
        <v>120</v>
      </c>
      <c r="C28" s="173" t="s">
        <v>118</v>
      </c>
      <c r="E28" s="6"/>
      <c r="G28" s="5"/>
      <c r="H28" s="3"/>
      <c r="J28" s="6"/>
      <c r="K28" s="6"/>
      <c r="M28" s="6"/>
      <c r="N28" s="6"/>
      <c r="P28" s="6"/>
      <c r="Q28" s="6"/>
      <c r="S28" s="6"/>
      <c r="T28" s="6"/>
      <c r="V28" s="6"/>
      <c r="W28" s="6"/>
      <c r="Y28" s="6"/>
      <c r="Z28" s="6"/>
      <c r="AB28" s="6"/>
      <c r="AC28" s="6"/>
      <c r="AE28" s="6"/>
      <c r="AF28" s="6"/>
      <c r="AG28" s="6"/>
      <c r="AI28" s="6"/>
      <c r="AJ28" s="6"/>
      <c r="AL28" s="6"/>
      <c r="AM28" s="6"/>
      <c r="AO28" s="6"/>
      <c r="AP28" s="6"/>
      <c r="AR28" s="6"/>
      <c r="AS28" s="6"/>
      <c r="AU28" s="6"/>
      <c r="AV28" s="6"/>
      <c r="AX28" s="6"/>
      <c r="AY28" s="6"/>
      <c r="BA28" s="6"/>
      <c r="BB28" s="6"/>
      <c r="BD28" s="6"/>
      <c r="BE28" s="6"/>
      <c r="BG28" s="6"/>
      <c r="BH28" s="6"/>
      <c r="BJ28" s="6"/>
      <c r="BK28" s="6"/>
      <c r="BM28" s="6"/>
      <c r="BN28" s="6"/>
      <c r="BP28" s="6"/>
      <c r="BQ28" s="6"/>
      <c r="BS28" s="6"/>
      <c r="BT28" s="6"/>
      <c r="BV28" s="6"/>
      <c r="BW28" s="6"/>
      <c r="BY28" s="6"/>
      <c r="BZ28" s="6"/>
      <c r="CB28" s="6"/>
      <c r="CC28" s="6"/>
      <c r="CE28" s="6"/>
      <c r="CF28" s="6"/>
      <c r="CH28" s="6"/>
      <c r="CI28" s="6"/>
      <c r="CK28" s="6"/>
      <c r="CL28" s="6"/>
      <c r="CN28" s="6"/>
      <c r="CO28" s="6"/>
      <c r="CQ28" s="6"/>
      <c r="CR28" s="6"/>
      <c r="CT28" s="6"/>
      <c r="CU28" s="6"/>
      <c r="CW28" s="6"/>
      <c r="CX28" s="6"/>
      <c r="CZ28" s="6"/>
      <c r="DA28" s="6"/>
      <c r="DC28" s="6"/>
      <c r="DD28" s="6"/>
      <c r="DF28" s="6"/>
      <c r="DG28" s="6"/>
      <c r="DI28" s="6"/>
      <c r="DJ28" s="6"/>
      <c r="DL28" s="6"/>
      <c r="DM28" s="6"/>
      <c r="DO28" s="6"/>
      <c r="DP28" s="6"/>
      <c r="DR28" s="6"/>
      <c r="DS28" s="6"/>
      <c r="DU28" s="6"/>
      <c r="DV28" s="6"/>
      <c r="DX28" s="6"/>
      <c r="DY28" s="6"/>
      <c r="EA28" s="6"/>
      <c r="EB28" s="6"/>
      <c r="ED28" s="6"/>
      <c r="EE28" s="6"/>
      <c r="EG28" s="6"/>
      <c r="EH28" s="6"/>
      <c r="EJ28" s="6"/>
      <c r="EK28" s="6"/>
      <c r="EM28" s="6"/>
      <c r="EN28" s="6"/>
      <c r="EP28" s="6"/>
      <c r="EQ28" s="6"/>
      <c r="ES28" s="6"/>
      <c r="ET28" s="6"/>
      <c r="EV28" s="6"/>
      <c r="EW28" s="6"/>
      <c r="EY28" s="6"/>
      <c r="EZ28" s="6"/>
      <c r="FB28" s="6"/>
      <c r="FC28" s="6"/>
      <c r="FE28" s="6"/>
      <c r="FF28" s="6"/>
      <c r="FH28" s="6"/>
      <c r="FI28" s="6"/>
      <c r="FK28" s="6"/>
      <c r="FL28" s="6"/>
      <c r="FN28" s="6"/>
      <c r="FO28" s="6"/>
      <c r="FQ28" s="6"/>
      <c r="FR28" s="6"/>
      <c r="FT28" s="6"/>
      <c r="FU28" s="6"/>
      <c r="FW28" s="6"/>
      <c r="FX28" s="6"/>
      <c r="FZ28" s="6"/>
      <c r="GA28" s="6"/>
      <c r="GC28" s="6"/>
      <c r="GD28" s="6"/>
      <c r="GF28" s="6"/>
      <c r="GG28" s="6"/>
      <c r="GI28" s="6"/>
      <c r="GJ28" s="6"/>
      <c r="GL28" s="6"/>
      <c r="GM28" s="6"/>
      <c r="GO28" s="6"/>
      <c r="GP28" s="6"/>
      <c r="GR28" s="6"/>
      <c r="GS28" s="6"/>
      <c r="GU28" s="6"/>
      <c r="GV28" s="6"/>
      <c r="GX28" s="6"/>
      <c r="GY28" s="6"/>
      <c r="HA28" s="6"/>
      <c r="HB28" s="6"/>
      <c r="HD28" s="6"/>
      <c r="HE28" s="6"/>
      <c r="HG28" s="6"/>
      <c r="HH28" s="6"/>
      <c r="HJ28" s="6"/>
      <c r="HK28" s="6"/>
      <c r="HM28" s="6"/>
      <c r="HN28" s="6"/>
      <c r="HP28" s="6"/>
      <c r="HQ28" s="6"/>
      <c r="HS28" s="6"/>
      <c r="HT28" s="6"/>
      <c r="HV28" s="6"/>
      <c r="HW28" s="6"/>
      <c r="HY28" s="6"/>
      <c r="HZ28" s="6"/>
      <c r="IB28" s="6"/>
      <c r="IC28" s="6"/>
      <c r="IE28" s="6"/>
      <c r="IF28" s="6"/>
    </row>
    <row r="29" spans="1:240" x14ac:dyDescent="0.3">
      <c r="A29" s="6"/>
      <c r="B29" s="173" t="s">
        <v>871</v>
      </c>
      <c r="C29" s="173" t="s">
        <v>399</v>
      </c>
      <c r="D29" s="341" t="s">
        <v>418</v>
      </c>
      <c r="E29" s="6"/>
      <c r="G29" s="5"/>
      <c r="H29" s="3"/>
      <c r="J29" s="6"/>
      <c r="K29" s="6"/>
      <c r="M29" s="6"/>
      <c r="N29" s="6"/>
      <c r="P29" s="6"/>
      <c r="Q29" s="6"/>
      <c r="S29" s="6"/>
      <c r="T29" s="6"/>
      <c r="V29" s="6"/>
      <c r="W29" s="6"/>
      <c r="Y29" s="6"/>
      <c r="Z29" s="6"/>
      <c r="AB29" s="6"/>
      <c r="AC29" s="6"/>
      <c r="AE29" s="6"/>
      <c r="AF29" s="6"/>
      <c r="AG29" s="6"/>
      <c r="AI29" s="6"/>
      <c r="AJ29" s="6"/>
      <c r="AL29" s="6"/>
      <c r="AM29" s="6"/>
      <c r="AO29" s="6"/>
      <c r="AP29" s="6"/>
      <c r="AR29" s="6"/>
      <c r="AS29" s="6"/>
      <c r="AU29" s="6"/>
      <c r="AV29" s="6"/>
      <c r="AX29" s="6"/>
      <c r="AY29" s="6"/>
      <c r="BA29" s="6"/>
      <c r="BB29" s="6"/>
      <c r="BD29" s="6"/>
      <c r="BE29" s="6"/>
      <c r="BG29" s="6"/>
      <c r="BH29" s="6"/>
      <c r="BJ29" s="6"/>
      <c r="BK29" s="6"/>
      <c r="BM29" s="6"/>
      <c r="BN29" s="6"/>
      <c r="BP29" s="6"/>
      <c r="BQ29" s="6"/>
      <c r="BS29" s="6"/>
      <c r="BT29" s="6"/>
      <c r="BV29" s="6"/>
      <c r="BW29" s="6"/>
      <c r="BY29" s="6"/>
      <c r="BZ29" s="6"/>
      <c r="CB29" s="6"/>
      <c r="CC29" s="6"/>
      <c r="CE29" s="6"/>
      <c r="CF29" s="6"/>
      <c r="CH29" s="6"/>
      <c r="CI29" s="6"/>
      <c r="CK29" s="6"/>
      <c r="CL29" s="6"/>
      <c r="CN29" s="6"/>
      <c r="CO29" s="6"/>
      <c r="CQ29" s="6"/>
      <c r="CR29" s="6"/>
      <c r="CT29" s="6"/>
      <c r="CU29" s="6"/>
      <c r="CW29" s="6"/>
      <c r="CX29" s="6"/>
      <c r="CZ29" s="6"/>
      <c r="DA29" s="6"/>
      <c r="DC29" s="6"/>
      <c r="DD29" s="6"/>
      <c r="DF29" s="6"/>
      <c r="DG29" s="6"/>
      <c r="DI29" s="6"/>
      <c r="DJ29" s="6"/>
      <c r="DL29" s="6"/>
      <c r="DM29" s="6"/>
      <c r="DO29" s="6"/>
      <c r="DP29" s="6"/>
      <c r="DR29" s="6"/>
      <c r="DS29" s="6"/>
      <c r="DU29" s="6"/>
      <c r="DV29" s="6"/>
      <c r="DX29" s="6"/>
      <c r="DY29" s="6"/>
      <c r="EA29" s="6"/>
      <c r="EB29" s="6"/>
      <c r="ED29" s="6"/>
      <c r="EE29" s="6"/>
      <c r="EG29" s="6"/>
      <c r="EH29" s="6"/>
      <c r="EJ29" s="6"/>
      <c r="EK29" s="6"/>
      <c r="EM29" s="6"/>
      <c r="EN29" s="6"/>
      <c r="EP29" s="6"/>
      <c r="EQ29" s="6"/>
      <c r="ES29" s="6"/>
      <c r="ET29" s="6"/>
      <c r="EV29" s="6"/>
      <c r="EW29" s="6"/>
      <c r="EY29" s="6"/>
      <c r="EZ29" s="6"/>
      <c r="FB29" s="6"/>
      <c r="FC29" s="6"/>
      <c r="FE29" s="6"/>
      <c r="FF29" s="6"/>
      <c r="FH29" s="6"/>
      <c r="FI29" s="6"/>
      <c r="FK29" s="6"/>
      <c r="FL29" s="6"/>
      <c r="FN29" s="6"/>
      <c r="FO29" s="6"/>
      <c r="FQ29" s="6"/>
      <c r="FR29" s="6"/>
      <c r="FT29" s="6"/>
      <c r="FU29" s="6"/>
      <c r="FW29" s="6"/>
      <c r="FX29" s="6"/>
      <c r="FZ29" s="6"/>
      <c r="GA29" s="6"/>
      <c r="GC29" s="6"/>
      <c r="GD29" s="6"/>
      <c r="GF29" s="6"/>
      <c r="GG29" s="6"/>
      <c r="GI29" s="6"/>
      <c r="GJ29" s="6"/>
      <c r="GL29" s="6"/>
      <c r="GM29" s="6"/>
      <c r="GO29" s="6"/>
      <c r="GP29" s="6"/>
      <c r="GR29" s="6"/>
      <c r="GS29" s="6"/>
      <c r="GU29" s="6"/>
      <c r="GV29" s="6"/>
      <c r="GX29" s="6"/>
      <c r="GY29" s="6"/>
      <c r="HA29" s="6"/>
      <c r="HB29" s="6"/>
      <c r="HD29" s="6"/>
      <c r="HE29" s="6"/>
      <c r="HG29" s="6"/>
      <c r="HH29" s="6"/>
      <c r="HJ29" s="6"/>
      <c r="HK29" s="6"/>
      <c r="HM29" s="6"/>
      <c r="HN29" s="6"/>
      <c r="HP29" s="6"/>
      <c r="HQ29" s="6"/>
      <c r="HS29" s="6"/>
      <c r="HT29" s="6"/>
      <c r="HV29" s="6"/>
      <c r="HW29" s="6"/>
      <c r="HY29" s="6"/>
      <c r="HZ29" s="6"/>
      <c r="IB29" s="6"/>
      <c r="IC29" s="6"/>
      <c r="IE29" s="6"/>
      <c r="IF29" s="6"/>
    </row>
    <row r="30" spans="1:240" x14ac:dyDescent="0.3">
      <c r="A30" s="6"/>
      <c r="B30" s="173" t="s">
        <v>401</v>
      </c>
      <c r="C30" s="173" t="s">
        <v>119</v>
      </c>
      <c r="D30" s="341"/>
      <c r="E30" s="6"/>
      <c r="G30" s="5"/>
      <c r="H30" s="3"/>
      <c r="J30" s="6"/>
      <c r="K30" s="6"/>
      <c r="M30" s="6"/>
      <c r="N30" s="6"/>
      <c r="P30" s="6"/>
      <c r="Q30" s="6"/>
      <c r="S30" s="6"/>
      <c r="T30" s="6"/>
      <c r="V30" s="6"/>
      <c r="W30" s="6"/>
      <c r="Y30" s="6"/>
      <c r="Z30" s="6"/>
      <c r="AB30" s="6"/>
      <c r="AC30" s="6"/>
      <c r="AE30" s="6"/>
      <c r="AF30" s="6"/>
      <c r="AG30" s="6"/>
      <c r="AI30" s="6"/>
      <c r="AJ30" s="6"/>
      <c r="AL30" s="6"/>
      <c r="AM30" s="6"/>
      <c r="AO30" s="6"/>
      <c r="AP30" s="6"/>
      <c r="AR30" s="6"/>
      <c r="AS30" s="6"/>
      <c r="AU30" s="6"/>
      <c r="AV30" s="6"/>
      <c r="AX30" s="6"/>
      <c r="AY30" s="6"/>
      <c r="BA30" s="6"/>
      <c r="BB30" s="6"/>
      <c r="BD30" s="6"/>
      <c r="BE30" s="6"/>
      <c r="BG30" s="6"/>
      <c r="BH30" s="6"/>
      <c r="BJ30" s="6"/>
      <c r="BK30" s="6"/>
      <c r="BM30" s="6"/>
      <c r="BN30" s="6"/>
      <c r="BP30" s="6"/>
      <c r="BQ30" s="6"/>
      <c r="BS30" s="6"/>
      <c r="BT30" s="6"/>
      <c r="BV30" s="6"/>
      <c r="BW30" s="6"/>
      <c r="BY30" s="6"/>
      <c r="BZ30" s="6"/>
      <c r="CB30" s="6"/>
      <c r="CC30" s="6"/>
      <c r="CE30" s="6"/>
      <c r="CF30" s="6"/>
      <c r="CH30" s="6"/>
      <c r="CI30" s="6"/>
      <c r="CK30" s="6"/>
      <c r="CL30" s="6"/>
      <c r="CN30" s="6"/>
      <c r="CO30" s="6"/>
      <c r="CQ30" s="6"/>
      <c r="CR30" s="6"/>
      <c r="CT30" s="6"/>
      <c r="CU30" s="6"/>
      <c r="CW30" s="6"/>
      <c r="CX30" s="6"/>
      <c r="CZ30" s="6"/>
      <c r="DA30" s="6"/>
      <c r="DC30" s="6"/>
      <c r="DD30" s="6"/>
      <c r="DF30" s="6"/>
      <c r="DG30" s="6"/>
      <c r="DI30" s="6"/>
      <c r="DJ30" s="6"/>
      <c r="DL30" s="6"/>
      <c r="DM30" s="6"/>
      <c r="DO30" s="6"/>
      <c r="DP30" s="6"/>
      <c r="DR30" s="6"/>
      <c r="DS30" s="6"/>
      <c r="DU30" s="6"/>
      <c r="DV30" s="6"/>
      <c r="DX30" s="6"/>
      <c r="DY30" s="6"/>
      <c r="EA30" s="6"/>
      <c r="EB30" s="6"/>
      <c r="ED30" s="6"/>
      <c r="EE30" s="6"/>
      <c r="EG30" s="6"/>
      <c r="EH30" s="6"/>
      <c r="EJ30" s="6"/>
      <c r="EK30" s="6"/>
      <c r="EM30" s="6"/>
      <c r="EN30" s="6"/>
      <c r="EP30" s="6"/>
      <c r="EQ30" s="6"/>
      <c r="ES30" s="6"/>
      <c r="ET30" s="6"/>
      <c r="EV30" s="6"/>
      <c r="EW30" s="6"/>
      <c r="EY30" s="6"/>
      <c r="EZ30" s="6"/>
      <c r="FB30" s="6"/>
      <c r="FC30" s="6"/>
      <c r="FE30" s="6"/>
      <c r="FF30" s="6"/>
      <c r="FH30" s="6"/>
      <c r="FI30" s="6"/>
      <c r="FK30" s="6"/>
      <c r="FL30" s="6"/>
      <c r="FN30" s="6"/>
      <c r="FO30" s="6"/>
      <c r="FQ30" s="6"/>
      <c r="FR30" s="6"/>
      <c r="FT30" s="6"/>
      <c r="FU30" s="6"/>
      <c r="FW30" s="6"/>
      <c r="FX30" s="6"/>
      <c r="FZ30" s="6"/>
      <c r="GA30" s="6"/>
      <c r="GC30" s="6"/>
      <c r="GD30" s="6"/>
      <c r="GF30" s="6"/>
      <c r="GG30" s="6"/>
      <c r="GI30" s="6"/>
      <c r="GJ30" s="6"/>
      <c r="GL30" s="6"/>
      <c r="GM30" s="6"/>
      <c r="GO30" s="6"/>
      <c r="GP30" s="6"/>
      <c r="GR30" s="6"/>
      <c r="GS30" s="6"/>
      <c r="GU30" s="6"/>
      <c r="GV30" s="6"/>
      <c r="GX30" s="6"/>
      <c r="GY30" s="6"/>
      <c r="HA30" s="6"/>
      <c r="HB30" s="6"/>
      <c r="HD30" s="6"/>
      <c r="HE30" s="6"/>
      <c r="HG30" s="6"/>
      <c r="HH30" s="6"/>
      <c r="HJ30" s="6"/>
      <c r="HK30" s="6"/>
      <c r="HM30" s="6"/>
      <c r="HN30" s="6"/>
      <c r="HP30" s="6"/>
      <c r="HQ30" s="6"/>
      <c r="HS30" s="6"/>
      <c r="HT30" s="6"/>
      <c r="HV30" s="6"/>
      <c r="HW30" s="6"/>
      <c r="HY30" s="6"/>
      <c r="HZ30" s="6"/>
      <c r="IB30" s="6"/>
      <c r="IC30" s="6"/>
      <c r="IE30" s="6"/>
      <c r="IF30" s="6"/>
    </row>
    <row r="31" spans="1:240" x14ac:dyDescent="0.3">
      <c r="A31" s="6"/>
      <c r="B31" s="173" t="s">
        <v>10</v>
      </c>
      <c r="C31" s="173" t="s">
        <v>120</v>
      </c>
      <c r="D31" s="341"/>
      <c r="E31" s="6"/>
      <c r="G31" s="5"/>
      <c r="H31" s="2"/>
      <c r="J31" s="6"/>
      <c r="K31" s="6"/>
      <c r="M31" s="6"/>
      <c r="N31" s="6"/>
      <c r="P31" s="6"/>
      <c r="Q31" s="6"/>
      <c r="S31" s="6"/>
      <c r="T31" s="6"/>
      <c r="V31" s="6"/>
      <c r="W31" s="6"/>
      <c r="Y31" s="6"/>
      <c r="Z31" s="6"/>
      <c r="AB31" s="6"/>
      <c r="AC31" s="6"/>
      <c r="AE31" s="6"/>
      <c r="AF31" s="6"/>
      <c r="AG31" s="6"/>
      <c r="AI31" s="6"/>
      <c r="AJ31" s="6"/>
      <c r="AL31" s="6"/>
      <c r="AM31" s="6"/>
      <c r="AO31" s="6"/>
      <c r="AP31" s="6"/>
      <c r="AR31" s="6"/>
      <c r="AS31" s="6"/>
      <c r="AU31" s="6"/>
      <c r="AV31" s="6"/>
      <c r="AX31" s="6"/>
      <c r="AY31" s="6"/>
      <c r="BA31" s="6"/>
      <c r="BB31" s="6"/>
      <c r="BD31" s="6"/>
      <c r="BE31" s="6"/>
      <c r="BG31" s="6"/>
      <c r="BH31" s="6"/>
      <c r="BJ31" s="6"/>
      <c r="BK31" s="6"/>
      <c r="BM31" s="6"/>
      <c r="BN31" s="6"/>
      <c r="BP31" s="6"/>
      <c r="BQ31" s="6"/>
      <c r="BS31" s="6"/>
      <c r="BT31" s="6"/>
      <c r="BV31" s="6"/>
      <c r="BW31" s="6"/>
      <c r="BY31" s="6"/>
      <c r="BZ31" s="6"/>
      <c r="CB31" s="6"/>
      <c r="CC31" s="6"/>
      <c r="CE31" s="6"/>
      <c r="CF31" s="6"/>
      <c r="CH31" s="6"/>
      <c r="CI31" s="6"/>
      <c r="CK31" s="6"/>
      <c r="CL31" s="6"/>
      <c r="CN31" s="6"/>
      <c r="CO31" s="6"/>
      <c r="CQ31" s="6"/>
      <c r="CR31" s="6"/>
      <c r="CT31" s="6"/>
      <c r="CU31" s="6"/>
      <c r="CW31" s="6"/>
      <c r="CX31" s="6"/>
      <c r="CZ31" s="6"/>
      <c r="DA31" s="6"/>
      <c r="DC31" s="6"/>
      <c r="DD31" s="6"/>
      <c r="DF31" s="6"/>
      <c r="DG31" s="6"/>
      <c r="DI31" s="6"/>
      <c r="DJ31" s="6"/>
      <c r="DL31" s="6"/>
      <c r="DM31" s="6"/>
      <c r="DO31" s="6"/>
      <c r="DP31" s="6"/>
      <c r="DR31" s="6"/>
      <c r="DS31" s="6"/>
      <c r="DU31" s="6"/>
      <c r="DV31" s="6"/>
      <c r="DX31" s="6"/>
      <c r="DY31" s="6"/>
      <c r="EA31" s="6"/>
      <c r="EB31" s="6"/>
      <c r="ED31" s="6"/>
      <c r="EE31" s="6"/>
      <c r="EG31" s="6"/>
      <c r="EH31" s="6"/>
      <c r="EJ31" s="6"/>
      <c r="EK31" s="6"/>
      <c r="EM31" s="6"/>
      <c r="EN31" s="6"/>
      <c r="EP31" s="6"/>
      <c r="EQ31" s="6"/>
      <c r="ES31" s="6"/>
      <c r="ET31" s="6"/>
      <c r="EV31" s="6"/>
      <c r="EW31" s="6"/>
      <c r="EY31" s="6"/>
      <c r="EZ31" s="6"/>
      <c r="FB31" s="6"/>
      <c r="FC31" s="6"/>
      <c r="FE31" s="6"/>
      <c r="FF31" s="6"/>
      <c r="FH31" s="6"/>
      <c r="FI31" s="6"/>
      <c r="FK31" s="6"/>
      <c r="FL31" s="6"/>
      <c r="FN31" s="6"/>
      <c r="FO31" s="6"/>
      <c r="FQ31" s="6"/>
      <c r="FR31" s="6"/>
      <c r="FT31" s="6"/>
      <c r="FU31" s="6"/>
      <c r="FW31" s="6"/>
      <c r="FX31" s="6"/>
      <c r="FZ31" s="6"/>
      <c r="GA31" s="6"/>
      <c r="GC31" s="6"/>
      <c r="GD31" s="6"/>
      <c r="GF31" s="6"/>
      <c r="GG31" s="6"/>
      <c r="GI31" s="6"/>
      <c r="GJ31" s="6"/>
      <c r="GL31" s="6"/>
      <c r="GM31" s="6"/>
      <c r="GO31" s="6"/>
      <c r="GP31" s="6"/>
      <c r="GR31" s="6"/>
      <c r="GS31" s="6"/>
      <c r="GU31" s="6"/>
      <c r="GV31" s="6"/>
      <c r="GX31" s="6"/>
      <c r="GY31" s="6"/>
      <c r="HA31" s="6"/>
      <c r="HB31" s="6"/>
      <c r="HD31" s="6"/>
      <c r="HE31" s="6"/>
      <c r="HG31" s="6"/>
      <c r="HH31" s="6"/>
      <c r="HJ31" s="6"/>
      <c r="HK31" s="6"/>
      <c r="HM31" s="6"/>
      <c r="HN31" s="6"/>
      <c r="HP31" s="6"/>
      <c r="HQ31" s="6"/>
      <c r="HS31" s="6"/>
      <c r="HT31" s="6"/>
      <c r="HV31" s="6"/>
      <c r="HW31" s="6"/>
      <c r="HY31" s="6"/>
      <c r="HZ31" s="6"/>
      <c r="IB31" s="6"/>
      <c r="IC31" s="6"/>
      <c r="IE31" s="6"/>
      <c r="IF31" s="6"/>
    </row>
    <row r="32" spans="1:240" x14ac:dyDescent="0.3">
      <c r="A32" s="6"/>
      <c r="B32" s="173" t="s">
        <v>403</v>
      </c>
      <c r="C32" s="173" t="s">
        <v>871</v>
      </c>
      <c r="E32" s="6"/>
      <c r="G32" s="5"/>
      <c r="H32" s="2"/>
      <c r="J32" s="6"/>
      <c r="K32" s="6"/>
      <c r="M32" s="6"/>
      <c r="N32" s="6"/>
      <c r="P32" s="6"/>
      <c r="Q32" s="6"/>
      <c r="S32" s="6"/>
      <c r="T32" s="6"/>
      <c r="V32" s="6"/>
      <c r="W32" s="6"/>
      <c r="Y32" s="6"/>
      <c r="Z32" s="6"/>
      <c r="AB32" s="6"/>
      <c r="AC32" s="6"/>
      <c r="AE32" s="6"/>
      <c r="AF32" s="6"/>
      <c r="AG32" s="6"/>
      <c r="AI32" s="6"/>
      <c r="AJ32" s="6"/>
      <c r="AL32" s="6"/>
      <c r="AM32" s="6"/>
      <c r="AO32" s="6"/>
      <c r="AP32" s="6"/>
      <c r="AR32" s="6"/>
      <c r="AS32" s="6"/>
      <c r="AU32" s="6"/>
      <c r="AV32" s="6"/>
      <c r="AX32" s="6"/>
      <c r="AY32" s="6"/>
      <c r="BA32" s="6"/>
      <c r="BB32" s="6"/>
      <c r="BD32" s="6"/>
      <c r="BE32" s="6"/>
      <c r="BG32" s="6"/>
      <c r="BH32" s="6"/>
      <c r="BJ32" s="6"/>
      <c r="BK32" s="6"/>
      <c r="BM32" s="6"/>
      <c r="BN32" s="6"/>
      <c r="BP32" s="6"/>
      <c r="BQ32" s="6"/>
      <c r="BS32" s="6"/>
      <c r="BT32" s="6"/>
      <c r="BV32" s="6"/>
      <c r="BW32" s="6"/>
      <c r="BY32" s="6"/>
      <c r="BZ32" s="6"/>
      <c r="CB32" s="6"/>
      <c r="CC32" s="6"/>
      <c r="CE32" s="6"/>
      <c r="CF32" s="6"/>
      <c r="CH32" s="6"/>
      <c r="CI32" s="6"/>
      <c r="CK32" s="6"/>
      <c r="CL32" s="6"/>
      <c r="CN32" s="6"/>
      <c r="CO32" s="6"/>
      <c r="CQ32" s="6"/>
      <c r="CR32" s="6"/>
      <c r="CT32" s="6"/>
      <c r="CU32" s="6"/>
      <c r="CW32" s="6"/>
      <c r="CX32" s="6"/>
      <c r="CZ32" s="6"/>
      <c r="DA32" s="6"/>
      <c r="DC32" s="6"/>
      <c r="DD32" s="6"/>
      <c r="DF32" s="6"/>
      <c r="DG32" s="6"/>
      <c r="DI32" s="6"/>
      <c r="DJ32" s="6"/>
      <c r="DL32" s="6"/>
      <c r="DM32" s="6"/>
      <c r="DO32" s="6"/>
      <c r="DP32" s="6"/>
      <c r="DR32" s="6"/>
      <c r="DS32" s="6"/>
      <c r="DU32" s="6"/>
      <c r="DV32" s="6"/>
      <c r="DX32" s="6"/>
      <c r="DY32" s="6"/>
      <c r="EA32" s="6"/>
      <c r="EB32" s="6"/>
      <c r="ED32" s="6"/>
      <c r="EE32" s="6"/>
      <c r="EG32" s="6"/>
      <c r="EH32" s="6"/>
      <c r="EJ32" s="6"/>
      <c r="EK32" s="6"/>
      <c r="EM32" s="6"/>
      <c r="EN32" s="6"/>
      <c r="EP32" s="6"/>
      <c r="EQ32" s="6"/>
      <c r="ES32" s="6"/>
      <c r="ET32" s="6"/>
      <c r="EV32" s="6"/>
      <c r="EW32" s="6"/>
      <c r="EY32" s="6"/>
      <c r="EZ32" s="6"/>
      <c r="FB32" s="6"/>
      <c r="FC32" s="6"/>
      <c r="FE32" s="6"/>
      <c r="FF32" s="6"/>
      <c r="FH32" s="6"/>
      <c r="FI32" s="6"/>
      <c r="FK32" s="6"/>
      <c r="FL32" s="6"/>
      <c r="FN32" s="6"/>
      <c r="FO32" s="6"/>
      <c r="FQ32" s="6"/>
      <c r="FR32" s="6"/>
      <c r="FT32" s="6"/>
      <c r="FU32" s="6"/>
      <c r="FW32" s="6"/>
      <c r="FX32" s="6"/>
      <c r="FZ32" s="6"/>
      <c r="GA32" s="6"/>
      <c r="GC32" s="6"/>
      <c r="GD32" s="6"/>
      <c r="GF32" s="6"/>
      <c r="GG32" s="6"/>
      <c r="GI32" s="6"/>
      <c r="GJ32" s="6"/>
      <c r="GL32" s="6"/>
      <c r="GM32" s="6"/>
      <c r="GO32" s="6"/>
      <c r="GP32" s="6"/>
      <c r="GR32" s="6"/>
      <c r="GS32" s="6"/>
      <c r="GU32" s="6"/>
      <c r="GV32" s="6"/>
      <c r="GX32" s="6"/>
      <c r="GY32" s="6"/>
      <c r="HA32" s="6"/>
      <c r="HB32" s="6"/>
      <c r="HD32" s="6"/>
      <c r="HE32" s="6"/>
      <c r="HG32" s="6"/>
      <c r="HH32" s="6"/>
      <c r="HJ32" s="6"/>
      <c r="HK32" s="6"/>
      <c r="HM32" s="6"/>
      <c r="HN32" s="6"/>
      <c r="HP32" s="6"/>
      <c r="HQ32" s="6"/>
      <c r="HS32" s="6"/>
      <c r="HT32" s="6"/>
      <c r="HV32" s="6"/>
      <c r="HW32" s="6"/>
      <c r="HY32" s="6"/>
      <c r="HZ32" s="6"/>
      <c r="IB32" s="6"/>
      <c r="IC32" s="6"/>
      <c r="IE32" s="6"/>
      <c r="IF32" s="6"/>
    </row>
    <row r="33" spans="1:240" x14ac:dyDescent="0.3">
      <c r="A33" s="6"/>
      <c r="B33" s="173" t="s">
        <v>121</v>
      </c>
      <c r="C33" s="173" t="s">
        <v>401</v>
      </c>
      <c r="D33" s="341"/>
      <c r="E33" s="6"/>
      <c r="G33" s="5"/>
      <c r="H33" s="2"/>
      <c r="J33" s="6"/>
      <c r="K33" s="6"/>
      <c r="M33" s="6"/>
      <c r="N33" s="6"/>
      <c r="P33" s="6"/>
      <c r="Q33" s="6"/>
      <c r="S33" s="6"/>
      <c r="T33" s="6"/>
      <c r="V33" s="6"/>
      <c r="W33" s="6"/>
      <c r="Y33" s="6"/>
      <c r="Z33" s="6"/>
      <c r="AB33" s="6"/>
      <c r="AC33" s="6"/>
      <c r="AE33" s="6"/>
      <c r="AF33" s="6"/>
      <c r="AG33" s="6"/>
      <c r="AI33" s="6"/>
      <c r="AJ33" s="6"/>
      <c r="AL33" s="6"/>
      <c r="AM33" s="6"/>
      <c r="AO33" s="6"/>
      <c r="AP33" s="6"/>
      <c r="AR33" s="6"/>
      <c r="AS33" s="6"/>
      <c r="AU33" s="6"/>
      <c r="AV33" s="6"/>
      <c r="AX33" s="6"/>
      <c r="AY33" s="6"/>
      <c r="BA33" s="6"/>
      <c r="BB33" s="6"/>
      <c r="BD33" s="6"/>
      <c r="BE33" s="6"/>
      <c r="BG33" s="6"/>
      <c r="BH33" s="6"/>
      <c r="BJ33" s="6"/>
      <c r="BK33" s="6"/>
      <c r="BM33" s="6"/>
      <c r="BN33" s="6"/>
      <c r="BP33" s="6"/>
      <c r="BQ33" s="6"/>
      <c r="BS33" s="6"/>
      <c r="BT33" s="6"/>
      <c r="BV33" s="6"/>
      <c r="BW33" s="6"/>
      <c r="BY33" s="6"/>
      <c r="BZ33" s="6"/>
      <c r="CB33" s="6"/>
      <c r="CC33" s="6"/>
      <c r="CE33" s="6"/>
      <c r="CF33" s="6"/>
      <c r="CH33" s="6"/>
      <c r="CI33" s="6"/>
      <c r="CK33" s="6"/>
      <c r="CL33" s="6"/>
      <c r="CN33" s="6"/>
      <c r="CO33" s="6"/>
      <c r="CQ33" s="6"/>
      <c r="CR33" s="6"/>
      <c r="CT33" s="6"/>
      <c r="CU33" s="6"/>
      <c r="CW33" s="6"/>
      <c r="CX33" s="6"/>
      <c r="CZ33" s="6"/>
      <c r="DA33" s="6"/>
      <c r="DC33" s="6"/>
      <c r="DD33" s="6"/>
      <c r="DF33" s="6"/>
      <c r="DG33" s="6"/>
      <c r="DI33" s="6"/>
      <c r="DJ33" s="6"/>
      <c r="DL33" s="6"/>
      <c r="DM33" s="6"/>
      <c r="DO33" s="6"/>
      <c r="DP33" s="6"/>
      <c r="DR33" s="6"/>
      <c r="DS33" s="6"/>
      <c r="DU33" s="6"/>
      <c r="DV33" s="6"/>
      <c r="DX33" s="6"/>
      <c r="DY33" s="6"/>
      <c r="EA33" s="6"/>
      <c r="EB33" s="6"/>
      <c r="ED33" s="6"/>
      <c r="EE33" s="6"/>
      <c r="EG33" s="6"/>
      <c r="EH33" s="6"/>
      <c r="EJ33" s="6"/>
      <c r="EK33" s="6"/>
      <c r="EM33" s="6"/>
      <c r="EN33" s="6"/>
      <c r="EP33" s="6"/>
      <c r="EQ33" s="6"/>
      <c r="ES33" s="6"/>
      <c r="ET33" s="6"/>
      <c r="EV33" s="6"/>
      <c r="EW33" s="6"/>
      <c r="EY33" s="6"/>
      <c r="EZ33" s="6"/>
      <c r="FB33" s="6"/>
      <c r="FC33" s="6"/>
      <c r="FE33" s="6"/>
      <c r="FF33" s="6"/>
      <c r="FH33" s="6"/>
      <c r="FI33" s="6"/>
      <c r="FK33" s="6"/>
      <c r="FL33" s="6"/>
      <c r="FN33" s="6"/>
      <c r="FO33" s="6"/>
      <c r="FQ33" s="6"/>
      <c r="FR33" s="6"/>
      <c r="FT33" s="6"/>
      <c r="FU33" s="6"/>
      <c r="FW33" s="6"/>
      <c r="FX33" s="6"/>
      <c r="FZ33" s="6"/>
      <c r="GA33" s="6"/>
      <c r="GC33" s="6"/>
      <c r="GD33" s="6"/>
      <c r="GF33" s="6"/>
      <c r="GG33" s="6"/>
      <c r="GI33" s="6"/>
      <c r="GJ33" s="6"/>
      <c r="GL33" s="6"/>
      <c r="GM33" s="6"/>
      <c r="GO33" s="6"/>
      <c r="GP33" s="6"/>
      <c r="GR33" s="6"/>
      <c r="GS33" s="6"/>
      <c r="GU33" s="6"/>
      <c r="GV33" s="6"/>
      <c r="GX33" s="6"/>
      <c r="GY33" s="6"/>
      <c r="HA33" s="6"/>
      <c r="HB33" s="6"/>
      <c r="HD33" s="6"/>
      <c r="HE33" s="6"/>
      <c r="HG33" s="6"/>
      <c r="HH33" s="6"/>
      <c r="HJ33" s="6"/>
      <c r="HK33" s="6"/>
      <c r="HM33" s="6"/>
      <c r="HN33" s="6"/>
      <c r="HP33" s="6"/>
      <c r="HQ33" s="6"/>
      <c r="HS33" s="6"/>
      <c r="HT33" s="6"/>
      <c r="HV33" s="6"/>
      <c r="HW33" s="6"/>
      <c r="HY33" s="6"/>
      <c r="HZ33" s="6"/>
      <c r="IB33" s="6"/>
      <c r="IC33" s="6"/>
      <c r="IE33" s="6"/>
      <c r="IF33" s="6"/>
    </row>
    <row r="34" spans="1:240" x14ac:dyDescent="0.3">
      <c r="A34" s="6"/>
      <c r="B34" s="173" t="s">
        <v>11</v>
      </c>
      <c r="C34" s="173" t="s">
        <v>872</v>
      </c>
      <c r="D34" s="341" t="s">
        <v>422</v>
      </c>
      <c r="E34" s="6"/>
      <c r="G34" s="5"/>
      <c r="H34" s="2"/>
      <c r="J34" s="6"/>
      <c r="K34" s="6"/>
      <c r="M34" s="6"/>
      <c r="N34" s="6"/>
      <c r="P34" s="6"/>
      <c r="Q34" s="6"/>
      <c r="S34" s="6"/>
      <c r="T34" s="6"/>
      <c r="V34" s="6"/>
      <c r="W34" s="6"/>
      <c r="Y34" s="6"/>
      <c r="Z34" s="6"/>
      <c r="AB34" s="6"/>
      <c r="AC34" s="6"/>
      <c r="AE34" s="6"/>
      <c r="AF34" s="6"/>
      <c r="AG34" s="6"/>
      <c r="AI34" s="6"/>
      <c r="AJ34" s="6"/>
      <c r="AL34" s="6"/>
      <c r="AM34" s="6"/>
      <c r="AO34" s="6"/>
      <c r="AP34" s="6"/>
      <c r="AR34" s="6"/>
      <c r="AS34" s="6"/>
      <c r="AU34" s="6"/>
      <c r="AV34" s="6"/>
      <c r="AX34" s="6"/>
      <c r="AY34" s="6"/>
      <c r="BA34" s="6"/>
      <c r="BB34" s="6"/>
      <c r="BD34" s="6"/>
      <c r="BE34" s="6"/>
      <c r="BG34" s="6"/>
      <c r="BH34" s="6"/>
      <c r="BJ34" s="6"/>
      <c r="BK34" s="6"/>
      <c r="BM34" s="6"/>
      <c r="BN34" s="6"/>
      <c r="BP34" s="6"/>
      <c r="BQ34" s="6"/>
      <c r="BS34" s="6"/>
      <c r="BT34" s="6"/>
      <c r="BV34" s="6"/>
      <c r="BW34" s="6"/>
      <c r="BY34" s="6"/>
      <c r="BZ34" s="6"/>
      <c r="CB34" s="6"/>
      <c r="CC34" s="6"/>
      <c r="CE34" s="6"/>
      <c r="CF34" s="6"/>
      <c r="CH34" s="6"/>
      <c r="CI34" s="6"/>
      <c r="CK34" s="6"/>
      <c r="CL34" s="6"/>
      <c r="CN34" s="6"/>
      <c r="CO34" s="6"/>
      <c r="CQ34" s="6"/>
      <c r="CR34" s="6"/>
      <c r="CT34" s="6"/>
      <c r="CU34" s="6"/>
      <c r="CW34" s="6"/>
      <c r="CX34" s="6"/>
      <c r="CZ34" s="6"/>
      <c r="DA34" s="6"/>
      <c r="DC34" s="6"/>
      <c r="DD34" s="6"/>
      <c r="DF34" s="6"/>
      <c r="DG34" s="6"/>
      <c r="DI34" s="6"/>
      <c r="DJ34" s="6"/>
      <c r="DL34" s="6"/>
      <c r="DM34" s="6"/>
      <c r="DO34" s="6"/>
      <c r="DP34" s="6"/>
      <c r="DR34" s="6"/>
      <c r="DS34" s="6"/>
      <c r="DU34" s="6"/>
      <c r="DV34" s="6"/>
      <c r="DX34" s="6"/>
      <c r="DY34" s="6"/>
      <c r="EA34" s="6"/>
      <c r="EB34" s="6"/>
      <c r="ED34" s="6"/>
      <c r="EE34" s="6"/>
      <c r="EG34" s="6"/>
      <c r="EH34" s="6"/>
      <c r="EJ34" s="6"/>
      <c r="EK34" s="6"/>
      <c r="EM34" s="6"/>
      <c r="EN34" s="6"/>
      <c r="EP34" s="6"/>
      <c r="EQ34" s="6"/>
      <c r="ES34" s="6"/>
      <c r="ET34" s="6"/>
      <c r="EV34" s="6"/>
      <c r="EW34" s="6"/>
      <c r="EY34" s="6"/>
      <c r="EZ34" s="6"/>
      <c r="FB34" s="6"/>
      <c r="FC34" s="6"/>
      <c r="FE34" s="6"/>
      <c r="FF34" s="6"/>
      <c r="FH34" s="6"/>
      <c r="FI34" s="6"/>
      <c r="FK34" s="6"/>
      <c r="FL34" s="6"/>
      <c r="FN34" s="6"/>
      <c r="FO34" s="6"/>
      <c r="FQ34" s="6"/>
      <c r="FR34" s="6"/>
      <c r="FT34" s="6"/>
      <c r="FU34" s="6"/>
      <c r="FW34" s="6"/>
      <c r="FX34" s="6"/>
      <c r="FZ34" s="6"/>
      <c r="GA34" s="6"/>
      <c r="GC34" s="6"/>
      <c r="GD34" s="6"/>
      <c r="GF34" s="6"/>
      <c r="GG34" s="6"/>
      <c r="GI34" s="6"/>
      <c r="GJ34" s="6"/>
      <c r="GL34" s="6"/>
      <c r="GM34" s="6"/>
      <c r="GO34" s="6"/>
      <c r="GP34" s="6"/>
      <c r="GR34" s="6"/>
      <c r="GS34" s="6"/>
      <c r="GU34" s="6"/>
      <c r="GV34" s="6"/>
      <c r="GX34" s="6"/>
      <c r="GY34" s="6"/>
      <c r="HA34" s="6"/>
      <c r="HB34" s="6"/>
      <c r="HD34" s="6"/>
      <c r="HE34" s="6"/>
      <c r="HG34" s="6"/>
      <c r="HH34" s="6"/>
      <c r="HJ34" s="6"/>
      <c r="HK34" s="6"/>
      <c r="HM34" s="6"/>
      <c r="HN34" s="6"/>
      <c r="HP34" s="6"/>
      <c r="HQ34" s="6"/>
      <c r="HS34" s="6"/>
      <c r="HT34" s="6"/>
      <c r="HV34" s="6"/>
      <c r="HW34" s="6"/>
      <c r="HY34" s="6"/>
      <c r="HZ34" s="6"/>
      <c r="IB34" s="6"/>
      <c r="IC34" s="6"/>
      <c r="IE34" s="6"/>
      <c r="IF34" s="6"/>
    </row>
    <row r="35" spans="1:240" x14ac:dyDescent="0.3">
      <c r="A35" s="6"/>
      <c r="B35" s="173" t="s">
        <v>12</v>
      </c>
      <c r="C35" s="173" t="s">
        <v>10</v>
      </c>
      <c r="D35" s="341"/>
      <c r="E35" s="6"/>
      <c r="G35" s="5"/>
      <c r="H35" s="2"/>
      <c r="J35" s="6"/>
      <c r="K35" s="6"/>
      <c r="M35" s="6"/>
      <c r="N35" s="6"/>
      <c r="P35" s="6"/>
      <c r="Q35" s="6"/>
      <c r="S35" s="6"/>
      <c r="T35" s="6"/>
      <c r="V35" s="6"/>
      <c r="W35" s="6"/>
      <c r="Y35" s="6"/>
      <c r="Z35" s="6"/>
      <c r="AB35" s="6"/>
      <c r="AC35" s="6"/>
      <c r="AE35" s="6"/>
      <c r="AF35" s="6"/>
      <c r="AG35" s="6"/>
      <c r="AI35" s="6"/>
      <c r="AJ35" s="6"/>
      <c r="AL35" s="6"/>
      <c r="AM35" s="6"/>
      <c r="AO35" s="6"/>
      <c r="AP35" s="6"/>
      <c r="AR35" s="6"/>
      <c r="AS35" s="6"/>
      <c r="AU35" s="6"/>
      <c r="AV35" s="6"/>
      <c r="AX35" s="6"/>
      <c r="AY35" s="6"/>
      <c r="BA35" s="6"/>
      <c r="BB35" s="6"/>
      <c r="BD35" s="6"/>
      <c r="BE35" s="6"/>
      <c r="BG35" s="6"/>
      <c r="BH35" s="6"/>
      <c r="BJ35" s="6"/>
      <c r="BK35" s="6"/>
      <c r="BM35" s="6"/>
      <c r="BN35" s="6"/>
      <c r="BP35" s="6"/>
      <c r="BQ35" s="6"/>
      <c r="BS35" s="6"/>
      <c r="BT35" s="6"/>
      <c r="BV35" s="6"/>
      <c r="BW35" s="6"/>
      <c r="BY35" s="6"/>
      <c r="BZ35" s="6"/>
      <c r="CB35" s="6"/>
      <c r="CC35" s="6"/>
      <c r="CE35" s="6"/>
      <c r="CF35" s="6"/>
      <c r="CH35" s="6"/>
      <c r="CI35" s="6"/>
      <c r="CK35" s="6"/>
      <c r="CL35" s="6"/>
      <c r="CN35" s="6"/>
      <c r="CO35" s="6"/>
      <c r="CQ35" s="6"/>
      <c r="CR35" s="6"/>
      <c r="CT35" s="6"/>
      <c r="CU35" s="6"/>
      <c r="CW35" s="6"/>
      <c r="CX35" s="6"/>
      <c r="CZ35" s="6"/>
      <c r="DA35" s="6"/>
      <c r="DC35" s="6"/>
      <c r="DD35" s="6"/>
      <c r="DF35" s="6"/>
      <c r="DG35" s="6"/>
      <c r="DI35" s="6"/>
      <c r="DJ35" s="6"/>
      <c r="DL35" s="6"/>
      <c r="DM35" s="6"/>
      <c r="DO35" s="6"/>
      <c r="DP35" s="6"/>
      <c r="DR35" s="6"/>
      <c r="DS35" s="6"/>
      <c r="DU35" s="6"/>
      <c r="DV35" s="6"/>
      <c r="DX35" s="6"/>
      <c r="DY35" s="6"/>
      <c r="EA35" s="6"/>
      <c r="EB35" s="6"/>
      <c r="ED35" s="6"/>
      <c r="EE35" s="6"/>
      <c r="EG35" s="6"/>
      <c r="EH35" s="6"/>
      <c r="EJ35" s="6"/>
      <c r="EK35" s="6"/>
      <c r="EM35" s="6"/>
      <c r="EN35" s="6"/>
      <c r="EP35" s="6"/>
      <c r="EQ35" s="6"/>
      <c r="ES35" s="6"/>
      <c r="ET35" s="6"/>
      <c r="EV35" s="6"/>
      <c r="EW35" s="6"/>
      <c r="EY35" s="6"/>
      <c r="EZ35" s="6"/>
      <c r="FB35" s="6"/>
      <c r="FC35" s="6"/>
      <c r="FE35" s="6"/>
      <c r="FF35" s="6"/>
      <c r="FH35" s="6"/>
      <c r="FI35" s="6"/>
      <c r="FK35" s="6"/>
      <c r="FL35" s="6"/>
      <c r="FN35" s="6"/>
      <c r="FO35" s="6"/>
      <c r="FQ35" s="6"/>
      <c r="FR35" s="6"/>
      <c r="FT35" s="6"/>
      <c r="FU35" s="6"/>
      <c r="FW35" s="6"/>
      <c r="FX35" s="6"/>
      <c r="FZ35" s="6"/>
      <c r="GA35" s="6"/>
      <c r="GC35" s="6"/>
      <c r="GD35" s="6"/>
      <c r="GF35" s="6"/>
      <c r="GG35" s="6"/>
      <c r="GI35" s="6"/>
      <c r="GJ35" s="6"/>
      <c r="GL35" s="6"/>
      <c r="GM35" s="6"/>
      <c r="GO35" s="6"/>
      <c r="GP35" s="6"/>
      <c r="GR35" s="6"/>
      <c r="GS35" s="6"/>
      <c r="GU35" s="6"/>
      <c r="GV35" s="6"/>
      <c r="GX35" s="6"/>
      <c r="GY35" s="6"/>
      <c r="HA35" s="6"/>
      <c r="HB35" s="6"/>
      <c r="HD35" s="6"/>
      <c r="HE35" s="6"/>
      <c r="HG35" s="6"/>
      <c r="HH35" s="6"/>
      <c r="HJ35" s="6"/>
      <c r="HK35" s="6"/>
      <c r="HM35" s="6"/>
      <c r="HN35" s="6"/>
      <c r="HP35" s="6"/>
      <c r="HQ35" s="6"/>
      <c r="HS35" s="6"/>
      <c r="HT35" s="6"/>
      <c r="HV35" s="6"/>
      <c r="HW35" s="6"/>
      <c r="HY35" s="6"/>
      <c r="HZ35" s="6"/>
      <c r="IB35" s="6"/>
      <c r="IC35" s="6"/>
      <c r="IE35" s="6"/>
      <c r="IF35" s="6"/>
    </row>
    <row r="36" spans="1:240" x14ac:dyDescent="0.3">
      <c r="A36" s="6"/>
      <c r="B36" s="173" t="s">
        <v>122</v>
      </c>
      <c r="C36" s="173" t="s">
        <v>403</v>
      </c>
      <c r="D36" s="341"/>
      <c r="E36" s="6"/>
      <c r="G36" s="5"/>
      <c r="H36" s="2"/>
      <c r="J36" s="6"/>
      <c r="K36" s="6"/>
      <c r="M36" s="6"/>
      <c r="N36" s="6"/>
      <c r="P36" s="6"/>
      <c r="Q36" s="6"/>
      <c r="S36" s="6"/>
      <c r="T36" s="6"/>
      <c r="V36" s="6"/>
      <c r="W36" s="6"/>
      <c r="Y36" s="6"/>
      <c r="Z36" s="6"/>
      <c r="AB36" s="6"/>
      <c r="AC36" s="6"/>
      <c r="AE36" s="6"/>
      <c r="AF36" s="6"/>
      <c r="AG36" s="6"/>
      <c r="AI36" s="6"/>
      <c r="AJ36" s="6"/>
      <c r="AL36" s="6"/>
      <c r="AM36" s="6"/>
      <c r="AO36" s="6"/>
      <c r="AP36" s="6"/>
      <c r="AR36" s="6"/>
      <c r="AS36" s="6"/>
      <c r="AU36" s="6"/>
      <c r="AV36" s="6"/>
      <c r="AX36" s="6"/>
      <c r="AY36" s="6"/>
      <c r="BA36" s="6"/>
      <c r="BB36" s="6"/>
      <c r="BD36" s="6"/>
      <c r="BE36" s="6"/>
      <c r="BG36" s="6"/>
      <c r="BH36" s="6"/>
      <c r="BJ36" s="6"/>
      <c r="BK36" s="6"/>
      <c r="BM36" s="6"/>
      <c r="BN36" s="6"/>
      <c r="BP36" s="6"/>
      <c r="BQ36" s="6"/>
      <c r="BS36" s="6"/>
      <c r="BT36" s="6"/>
      <c r="BV36" s="6"/>
      <c r="BW36" s="6"/>
      <c r="BY36" s="6"/>
      <c r="BZ36" s="6"/>
      <c r="CB36" s="6"/>
      <c r="CC36" s="6"/>
      <c r="CE36" s="6"/>
      <c r="CF36" s="6"/>
      <c r="CH36" s="6"/>
      <c r="CI36" s="6"/>
      <c r="CK36" s="6"/>
      <c r="CL36" s="6"/>
      <c r="CN36" s="6"/>
      <c r="CO36" s="6"/>
      <c r="CQ36" s="6"/>
      <c r="CR36" s="6"/>
      <c r="CT36" s="6"/>
      <c r="CU36" s="6"/>
      <c r="CW36" s="6"/>
      <c r="CX36" s="6"/>
      <c r="CZ36" s="6"/>
      <c r="DA36" s="6"/>
      <c r="DC36" s="6"/>
      <c r="DD36" s="6"/>
      <c r="DF36" s="6"/>
      <c r="DG36" s="6"/>
      <c r="DI36" s="6"/>
      <c r="DJ36" s="6"/>
      <c r="DL36" s="6"/>
      <c r="DM36" s="6"/>
      <c r="DO36" s="6"/>
      <c r="DP36" s="6"/>
      <c r="DR36" s="6"/>
      <c r="DS36" s="6"/>
      <c r="DU36" s="6"/>
      <c r="DV36" s="6"/>
      <c r="DX36" s="6"/>
      <c r="DY36" s="6"/>
      <c r="EA36" s="6"/>
      <c r="EB36" s="6"/>
      <c r="ED36" s="6"/>
      <c r="EE36" s="6"/>
      <c r="EG36" s="6"/>
      <c r="EH36" s="6"/>
      <c r="EJ36" s="6"/>
      <c r="EK36" s="6"/>
      <c r="EM36" s="6"/>
      <c r="EN36" s="6"/>
      <c r="EP36" s="6"/>
      <c r="EQ36" s="6"/>
      <c r="ES36" s="6"/>
      <c r="ET36" s="6"/>
      <c r="EV36" s="6"/>
      <c r="EW36" s="6"/>
      <c r="EY36" s="6"/>
      <c r="EZ36" s="6"/>
      <c r="FB36" s="6"/>
      <c r="FC36" s="6"/>
      <c r="FE36" s="6"/>
      <c r="FF36" s="6"/>
      <c r="FH36" s="6"/>
      <c r="FI36" s="6"/>
      <c r="FK36" s="6"/>
      <c r="FL36" s="6"/>
      <c r="FN36" s="6"/>
      <c r="FO36" s="6"/>
      <c r="FQ36" s="6"/>
      <c r="FR36" s="6"/>
      <c r="FT36" s="6"/>
      <c r="FU36" s="6"/>
      <c r="FW36" s="6"/>
      <c r="FX36" s="6"/>
      <c r="FZ36" s="6"/>
      <c r="GA36" s="6"/>
      <c r="GC36" s="6"/>
      <c r="GD36" s="6"/>
      <c r="GF36" s="6"/>
      <c r="GG36" s="6"/>
      <c r="GI36" s="6"/>
      <c r="GJ36" s="6"/>
      <c r="GL36" s="6"/>
      <c r="GM36" s="6"/>
      <c r="GO36" s="6"/>
      <c r="GP36" s="6"/>
      <c r="GR36" s="6"/>
      <c r="GS36" s="6"/>
      <c r="GU36" s="6"/>
      <c r="GV36" s="6"/>
      <c r="GX36" s="6"/>
      <c r="GY36" s="6"/>
      <c r="HA36" s="6"/>
      <c r="HB36" s="6"/>
      <c r="HD36" s="6"/>
      <c r="HE36" s="6"/>
      <c r="HG36" s="6"/>
      <c r="HH36" s="6"/>
      <c r="HJ36" s="6"/>
      <c r="HK36" s="6"/>
      <c r="HM36" s="6"/>
      <c r="HN36" s="6"/>
      <c r="HP36" s="6"/>
      <c r="HQ36" s="6"/>
      <c r="HS36" s="6"/>
      <c r="HT36" s="6"/>
      <c r="HV36" s="6"/>
      <c r="HW36" s="6"/>
      <c r="HY36" s="6"/>
      <c r="HZ36" s="6"/>
      <c r="IB36" s="6"/>
      <c r="IC36" s="6"/>
      <c r="IE36" s="6"/>
      <c r="IF36" s="6"/>
    </row>
    <row r="37" spans="1:240" x14ac:dyDescent="0.3">
      <c r="A37" s="6"/>
      <c r="B37" s="173" t="s">
        <v>402</v>
      </c>
      <c r="C37" s="173" t="s">
        <v>121</v>
      </c>
      <c r="E37" s="6"/>
      <c r="G37" s="5"/>
      <c r="J37" s="6"/>
      <c r="K37" s="6"/>
      <c r="M37" s="6"/>
      <c r="N37" s="6"/>
      <c r="P37" s="6"/>
      <c r="Q37" s="6"/>
      <c r="S37" s="6"/>
      <c r="T37" s="6"/>
      <c r="V37" s="6"/>
      <c r="W37" s="6"/>
      <c r="Y37" s="6"/>
      <c r="Z37" s="6"/>
      <c r="AB37" s="6"/>
      <c r="AC37" s="6"/>
      <c r="AE37" s="6"/>
      <c r="AF37" s="6"/>
      <c r="AG37" s="6"/>
      <c r="AI37" s="6"/>
      <c r="AJ37" s="6"/>
      <c r="AL37" s="6"/>
      <c r="AM37" s="6"/>
      <c r="AO37" s="6"/>
      <c r="AP37" s="6"/>
      <c r="AR37" s="6"/>
      <c r="AS37" s="6"/>
      <c r="AU37" s="6"/>
      <c r="AV37" s="6"/>
      <c r="AX37" s="6"/>
      <c r="AY37" s="6"/>
      <c r="BA37" s="6"/>
      <c r="BB37" s="6"/>
      <c r="BD37" s="6"/>
      <c r="BE37" s="6"/>
      <c r="BG37" s="6"/>
      <c r="BH37" s="6"/>
      <c r="BJ37" s="6"/>
      <c r="BK37" s="6"/>
      <c r="BM37" s="6"/>
      <c r="BN37" s="6"/>
      <c r="BP37" s="6"/>
      <c r="BQ37" s="6"/>
      <c r="BS37" s="6"/>
      <c r="BT37" s="6"/>
      <c r="BV37" s="6"/>
      <c r="BW37" s="6"/>
      <c r="BY37" s="6"/>
      <c r="BZ37" s="6"/>
      <c r="CB37" s="6"/>
      <c r="CC37" s="6"/>
      <c r="CE37" s="6"/>
      <c r="CF37" s="6"/>
      <c r="CH37" s="6"/>
      <c r="CI37" s="6"/>
      <c r="CK37" s="6"/>
      <c r="CL37" s="6"/>
      <c r="CN37" s="6"/>
      <c r="CO37" s="6"/>
      <c r="CQ37" s="6"/>
      <c r="CR37" s="6"/>
      <c r="CT37" s="6"/>
      <c r="CU37" s="6"/>
      <c r="CW37" s="6"/>
      <c r="CX37" s="6"/>
      <c r="CZ37" s="6"/>
      <c r="DA37" s="6"/>
      <c r="DC37" s="6"/>
      <c r="DD37" s="6"/>
      <c r="DF37" s="6"/>
      <c r="DG37" s="6"/>
      <c r="DI37" s="6"/>
      <c r="DJ37" s="6"/>
      <c r="DL37" s="6"/>
      <c r="DM37" s="6"/>
      <c r="DO37" s="6"/>
      <c r="DP37" s="6"/>
      <c r="DR37" s="6"/>
      <c r="DS37" s="6"/>
      <c r="DU37" s="6"/>
      <c r="DV37" s="6"/>
      <c r="DX37" s="6"/>
      <c r="DY37" s="6"/>
      <c r="EA37" s="6"/>
      <c r="EB37" s="6"/>
      <c r="ED37" s="6"/>
      <c r="EE37" s="6"/>
      <c r="EG37" s="6"/>
      <c r="EH37" s="6"/>
      <c r="EJ37" s="6"/>
      <c r="EK37" s="6"/>
      <c r="EM37" s="6"/>
      <c r="EN37" s="6"/>
      <c r="EP37" s="6"/>
      <c r="EQ37" s="6"/>
      <c r="ES37" s="6"/>
      <c r="ET37" s="6"/>
      <c r="EV37" s="6"/>
      <c r="EW37" s="6"/>
      <c r="EY37" s="6"/>
      <c r="EZ37" s="6"/>
      <c r="FB37" s="6"/>
      <c r="FC37" s="6"/>
      <c r="FE37" s="6"/>
      <c r="FF37" s="6"/>
      <c r="FH37" s="6"/>
      <c r="FI37" s="6"/>
      <c r="FK37" s="6"/>
      <c r="FL37" s="6"/>
      <c r="FN37" s="6"/>
      <c r="FO37" s="6"/>
      <c r="FQ37" s="6"/>
      <c r="FR37" s="6"/>
      <c r="FT37" s="6"/>
      <c r="FU37" s="6"/>
      <c r="FW37" s="6"/>
      <c r="FX37" s="6"/>
      <c r="FZ37" s="6"/>
      <c r="GA37" s="6"/>
      <c r="GC37" s="6"/>
      <c r="GD37" s="6"/>
      <c r="GF37" s="6"/>
      <c r="GG37" s="6"/>
      <c r="GI37" s="6"/>
      <c r="GJ37" s="6"/>
      <c r="GL37" s="6"/>
      <c r="GM37" s="6"/>
      <c r="GO37" s="6"/>
      <c r="GP37" s="6"/>
      <c r="GR37" s="6"/>
      <c r="GS37" s="6"/>
      <c r="GU37" s="6"/>
      <c r="GV37" s="6"/>
      <c r="GX37" s="6"/>
      <c r="GY37" s="6"/>
      <c r="HA37" s="6"/>
      <c r="HB37" s="6"/>
      <c r="HD37" s="6"/>
      <c r="HE37" s="6"/>
      <c r="HG37" s="6"/>
      <c r="HH37" s="6"/>
      <c r="HJ37" s="6"/>
      <c r="HK37" s="6"/>
      <c r="HM37" s="6"/>
      <c r="HN37" s="6"/>
      <c r="HP37" s="6"/>
      <c r="HQ37" s="6"/>
      <c r="HS37" s="6"/>
      <c r="HT37" s="6"/>
      <c r="HV37" s="6"/>
      <c r="HW37" s="6"/>
      <c r="HY37" s="6"/>
      <c r="HZ37" s="6"/>
      <c r="IB37" s="6"/>
      <c r="IC37" s="6"/>
      <c r="IE37" s="6"/>
      <c r="IF37" s="6"/>
    </row>
    <row r="38" spans="1:240" x14ac:dyDescent="0.3">
      <c r="A38" s="6"/>
      <c r="B38" s="173" t="s">
        <v>13</v>
      </c>
      <c r="C38" s="173" t="s">
        <v>11</v>
      </c>
      <c r="D38" s="341"/>
      <c r="E38" s="6"/>
      <c r="G38" s="5"/>
      <c r="J38" s="6"/>
      <c r="K38" s="6"/>
      <c r="M38" s="6"/>
      <c r="N38" s="6"/>
      <c r="P38" s="6"/>
      <c r="Q38" s="6"/>
      <c r="S38" s="6"/>
      <c r="T38" s="6"/>
      <c r="V38" s="6"/>
      <c r="W38" s="6"/>
      <c r="Y38" s="6"/>
      <c r="Z38" s="6"/>
      <c r="AB38" s="6"/>
      <c r="AC38" s="6"/>
      <c r="AE38" s="6"/>
      <c r="AF38" s="6"/>
      <c r="AG38" s="6"/>
      <c r="AI38" s="6"/>
      <c r="AJ38" s="6"/>
      <c r="AL38" s="6"/>
      <c r="AM38" s="6"/>
      <c r="AO38" s="6"/>
      <c r="AP38" s="6"/>
      <c r="AR38" s="6"/>
      <c r="AS38" s="6"/>
      <c r="AU38" s="6"/>
      <c r="AV38" s="6"/>
      <c r="AX38" s="6"/>
      <c r="AY38" s="6"/>
      <c r="BA38" s="6"/>
      <c r="BB38" s="6"/>
      <c r="BD38" s="6"/>
      <c r="BE38" s="6"/>
      <c r="BG38" s="6"/>
      <c r="BH38" s="6"/>
      <c r="BJ38" s="6"/>
      <c r="BK38" s="6"/>
      <c r="BM38" s="6"/>
      <c r="BN38" s="6"/>
      <c r="BP38" s="6"/>
      <c r="BQ38" s="6"/>
      <c r="BS38" s="6"/>
      <c r="BT38" s="6"/>
      <c r="BV38" s="6"/>
      <c r="BW38" s="6"/>
      <c r="BY38" s="6"/>
      <c r="BZ38" s="6"/>
      <c r="CB38" s="6"/>
      <c r="CC38" s="6"/>
      <c r="CE38" s="6"/>
      <c r="CF38" s="6"/>
      <c r="CH38" s="6"/>
      <c r="CI38" s="6"/>
      <c r="CK38" s="6"/>
      <c r="CL38" s="6"/>
      <c r="CN38" s="6"/>
      <c r="CO38" s="6"/>
      <c r="CQ38" s="6"/>
      <c r="CR38" s="6"/>
      <c r="CT38" s="6"/>
      <c r="CU38" s="6"/>
      <c r="CW38" s="6"/>
      <c r="CX38" s="6"/>
      <c r="CZ38" s="6"/>
      <c r="DA38" s="6"/>
      <c r="DC38" s="6"/>
      <c r="DD38" s="6"/>
      <c r="DF38" s="6"/>
      <c r="DG38" s="6"/>
      <c r="DI38" s="6"/>
      <c r="DJ38" s="6"/>
      <c r="DL38" s="6"/>
      <c r="DM38" s="6"/>
      <c r="DO38" s="6"/>
      <c r="DP38" s="6"/>
      <c r="DR38" s="6"/>
      <c r="DS38" s="6"/>
      <c r="DU38" s="6"/>
      <c r="DV38" s="6"/>
      <c r="DX38" s="6"/>
      <c r="DY38" s="6"/>
      <c r="EA38" s="6"/>
      <c r="EB38" s="6"/>
      <c r="ED38" s="6"/>
      <c r="EE38" s="6"/>
      <c r="EG38" s="6"/>
      <c r="EH38" s="6"/>
      <c r="EJ38" s="6"/>
      <c r="EK38" s="6"/>
      <c r="EM38" s="6"/>
      <c r="EN38" s="6"/>
      <c r="EP38" s="6"/>
      <c r="EQ38" s="6"/>
      <c r="ES38" s="6"/>
      <c r="ET38" s="6"/>
      <c r="EV38" s="6"/>
      <c r="EW38" s="6"/>
      <c r="EY38" s="6"/>
      <c r="EZ38" s="6"/>
      <c r="FB38" s="6"/>
      <c r="FC38" s="6"/>
      <c r="FE38" s="6"/>
      <c r="FF38" s="6"/>
      <c r="FH38" s="6"/>
      <c r="FI38" s="6"/>
      <c r="FK38" s="6"/>
      <c r="FL38" s="6"/>
      <c r="FN38" s="6"/>
      <c r="FO38" s="6"/>
      <c r="FQ38" s="6"/>
      <c r="FR38" s="6"/>
      <c r="FT38" s="6"/>
      <c r="FU38" s="6"/>
      <c r="FW38" s="6"/>
      <c r="FX38" s="6"/>
      <c r="FZ38" s="6"/>
      <c r="GA38" s="6"/>
      <c r="GC38" s="6"/>
      <c r="GD38" s="6"/>
      <c r="GF38" s="6"/>
      <c r="GG38" s="6"/>
      <c r="GI38" s="6"/>
      <c r="GJ38" s="6"/>
      <c r="GL38" s="6"/>
      <c r="GM38" s="6"/>
      <c r="GO38" s="6"/>
      <c r="GP38" s="6"/>
      <c r="GR38" s="6"/>
      <c r="GS38" s="6"/>
      <c r="GU38" s="6"/>
      <c r="GV38" s="6"/>
      <c r="GX38" s="6"/>
      <c r="GY38" s="6"/>
      <c r="HA38" s="6"/>
      <c r="HB38" s="6"/>
      <c r="HD38" s="6"/>
      <c r="HE38" s="6"/>
      <c r="HG38" s="6"/>
      <c r="HH38" s="6"/>
      <c r="HJ38" s="6"/>
      <c r="HK38" s="6"/>
      <c r="HM38" s="6"/>
      <c r="HN38" s="6"/>
      <c r="HP38" s="6"/>
      <c r="HQ38" s="6"/>
      <c r="HS38" s="6"/>
      <c r="HT38" s="6"/>
      <c r="HV38" s="6"/>
      <c r="HW38" s="6"/>
      <c r="HY38" s="6"/>
      <c r="HZ38" s="6"/>
      <c r="IB38" s="6"/>
      <c r="IC38" s="6"/>
      <c r="IE38" s="6"/>
      <c r="IF38" s="6"/>
    </row>
    <row r="39" spans="1:240" x14ac:dyDescent="0.3">
      <c r="A39" s="6"/>
      <c r="B39" s="173" t="s">
        <v>400</v>
      </c>
      <c r="C39" s="173" t="s">
        <v>12</v>
      </c>
      <c r="D39" s="341"/>
      <c r="E39" s="6"/>
      <c r="G39" s="5"/>
      <c r="J39" s="6"/>
      <c r="K39" s="6"/>
      <c r="M39" s="6"/>
      <c r="N39" s="6"/>
      <c r="P39" s="6"/>
      <c r="Q39" s="6"/>
      <c r="S39" s="6"/>
      <c r="T39" s="6"/>
      <c r="V39" s="6"/>
      <c r="W39" s="6"/>
      <c r="Y39" s="6"/>
      <c r="Z39" s="6"/>
      <c r="AB39" s="6"/>
      <c r="AC39" s="6"/>
      <c r="AE39" s="6"/>
      <c r="AF39" s="6"/>
      <c r="AG39" s="6"/>
      <c r="AI39" s="6"/>
      <c r="AJ39" s="6"/>
      <c r="AL39" s="6"/>
      <c r="AM39" s="6"/>
      <c r="AO39" s="6"/>
      <c r="AP39" s="6"/>
      <c r="AR39" s="6"/>
      <c r="AS39" s="6"/>
      <c r="AU39" s="6"/>
      <c r="AV39" s="6"/>
      <c r="AX39" s="6"/>
      <c r="AY39" s="6"/>
      <c r="BA39" s="6"/>
      <c r="BB39" s="6"/>
      <c r="BD39" s="6"/>
      <c r="BE39" s="6"/>
      <c r="BG39" s="6"/>
      <c r="BH39" s="6"/>
      <c r="BJ39" s="6"/>
      <c r="BK39" s="6"/>
      <c r="BM39" s="6"/>
      <c r="BN39" s="6"/>
      <c r="BP39" s="6"/>
      <c r="BQ39" s="6"/>
      <c r="BS39" s="6"/>
      <c r="BT39" s="6"/>
      <c r="BV39" s="6"/>
      <c r="BW39" s="6"/>
      <c r="BY39" s="6"/>
      <c r="BZ39" s="6"/>
      <c r="CB39" s="6"/>
      <c r="CC39" s="6"/>
      <c r="CE39" s="6"/>
      <c r="CF39" s="6"/>
      <c r="CH39" s="6"/>
      <c r="CI39" s="6"/>
      <c r="CK39" s="6"/>
      <c r="CL39" s="6"/>
      <c r="CN39" s="6"/>
      <c r="CO39" s="6"/>
      <c r="CQ39" s="6"/>
      <c r="CR39" s="6"/>
      <c r="CT39" s="6"/>
      <c r="CU39" s="6"/>
      <c r="CW39" s="6"/>
      <c r="CX39" s="6"/>
      <c r="CZ39" s="6"/>
      <c r="DA39" s="6"/>
      <c r="DC39" s="6"/>
      <c r="DD39" s="6"/>
      <c r="DF39" s="6"/>
      <c r="DG39" s="6"/>
      <c r="DI39" s="6"/>
      <c r="DJ39" s="6"/>
      <c r="DL39" s="6"/>
      <c r="DM39" s="6"/>
      <c r="DO39" s="6"/>
      <c r="DP39" s="6"/>
      <c r="DR39" s="6"/>
      <c r="DS39" s="6"/>
      <c r="DU39" s="6"/>
      <c r="DV39" s="6"/>
      <c r="DX39" s="6"/>
      <c r="DY39" s="6"/>
      <c r="EA39" s="6"/>
      <c r="EB39" s="6"/>
      <c r="ED39" s="6"/>
      <c r="EE39" s="6"/>
      <c r="EG39" s="6"/>
      <c r="EH39" s="6"/>
      <c r="EJ39" s="6"/>
      <c r="EK39" s="6"/>
      <c r="EM39" s="6"/>
      <c r="EN39" s="6"/>
      <c r="EP39" s="6"/>
      <c r="EQ39" s="6"/>
      <c r="ES39" s="6"/>
      <c r="ET39" s="6"/>
      <c r="EV39" s="6"/>
      <c r="EW39" s="6"/>
      <c r="EY39" s="6"/>
      <c r="EZ39" s="6"/>
      <c r="FB39" s="6"/>
      <c r="FC39" s="6"/>
      <c r="FE39" s="6"/>
      <c r="FF39" s="6"/>
      <c r="FH39" s="6"/>
      <c r="FI39" s="6"/>
      <c r="FK39" s="6"/>
      <c r="FL39" s="6"/>
      <c r="FN39" s="6"/>
      <c r="FO39" s="6"/>
      <c r="FQ39" s="6"/>
      <c r="FR39" s="6"/>
      <c r="FT39" s="6"/>
      <c r="FU39" s="6"/>
      <c r="FW39" s="6"/>
      <c r="FX39" s="6"/>
      <c r="FZ39" s="6"/>
      <c r="GA39" s="6"/>
      <c r="GC39" s="6"/>
      <c r="GD39" s="6"/>
      <c r="GF39" s="6"/>
      <c r="GG39" s="6"/>
      <c r="GI39" s="6"/>
      <c r="GJ39" s="6"/>
      <c r="GL39" s="6"/>
      <c r="GM39" s="6"/>
      <c r="GO39" s="6"/>
      <c r="GP39" s="6"/>
      <c r="GR39" s="6"/>
      <c r="GS39" s="6"/>
      <c r="GU39" s="6"/>
      <c r="GV39" s="6"/>
      <c r="GX39" s="6"/>
      <c r="GY39" s="6"/>
      <c r="HA39" s="6"/>
      <c r="HB39" s="6"/>
      <c r="HD39" s="6"/>
      <c r="HE39" s="6"/>
      <c r="HG39" s="6"/>
      <c r="HH39" s="6"/>
      <c r="HJ39" s="6"/>
      <c r="HK39" s="6"/>
      <c r="HM39" s="6"/>
      <c r="HN39" s="6"/>
      <c r="HP39" s="6"/>
      <c r="HQ39" s="6"/>
      <c r="HS39" s="6"/>
      <c r="HT39" s="6"/>
      <c r="HV39" s="6"/>
      <c r="HW39" s="6"/>
      <c r="HY39" s="6"/>
      <c r="HZ39" s="6"/>
      <c r="IB39" s="6"/>
      <c r="IC39" s="6"/>
      <c r="IE39" s="6"/>
      <c r="IF39" s="6"/>
    </row>
    <row r="40" spans="1:240" x14ac:dyDescent="0.3">
      <c r="A40" s="6"/>
      <c r="B40" s="173" t="s">
        <v>159</v>
      </c>
      <c r="C40" s="173" t="s">
        <v>122</v>
      </c>
      <c r="D40" s="341"/>
      <c r="E40" s="6"/>
      <c r="G40" s="5"/>
      <c r="J40" s="6"/>
      <c r="K40" s="6"/>
      <c r="M40" s="6"/>
      <c r="N40" s="6"/>
      <c r="P40" s="6"/>
      <c r="Q40" s="6"/>
      <c r="S40" s="6"/>
      <c r="T40" s="6"/>
      <c r="V40" s="6"/>
      <c r="W40" s="6"/>
      <c r="Y40" s="6"/>
      <c r="Z40" s="6"/>
      <c r="AB40" s="6"/>
      <c r="AC40" s="6"/>
      <c r="AE40" s="6"/>
      <c r="AF40" s="6"/>
      <c r="AG40" s="6"/>
      <c r="AI40" s="6"/>
      <c r="AJ40" s="6"/>
      <c r="AL40" s="6"/>
      <c r="AM40" s="6"/>
      <c r="AO40" s="6"/>
      <c r="AP40" s="6"/>
      <c r="AR40" s="6"/>
      <c r="AS40" s="6"/>
      <c r="AU40" s="6"/>
      <c r="AV40" s="6"/>
      <c r="AX40" s="6"/>
      <c r="AY40" s="6"/>
      <c r="BA40" s="6"/>
      <c r="BB40" s="6"/>
      <c r="BD40" s="6"/>
      <c r="BE40" s="6"/>
      <c r="BG40" s="6"/>
      <c r="BH40" s="6"/>
      <c r="BJ40" s="6"/>
      <c r="BK40" s="6"/>
      <c r="BM40" s="6"/>
      <c r="BN40" s="6"/>
      <c r="BP40" s="6"/>
      <c r="BQ40" s="6"/>
      <c r="BS40" s="6"/>
      <c r="BT40" s="6"/>
      <c r="BV40" s="6"/>
      <c r="BW40" s="6"/>
      <c r="BY40" s="6"/>
      <c r="BZ40" s="6"/>
      <c r="CB40" s="6"/>
      <c r="CC40" s="6"/>
      <c r="CE40" s="6"/>
      <c r="CF40" s="6"/>
      <c r="CH40" s="6"/>
      <c r="CI40" s="6"/>
      <c r="CK40" s="6"/>
      <c r="CL40" s="6"/>
      <c r="CN40" s="6"/>
      <c r="CO40" s="6"/>
      <c r="CQ40" s="6"/>
      <c r="CR40" s="6"/>
      <c r="CT40" s="6"/>
      <c r="CU40" s="6"/>
      <c r="CW40" s="6"/>
      <c r="CX40" s="6"/>
      <c r="CZ40" s="6"/>
      <c r="DA40" s="6"/>
      <c r="DC40" s="6"/>
      <c r="DD40" s="6"/>
      <c r="DF40" s="6"/>
      <c r="DG40" s="6"/>
      <c r="DI40" s="6"/>
      <c r="DJ40" s="6"/>
      <c r="DL40" s="6"/>
      <c r="DM40" s="6"/>
      <c r="DO40" s="6"/>
      <c r="DP40" s="6"/>
      <c r="DR40" s="6"/>
      <c r="DS40" s="6"/>
      <c r="DU40" s="6"/>
      <c r="DV40" s="6"/>
      <c r="DX40" s="6"/>
      <c r="DY40" s="6"/>
      <c r="EA40" s="6"/>
      <c r="EB40" s="6"/>
      <c r="ED40" s="6"/>
      <c r="EE40" s="6"/>
      <c r="EG40" s="6"/>
      <c r="EH40" s="6"/>
      <c r="EJ40" s="6"/>
      <c r="EK40" s="6"/>
      <c r="EM40" s="6"/>
      <c r="EN40" s="6"/>
      <c r="EP40" s="6"/>
      <c r="EQ40" s="6"/>
      <c r="ES40" s="6"/>
      <c r="ET40" s="6"/>
      <c r="EV40" s="6"/>
      <c r="EW40" s="6"/>
      <c r="EY40" s="6"/>
      <c r="EZ40" s="6"/>
      <c r="FB40" s="6"/>
      <c r="FC40" s="6"/>
      <c r="FE40" s="6"/>
      <c r="FF40" s="6"/>
      <c r="FH40" s="6"/>
      <c r="FI40" s="6"/>
      <c r="FK40" s="6"/>
      <c r="FL40" s="6"/>
      <c r="FN40" s="6"/>
      <c r="FO40" s="6"/>
      <c r="FQ40" s="6"/>
      <c r="FR40" s="6"/>
      <c r="FT40" s="6"/>
      <c r="FU40" s="6"/>
      <c r="FW40" s="6"/>
      <c r="FX40" s="6"/>
      <c r="FZ40" s="6"/>
      <c r="GA40" s="6"/>
      <c r="GC40" s="6"/>
      <c r="GD40" s="6"/>
      <c r="GF40" s="6"/>
      <c r="GG40" s="6"/>
      <c r="GI40" s="6"/>
      <c r="GJ40" s="6"/>
      <c r="GL40" s="6"/>
      <c r="GM40" s="6"/>
      <c r="GO40" s="6"/>
      <c r="GP40" s="6"/>
      <c r="GR40" s="6"/>
      <c r="GS40" s="6"/>
      <c r="GU40" s="6"/>
      <c r="GV40" s="6"/>
      <c r="GX40" s="6"/>
      <c r="GY40" s="6"/>
      <c r="HA40" s="6"/>
      <c r="HB40" s="6"/>
      <c r="HD40" s="6"/>
      <c r="HE40" s="6"/>
      <c r="HG40" s="6"/>
      <c r="HH40" s="6"/>
      <c r="HJ40" s="6"/>
      <c r="HK40" s="6"/>
      <c r="HM40" s="6"/>
      <c r="HN40" s="6"/>
      <c r="HP40" s="6"/>
      <c r="HQ40" s="6"/>
      <c r="HS40" s="6"/>
      <c r="HT40" s="6"/>
      <c r="HV40" s="6"/>
      <c r="HW40" s="6"/>
      <c r="HY40" s="6"/>
      <c r="HZ40" s="6"/>
      <c r="IB40" s="6"/>
      <c r="IC40" s="6"/>
      <c r="IE40" s="6"/>
      <c r="IF40" s="6"/>
    </row>
    <row r="41" spans="1:240" x14ac:dyDescent="0.3">
      <c r="A41" s="6"/>
      <c r="B41" s="173" t="s">
        <v>404</v>
      </c>
      <c r="C41" s="173" t="s">
        <v>402</v>
      </c>
      <c r="D41" s="341"/>
      <c r="E41" s="6"/>
      <c r="G41" s="5"/>
      <c r="J41" s="6"/>
      <c r="K41" s="6"/>
      <c r="M41" s="6"/>
      <c r="N41" s="6"/>
      <c r="P41" s="6"/>
      <c r="Q41" s="6"/>
      <c r="S41" s="6"/>
      <c r="T41" s="6"/>
      <c r="V41" s="6"/>
      <c r="W41" s="6"/>
      <c r="Y41" s="6"/>
      <c r="Z41" s="6"/>
      <c r="AB41" s="6"/>
      <c r="AC41" s="6"/>
      <c r="AE41" s="6"/>
      <c r="AF41" s="6"/>
      <c r="AG41" s="6"/>
      <c r="AI41" s="6"/>
      <c r="AJ41" s="6"/>
      <c r="AL41" s="6"/>
      <c r="AM41" s="6"/>
      <c r="AO41" s="6"/>
      <c r="AP41" s="6"/>
      <c r="AR41" s="6"/>
      <c r="AS41" s="6"/>
      <c r="AU41" s="6"/>
      <c r="AV41" s="6"/>
      <c r="AX41" s="6"/>
      <c r="AY41" s="6"/>
      <c r="BA41" s="6"/>
      <c r="BB41" s="6"/>
      <c r="BD41" s="6"/>
      <c r="BE41" s="6"/>
      <c r="BG41" s="6"/>
      <c r="BH41" s="6"/>
      <c r="BJ41" s="6"/>
      <c r="BK41" s="6"/>
      <c r="BM41" s="6"/>
      <c r="BN41" s="6"/>
      <c r="BP41" s="6"/>
      <c r="BQ41" s="6"/>
      <c r="BS41" s="6"/>
      <c r="BT41" s="6"/>
      <c r="BV41" s="6"/>
      <c r="BW41" s="6"/>
      <c r="BY41" s="6"/>
      <c r="BZ41" s="6"/>
      <c r="CB41" s="6"/>
      <c r="CC41" s="6"/>
      <c r="CE41" s="6"/>
      <c r="CF41" s="6"/>
      <c r="CH41" s="6"/>
      <c r="CI41" s="6"/>
      <c r="CK41" s="6"/>
      <c r="CL41" s="6"/>
      <c r="CN41" s="6"/>
      <c r="CO41" s="6"/>
      <c r="CQ41" s="6"/>
      <c r="CR41" s="6"/>
      <c r="CT41" s="6"/>
      <c r="CU41" s="6"/>
      <c r="CW41" s="6"/>
      <c r="CX41" s="6"/>
      <c r="CZ41" s="6"/>
      <c r="DA41" s="6"/>
      <c r="DC41" s="6"/>
      <c r="DD41" s="6"/>
      <c r="DF41" s="6"/>
      <c r="DG41" s="6"/>
      <c r="DI41" s="6"/>
      <c r="DJ41" s="6"/>
      <c r="DL41" s="6"/>
      <c r="DM41" s="6"/>
      <c r="DO41" s="6"/>
      <c r="DP41" s="6"/>
      <c r="DR41" s="6"/>
      <c r="DS41" s="6"/>
      <c r="DU41" s="6"/>
      <c r="DV41" s="6"/>
      <c r="DX41" s="6"/>
      <c r="DY41" s="6"/>
      <c r="EA41" s="6"/>
      <c r="EB41" s="6"/>
      <c r="ED41" s="6"/>
      <c r="EE41" s="6"/>
      <c r="EG41" s="6"/>
      <c r="EH41" s="6"/>
      <c r="EJ41" s="6"/>
      <c r="EK41" s="6"/>
      <c r="EM41" s="6"/>
      <c r="EN41" s="6"/>
      <c r="EP41" s="6"/>
      <c r="EQ41" s="6"/>
      <c r="ES41" s="6"/>
      <c r="ET41" s="6"/>
      <c r="EV41" s="6"/>
      <c r="EW41" s="6"/>
      <c r="EY41" s="6"/>
      <c r="EZ41" s="6"/>
      <c r="FB41" s="6"/>
      <c r="FC41" s="6"/>
      <c r="FE41" s="6"/>
      <c r="FF41" s="6"/>
      <c r="FH41" s="6"/>
      <c r="FI41" s="6"/>
      <c r="FK41" s="6"/>
      <c r="FL41" s="6"/>
      <c r="FN41" s="6"/>
      <c r="FO41" s="6"/>
      <c r="FQ41" s="6"/>
      <c r="FR41" s="6"/>
      <c r="FT41" s="6"/>
      <c r="FU41" s="6"/>
      <c r="FW41" s="6"/>
      <c r="FX41" s="6"/>
      <c r="FZ41" s="6"/>
      <c r="GA41" s="6"/>
      <c r="GC41" s="6"/>
      <c r="GD41" s="6"/>
      <c r="GF41" s="6"/>
      <c r="GG41" s="6"/>
      <c r="GI41" s="6"/>
      <c r="GJ41" s="6"/>
      <c r="GL41" s="6"/>
      <c r="GM41" s="6"/>
      <c r="GO41" s="6"/>
      <c r="GP41" s="6"/>
      <c r="GR41" s="6"/>
      <c r="GS41" s="6"/>
      <c r="GU41" s="6"/>
      <c r="GV41" s="6"/>
      <c r="GX41" s="6"/>
      <c r="GY41" s="6"/>
      <c r="HA41" s="6"/>
      <c r="HB41" s="6"/>
      <c r="HD41" s="6"/>
      <c r="HE41" s="6"/>
      <c r="HG41" s="6"/>
      <c r="HH41" s="6"/>
      <c r="HJ41" s="6"/>
      <c r="HK41" s="6"/>
      <c r="HM41" s="6"/>
      <c r="HN41" s="6"/>
      <c r="HP41" s="6"/>
      <c r="HQ41" s="6"/>
      <c r="HS41" s="6"/>
      <c r="HT41" s="6"/>
      <c r="HV41" s="6"/>
      <c r="HW41" s="6"/>
      <c r="HY41" s="6"/>
      <c r="HZ41" s="6"/>
      <c r="IB41" s="6"/>
      <c r="IC41" s="6"/>
      <c r="IE41" s="6"/>
      <c r="IF41" s="6"/>
    </row>
    <row r="42" spans="1:240" x14ac:dyDescent="0.3">
      <c r="A42" s="6"/>
      <c r="B42" s="173" t="s">
        <v>1271</v>
      </c>
      <c r="C42" s="173" t="s">
        <v>13</v>
      </c>
      <c r="D42" s="341"/>
      <c r="E42" s="6"/>
      <c r="G42" s="5"/>
      <c r="J42" s="6"/>
      <c r="K42" s="6"/>
      <c r="M42" s="6"/>
      <c r="N42" s="6"/>
      <c r="P42" s="6"/>
      <c r="Q42" s="6"/>
      <c r="S42" s="6"/>
      <c r="T42" s="6"/>
      <c r="V42" s="6"/>
      <c r="W42" s="6"/>
      <c r="Y42" s="6"/>
      <c r="Z42" s="6"/>
      <c r="AB42" s="6"/>
      <c r="AC42" s="6"/>
      <c r="AE42" s="6"/>
      <c r="AF42" s="6"/>
      <c r="AG42" s="6"/>
      <c r="AI42" s="6"/>
      <c r="AJ42" s="6"/>
      <c r="AL42" s="6"/>
      <c r="AM42" s="6"/>
      <c r="AO42" s="6"/>
      <c r="AP42" s="6"/>
      <c r="AR42" s="6"/>
      <c r="AS42" s="6"/>
      <c r="AU42" s="6"/>
      <c r="AV42" s="6"/>
      <c r="AX42" s="6"/>
      <c r="AY42" s="6"/>
      <c r="BA42" s="6"/>
      <c r="BB42" s="6"/>
      <c r="BD42" s="6"/>
      <c r="BE42" s="6"/>
      <c r="BG42" s="6"/>
      <c r="BH42" s="6"/>
      <c r="BJ42" s="6"/>
      <c r="BK42" s="6"/>
      <c r="BM42" s="6"/>
      <c r="BN42" s="6"/>
      <c r="BP42" s="6"/>
      <c r="BQ42" s="6"/>
      <c r="BS42" s="6"/>
      <c r="BT42" s="6"/>
      <c r="BV42" s="6"/>
      <c r="BW42" s="6"/>
      <c r="BY42" s="6"/>
      <c r="BZ42" s="6"/>
      <c r="CB42" s="6"/>
      <c r="CC42" s="6"/>
      <c r="CE42" s="6"/>
      <c r="CF42" s="6"/>
      <c r="CH42" s="6"/>
      <c r="CI42" s="6"/>
      <c r="CK42" s="6"/>
      <c r="CL42" s="6"/>
      <c r="CN42" s="6"/>
      <c r="CO42" s="6"/>
      <c r="CQ42" s="6"/>
      <c r="CR42" s="6"/>
      <c r="CT42" s="6"/>
      <c r="CU42" s="6"/>
      <c r="CW42" s="6"/>
      <c r="CX42" s="6"/>
      <c r="CZ42" s="6"/>
      <c r="DA42" s="6"/>
      <c r="DC42" s="6"/>
      <c r="DD42" s="6"/>
      <c r="DF42" s="6"/>
      <c r="DG42" s="6"/>
      <c r="DI42" s="6"/>
      <c r="DJ42" s="6"/>
      <c r="DL42" s="6"/>
      <c r="DM42" s="6"/>
      <c r="DO42" s="6"/>
      <c r="DP42" s="6"/>
      <c r="DR42" s="6"/>
      <c r="DS42" s="6"/>
      <c r="DU42" s="6"/>
      <c r="DV42" s="6"/>
      <c r="DX42" s="6"/>
      <c r="DY42" s="6"/>
      <c r="EA42" s="6"/>
      <c r="EB42" s="6"/>
      <c r="ED42" s="6"/>
      <c r="EE42" s="6"/>
      <c r="EG42" s="6"/>
      <c r="EH42" s="6"/>
      <c r="EJ42" s="6"/>
      <c r="EK42" s="6"/>
      <c r="EM42" s="6"/>
      <c r="EN42" s="6"/>
      <c r="EP42" s="6"/>
      <c r="EQ42" s="6"/>
      <c r="ES42" s="6"/>
      <c r="ET42" s="6"/>
      <c r="EV42" s="6"/>
      <c r="EW42" s="6"/>
      <c r="EY42" s="6"/>
      <c r="EZ42" s="6"/>
      <c r="FB42" s="6"/>
      <c r="FC42" s="6"/>
      <c r="FE42" s="6"/>
      <c r="FF42" s="6"/>
      <c r="FH42" s="6"/>
      <c r="FI42" s="6"/>
      <c r="FK42" s="6"/>
      <c r="FL42" s="6"/>
      <c r="FN42" s="6"/>
      <c r="FO42" s="6"/>
      <c r="FQ42" s="6"/>
      <c r="FR42" s="6"/>
      <c r="FT42" s="6"/>
      <c r="FU42" s="6"/>
      <c r="FW42" s="6"/>
      <c r="FX42" s="6"/>
      <c r="FZ42" s="6"/>
      <c r="GA42" s="6"/>
      <c r="GC42" s="6"/>
      <c r="GD42" s="6"/>
      <c r="GF42" s="6"/>
      <c r="GG42" s="6"/>
      <c r="GI42" s="6"/>
      <c r="GJ42" s="6"/>
      <c r="GL42" s="6"/>
      <c r="GM42" s="6"/>
      <c r="GO42" s="6"/>
      <c r="GP42" s="6"/>
      <c r="GR42" s="6"/>
      <c r="GS42" s="6"/>
      <c r="GU42" s="6"/>
      <c r="GV42" s="6"/>
      <c r="GX42" s="6"/>
      <c r="GY42" s="6"/>
      <c r="HA42" s="6"/>
      <c r="HB42" s="6"/>
      <c r="HD42" s="6"/>
      <c r="HE42" s="6"/>
      <c r="HG42" s="6"/>
      <c r="HH42" s="6"/>
      <c r="HJ42" s="6"/>
      <c r="HK42" s="6"/>
      <c r="HM42" s="6"/>
      <c r="HN42" s="6"/>
      <c r="HP42" s="6"/>
      <c r="HQ42" s="6"/>
      <c r="HS42" s="6"/>
      <c r="HT42" s="6"/>
      <c r="HV42" s="6"/>
      <c r="HW42" s="6"/>
      <c r="HY42" s="6"/>
      <c r="HZ42" s="6"/>
      <c r="IB42" s="6"/>
      <c r="IC42" s="6"/>
      <c r="IE42" s="6"/>
      <c r="IF42" s="6"/>
    </row>
    <row r="43" spans="1:240" x14ac:dyDescent="0.3">
      <c r="A43" s="6"/>
      <c r="B43" s="472" t="s">
        <v>405</v>
      </c>
      <c r="C43" s="173" t="s">
        <v>400</v>
      </c>
      <c r="D43" s="341"/>
      <c r="E43" s="6"/>
      <c r="G43" s="5"/>
      <c r="J43" s="6"/>
      <c r="K43" s="6"/>
      <c r="M43" s="6"/>
      <c r="N43" s="6"/>
      <c r="P43" s="6"/>
      <c r="Q43" s="6"/>
      <c r="S43" s="6"/>
      <c r="T43" s="6"/>
      <c r="V43" s="6"/>
      <c r="W43" s="6"/>
      <c r="Y43" s="6"/>
      <c r="Z43" s="6"/>
      <c r="AB43" s="6"/>
      <c r="AC43" s="6"/>
      <c r="AE43" s="6"/>
      <c r="AF43" s="6"/>
      <c r="AG43" s="6"/>
      <c r="AI43" s="6"/>
      <c r="AJ43" s="6"/>
      <c r="AL43" s="6"/>
      <c r="AM43" s="6"/>
      <c r="AO43" s="6"/>
      <c r="AP43" s="6"/>
      <c r="AR43" s="6"/>
      <c r="AS43" s="6"/>
      <c r="AU43" s="6"/>
      <c r="AV43" s="6"/>
      <c r="AX43" s="6"/>
      <c r="AY43" s="6"/>
      <c r="BA43" s="6"/>
      <c r="BB43" s="6"/>
      <c r="BD43" s="6"/>
      <c r="BE43" s="6"/>
      <c r="BG43" s="6"/>
      <c r="BH43" s="6"/>
      <c r="BJ43" s="6"/>
      <c r="BK43" s="6"/>
      <c r="BM43" s="6"/>
      <c r="BN43" s="6"/>
      <c r="BP43" s="6"/>
      <c r="BQ43" s="6"/>
      <c r="BS43" s="6"/>
      <c r="BT43" s="6"/>
      <c r="BV43" s="6"/>
      <c r="BW43" s="6"/>
      <c r="BY43" s="6"/>
      <c r="BZ43" s="6"/>
      <c r="CB43" s="6"/>
      <c r="CC43" s="6"/>
      <c r="CE43" s="6"/>
      <c r="CF43" s="6"/>
      <c r="CH43" s="6"/>
      <c r="CI43" s="6"/>
      <c r="CK43" s="6"/>
      <c r="CL43" s="6"/>
      <c r="CN43" s="6"/>
      <c r="CO43" s="6"/>
      <c r="CQ43" s="6"/>
      <c r="CR43" s="6"/>
      <c r="CT43" s="6"/>
      <c r="CU43" s="6"/>
      <c r="CW43" s="6"/>
      <c r="CX43" s="6"/>
      <c r="CZ43" s="6"/>
      <c r="DA43" s="6"/>
      <c r="DC43" s="6"/>
      <c r="DD43" s="6"/>
      <c r="DF43" s="6"/>
      <c r="DG43" s="6"/>
      <c r="DI43" s="6"/>
      <c r="DJ43" s="6"/>
      <c r="DL43" s="6"/>
      <c r="DM43" s="6"/>
      <c r="DO43" s="6"/>
      <c r="DP43" s="6"/>
      <c r="DR43" s="6"/>
      <c r="DS43" s="6"/>
      <c r="DU43" s="6"/>
      <c r="DV43" s="6"/>
      <c r="DX43" s="6"/>
      <c r="DY43" s="6"/>
      <c r="EA43" s="6"/>
      <c r="EB43" s="6"/>
      <c r="ED43" s="6"/>
      <c r="EE43" s="6"/>
      <c r="EG43" s="6"/>
      <c r="EH43" s="6"/>
      <c r="EJ43" s="6"/>
      <c r="EK43" s="6"/>
      <c r="EM43" s="6"/>
      <c r="EN43" s="6"/>
      <c r="EP43" s="6"/>
      <c r="EQ43" s="6"/>
      <c r="ES43" s="6"/>
      <c r="ET43" s="6"/>
      <c r="EV43" s="6"/>
      <c r="EW43" s="6"/>
      <c r="EY43" s="6"/>
      <c r="EZ43" s="6"/>
      <c r="FB43" s="6"/>
      <c r="FC43" s="6"/>
      <c r="FE43" s="6"/>
      <c r="FF43" s="6"/>
      <c r="FH43" s="6"/>
      <c r="FI43" s="6"/>
      <c r="FK43" s="6"/>
      <c r="FL43" s="6"/>
      <c r="FN43" s="6"/>
      <c r="FO43" s="6"/>
      <c r="FQ43" s="6"/>
      <c r="FR43" s="6"/>
      <c r="FT43" s="6"/>
      <c r="FU43" s="6"/>
      <c r="FW43" s="6"/>
      <c r="FX43" s="6"/>
      <c r="FZ43" s="6"/>
      <c r="GA43" s="6"/>
      <c r="GC43" s="6"/>
      <c r="GD43" s="6"/>
      <c r="GF43" s="6"/>
      <c r="GG43" s="6"/>
      <c r="GI43" s="6"/>
      <c r="GJ43" s="6"/>
      <c r="GL43" s="6"/>
      <c r="GM43" s="6"/>
      <c r="GO43" s="6"/>
      <c r="GP43" s="6"/>
      <c r="GR43" s="6"/>
      <c r="GS43" s="6"/>
      <c r="GU43" s="6"/>
      <c r="GV43" s="6"/>
      <c r="GX43" s="6"/>
      <c r="GY43" s="6"/>
      <c r="HA43" s="6"/>
      <c r="HB43" s="6"/>
      <c r="HD43" s="6"/>
      <c r="HE43" s="6"/>
      <c r="HG43" s="6"/>
      <c r="HH43" s="6"/>
      <c r="HJ43" s="6"/>
      <c r="HK43" s="6"/>
      <c r="HM43" s="6"/>
      <c r="HN43" s="6"/>
      <c r="HP43" s="6"/>
      <c r="HQ43" s="6"/>
      <c r="HS43" s="6"/>
      <c r="HT43" s="6"/>
      <c r="HV43" s="6"/>
      <c r="HW43" s="6"/>
      <c r="HY43" s="6"/>
      <c r="HZ43" s="6"/>
      <c r="IB43" s="6"/>
      <c r="IC43" s="6"/>
      <c r="IE43" s="6"/>
      <c r="IF43" s="6"/>
    </row>
    <row r="44" spans="1:240" x14ac:dyDescent="0.3">
      <c r="A44" s="6"/>
      <c r="B44" s="173" t="s">
        <v>406</v>
      </c>
      <c r="C44" s="173" t="s">
        <v>421</v>
      </c>
      <c r="D44" s="341" t="s">
        <v>422</v>
      </c>
      <c r="E44" s="6"/>
      <c r="G44" s="5"/>
      <c r="J44" s="6"/>
      <c r="K44" s="6"/>
      <c r="M44" s="6"/>
      <c r="N44" s="6"/>
      <c r="P44" s="6"/>
      <c r="Q44" s="6"/>
      <c r="S44" s="6"/>
      <c r="T44" s="6"/>
      <c r="V44" s="6"/>
      <c r="W44" s="6"/>
      <c r="Y44" s="6"/>
      <c r="Z44" s="6"/>
      <c r="AB44" s="6"/>
      <c r="AC44" s="6"/>
      <c r="AE44" s="6"/>
      <c r="AF44" s="6"/>
      <c r="AG44" s="6"/>
      <c r="AI44" s="6"/>
      <c r="AJ44" s="6"/>
      <c r="AL44" s="6"/>
      <c r="AM44" s="6"/>
      <c r="AO44" s="6"/>
      <c r="AP44" s="6"/>
      <c r="AR44" s="6"/>
      <c r="AS44" s="6"/>
      <c r="AU44" s="6"/>
      <c r="AV44" s="6"/>
      <c r="AX44" s="6"/>
      <c r="AY44" s="6"/>
      <c r="BA44" s="6"/>
      <c r="BB44" s="6"/>
      <c r="BD44" s="6"/>
      <c r="BE44" s="6"/>
      <c r="BG44" s="6"/>
      <c r="BH44" s="6"/>
      <c r="BJ44" s="6"/>
      <c r="BK44" s="6"/>
      <c r="BM44" s="6"/>
      <c r="BN44" s="6"/>
      <c r="BP44" s="6"/>
      <c r="BQ44" s="6"/>
      <c r="BS44" s="6"/>
      <c r="BT44" s="6"/>
      <c r="BV44" s="6"/>
      <c r="BW44" s="6"/>
      <c r="BY44" s="6"/>
      <c r="BZ44" s="6"/>
      <c r="CB44" s="6"/>
      <c r="CC44" s="6"/>
      <c r="CE44" s="6"/>
      <c r="CF44" s="6"/>
      <c r="CH44" s="6"/>
      <c r="CI44" s="6"/>
      <c r="CK44" s="6"/>
      <c r="CL44" s="6"/>
      <c r="CN44" s="6"/>
      <c r="CO44" s="6"/>
      <c r="CQ44" s="6"/>
      <c r="CR44" s="6"/>
      <c r="CT44" s="6"/>
      <c r="CU44" s="6"/>
      <c r="CW44" s="6"/>
      <c r="CX44" s="6"/>
      <c r="CZ44" s="6"/>
      <c r="DA44" s="6"/>
      <c r="DC44" s="6"/>
      <c r="DD44" s="6"/>
      <c r="DF44" s="6"/>
      <c r="DG44" s="6"/>
      <c r="DI44" s="6"/>
      <c r="DJ44" s="6"/>
      <c r="DL44" s="6"/>
      <c r="DM44" s="6"/>
      <c r="DO44" s="6"/>
      <c r="DP44" s="6"/>
      <c r="DR44" s="6"/>
      <c r="DS44" s="6"/>
      <c r="DU44" s="6"/>
      <c r="DV44" s="6"/>
      <c r="DX44" s="6"/>
      <c r="DY44" s="6"/>
      <c r="EA44" s="6"/>
      <c r="EB44" s="6"/>
      <c r="ED44" s="6"/>
      <c r="EE44" s="6"/>
      <c r="EG44" s="6"/>
      <c r="EH44" s="6"/>
      <c r="EJ44" s="6"/>
      <c r="EK44" s="6"/>
      <c r="EM44" s="6"/>
      <c r="EN44" s="6"/>
      <c r="EP44" s="6"/>
      <c r="EQ44" s="6"/>
      <c r="ES44" s="6"/>
      <c r="ET44" s="6"/>
      <c r="EV44" s="6"/>
      <c r="EW44" s="6"/>
      <c r="EY44" s="6"/>
      <c r="EZ44" s="6"/>
      <c r="FB44" s="6"/>
      <c r="FC44" s="6"/>
      <c r="FE44" s="6"/>
      <c r="FF44" s="6"/>
      <c r="FH44" s="6"/>
      <c r="FI44" s="6"/>
      <c r="FK44" s="6"/>
      <c r="FL44" s="6"/>
      <c r="FN44" s="6"/>
      <c r="FO44" s="6"/>
      <c r="FQ44" s="6"/>
      <c r="FR44" s="6"/>
      <c r="FT44" s="6"/>
      <c r="FU44" s="6"/>
      <c r="FW44" s="6"/>
      <c r="FX44" s="6"/>
      <c r="FZ44" s="6"/>
      <c r="GA44" s="6"/>
      <c r="GC44" s="6"/>
      <c r="GD44" s="6"/>
      <c r="GF44" s="6"/>
      <c r="GG44" s="6"/>
      <c r="GI44" s="6"/>
      <c r="GJ44" s="6"/>
      <c r="GL44" s="6"/>
      <c r="GM44" s="6"/>
      <c r="GO44" s="6"/>
      <c r="GP44" s="6"/>
      <c r="GR44" s="6"/>
      <c r="GS44" s="6"/>
      <c r="GU44" s="6"/>
      <c r="GV44" s="6"/>
      <c r="GX44" s="6"/>
      <c r="GY44" s="6"/>
      <c r="HA44" s="6"/>
      <c r="HB44" s="6"/>
      <c r="HD44" s="6"/>
      <c r="HE44" s="6"/>
      <c r="HG44" s="6"/>
      <c r="HH44" s="6"/>
      <c r="HJ44" s="6"/>
      <c r="HK44" s="6"/>
      <c r="HM44" s="6"/>
      <c r="HN44" s="6"/>
      <c r="HP44" s="6"/>
      <c r="HQ44" s="6"/>
      <c r="HS44" s="6"/>
      <c r="HT44" s="6"/>
      <c r="HV44" s="6"/>
      <c r="HW44" s="6"/>
      <c r="HY44" s="6"/>
      <c r="HZ44" s="6"/>
      <c r="IB44" s="6"/>
      <c r="IC44" s="6"/>
      <c r="IE44" s="6"/>
      <c r="IF44" s="6"/>
    </row>
    <row r="45" spans="1:240" x14ac:dyDescent="0.3">
      <c r="A45" s="6"/>
      <c r="B45" s="472" t="s">
        <v>123</v>
      </c>
      <c r="C45" s="173" t="s">
        <v>158</v>
      </c>
      <c r="D45" s="341" t="s">
        <v>422</v>
      </c>
      <c r="E45" s="6"/>
      <c r="G45" s="5"/>
      <c r="J45" s="6"/>
      <c r="K45" s="6"/>
      <c r="M45" s="6"/>
      <c r="N45" s="6"/>
      <c r="P45" s="6"/>
      <c r="Q45" s="6"/>
      <c r="S45" s="6"/>
      <c r="T45" s="6"/>
      <c r="V45" s="6"/>
      <c r="W45" s="6"/>
      <c r="Y45" s="6"/>
      <c r="Z45" s="6"/>
      <c r="AB45" s="6"/>
      <c r="AC45" s="6"/>
      <c r="AE45" s="6"/>
      <c r="AF45" s="6"/>
      <c r="AG45" s="6"/>
      <c r="AI45" s="6"/>
      <c r="AJ45" s="6"/>
      <c r="AL45" s="6"/>
      <c r="AM45" s="6"/>
      <c r="AO45" s="6"/>
      <c r="AP45" s="6"/>
      <c r="AR45" s="6"/>
      <c r="AS45" s="6"/>
      <c r="AU45" s="6"/>
      <c r="AV45" s="6"/>
      <c r="AX45" s="6"/>
      <c r="AY45" s="6"/>
      <c r="BA45" s="6"/>
      <c r="BB45" s="6"/>
      <c r="BD45" s="6"/>
      <c r="BE45" s="6"/>
      <c r="BG45" s="6"/>
      <c r="BH45" s="6"/>
      <c r="BJ45" s="6"/>
      <c r="BK45" s="6"/>
      <c r="BM45" s="6"/>
      <c r="BN45" s="6"/>
      <c r="BP45" s="6"/>
      <c r="BQ45" s="6"/>
      <c r="BS45" s="6"/>
      <c r="BT45" s="6"/>
      <c r="BV45" s="6"/>
      <c r="BW45" s="6"/>
      <c r="BY45" s="6"/>
      <c r="BZ45" s="6"/>
      <c r="CB45" s="6"/>
      <c r="CC45" s="6"/>
      <c r="CE45" s="6"/>
      <c r="CF45" s="6"/>
      <c r="CH45" s="6"/>
      <c r="CI45" s="6"/>
      <c r="CK45" s="6"/>
      <c r="CL45" s="6"/>
      <c r="CN45" s="6"/>
      <c r="CO45" s="6"/>
      <c r="CQ45" s="6"/>
      <c r="CR45" s="6"/>
      <c r="CT45" s="6"/>
      <c r="CU45" s="6"/>
      <c r="CW45" s="6"/>
      <c r="CX45" s="6"/>
      <c r="CZ45" s="6"/>
      <c r="DA45" s="6"/>
      <c r="DC45" s="6"/>
      <c r="DD45" s="6"/>
      <c r="DF45" s="6"/>
      <c r="DG45" s="6"/>
      <c r="DI45" s="6"/>
      <c r="DJ45" s="6"/>
      <c r="DL45" s="6"/>
      <c r="DM45" s="6"/>
      <c r="DO45" s="6"/>
      <c r="DP45" s="6"/>
      <c r="DR45" s="6"/>
      <c r="DS45" s="6"/>
      <c r="DU45" s="6"/>
      <c r="DV45" s="6"/>
      <c r="DX45" s="6"/>
      <c r="DY45" s="6"/>
      <c r="EA45" s="6"/>
      <c r="EB45" s="6"/>
      <c r="ED45" s="6"/>
      <c r="EE45" s="6"/>
      <c r="EG45" s="6"/>
      <c r="EH45" s="6"/>
      <c r="EJ45" s="6"/>
      <c r="EK45" s="6"/>
      <c r="EM45" s="6"/>
      <c r="EN45" s="6"/>
      <c r="EP45" s="6"/>
      <c r="EQ45" s="6"/>
      <c r="ES45" s="6"/>
      <c r="ET45" s="6"/>
      <c r="EV45" s="6"/>
      <c r="EW45" s="6"/>
      <c r="EY45" s="6"/>
      <c r="EZ45" s="6"/>
      <c r="FB45" s="6"/>
      <c r="FC45" s="6"/>
      <c r="FE45" s="6"/>
      <c r="FF45" s="6"/>
      <c r="FH45" s="6"/>
      <c r="FI45" s="6"/>
      <c r="FK45" s="6"/>
      <c r="FL45" s="6"/>
      <c r="FN45" s="6"/>
      <c r="FO45" s="6"/>
      <c r="FQ45" s="6"/>
      <c r="FR45" s="6"/>
      <c r="FT45" s="6"/>
      <c r="FU45" s="6"/>
      <c r="FW45" s="6"/>
      <c r="FX45" s="6"/>
      <c r="FZ45" s="6"/>
      <c r="GA45" s="6"/>
      <c r="GC45" s="6"/>
      <c r="GD45" s="6"/>
      <c r="GF45" s="6"/>
      <c r="GG45" s="6"/>
      <c r="GI45" s="6"/>
      <c r="GJ45" s="6"/>
      <c r="GL45" s="6"/>
      <c r="GM45" s="6"/>
      <c r="GO45" s="6"/>
      <c r="GP45" s="6"/>
      <c r="GR45" s="6"/>
      <c r="GS45" s="6"/>
      <c r="GU45" s="6"/>
      <c r="GV45" s="6"/>
      <c r="GX45" s="6"/>
      <c r="GY45" s="6"/>
      <c r="HA45" s="6"/>
      <c r="HB45" s="6"/>
      <c r="HD45" s="6"/>
      <c r="HE45" s="6"/>
      <c r="HG45" s="6"/>
      <c r="HH45" s="6"/>
      <c r="HJ45" s="6"/>
      <c r="HK45" s="6"/>
      <c r="HM45" s="6"/>
      <c r="HN45" s="6"/>
      <c r="HP45" s="6"/>
      <c r="HQ45" s="6"/>
      <c r="HS45" s="6"/>
      <c r="HT45" s="6"/>
      <c r="HV45" s="6"/>
      <c r="HW45" s="6"/>
      <c r="HY45" s="6"/>
      <c r="HZ45" s="6"/>
      <c r="IB45" s="6"/>
      <c r="IC45" s="6"/>
      <c r="IE45" s="6"/>
      <c r="IF45" s="6"/>
    </row>
    <row r="46" spans="1:240" x14ac:dyDescent="0.3">
      <c r="A46" s="6"/>
      <c r="B46" s="173" t="s">
        <v>407</v>
      </c>
      <c r="C46" s="173" t="s">
        <v>159</v>
      </c>
      <c r="D46" s="341"/>
      <c r="E46" s="6"/>
      <c r="G46" s="5"/>
      <c r="J46" s="6"/>
      <c r="K46" s="6"/>
      <c r="M46" s="6"/>
      <c r="N46" s="6"/>
      <c r="P46" s="6"/>
      <c r="Q46" s="6"/>
      <c r="S46" s="6"/>
      <c r="T46" s="6"/>
      <c r="V46" s="6"/>
      <c r="W46" s="6"/>
      <c r="Y46" s="6"/>
      <c r="Z46" s="6"/>
      <c r="AB46" s="6"/>
      <c r="AC46" s="6"/>
      <c r="AE46" s="6"/>
      <c r="AF46" s="6"/>
      <c r="AG46" s="6"/>
      <c r="AI46" s="6"/>
      <c r="AJ46" s="6"/>
      <c r="AL46" s="6"/>
      <c r="AM46" s="6"/>
      <c r="AO46" s="6"/>
      <c r="AP46" s="6"/>
      <c r="AR46" s="6"/>
      <c r="AS46" s="6"/>
      <c r="AU46" s="6"/>
      <c r="AV46" s="6"/>
      <c r="AX46" s="6"/>
      <c r="AY46" s="6"/>
      <c r="BA46" s="6"/>
      <c r="BB46" s="6"/>
      <c r="BD46" s="6"/>
      <c r="BE46" s="6"/>
      <c r="BG46" s="6"/>
      <c r="BH46" s="6"/>
      <c r="BJ46" s="6"/>
      <c r="BK46" s="6"/>
      <c r="BM46" s="6"/>
      <c r="BN46" s="6"/>
      <c r="BP46" s="6"/>
      <c r="BQ46" s="6"/>
      <c r="BS46" s="6"/>
      <c r="BT46" s="6"/>
      <c r="BV46" s="6"/>
      <c r="BW46" s="6"/>
      <c r="BY46" s="6"/>
      <c r="BZ46" s="6"/>
      <c r="CB46" s="6"/>
      <c r="CC46" s="6"/>
      <c r="CE46" s="6"/>
      <c r="CF46" s="6"/>
      <c r="CH46" s="6"/>
      <c r="CI46" s="6"/>
      <c r="CK46" s="6"/>
      <c r="CL46" s="6"/>
      <c r="CN46" s="6"/>
      <c r="CO46" s="6"/>
      <c r="CQ46" s="6"/>
      <c r="CR46" s="6"/>
      <c r="CT46" s="6"/>
      <c r="CU46" s="6"/>
      <c r="CW46" s="6"/>
      <c r="CX46" s="6"/>
      <c r="CZ46" s="6"/>
      <c r="DA46" s="6"/>
      <c r="DC46" s="6"/>
      <c r="DD46" s="6"/>
      <c r="DF46" s="6"/>
      <c r="DG46" s="6"/>
      <c r="DI46" s="6"/>
      <c r="DJ46" s="6"/>
      <c r="DL46" s="6"/>
      <c r="DM46" s="6"/>
      <c r="DO46" s="6"/>
      <c r="DP46" s="6"/>
      <c r="DR46" s="6"/>
      <c r="DS46" s="6"/>
      <c r="DU46" s="6"/>
      <c r="DV46" s="6"/>
      <c r="DX46" s="6"/>
      <c r="DY46" s="6"/>
      <c r="EA46" s="6"/>
      <c r="EB46" s="6"/>
      <c r="ED46" s="6"/>
      <c r="EE46" s="6"/>
      <c r="EG46" s="6"/>
      <c r="EH46" s="6"/>
      <c r="EJ46" s="6"/>
      <c r="EK46" s="6"/>
      <c r="EM46" s="6"/>
      <c r="EN46" s="6"/>
      <c r="EP46" s="6"/>
      <c r="EQ46" s="6"/>
      <c r="ES46" s="6"/>
      <c r="ET46" s="6"/>
      <c r="EV46" s="6"/>
      <c r="EW46" s="6"/>
      <c r="EY46" s="6"/>
      <c r="EZ46" s="6"/>
      <c r="FB46" s="6"/>
      <c r="FC46" s="6"/>
      <c r="FE46" s="6"/>
      <c r="FF46" s="6"/>
      <c r="FH46" s="6"/>
      <c r="FI46" s="6"/>
      <c r="FK46" s="6"/>
      <c r="FL46" s="6"/>
      <c r="FN46" s="6"/>
      <c r="FO46" s="6"/>
      <c r="FQ46" s="6"/>
      <c r="FR46" s="6"/>
      <c r="FT46" s="6"/>
      <c r="FU46" s="6"/>
      <c r="FW46" s="6"/>
      <c r="FX46" s="6"/>
      <c r="FZ46" s="6"/>
      <c r="GA46" s="6"/>
      <c r="GC46" s="6"/>
      <c r="GD46" s="6"/>
      <c r="GF46" s="6"/>
      <c r="GG46" s="6"/>
      <c r="GI46" s="6"/>
      <c r="GJ46" s="6"/>
      <c r="GL46" s="6"/>
      <c r="GM46" s="6"/>
      <c r="GO46" s="6"/>
      <c r="GP46" s="6"/>
      <c r="GR46" s="6"/>
      <c r="GS46" s="6"/>
      <c r="GU46" s="6"/>
      <c r="GV46" s="6"/>
      <c r="GX46" s="6"/>
      <c r="GY46" s="6"/>
      <c r="HA46" s="6"/>
      <c r="HB46" s="6"/>
      <c r="HD46" s="6"/>
      <c r="HE46" s="6"/>
      <c r="HG46" s="6"/>
      <c r="HH46" s="6"/>
      <c r="HJ46" s="6"/>
      <c r="HK46" s="6"/>
      <c r="HM46" s="6"/>
      <c r="HN46" s="6"/>
      <c r="HP46" s="6"/>
      <c r="HQ46" s="6"/>
      <c r="HS46" s="6"/>
      <c r="HT46" s="6"/>
      <c r="HV46" s="6"/>
      <c r="HW46" s="6"/>
      <c r="HY46" s="6"/>
      <c r="HZ46" s="6"/>
      <c r="IB46" s="6"/>
      <c r="IC46" s="6"/>
      <c r="IE46" s="6"/>
      <c r="IF46" s="6"/>
    </row>
    <row r="47" spans="1:240" x14ac:dyDescent="0.3">
      <c r="A47" s="6"/>
      <c r="B47" s="173" t="s">
        <v>873</v>
      </c>
      <c r="C47" s="173" t="s">
        <v>404</v>
      </c>
      <c r="D47" s="341" t="s">
        <v>418</v>
      </c>
      <c r="E47" s="6"/>
      <c r="G47" s="5"/>
      <c r="J47" s="6"/>
      <c r="K47" s="6"/>
      <c r="M47" s="6"/>
      <c r="N47" s="6"/>
      <c r="P47" s="6"/>
      <c r="Q47" s="6"/>
      <c r="S47" s="6"/>
      <c r="T47" s="6"/>
      <c r="V47" s="6"/>
      <c r="W47" s="6"/>
      <c r="Y47" s="6"/>
      <c r="Z47" s="6"/>
      <c r="AB47" s="6"/>
      <c r="AC47" s="6"/>
      <c r="AE47" s="6"/>
      <c r="AF47" s="6"/>
      <c r="AG47" s="6"/>
      <c r="AI47" s="6"/>
      <c r="AJ47" s="6"/>
      <c r="AL47" s="6"/>
      <c r="AM47" s="6"/>
      <c r="AO47" s="6"/>
      <c r="AP47" s="6"/>
      <c r="AR47" s="6"/>
      <c r="AS47" s="6"/>
      <c r="AU47" s="6"/>
      <c r="AV47" s="6"/>
      <c r="AX47" s="6"/>
      <c r="AY47" s="6"/>
      <c r="BA47" s="6"/>
      <c r="BB47" s="6"/>
      <c r="BD47" s="6"/>
      <c r="BE47" s="6"/>
      <c r="BG47" s="6"/>
      <c r="BH47" s="6"/>
      <c r="BJ47" s="6"/>
      <c r="BK47" s="6"/>
      <c r="BM47" s="6"/>
      <c r="BN47" s="6"/>
      <c r="BP47" s="6"/>
      <c r="BQ47" s="6"/>
      <c r="BS47" s="6"/>
      <c r="BT47" s="6"/>
      <c r="BV47" s="6"/>
      <c r="BW47" s="6"/>
      <c r="BY47" s="6"/>
      <c r="BZ47" s="6"/>
      <c r="CB47" s="6"/>
      <c r="CC47" s="6"/>
      <c r="CE47" s="6"/>
      <c r="CF47" s="6"/>
      <c r="CH47" s="6"/>
      <c r="CI47" s="6"/>
      <c r="CK47" s="6"/>
      <c r="CL47" s="6"/>
      <c r="CN47" s="6"/>
      <c r="CO47" s="6"/>
      <c r="CQ47" s="6"/>
      <c r="CR47" s="6"/>
      <c r="CT47" s="6"/>
      <c r="CU47" s="6"/>
      <c r="CW47" s="6"/>
      <c r="CX47" s="6"/>
      <c r="CZ47" s="6"/>
      <c r="DA47" s="6"/>
      <c r="DC47" s="6"/>
      <c r="DD47" s="6"/>
      <c r="DF47" s="6"/>
      <c r="DG47" s="6"/>
      <c r="DI47" s="6"/>
      <c r="DJ47" s="6"/>
      <c r="DL47" s="6"/>
      <c r="DM47" s="6"/>
      <c r="DO47" s="6"/>
      <c r="DP47" s="6"/>
      <c r="DR47" s="6"/>
      <c r="DS47" s="6"/>
      <c r="DU47" s="6"/>
      <c r="DV47" s="6"/>
      <c r="DX47" s="6"/>
      <c r="DY47" s="6"/>
      <c r="EA47" s="6"/>
      <c r="EB47" s="6"/>
      <c r="ED47" s="6"/>
      <c r="EE47" s="6"/>
      <c r="EG47" s="6"/>
      <c r="EH47" s="6"/>
      <c r="EJ47" s="6"/>
      <c r="EK47" s="6"/>
      <c r="EM47" s="6"/>
      <c r="EN47" s="6"/>
      <c r="EP47" s="6"/>
      <c r="EQ47" s="6"/>
      <c r="ES47" s="6"/>
      <c r="ET47" s="6"/>
      <c r="EV47" s="6"/>
      <c r="EW47" s="6"/>
      <c r="EY47" s="6"/>
      <c r="EZ47" s="6"/>
      <c r="FB47" s="6"/>
      <c r="FC47" s="6"/>
      <c r="FE47" s="6"/>
      <c r="FF47" s="6"/>
      <c r="FH47" s="6"/>
      <c r="FI47" s="6"/>
      <c r="FK47" s="6"/>
      <c r="FL47" s="6"/>
      <c r="FN47" s="6"/>
      <c r="FO47" s="6"/>
      <c r="FQ47" s="6"/>
      <c r="FR47" s="6"/>
      <c r="FT47" s="6"/>
      <c r="FU47" s="6"/>
      <c r="FW47" s="6"/>
      <c r="FX47" s="6"/>
      <c r="FZ47" s="6"/>
      <c r="GA47" s="6"/>
      <c r="GC47" s="6"/>
      <c r="GD47" s="6"/>
      <c r="GF47" s="6"/>
      <c r="GG47" s="6"/>
      <c r="GI47" s="6"/>
      <c r="GJ47" s="6"/>
      <c r="GL47" s="6"/>
      <c r="GM47" s="6"/>
      <c r="GO47" s="6"/>
      <c r="GP47" s="6"/>
      <c r="GR47" s="6"/>
      <c r="GS47" s="6"/>
      <c r="GU47" s="6"/>
      <c r="GV47" s="6"/>
      <c r="GX47" s="6"/>
      <c r="GY47" s="6"/>
      <c r="HA47" s="6"/>
      <c r="HB47" s="6"/>
      <c r="HD47" s="6"/>
      <c r="HE47" s="6"/>
      <c r="HG47" s="6"/>
      <c r="HH47" s="6"/>
      <c r="HJ47" s="6"/>
      <c r="HK47" s="6"/>
      <c r="HM47" s="6"/>
      <c r="HN47" s="6"/>
      <c r="HP47" s="6"/>
      <c r="HQ47" s="6"/>
      <c r="HS47" s="6"/>
      <c r="HT47" s="6"/>
      <c r="HV47" s="6"/>
      <c r="HW47" s="6"/>
      <c r="HY47" s="6"/>
      <c r="HZ47" s="6"/>
      <c r="IB47" s="6"/>
      <c r="IC47" s="6"/>
      <c r="IE47" s="6"/>
      <c r="IF47" s="6"/>
    </row>
    <row r="48" spans="1:240" x14ac:dyDescent="0.3">
      <c r="A48" s="6"/>
      <c r="B48" s="285" t="s">
        <v>423</v>
      </c>
      <c r="C48" s="173" t="s">
        <v>1271</v>
      </c>
      <c r="D48" s="82" t="s">
        <v>418</v>
      </c>
      <c r="E48" s="6"/>
      <c r="G48" s="5"/>
      <c r="J48" s="6"/>
      <c r="K48" s="6"/>
      <c r="M48" s="6"/>
      <c r="N48" s="6"/>
      <c r="P48" s="6"/>
      <c r="Q48" s="6"/>
      <c r="S48" s="6"/>
      <c r="T48" s="6"/>
      <c r="V48" s="6"/>
      <c r="W48" s="6"/>
      <c r="Y48" s="6"/>
      <c r="Z48" s="6"/>
      <c r="AB48" s="6"/>
      <c r="AC48" s="6"/>
      <c r="AE48" s="6"/>
      <c r="AF48" s="6"/>
      <c r="AG48" s="6"/>
      <c r="AI48" s="6"/>
      <c r="AJ48" s="6"/>
      <c r="AL48" s="6"/>
      <c r="AM48" s="6"/>
      <c r="AO48" s="6"/>
      <c r="AP48" s="6"/>
      <c r="AR48" s="6"/>
      <c r="AS48" s="6"/>
      <c r="AU48" s="6"/>
      <c r="AV48" s="6"/>
      <c r="AX48" s="6"/>
      <c r="AY48" s="6"/>
      <c r="BA48" s="6"/>
      <c r="BB48" s="6"/>
      <c r="BD48" s="6"/>
      <c r="BE48" s="6"/>
      <c r="BG48" s="6"/>
      <c r="BH48" s="6"/>
      <c r="BJ48" s="6"/>
      <c r="BK48" s="6"/>
      <c r="BM48" s="6"/>
      <c r="BN48" s="6"/>
      <c r="BP48" s="6"/>
      <c r="BQ48" s="6"/>
      <c r="BS48" s="6"/>
      <c r="BT48" s="6"/>
      <c r="BV48" s="6"/>
      <c r="BW48" s="6"/>
      <c r="BY48" s="6"/>
      <c r="BZ48" s="6"/>
      <c r="CB48" s="6"/>
      <c r="CC48" s="6"/>
      <c r="CE48" s="6"/>
      <c r="CF48" s="6"/>
      <c r="CH48" s="6"/>
      <c r="CI48" s="6"/>
      <c r="CK48" s="6"/>
      <c r="CL48" s="6"/>
      <c r="CN48" s="6"/>
      <c r="CO48" s="6"/>
      <c r="CQ48" s="6"/>
      <c r="CR48" s="6"/>
      <c r="CT48" s="6"/>
      <c r="CU48" s="6"/>
      <c r="CW48" s="6"/>
      <c r="CX48" s="6"/>
      <c r="CZ48" s="6"/>
      <c r="DA48" s="6"/>
      <c r="DC48" s="6"/>
      <c r="DD48" s="6"/>
      <c r="DF48" s="6"/>
      <c r="DG48" s="6"/>
      <c r="DI48" s="6"/>
      <c r="DJ48" s="6"/>
      <c r="DL48" s="6"/>
      <c r="DM48" s="6"/>
      <c r="DO48" s="6"/>
      <c r="DP48" s="6"/>
      <c r="DR48" s="6"/>
      <c r="DS48" s="6"/>
      <c r="DU48" s="6"/>
      <c r="DV48" s="6"/>
      <c r="DX48" s="6"/>
      <c r="DY48" s="6"/>
      <c r="EA48" s="6"/>
      <c r="EB48" s="6"/>
      <c r="ED48" s="6"/>
      <c r="EE48" s="6"/>
      <c r="EG48" s="6"/>
      <c r="EH48" s="6"/>
      <c r="EJ48" s="6"/>
      <c r="EK48" s="6"/>
      <c r="EM48" s="6"/>
      <c r="EN48" s="6"/>
      <c r="EP48" s="6"/>
      <c r="EQ48" s="6"/>
      <c r="ES48" s="6"/>
      <c r="ET48" s="6"/>
      <c r="EV48" s="6"/>
      <c r="EW48" s="6"/>
      <c r="EY48" s="6"/>
      <c r="EZ48" s="6"/>
      <c r="FB48" s="6"/>
      <c r="FC48" s="6"/>
      <c r="FE48" s="6"/>
      <c r="FF48" s="6"/>
      <c r="FH48" s="6"/>
      <c r="FI48" s="6"/>
      <c r="FK48" s="6"/>
      <c r="FL48" s="6"/>
      <c r="FN48" s="6"/>
      <c r="FO48" s="6"/>
      <c r="FQ48" s="6"/>
      <c r="FR48" s="6"/>
      <c r="FT48" s="6"/>
      <c r="FU48" s="6"/>
      <c r="FW48" s="6"/>
      <c r="FX48" s="6"/>
      <c r="FZ48" s="6"/>
      <c r="GA48" s="6"/>
      <c r="GC48" s="6"/>
      <c r="GD48" s="6"/>
      <c r="GF48" s="6"/>
      <c r="GG48" s="6"/>
      <c r="GI48" s="6"/>
      <c r="GJ48" s="6"/>
      <c r="GL48" s="6"/>
      <c r="GM48" s="6"/>
      <c r="GO48" s="6"/>
      <c r="GP48" s="6"/>
      <c r="GR48" s="6"/>
      <c r="GS48" s="6"/>
      <c r="GU48" s="6"/>
      <c r="GV48" s="6"/>
      <c r="GX48" s="6"/>
      <c r="GY48" s="6"/>
      <c r="HA48" s="6"/>
      <c r="HB48" s="6"/>
      <c r="HD48" s="6"/>
      <c r="HE48" s="6"/>
      <c r="HG48" s="6"/>
      <c r="HH48" s="6"/>
      <c r="HJ48" s="6"/>
      <c r="HK48" s="6"/>
      <c r="HM48" s="6"/>
      <c r="HN48" s="6"/>
      <c r="HP48" s="6"/>
      <c r="HQ48" s="6"/>
      <c r="HS48" s="6"/>
      <c r="HT48" s="6"/>
      <c r="HV48" s="6"/>
      <c r="HW48" s="6"/>
      <c r="HY48" s="6"/>
      <c r="HZ48" s="6"/>
      <c r="IB48" s="6"/>
      <c r="IC48" s="6"/>
      <c r="IE48" s="6"/>
      <c r="IF48" s="6"/>
    </row>
    <row r="49" spans="1:240" x14ac:dyDescent="0.3">
      <c r="A49" s="6"/>
      <c r="B49" s="285" t="s">
        <v>14</v>
      </c>
      <c r="C49" s="173" t="s">
        <v>405</v>
      </c>
      <c r="D49" s="35"/>
      <c r="E49" s="6"/>
      <c r="G49" s="5"/>
      <c r="J49" s="6"/>
      <c r="K49" s="6"/>
      <c r="M49" s="6"/>
      <c r="N49" s="6"/>
      <c r="P49" s="6"/>
      <c r="Q49" s="6"/>
      <c r="S49" s="6"/>
      <c r="T49" s="6"/>
      <c r="V49" s="6"/>
      <c r="W49" s="6"/>
      <c r="Y49" s="6"/>
      <c r="Z49" s="6"/>
      <c r="AB49" s="6"/>
      <c r="AC49" s="6"/>
      <c r="AE49" s="6"/>
      <c r="AF49" s="6"/>
      <c r="AG49" s="6"/>
      <c r="AI49" s="6"/>
      <c r="AJ49" s="6"/>
      <c r="AL49" s="6"/>
      <c r="AM49" s="6"/>
      <c r="AO49" s="6"/>
      <c r="AP49" s="6"/>
      <c r="AR49" s="6"/>
      <c r="AS49" s="6"/>
      <c r="AU49" s="6"/>
      <c r="AV49" s="6"/>
      <c r="AX49" s="6"/>
      <c r="AY49" s="6"/>
      <c r="BA49" s="6"/>
      <c r="BB49" s="6"/>
      <c r="BD49" s="6"/>
      <c r="BE49" s="6"/>
      <c r="BG49" s="6"/>
      <c r="BH49" s="6"/>
      <c r="BJ49" s="6"/>
      <c r="BK49" s="6"/>
      <c r="BM49" s="6"/>
      <c r="BN49" s="6"/>
      <c r="BP49" s="6"/>
      <c r="BQ49" s="6"/>
      <c r="BS49" s="6"/>
      <c r="BT49" s="6"/>
      <c r="BV49" s="6"/>
      <c r="BW49" s="6"/>
      <c r="BY49" s="6"/>
      <c r="BZ49" s="6"/>
      <c r="CB49" s="6"/>
      <c r="CC49" s="6"/>
      <c r="CE49" s="6"/>
      <c r="CF49" s="6"/>
      <c r="CH49" s="6"/>
      <c r="CI49" s="6"/>
      <c r="CK49" s="6"/>
      <c r="CL49" s="6"/>
      <c r="CN49" s="6"/>
      <c r="CO49" s="6"/>
      <c r="CQ49" s="6"/>
      <c r="CR49" s="6"/>
      <c r="CT49" s="6"/>
      <c r="CU49" s="6"/>
      <c r="CW49" s="6"/>
      <c r="CX49" s="6"/>
      <c r="CZ49" s="6"/>
      <c r="DA49" s="6"/>
      <c r="DC49" s="6"/>
      <c r="DD49" s="6"/>
      <c r="DF49" s="6"/>
      <c r="DG49" s="6"/>
      <c r="DI49" s="6"/>
      <c r="DJ49" s="6"/>
      <c r="DL49" s="6"/>
      <c r="DM49" s="6"/>
      <c r="DO49" s="6"/>
      <c r="DP49" s="6"/>
      <c r="DR49" s="6"/>
      <c r="DS49" s="6"/>
      <c r="DU49" s="6"/>
      <c r="DV49" s="6"/>
      <c r="DX49" s="6"/>
      <c r="DY49" s="6"/>
      <c r="EA49" s="6"/>
      <c r="EB49" s="6"/>
      <c r="ED49" s="6"/>
      <c r="EE49" s="6"/>
      <c r="EG49" s="6"/>
      <c r="EH49" s="6"/>
      <c r="EJ49" s="6"/>
      <c r="EK49" s="6"/>
      <c r="EM49" s="6"/>
      <c r="EN49" s="6"/>
      <c r="EP49" s="6"/>
      <c r="EQ49" s="6"/>
      <c r="ES49" s="6"/>
      <c r="ET49" s="6"/>
      <c r="EV49" s="6"/>
      <c r="EW49" s="6"/>
      <c r="EY49" s="6"/>
      <c r="EZ49" s="6"/>
      <c r="FB49" s="6"/>
      <c r="FC49" s="6"/>
      <c r="FE49" s="6"/>
      <c r="FF49" s="6"/>
      <c r="FH49" s="6"/>
      <c r="FI49" s="6"/>
      <c r="FK49" s="6"/>
      <c r="FL49" s="6"/>
      <c r="FN49" s="6"/>
      <c r="FO49" s="6"/>
      <c r="FQ49" s="6"/>
      <c r="FR49" s="6"/>
      <c r="FT49" s="6"/>
      <c r="FU49" s="6"/>
      <c r="FW49" s="6"/>
      <c r="FX49" s="6"/>
      <c r="FZ49" s="6"/>
      <c r="GA49" s="6"/>
      <c r="GC49" s="6"/>
      <c r="GD49" s="6"/>
      <c r="GF49" s="6"/>
      <c r="GG49" s="6"/>
      <c r="GI49" s="6"/>
      <c r="GJ49" s="6"/>
      <c r="GL49" s="6"/>
      <c r="GM49" s="6"/>
      <c r="GO49" s="6"/>
      <c r="GP49" s="6"/>
      <c r="GR49" s="6"/>
      <c r="GS49" s="6"/>
      <c r="GU49" s="6"/>
      <c r="GV49" s="6"/>
      <c r="GX49" s="6"/>
      <c r="GY49" s="6"/>
      <c r="HA49" s="6"/>
      <c r="HB49" s="6"/>
      <c r="HD49" s="6"/>
      <c r="HE49" s="6"/>
      <c r="HG49" s="6"/>
      <c r="HH49" s="6"/>
      <c r="HJ49" s="6"/>
      <c r="HK49" s="6"/>
      <c r="HM49" s="6"/>
      <c r="HN49" s="6"/>
      <c r="HP49" s="6"/>
      <c r="HQ49" s="6"/>
      <c r="HS49" s="6"/>
      <c r="HT49" s="6"/>
      <c r="HV49" s="6"/>
      <c r="HW49" s="6"/>
      <c r="HY49" s="6"/>
      <c r="HZ49" s="6"/>
      <c r="IB49" s="6"/>
      <c r="IC49" s="6"/>
      <c r="IE49" s="6"/>
      <c r="IF49" s="6"/>
    </row>
    <row r="50" spans="1:240" x14ac:dyDescent="0.3">
      <c r="A50" s="6"/>
      <c r="B50" s="472" t="s">
        <v>894</v>
      </c>
      <c r="C50" s="11" t="s">
        <v>406</v>
      </c>
      <c r="D50" s="341" t="s">
        <v>874</v>
      </c>
      <c r="E50" s="6"/>
      <c r="G50" s="5"/>
      <c r="J50" s="6"/>
      <c r="K50" s="6"/>
      <c r="M50" s="6"/>
      <c r="N50" s="6"/>
      <c r="P50" s="6"/>
      <c r="Q50" s="6"/>
      <c r="S50" s="6"/>
      <c r="T50" s="6"/>
      <c r="V50" s="6"/>
      <c r="W50" s="6"/>
      <c r="Y50" s="6"/>
      <c r="Z50" s="6"/>
      <c r="AB50" s="6"/>
      <c r="AC50" s="6"/>
      <c r="AE50" s="6"/>
      <c r="AF50" s="6"/>
      <c r="AG50" s="6"/>
      <c r="AI50" s="6"/>
      <c r="AJ50" s="6"/>
      <c r="AL50" s="6"/>
      <c r="AM50" s="6"/>
      <c r="AO50" s="6"/>
      <c r="AP50" s="6"/>
      <c r="AR50" s="6"/>
      <c r="AS50" s="6"/>
      <c r="AU50" s="6"/>
      <c r="AV50" s="6"/>
      <c r="AX50" s="6"/>
      <c r="AY50" s="6"/>
      <c r="BA50" s="6"/>
      <c r="BB50" s="6"/>
      <c r="BD50" s="6"/>
      <c r="BE50" s="6"/>
      <c r="BG50" s="6"/>
      <c r="BH50" s="6"/>
      <c r="BJ50" s="6"/>
      <c r="BK50" s="6"/>
      <c r="BM50" s="6"/>
      <c r="BN50" s="6"/>
      <c r="BP50" s="6"/>
      <c r="BQ50" s="6"/>
      <c r="BS50" s="6"/>
      <c r="BT50" s="6"/>
      <c r="BV50" s="6"/>
      <c r="BW50" s="6"/>
      <c r="BY50" s="6"/>
      <c r="BZ50" s="6"/>
      <c r="CB50" s="6"/>
      <c r="CC50" s="6"/>
      <c r="CE50" s="6"/>
      <c r="CF50" s="6"/>
      <c r="CH50" s="6"/>
      <c r="CI50" s="6"/>
      <c r="CK50" s="6"/>
      <c r="CL50" s="6"/>
      <c r="CN50" s="6"/>
      <c r="CO50" s="6"/>
      <c r="CQ50" s="6"/>
      <c r="CR50" s="6"/>
      <c r="CT50" s="6"/>
      <c r="CU50" s="6"/>
      <c r="CW50" s="6"/>
      <c r="CX50" s="6"/>
      <c r="CZ50" s="6"/>
      <c r="DA50" s="6"/>
      <c r="DC50" s="6"/>
      <c r="DD50" s="6"/>
      <c r="DF50" s="6"/>
      <c r="DG50" s="6"/>
      <c r="DI50" s="6"/>
      <c r="DJ50" s="6"/>
      <c r="DL50" s="6"/>
      <c r="DM50" s="6"/>
      <c r="DO50" s="6"/>
      <c r="DP50" s="6"/>
      <c r="DR50" s="6"/>
      <c r="DS50" s="6"/>
      <c r="DU50" s="6"/>
      <c r="DV50" s="6"/>
      <c r="DX50" s="6"/>
      <c r="DY50" s="6"/>
      <c r="EA50" s="6"/>
      <c r="EB50" s="6"/>
      <c r="ED50" s="6"/>
      <c r="EE50" s="6"/>
      <c r="EG50" s="6"/>
      <c r="EH50" s="6"/>
      <c r="EJ50" s="6"/>
      <c r="EK50" s="6"/>
      <c r="EM50" s="6"/>
      <c r="EN50" s="6"/>
      <c r="EP50" s="6"/>
      <c r="EQ50" s="6"/>
      <c r="ES50" s="6"/>
      <c r="ET50" s="6"/>
      <c r="EV50" s="6"/>
      <c r="EW50" s="6"/>
      <c r="EY50" s="6"/>
      <c r="EZ50" s="6"/>
      <c r="FB50" s="6"/>
      <c r="FC50" s="6"/>
      <c r="FE50" s="6"/>
      <c r="FF50" s="6"/>
      <c r="FH50" s="6"/>
      <c r="FI50" s="6"/>
      <c r="FK50" s="6"/>
      <c r="FL50" s="6"/>
      <c r="FN50" s="6"/>
      <c r="FO50" s="6"/>
      <c r="FQ50" s="6"/>
      <c r="FR50" s="6"/>
      <c r="FT50" s="6"/>
      <c r="FU50" s="6"/>
      <c r="FW50" s="6"/>
      <c r="FX50" s="6"/>
      <c r="FZ50" s="6"/>
      <c r="GA50" s="6"/>
      <c r="GC50" s="6"/>
      <c r="GD50" s="6"/>
      <c r="GF50" s="6"/>
      <c r="GG50" s="6"/>
      <c r="GI50" s="6"/>
      <c r="GJ50" s="6"/>
      <c r="GL50" s="6"/>
      <c r="GM50" s="6"/>
      <c r="GO50" s="6"/>
      <c r="GP50" s="6"/>
      <c r="GR50" s="6"/>
      <c r="GS50" s="6"/>
      <c r="GU50" s="6"/>
      <c r="GV50" s="6"/>
      <c r="GX50" s="6"/>
      <c r="GY50" s="6"/>
      <c r="HA50" s="6"/>
      <c r="HB50" s="6"/>
      <c r="HD50" s="6"/>
      <c r="HE50" s="6"/>
      <c r="HG50" s="6"/>
      <c r="HH50" s="6"/>
      <c r="HJ50" s="6"/>
      <c r="HK50" s="6"/>
      <c r="HM50" s="6"/>
      <c r="HN50" s="6"/>
      <c r="HP50" s="6"/>
      <c r="HQ50" s="6"/>
      <c r="HS50" s="6"/>
      <c r="HT50" s="6"/>
      <c r="HV50" s="6"/>
      <c r="HW50" s="6"/>
      <c r="HY50" s="6"/>
      <c r="HZ50" s="6"/>
      <c r="IB50" s="6"/>
      <c r="IC50" s="6"/>
      <c r="IE50" s="6"/>
      <c r="IF50" s="6"/>
    </row>
    <row r="51" spans="1:240" x14ac:dyDescent="0.3">
      <c r="A51" s="6"/>
      <c r="B51" s="472" t="s">
        <v>992</v>
      </c>
      <c r="C51" s="173" t="s">
        <v>1273</v>
      </c>
      <c r="D51" s="341" t="s">
        <v>422</v>
      </c>
      <c r="E51" s="6"/>
      <c r="G51" s="5"/>
      <c r="J51" s="6"/>
      <c r="K51" s="6"/>
      <c r="M51" s="6"/>
      <c r="N51" s="6"/>
      <c r="P51" s="6"/>
      <c r="Q51" s="6"/>
      <c r="S51" s="6"/>
      <c r="T51" s="6"/>
      <c r="V51" s="6"/>
      <c r="W51" s="6"/>
      <c r="Y51" s="6"/>
      <c r="Z51" s="6"/>
      <c r="AB51" s="6"/>
      <c r="AC51" s="6"/>
      <c r="AE51" s="6"/>
      <c r="AF51" s="6"/>
      <c r="AG51" s="6"/>
      <c r="AI51" s="6"/>
      <c r="AJ51" s="6"/>
      <c r="AL51" s="6"/>
      <c r="AM51" s="6"/>
      <c r="AO51" s="6"/>
      <c r="AP51" s="6"/>
      <c r="AR51" s="6"/>
      <c r="AS51" s="6"/>
      <c r="AU51" s="6"/>
      <c r="AV51" s="6"/>
      <c r="AX51" s="6"/>
      <c r="AY51" s="6"/>
      <c r="BA51" s="6"/>
      <c r="BB51" s="6"/>
      <c r="BD51" s="6"/>
      <c r="BE51" s="6"/>
      <c r="BG51" s="6"/>
      <c r="BH51" s="6"/>
      <c r="BJ51" s="6"/>
      <c r="BK51" s="6"/>
      <c r="BM51" s="6"/>
      <c r="BN51" s="6"/>
      <c r="BP51" s="6"/>
      <c r="BQ51" s="6"/>
      <c r="BS51" s="6"/>
      <c r="BT51" s="6"/>
      <c r="BV51" s="6"/>
      <c r="BW51" s="6"/>
      <c r="BY51" s="6"/>
      <c r="BZ51" s="6"/>
      <c r="CB51" s="6"/>
      <c r="CC51" s="6"/>
      <c r="CE51" s="6"/>
      <c r="CF51" s="6"/>
      <c r="CH51" s="6"/>
      <c r="CI51" s="6"/>
      <c r="CK51" s="6"/>
      <c r="CL51" s="6"/>
      <c r="CN51" s="6"/>
      <c r="CO51" s="6"/>
      <c r="CQ51" s="6"/>
      <c r="CR51" s="6"/>
      <c r="CT51" s="6"/>
      <c r="CU51" s="6"/>
      <c r="CW51" s="6"/>
      <c r="CX51" s="6"/>
      <c r="CZ51" s="6"/>
      <c r="DA51" s="6"/>
      <c r="DC51" s="6"/>
      <c r="DD51" s="6"/>
      <c r="DF51" s="6"/>
      <c r="DG51" s="6"/>
      <c r="DI51" s="6"/>
      <c r="DJ51" s="6"/>
      <c r="DL51" s="6"/>
      <c r="DM51" s="6"/>
      <c r="DO51" s="6"/>
      <c r="DP51" s="6"/>
      <c r="DR51" s="6"/>
      <c r="DS51" s="6"/>
      <c r="DU51" s="6"/>
      <c r="DV51" s="6"/>
      <c r="DX51" s="6"/>
      <c r="DY51" s="6"/>
      <c r="EA51" s="6"/>
      <c r="EB51" s="6"/>
      <c r="ED51" s="6"/>
      <c r="EE51" s="6"/>
      <c r="EG51" s="6"/>
      <c r="EH51" s="6"/>
      <c r="EJ51" s="6"/>
      <c r="EK51" s="6"/>
      <c r="EM51" s="6"/>
      <c r="EN51" s="6"/>
      <c r="EP51" s="6"/>
      <c r="EQ51" s="6"/>
      <c r="ES51" s="6"/>
      <c r="ET51" s="6"/>
      <c r="EV51" s="6"/>
      <c r="EW51" s="6"/>
      <c r="EY51" s="6"/>
      <c r="EZ51" s="6"/>
      <c r="FB51" s="6"/>
      <c r="FC51" s="6"/>
      <c r="FE51" s="6"/>
      <c r="FF51" s="6"/>
      <c r="FH51" s="6"/>
      <c r="FI51" s="6"/>
      <c r="FK51" s="6"/>
      <c r="FL51" s="6"/>
      <c r="FN51" s="6"/>
      <c r="FO51" s="6"/>
      <c r="FQ51" s="6"/>
      <c r="FR51" s="6"/>
      <c r="FT51" s="6"/>
      <c r="FU51" s="6"/>
      <c r="FW51" s="6"/>
      <c r="FX51" s="6"/>
      <c r="FZ51" s="6"/>
      <c r="GA51" s="6"/>
      <c r="GC51" s="6"/>
      <c r="GD51" s="6"/>
      <c r="GF51" s="6"/>
      <c r="GG51" s="6"/>
      <c r="GI51" s="6"/>
      <c r="GJ51" s="6"/>
      <c r="GL51" s="6"/>
      <c r="GM51" s="6"/>
      <c r="GO51" s="6"/>
      <c r="GP51" s="6"/>
      <c r="GR51" s="6"/>
      <c r="GS51" s="6"/>
      <c r="GU51" s="6"/>
      <c r="GV51" s="6"/>
      <c r="GX51" s="6"/>
      <c r="GY51" s="6"/>
      <c r="HA51" s="6"/>
      <c r="HB51" s="6"/>
      <c r="HD51" s="6"/>
      <c r="HE51" s="6"/>
      <c r="HG51" s="6"/>
      <c r="HH51" s="6"/>
      <c r="HJ51" s="6"/>
      <c r="HK51" s="6"/>
      <c r="HM51" s="6"/>
      <c r="HN51" s="6"/>
      <c r="HP51" s="6"/>
      <c r="HQ51" s="6"/>
      <c r="HS51" s="6"/>
      <c r="HT51" s="6"/>
      <c r="HV51" s="6"/>
      <c r="HW51" s="6"/>
      <c r="HY51" s="6"/>
      <c r="HZ51" s="6"/>
      <c r="IB51" s="6"/>
      <c r="IC51" s="6"/>
      <c r="IE51" s="6"/>
      <c r="IF51" s="6"/>
    </row>
    <row r="52" spans="1:240" x14ac:dyDescent="0.3">
      <c r="A52" s="6"/>
      <c r="B52" s="472"/>
      <c r="C52" s="173" t="s">
        <v>123</v>
      </c>
      <c r="D52" s="341"/>
      <c r="E52" s="6"/>
      <c r="G52" s="5"/>
      <c r="J52" s="6"/>
      <c r="K52" s="6"/>
      <c r="M52" s="6"/>
      <c r="N52" s="6"/>
      <c r="P52" s="6"/>
      <c r="Q52" s="6"/>
      <c r="S52" s="6"/>
      <c r="T52" s="6"/>
      <c r="V52" s="6"/>
      <c r="W52" s="6"/>
      <c r="Y52" s="6"/>
      <c r="Z52" s="6"/>
      <c r="AB52" s="6"/>
      <c r="AC52" s="6"/>
      <c r="AE52" s="6"/>
      <c r="AF52" s="6"/>
      <c r="AG52" s="6"/>
      <c r="AI52" s="6"/>
      <c r="AJ52" s="6"/>
      <c r="AL52" s="6"/>
      <c r="AM52" s="6"/>
      <c r="AO52" s="6"/>
      <c r="AP52" s="6"/>
      <c r="AR52" s="6"/>
      <c r="AS52" s="6"/>
      <c r="AU52" s="6"/>
      <c r="AV52" s="6"/>
      <c r="AX52" s="6"/>
      <c r="AY52" s="6"/>
      <c r="BA52" s="6"/>
      <c r="BB52" s="6"/>
      <c r="BD52" s="6"/>
      <c r="BE52" s="6"/>
      <c r="BG52" s="6"/>
      <c r="BH52" s="6"/>
      <c r="BJ52" s="6"/>
      <c r="BK52" s="6"/>
      <c r="BM52" s="6"/>
      <c r="BN52" s="6"/>
      <c r="BP52" s="6"/>
      <c r="BQ52" s="6"/>
      <c r="BS52" s="6"/>
      <c r="BT52" s="6"/>
      <c r="BV52" s="6"/>
      <c r="BW52" s="6"/>
      <c r="BY52" s="6"/>
      <c r="BZ52" s="6"/>
      <c r="CB52" s="6"/>
      <c r="CC52" s="6"/>
      <c r="CE52" s="6"/>
      <c r="CF52" s="6"/>
      <c r="CH52" s="6"/>
      <c r="CI52" s="6"/>
      <c r="CK52" s="6"/>
      <c r="CL52" s="6"/>
      <c r="CN52" s="6"/>
      <c r="CO52" s="6"/>
      <c r="CQ52" s="6"/>
      <c r="CR52" s="6"/>
      <c r="CT52" s="6"/>
      <c r="CU52" s="6"/>
      <c r="CW52" s="6"/>
      <c r="CX52" s="6"/>
      <c r="CZ52" s="6"/>
      <c r="DA52" s="6"/>
      <c r="DC52" s="6"/>
      <c r="DD52" s="6"/>
      <c r="DF52" s="6"/>
      <c r="DG52" s="6"/>
      <c r="DI52" s="6"/>
      <c r="DJ52" s="6"/>
      <c r="DL52" s="6"/>
      <c r="DM52" s="6"/>
      <c r="DO52" s="6"/>
      <c r="DP52" s="6"/>
      <c r="DR52" s="6"/>
      <c r="DS52" s="6"/>
      <c r="DU52" s="6"/>
      <c r="DV52" s="6"/>
      <c r="DX52" s="6"/>
      <c r="DY52" s="6"/>
      <c r="EA52" s="6"/>
      <c r="EB52" s="6"/>
      <c r="ED52" s="6"/>
      <c r="EE52" s="6"/>
      <c r="EG52" s="6"/>
      <c r="EH52" s="6"/>
      <c r="EJ52" s="6"/>
      <c r="EK52" s="6"/>
      <c r="EM52" s="6"/>
      <c r="EN52" s="6"/>
      <c r="EP52" s="6"/>
      <c r="EQ52" s="6"/>
      <c r="ES52" s="6"/>
      <c r="ET52" s="6"/>
      <c r="EV52" s="6"/>
      <c r="EW52" s="6"/>
      <c r="EY52" s="6"/>
      <c r="EZ52" s="6"/>
      <c r="FB52" s="6"/>
      <c r="FC52" s="6"/>
      <c r="FE52" s="6"/>
      <c r="FF52" s="6"/>
      <c r="FH52" s="6"/>
      <c r="FI52" s="6"/>
      <c r="FK52" s="6"/>
      <c r="FL52" s="6"/>
      <c r="FN52" s="6"/>
      <c r="FO52" s="6"/>
      <c r="FQ52" s="6"/>
      <c r="FR52" s="6"/>
      <c r="FT52" s="6"/>
      <c r="FU52" s="6"/>
      <c r="FW52" s="6"/>
      <c r="FX52" s="6"/>
      <c r="FZ52" s="6"/>
      <c r="GA52" s="6"/>
      <c r="GC52" s="6"/>
      <c r="GD52" s="6"/>
      <c r="GF52" s="6"/>
      <c r="GG52" s="6"/>
      <c r="GI52" s="6"/>
      <c r="GJ52" s="6"/>
      <c r="GL52" s="6"/>
      <c r="GM52" s="6"/>
      <c r="GO52" s="6"/>
      <c r="GP52" s="6"/>
      <c r="GR52" s="6"/>
      <c r="GS52" s="6"/>
      <c r="GU52" s="6"/>
      <c r="GV52" s="6"/>
      <c r="GX52" s="6"/>
      <c r="GY52" s="6"/>
      <c r="HA52" s="6"/>
      <c r="HB52" s="6"/>
      <c r="HD52" s="6"/>
      <c r="HE52" s="6"/>
      <c r="HG52" s="6"/>
      <c r="HH52" s="6"/>
      <c r="HJ52" s="6"/>
      <c r="HK52" s="6"/>
      <c r="HM52" s="6"/>
      <c r="HN52" s="6"/>
      <c r="HP52" s="6"/>
      <c r="HQ52" s="6"/>
      <c r="HS52" s="6"/>
      <c r="HT52" s="6"/>
      <c r="HV52" s="6"/>
      <c r="HW52" s="6"/>
      <c r="HY52" s="6"/>
      <c r="HZ52" s="6"/>
      <c r="IB52" s="6"/>
      <c r="IC52" s="6"/>
      <c r="IE52" s="6"/>
      <c r="IF52" s="6"/>
    </row>
    <row r="53" spans="1:240" x14ac:dyDescent="0.3">
      <c r="A53" s="6"/>
      <c r="C53" s="173" t="s">
        <v>407</v>
      </c>
      <c r="D53" s="341"/>
      <c r="E53" s="6"/>
      <c r="G53" s="5"/>
      <c r="J53" s="6"/>
      <c r="K53" s="6"/>
      <c r="M53" s="6"/>
      <c r="N53" s="6"/>
      <c r="P53" s="6"/>
      <c r="Q53" s="6"/>
      <c r="S53" s="6"/>
      <c r="T53" s="6"/>
      <c r="V53" s="6"/>
      <c r="W53" s="6"/>
      <c r="Y53" s="6"/>
      <c r="Z53" s="6"/>
      <c r="AB53" s="6"/>
      <c r="AC53" s="6"/>
      <c r="AE53" s="6"/>
      <c r="AF53" s="6"/>
      <c r="AG53" s="6"/>
      <c r="AI53" s="6"/>
      <c r="AJ53" s="6"/>
      <c r="AL53" s="6"/>
      <c r="AM53" s="6"/>
      <c r="AO53" s="6"/>
      <c r="AP53" s="6"/>
      <c r="AR53" s="6"/>
      <c r="AS53" s="6"/>
      <c r="AU53" s="6"/>
      <c r="AV53" s="6"/>
      <c r="AX53" s="6"/>
      <c r="AY53" s="6"/>
      <c r="BA53" s="6"/>
      <c r="BB53" s="6"/>
      <c r="BD53" s="6"/>
      <c r="BE53" s="6"/>
      <c r="BG53" s="6"/>
      <c r="BH53" s="6"/>
      <c r="BJ53" s="6"/>
      <c r="BK53" s="6"/>
      <c r="BM53" s="6"/>
      <c r="BN53" s="6"/>
      <c r="BP53" s="6"/>
      <c r="BQ53" s="6"/>
      <c r="BS53" s="6"/>
      <c r="BT53" s="6"/>
      <c r="BV53" s="6"/>
      <c r="BW53" s="6"/>
      <c r="BY53" s="6"/>
      <c r="BZ53" s="6"/>
      <c r="CB53" s="6"/>
      <c r="CC53" s="6"/>
      <c r="CE53" s="6"/>
      <c r="CF53" s="6"/>
      <c r="CH53" s="6"/>
      <c r="CI53" s="6"/>
      <c r="CK53" s="6"/>
      <c r="CL53" s="6"/>
      <c r="CN53" s="6"/>
      <c r="CO53" s="6"/>
      <c r="CQ53" s="6"/>
      <c r="CR53" s="6"/>
      <c r="CT53" s="6"/>
      <c r="CU53" s="6"/>
      <c r="CW53" s="6"/>
      <c r="CX53" s="6"/>
      <c r="CZ53" s="6"/>
      <c r="DA53" s="6"/>
      <c r="DC53" s="6"/>
      <c r="DD53" s="6"/>
      <c r="DF53" s="6"/>
      <c r="DG53" s="6"/>
      <c r="DI53" s="6"/>
      <c r="DJ53" s="6"/>
      <c r="DL53" s="6"/>
      <c r="DM53" s="6"/>
      <c r="DO53" s="6"/>
      <c r="DP53" s="6"/>
      <c r="DR53" s="6"/>
      <c r="DS53" s="6"/>
      <c r="DU53" s="6"/>
      <c r="DV53" s="6"/>
      <c r="DX53" s="6"/>
      <c r="DY53" s="6"/>
      <c r="EA53" s="6"/>
      <c r="EB53" s="6"/>
      <c r="ED53" s="6"/>
      <c r="EE53" s="6"/>
      <c r="EG53" s="6"/>
      <c r="EH53" s="6"/>
      <c r="EJ53" s="6"/>
      <c r="EK53" s="6"/>
      <c r="EM53" s="6"/>
      <c r="EN53" s="6"/>
      <c r="EP53" s="6"/>
      <c r="EQ53" s="6"/>
      <c r="ES53" s="6"/>
      <c r="ET53" s="6"/>
      <c r="EV53" s="6"/>
      <c r="EW53" s="6"/>
      <c r="EY53" s="6"/>
      <c r="EZ53" s="6"/>
      <c r="FB53" s="6"/>
      <c r="FC53" s="6"/>
      <c r="FE53" s="6"/>
      <c r="FF53" s="6"/>
      <c r="FH53" s="6"/>
      <c r="FI53" s="6"/>
      <c r="FK53" s="6"/>
      <c r="FL53" s="6"/>
      <c r="FN53" s="6"/>
      <c r="FO53" s="6"/>
      <c r="FQ53" s="6"/>
      <c r="FR53" s="6"/>
      <c r="FT53" s="6"/>
      <c r="FU53" s="6"/>
      <c r="FW53" s="6"/>
      <c r="FX53" s="6"/>
      <c r="FZ53" s="6"/>
      <c r="GA53" s="6"/>
      <c r="GC53" s="6"/>
      <c r="GD53" s="6"/>
      <c r="GF53" s="6"/>
      <c r="GG53" s="6"/>
      <c r="GI53" s="6"/>
      <c r="GJ53" s="6"/>
      <c r="GL53" s="6"/>
      <c r="GM53" s="6"/>
      <c r="GO53" s="6"/>
      <c r="GP53" s="6"/>
      <c r="GR53" s="6"/>
      <c r="GS53" s="6"/>
      <c r="GU53" s="6"/>
      <c r="GV53" s="6"/>
      <c r="GX53" s="6"/>
      <c r="GY53" s="6"/>
      <c r="HA53" s="6"/>
      <c r="HB53" s="6"/>
      <c r="HD53" s="6"/>
      <c r="HE53" s="6"/>
      <c r="HG53" s="6"/>
      <c r="HH53" s="6"/>
      <c r="HJ53" s="6"/>
      <c r="HK53" s="6"/>
      <c r="HM53" s="6"/>
      <c r="HN53" s="6"/>
      <c r="HP53" s="6"/>
      <c r="HQ53" s="6"/>
      <c r="HS53" s="6"/>
      <c r="HT53" s="6"/>
      <c r="HV53" s="6"/>
      <c r="HW53" s="6"/>
      <c r="HY53" s="6"/>
      <c r="HZ53" s="6"/>
      <c r="IB53" s="6"/>
      <c r="IC53" s="6"/>
      <c r="IE53" s="6"/>
      <c r="IF53" s="6"/>
    </row>
    <row r="54" spans="1:240" x14ac:dyDescent="0.3">
      <c r="A54" s="6"/>
      <c r="C54" s="173" t="s">
        <v>873</v>
      </c>
      <c r="D54" s="341"/>
      <c r="E54" s="6"/>
      <c r="G54" s="5"/>
      <c r="J54" s="6"/>
      <c r="K54" s="6"/>
      <c r="M54" s="6"/>
      <c r="N54" s="6"/>
      <c r="P54" s="6"/>
      <c r="Q54" s="6"/>
      <c r="S54" s="6"/>
      <c r="T54" s="6"/>
      <c r="V54" s="6"/>
      <c r="W54" s="6"/>
      <c r="Y54" s="6"/>
      <c r="Z54" s="6"/>
      <c r="AB54" s="6"/>
      <c r="AC54" s="6"/>
      <c r="AE54" s="6"/>
      <c r="AF54" s="6"/>
      <c r="AG54" s="6"/>
      <c r="AI54" s="6"/>
      <c r="AJ54" s="6"/>
      <c r="AL54" s="6"/>
      <c r="AM54" s="6"/>
      <c r="AO54" s="6"/>
      <c r="AP54" s="6"/>
      <c r="AR54" s="6"/>
      <c r="AS54" s="6"/>
      <c r="AU54" s="6"/>
      <c r="AV54" s="6"/>
      <c r="AX54" s="6"/>
      <c r="AY54" s="6"/>
      <c r="BA54" s="6"/>
      <c r="BB54" s="6"/>
      <c r="BD54" s="6"/>
      <c r="BE54" s="6"/>
      <c r="BG54" s="6"/>
      <c r="BH54" s="6"/>
      <c r="BJ54" s="6"/>
      <c r="BK54" s="6"/>
      <c r="BM54" s="6"/>
      <c r="BN54" s="6"/>
      <c r="BP54" s="6"/>
      <c r="BQ54" s="6"/>
      <c r="BS54" s="6"/>
      <c r="BT54" s="6"/>
      <c r="BV54" s="6"/>
      <c r="BW54" s="6"/>
      <c r="BY54" s="6"/>
      <c r="BZ54" s="6"/>
      <c r="CB54" s="6"/>
      <c r="CC54" s="6"/>
      <c r="CE54" s="6"/>
      <c r="CF54" s="6"/>
      <c r="CH54" s="6"/>
      <c r="CI54" s="6"/>
      <c r="CK54" s="6"/>
      <c r="CL54" s="6"/>
      <c r="CN54" s="6"/>
      <c r="CO54" s="6"/>
      <c r="CQ54" s="6"/>
      <c r="CR54" s="6"/>
      <c r="CT54" s="6"/>
      <c r="CU54" s="6"/>
      <c r="CW54" s="6"/>
      <c r="CX54" s="6"/>
      <c r="CZ54" s="6"/>
      <c r="DA54" s="6"/>
      <c r="DC54" s="6"/>
      <c r="DD54" s="6"/>
      <c r="DF54" s="6"/>
      <c r="DG54" s="6"/>
      <c r="DI54" s="6"/>
      <c r="DJ54" s="6"/>
      <c r="DL54" s="6"/>
      <c r="DM54" s="6"/>
      <c r="DO54" s="6"/>
      <c r="DP54" s="6"/>
      <c r="DR54" s="6"/>
      <c r="DS54" s="6"/>
      <c r="DU54" s="6"/>
      <c r="DV54" s="6"/>
      <c r="DX54" s="6"/>
      <c r="DY54" s="6"/>
      <c r="EA54" s="6"/>
      <c r="EB54" s="6"/>
      <c r="ED54" s="6"/>
      <c r="EE54" s="6"/>
      <c r="EG54" s="6"/>
      <c r="EH54" s="6"/>
      <c r="EJ54" s="6"/>
      <c r="EK54" s="6"/>
      <c r="EM54" s="6"/>
      <c r="EN54" s="6"/>
      <c r="EP54" s="6"/>
      <c r="EQ54" s="6"/>
      <c r="ES54" s="6"/>
      <c r="ET54" s="6"/>
      <c r="EV54" s="6"/>
      <c r="EW54" s="6"/>
      <c r="EY54" s="6"/>
      <c r="EZ54" s="6"/>
      <c r="FB54" s="6"/>
      <c r="FC54" s="6"/>
      <c r="FE54" s="6"/>
      <c r="FF54" s="6"/>
      <c r="FH54" s="6"/>
      <c r="FI54" s="6"/>
      <c r="FK54" s="6"/>
      <c r="FL54" s="6"/>
      <c r="FN54" s="6"/>
      <c r="FO54" s="6"/>
      <c r="FQ54" s="6"/>
      <c r="FR54" s="6"/>
      <c r="FT54" s="6"/>
      <c r="FU54" s="6"/>
      <c r="FW54" s="6"/>
      <c r="FX54" s="6"/>
      <c r="FZ54" s="6"/>
      <c r="GA54" s="6"/>
      <c r="GC54" s="6"/>
      <c r="GD54" s="6"/>
      <c r="GF54" s="6"/>
      <c r="GG54" s="6"/>
      <c r="GI54" s="6"/>
      <c r="GJ54" s="6"/>
      <c r="GL54" s="6"/>
      <c r="GM54" s="6"/>
      <c r="GO54" s="6"/>
      <c r="GP54" s="6"/>
      <c r="GR54" s="6"/>
      <c r="GS54" s="6"/>
      <c r="GU54" s="6"/>
      <c r="GV54" s="6"/>
      <c r="GX54" s="6"/>
      <c r="GY54" s="6"/>
      <c r="HA54" s="6"/>
      <c r="HB54" s="6"/>
      <c r="HD54" s="6"/>
      <c r="HE54" s="6"/>
      <c r="HG54" s="6"/>
      <c r="HH54" s="6"/>
      <c r="HJ54" s="6"/>
      <c r="HK54" s="6"/>
      <c r="HM54" s="6"/>
      <c r="HN54" s="6"/>
      <c r="HP54" s="6"/>
      <c r="HQ54" s="6"/>
      <c r="HS54" s="6"/>
      <c r="HT54" s="6"/>
      <c r="HV54" s="6"/>
      <c r="HW54" s="6"/>
      <c r="HY54" s="6"/>
      <c r="HZ54" s="6"/>
      <c r="IB54" s="6"/>
      <c r="IC54" s="6"/>
      <c r="IE54" s="6"/>
      <c r="IF54" s="6"/>
    </row>
    <row r="55" spans="1:240" x14ac:dyDescent="0.3">
      <c r="A55" s="6"/>
      <c r="C55" s="285" t="s">
        <v>423</v>
      </c>
      <c r="D55" s="104"/>
      <c r="E55" s="6"/>
      <c r="G55" s="5"/>
      <c r="J55" s="6"/>
      <c r="K55" s="6"/>
      <c r="M55" s="6"/>
      <c r="N55" s="6"/>
      <c r="P55" s="6"/>
      <c r="Q55" s="6"/>
      <c r="S55" s="6"/>
      <c r="T55" s="6"/>
      <c r="V55" s="6"/>
      <c r="W55" s="6"/>
      <c r="Y55" s="6"/>
      <c r="Z55" s="6"/>
      <c r="AB55" s="6"/>
      <c r="AC55" s="6"/>
      <c r="AE55" s="6"/>
      <c r="AF55" s="6"/>
      <c r="AG55" s="6"/>
      <c r="AI55" s="6"/>
      <c r="AJ55" s="6"/>
      <c r="AL55" s="6"/>
      <c r="AM55" s="6"/>
      <c r="AO55" s="6"/>
      <c r="AP55" s="6"/>
      <c r="AR55" s="6"/>
      <c r="AS55" s="6"/>
      <c r="AU55" s="6"/>
      <c r="AV55" s="6"/>
      <c r="AX55" s="6"/>
      <c r="AY55" s="6"/>
      <c r="BA55" s="6"/>
      <c r="BB55" s="6"/>
      <c r="BD55" s="6"/>
      <c r="BE55" s="6"/>
      <c r="BG55" s="6"/>
      <c r="BH55" s="6"/>
      <c r="BJ55" s="6"/>
      <c r="BK55" s="6"/>
      <c r="BM55" s="6"/>
      <c r="BN55" s="6"/>
      <c r="BP55" s="6"/>
      <c r="BQ55" s="6"/>
      <c r="BS55" s="6"/>
      <c r="BT55" s="6"/>
      <c r="BV55" s="6"/>
      <c r="BW55" s="6"/>
      <c r="BY55" s="6"/>
      <c r="BZ55" s="6"/>
      <c r="CB55" s="6"/>
      <c r="CC55" s="6"/>
      <c r="CE55" s="6"/>
      <c r="CF55" s="6"/>
      <c r="CH55" s="6"/>
      <c r="CI55" s="6"/>
      <c r="CK55" s="6"/>
      <c r="CL55" s="6"/>
      <c r="CN55" s="6"/>
      <c r="CO55" s="6"/>
      <c r="CQ55" s="6"/>
      <c r="CR55" s="6"/>
      <c r="CT55" s="6"/>
      <c r="CU55" s="6"/>
      <c r="CW55" s="6"/>
      <c r="CX55" s="6"/>
      <c r="CZ55" s="6"/>
      <c r="DA55" s="6"/>
      <c r="DC55" s="6"/>
      <c r="DD55" s="6"/>
      <c r="DF55" s="6"/>
      <c r="DG55" s="6"/>
      <c r="DI55" s="6"/>
      <c r="DJ55" s="6"/>
      <c r="DL55" s="6"/>
      <c r="DM55" s="6"/>
      <c r="DO55" s="6"/>
      <c r="DP55" s="6"/>
      <c r="DR55" s="6"/>
      <c r="DS55" s="6"/>
      <c r="DU55" s="6"/>
      <c r="DV55" s="6"/>
      <c r="DX55" s="6"/>
      <c r="DY55" s="6"/>
      <c r="EA55" s="6"/>
      <c r="EB55" s="6"/>
      <c r="ED55" s="6"/>
      <c r="EE55" s="6"/>
      <c r="EG55" s="6"/>
      <c r="EH55" s="6"/>
      <c r="EJ55" s="6"/>
      <c r="EK55" s="6"/>
      <c r="EM55" s="6"/>
      <c r="EN55" s="6"/>
      <c r="EP55" s="6"/>
      <c r="EQ55" s="6"/>
      <c r="ES55" s="6"/>
      <c r="ET55" s="6"/>
      <c r="EV55" s="6"/>
      <c r="EW55" s="6"/>
      <c r="EY55" s="6"/>
      <c r="EZ55" s="6"/>
      <c r="FB55" s="6"/>
      <c r="FC55" s="6"/>
      <c r="FE55" s="6"/>
      <c r="FF55" s="6"/>
      <c r="FH55" s="6"/>
      <c r="FI55" s="6"/>
      <c r="FK55" s="6"/>
      <c r="FL55" s="6"/>
      <c r="FN55" s="6"/>
      <c r="FO55" s="6"/>
      <c r="FQ55" s="6"/>
      <c r="FR55" s="6"/>
      <c r="FT55" s="6"/>
      <c r="FU55" s="6"/>
      <c r="FW55" s="6"/>
      <c r="FX55" s="6"/>
      <c r="FZ55" s="6"/>
      <c r="GA55" s="6"/>
      <c r="GC55" s="6"/>
      <c r="GD55" s="6"/>
      <c r="GF55" s="6"/>
      <c r="GG55" s="6"/>
      <c r="GI55" s="6"/>
      <c r="GJ55" s="6"/>
      <c r="GL55" s="6"/>
      <c r="GM55" s="6"/>
      <c r="GO55" s="6"/>
      <c r="GP55" s="6"/>
      <c r="GR55" s="6"/>
      <c r="GS55" s="6"/>
      <c r="GU55" s="6"/>
      <c r="GV55" s="6"/>
      <c r="GX55" s="6"/>
      <c r="GY55" s="6"/>
      <c r="HA55" s="6"/>
      <c r="HB55" s="6"/>
      <c r="HD55" s="6"/>
      <c r="HE55" s="6"/>
      <c r="HG55" s="6"/>
      <c r="HH55" s="6"/>
      <c r="HJ55" s="6"/>
      <c r="HK55" s="6"/>
      <c r="HM55" s="6"/>
      <c r="HN55" s="6"/>
      <c r="HP55" s="6"/>
      <c r="HQ55" s="6"/>
      <c r="HS55" s="6"/>
      <c r="HT55" s="6"/>
      <c r="HV55" s="6"/>
      <c r="HW55" s="6"/>
      <c r="HY55" s="6"/>
      <c r="HZ55" s="6"/>
      <c r="IB55" s="6"/>
      <c r="IC55" s="6"/>
      <c r="IE55" s="6"/>
      <c r="IF55" s="6"/>
    </row>
    <row r="56" spans="1:240" x14ac:dyDescent="0.3">
      <c r="A56" s="6"/>
      <c r="B56" s="170"/>
      <c r="C56" s="285" t="s">
        <v>160</v>
      </c>
      <c r="D56" s="104" t="s">
        <v>422</v>
      </c>
      <c r="E56" s="6"/>
      <c r="G56" s="5"/>
      <c r="J56" s="6"/>
      <c r="K56" s="6"/>
      <c r="M56" s="6"/>
      <c r="N56" s="6"/>
      <c r="P56" s="6"/>
      <c r="Q56" s="6"/>
      <c r="S56" s="6"/>
      <c r="T56" s="6"/>
      <c r="V56" s="6"/>
      <c r="W56" s="6"/>
      <c r="Y56" s="6"/>
      <c r="Z56" s="6"/>
      <c r="AB56" s="6"/>
      <c r="AC56" s="6"/>
      <c r="AE56" s="6"/>
      <c r="AF56" s="6"/>
      <c r="AG56" s="6"/>
      <c r="AI56" s="6"/>
      <c r="AJ56" s="6"/>
      <c r="AL56" s="6"/>
      <c r="AM56" s="6"/>
      <c r="AO56" s="6"/>
      <c r="AP56" s="6"/>
      <c r="AR56" s="6"/>
      <c r="AS56" s="6"/>
      <c r="AU56" s="6"/>
      <c r="AV56" s="6"/>
      <c r="AX56" s="6"/>
      <c r="AY56" s="6"/>
      <c r="BA56" s="6"/>
      <c r="BB56" s="6"/>
      <c r="BD56" s="6"/>
      <c r="BE56" s="6"/>
      <c r="BG56" s="6"/>
      <c r="BH56" s="6"/>
      <c r="BJ56" s="6"/>
      <c r="BK56" s="6"/>
      <c r="BM56" s="6"/>
      <c r="BN56" s="6"/>
      <c r="BP56" s="6"/>
      <c r="BQ56" s="6"/>
      <c r="BS56" s="6"/>
      <c r="BT56" s="6"/>
      <c r="BV56" s="6"/>
      <c r="BW56" s="6"/>
      <c r="BY56" s="6"/>
      <c r="BZ56" s="6"/>
      <c r="CB56" s="6"/>
      <c r="CC56" s="6"/>
      <c r="CE56" s="6"/>
      <c r="CF56" s="6"/>
      <c r="CH56" s="6"/>
      <c r="CI56" s="6"/>
      <c r="CK56" s="6"/>
      <c r="CL56" s="6"/>
      <c r="CN56" s="6"/>
      <c r="CO56" s="6"/>
      <c r="CQ56" s="6"/>
      <c r="CR56" s="6"/>
      <c r="CT56" s="6"/>
      <c r="CU56" s="6"/>
      <c r="CW56" s="6"/>
      <c r="CX56" s="6"/>
      <c r="CZ56" s="6"/>
      <c r="DA56" s="6"/>
      <c r="DC56" s="6"/>
      <c r="DD56" s="6"/>
      <c r="DF56" s="6"/>
      <c r="DG56" s="6"/>
      <c r="DI56" s="6"/>
      <c r="DJ56" s="6"/>
      <c r="DL56" s="6"/>
      <c r="DM56" s="6"/>
      <c r="DO56" s="6"/>
      <c r="DP56" s="6"/>
      <c r="DR56" s="6"/>
      <c r="DS56" s="6"/>
      <c r="DU56" s="6"/>
      <c r="DV56" s="6"/>
      <c r="DX56" s="6"/>
      <c r="DY56" s="6"/>
      <c r="EA56" s="6"/>
      <c r="EB56" s="6"/>
      <c r="ED56" s="6"/>
      <c r="EE56" s="6"/>
      <c r="EG56" s="6"/>
      <c r="EH56" s="6"/>
      <c r="EJ56" s="6"/>
      <c r="EK56" s="6"/>
      <c r="EM56" s="6"/>
      <c r="EN56" s="6"/>
      <c r="EP56" s="6"/>
      <c r="EQ56" s="6"/>
      <c r="ES56" s="6"/>
      <c r="ET56" s="6"/>
      <c r="EV56" s="6"/>
      <c r="EW56" s="6"/>
      <c r="EY56" s="6"/>
      <c r="EZ56" s="6"/>
      <c r="FB56" s="6"/>
      <c r="FC56" s="6"/>
      <c r="FE56" s="6"/>
      <c r="FF56" s="6"/>
      <c r="FH56" s="6"/>
      <c r="FI56" s="6"/>
      <c r="FK56" s="6"/>
      <c r="FL56" s="6"/>
      <c r="FN56" s="6"/>
      <c r="FO56" s="6"/>
      <c r="FQ56" s="6"/>
      <c r="FR56" s="6"/>
      <c r="FT56" s="6"/>
      <c r="FU56" s="6"/>
      <c r="FW56" s="6"/>
      <c r="FX56" s="6"/>
      <c r="FZ56" s="6"/>
      <c r="GA56" s="6"/>
      <c r="GC56" s="6"/>
      <c r="GD56" s="6"/>
      <c r="GF56" s="6"/>
      <c r="GG56" s="6"/>
      <c r="GI56" s="6"/>
      <c r="GJ56" s="6"/>
      <c r="GL56" s="6"/>
      <c r="GM56" s="6"/>
      <c r="GO56" s="6"/>
      <c r="GP56" s="6"/>
      <c r="GR56" s="6"/>
      <c r="GS56" s="6"/>
      <c r="GU56" s="6"/>
      <c r="GV56" s="6"/>
      <c r="GX56" s="6"/>
      <c r="GY56" s="6"/>
      <c r="HA56" s="6"/>
      <c r="HB56" s="6"/>
      <c r="HD56" s="6"/>
      <c r="HE56" s="6"/>
      <c r="HG56" s="6"/>
      <c r="HH56" s="6"/>
      <c r="HJ56" s="6"/>
      <c r="HK56" s="6"/>
      <c r="HM56" s="6"/>
      <c r="HN56" s="6"/>
      <c r="HP56" s="6"/>
      <c r="HQ56" s="6"/>
      <c r="HS56" s="6"/>
      <c r="HT56" s="6"/>
      <c r="HV56" s="6"/>
      <c r="HW56" s="6"/>
      <c r="HY56" s="6"/>
      <c r="HZ56" s="6"/>
      <c r="IB56" s="6"/>
      <c r="IC56" s="6"/>
      <c r="IE56" s="6"/>
      <c r="IF56" s="6"/>
    </row>
    <row r="57" spans="1:240" x14ac:dyDescent="0.3">
      <c r="A57" s="6"/>
      <c r="B57" s="170"/>
      <c r="C57" s="285" t="s">
        <v>435</v>
      </c>
      <c r="D57" s="104" t="s">
        <v>422</v>
      </c>
      <c r="E57" s="6"/>
      <c r="G57" s="5"/>
      <c r="J57" s="6"/>
      <c r="K57" s="6"/>
      <c r="M57" s="6"/>
      <c r="N57" s="6"/>
      <c r="P57" s="6"/>
      <c r="Q57" s="6"/>
      <c r="S57" s="6"/>
      <c r="T57" s="6"/>
      <c r="V57" s="6"/>
      <c r="W57" s="6"/>
      <c r="Y57" s="6"/>
      <c r="Z57" s="6"/>
      <c r="AB57" s="6"/>
      <c r="AC57" s="6"/>
      <c r="AE57" s="6"/>
      <c r="AF57" s="6"/>
      <c r="AG57" s="6"/>
      <c r="AI57" s="6"/>
      <c r="AJ57" s="6"/>
      <c r="AL57" s="6"/>
      <c r="AM57" s="6"/>
      <c r="AO57" s="6"/>
      <c r="AP57" s="6"/>
      <c r="AR57" s="6"/>
      <c r="AS57" s="6"/>
      <c r="AU57" s="6"/>
      <c r="AV57" s="6"/>
      <c r="AX57" s="6"/>
      <c r="AY57" s="6"/>
      <c r="BA57" s="6"/>
      <c r="BB57" s="6"/>
      <c r="BD57" s="6"/>
      <c r="BE57" s="6"/>
      <c r="BG57" s="6"/>
      <c r="BH57" s="6"/>
      <c r="BJ57" s="6"/>
      <c r="BK57" s="6"/>
      <c r="BM57" s="6"/>
      <c r="BN57" s="6"/>
      <c r="BP57" s="6"/>
      <c r="BQ57" s="6"/>
      <c r="BS57" s="6"/>
      <c r="BT57" s="6"/>
      <c r="BV57" s="6"/>
      <c r="BW57" s="6"/>
      <c r="BY57" s="6"/>
      <c r="BZ57" s="6"/>
      <c r="CB57" s="6"/>
      <c r="CC57" s="6"/>
      <c r="CE57" s="6"/>
      <c r="CF57" s="6"/>
      <c r="CH57" s="6"/>
      <c r="CI57" s="6"/>
      <c r="CK57" s="6"/>
      <c r="CL57" s="6"/>
      <c r="CN57" s="6"/>
      <c r="CO57" s="6"/>
      <c r="CQ57" s="6"/>
      <c r="CR57" s="6"/>
      <c r="CT57" s="6"/>
      <c r="CU57" s="6"/>
      <c r="CW57" s="6"/>
      <c r="CX57" s="6"/>
      <c r="CZ57" s="6"/>
      <c r="DA57" s="6"/>
      <c r="DC57" s="6"/>
      <c r="DD57" s="6"/>
      <c r="DF57" s="6"/>
      <c r="DG57" s="6"/>
      <c r="DI57" s="6"/>
      <c r="DJ57" s="6"/>
      <c r="DL57" s="6"/>
      <c r="DM57" s="6"/>
      <c r="DO57" s="6"/>
      <c r="DP57" s="6"/>
      <c r="DR57" s="6"/>
      <c r="DS57" s="6"/>
      <c r="DU57" s="6"/>
      <c r="DV57" s="6"/>
      <c r="DX57" s="6"/>
      <c r="DY57" s="6"/>
      <c r="EA57" s="6"/>
      <c r="EB57" s="6"/>
      <c r="ED57" s="6"/>
      <c r="EE57" s="6"/>
      <c r="EG57" s="6"/>
      <c r="EH57" s="6"/>
      <c r="EJ57" s="6"/>
      <c r="EK57" s="6"/>
      <c r="EM57" s="6"/>
      <c r="EN57" s="6"/>
      <c r="EP57" s="6"/>
      <c r="EQ57" s="6"/>
      <c r="ES57" s="6"/>
      <c r="ET57" s="6"/>
      <c r="EV57" s="6"/>
      <c r="EW57" s="6"/>
      <c r="EY57" s="6"/>
      <c r="EZ57" s="6"/>
      <c r="FB57" s="6"/>
      <c r="FC57" s="6"/>
      <c r="FE57" s="6"/>
      <c r="FF57" s="6"/>
      <c r="FH57" s="6"/>
      <c r="FI57" s="6"/>
      <c r="FK57" s="6"/>
      <c r="FL57" s="6"/>
      <c r="FN57" s="6"/>
      <c r="FO57" s="6"/>
      <c r="FQ57" s="6"/>
      <c r="FR57" s="6"/>
      <c r="FT57" s="6"/>
      <c r="FU57" s="6"/>
      <c r="FW57" s="6"/>
      <c r="FX57" s="6"/>
      <c r="FZ57" s="6"/>
      <c r="GA57" s="6"/>
      <c r="GC57" s="6"/>
      <c r="GD57" s="6"/>
      <c r="GF57" s="6"/>
      <c r="GG57" s="6"/>
      <c r="GI57" s="6"/>
      <c r="GJ57" s="6"/>
      <c r="GL57" s="6"/>
      <c r="GM57" s="6"/>
      <c r="GO57" s="6"/>
      <c r="GP57" s="6"/>
      <c r="GR57" s="6"/>
      <c r="GS57" s="6"/>
      <c r="GU57" s="6"/>
      <c r="GV57" s="6"/>
      <c r="GX57" s="6"/>
      <c r="GY57" s="6"/>
      <c r="HA57" s="6"/>
      <c r="HB57" s="6"/>
      <c r="HD57" s="6"/>
      <c r="HE57" s="6"/>
      <c r="HG57" s="6"/>
      <c r="HH57" s="6"/>
      <c r="HJ57" s="6"/>
      <c r="HK57" s="6"/>
      <c r="HM57" s="6"/>
      <c r="HN57" s="6"/>
      <c r="HP57" s="6"/>
      <c r="HQ57" s="6"/>
      <c r="HS57" s="6"/>
      <c r="HT57" s="6"/>
      <c r="HV57" s="6"/>
      <c r="HW57" s="6"/>
      <c r="HY57" s="6"/>
      <c r="HZ57" s="6"/>
      <c r="IB57" s="6"/>
      <c r="IC57" s="6"/>
      <c r="IE57" s="6"/>
      <c r="IF57" s="6"/>
    </row>
    <row r="58" spans="1:240" x14ac:dyDescent="0.3">
      <c r="A58" s="6"/>
      <c r="B58" s="170"/>
      <c r="C58" s="285" t="s">
        <v>14</v>
      </c>
      <c r="D58" s="469" t="s">
        <v>418</v>
      </c>
      <c r="E58" s="6"/>
      <c r="G58" s="5"/>
      <c r="J58" s="6"/>
      <c r="K58" s="6"/>
      <c r="M58" s="6"/>
      <c r="N58" s="6"/>
      <c r="P58" s="6"/>
      <c r="Q58" s="6"/>
      <c r="S58" s="6"/>
      <c r="T58" s="6"/>
      <c r="V58" s="6"/>
      <c r="W58" s="6"/>
      <c r="Y58" s="6"/>
      <c r="Z58" s="6"/>
      <c r="AB58" s="6"/>
      <c r="AC58" s="6"/>
      <c r="AE58" s="6"/>
      <c r="AF58" s="6"/>
      <c r="AG58" s="6"/>
      <c r="AI58" s="6"/>
      <c r="AJ58" s="6"/>
      <c r="AL58" s="6"/>
      <c r="AM58" s="6"/>
      <c r="AO58" s="6"/>
      <c r="AP58" s="6"/>
      <c r="AR58" s="6"/>
      <c r="AS58" s="6"/>
      <c r="AU58" s="6"/>
      <c r="AV58" s="6"/>
      <c r="AX58" s="6"/>
      <c r="AY58" s="6"/>
      <c r="BA58" s="6"/>
      <c r="BB58" s="6"/>
      <c r="BD58" s="6"/>
      <c r="BE58" s="6"/>
      <c r="BG58" s="6"/>
      <c r="BH58" s="6"/>
      <c r="BJ58" s="6"/>
      <c r="BK58" s="6"/>
      <c r="BM58" s="6"/>
      <c r="BN58" s="6"/>
      <c r="BP58" s="6"/>
      <c r="BQ58" s="6"/>
      <c r="BS58" s="6"/>
      <c r="BT58" s="6"/>
      <c r="BV58" s="6"/>
      <c r="BW58" s="6"/>
      <c r="BY58" s="6"/>
      <c r="BZ58" s="6"/>
      <c r="CB58" s="6"/>
      <c r="CC58" s="6"/>
      <c r="CE58" s="6"/>
      <c r="CF58" s="6"/>
      <c r="CH58" s="6"/>
      <c r="CI58" s="6"/>
      <c r="CK58" s="6"/>
      <c r="CL58" s="6"/>
      <c r="CN58" s="6"/>
      <c r="CO58" s="6"/>
      <c r="CQ58" s="6"/>
      <c r="CR58" s="6"/>
      <c r="CT58" s="6"/>
      <c r="CU58" s="6"/>
      <c r="CW58" s="6"/>
      <c r="CX58" s="6"/>
      <c r="CZ58" s="6"/>
      <c r="DA58" s="6"/>
      <c r="DC58" s="6"/>
      <c r="DD58" s="6"/>
      <c r="DF58" s="6"/>
      <c r="DG58" s="6"/>
      <c r="DI58" s="6"/>
      <c r="DJ58" s="6"/>
      <c r="DL58" s="6"/>
      <c r="DM58" s="6"/>
      <c r="DO58" s="6"/>
      <c r="DP58" s="6"/>
      <c r="DR58" s="6"/>
      <c r="DS58" s="6"/>
      <c r="DU58" s="6"/>
      <c r="DV58" s="6"/>
      <c r="DX58" s="6"/>
      <c r="DY58" s="6"/>
      <c r="EA58" s="6"/>
      <c r="EB58" s="6"/>
      <c r="ED58" s="6"/>
      <c r="EE58" s="6"/>
      <c r="EG58" s="6"/>
      <c r="EH58" s="6"/>
      <c r="EJ58" s="6"/>
      <c r="EK58" s="6"/>
      <c r="EM58" s="6"/>
      <c r="EN58" s="6"/>
      <c r="EP58" s="6"/>
      <c r="EQ58" s="6"/>
      <c r="ES58" s="6"/>
      <c r="ET58" s="6"/>
      <c r="EV58" s="6"/>
      <c r="EW58" s="6"/>
      <c r="EY58" s="6"/>
      <c r="EZ58" s="6"/>
      <c r="FB58" s="6"/>
      <c r="FC58" s="6"/>
      <c r="FE58" s="6"/>
      <c r="FF58" s="6"/>
      <c r="FH58" s="6"/>
      <c r="FI58" s="6"/>
      <c r="FK58" s="6"/>
      <c r="FL58" s="6"/>
      <c r="FN58" s="6"/>
      <c r="FO58" s="6"/>
      <c r="FQ58" s="6"/>
      <c r="FR58" s="6"/>
      <c r="FT58" s="6"/>
      <c r="FU58" s="6"/>
      <c r="FW58" s="6"/>
      <c r="FX58" s="6"/>
      <c r="FZ58" s="6"/>
      <c r="GA58" s="6"/>
      <c r="GC58" s="6"/>
      <c r="GD58" s="6"/>
      <c r="GF58" s="6"/>
      <c r="GG58" s="6"/>
      <c r="GI58" s="6"/>
      <c r="GJ58" s="6"/>
      <c r="GL58" s="6"/>
      <c r="GM58" s="6"/>
      <c r="GO58" s="6"/>
      <c r="GP58" s="6"/>
      <c r="GR58" s="6"/>
      <c r="GS58" s="6"/>
      <c r="GU58" s="6"/>
      <c r="GV58" s="6"/>
      <c r="GX58" s="6"/>
      <c r="GY58" s="6"/>
      <c r="HA58" s="6"/>
      <c r="HB58" s="6"/>
      <c r="HD58" s="6"/>
      <c r="HE58" s="6"/>
      <c r="HG58" s="6"/>
      <c r="HH58" s="6"/>
      <c r="HJ58" s="6"/>
      <c r="HK58" s="6"/>
      <c r="HM58" s="6"/>
      <c r="HN58" s="6"/>
      <c r="HP58" s="6"/>
      <c r="HQ58" s="6"/>
      <c r="HS58" s="6"/>
      <c r="HT58" s="6"/>
      <c r="HV58" s="6"/>
      <c r="HW58" s="6"/>
      <c r="HY58" s="6"/>
      <c r="HZ58" s="6"/>
      <c r="IB58" s="6"/>
      <c r="IC58" s="6"/>
      <c r="IE58" s="6"/>
      <c r="IF58" s="6"/>
    </row>
    <row r="59" spans="1:240" x14ac:dyDescent="0.3">
      <c r="A59" s="6"/>
      <c r="B59" s="170"/>
      <c r="C59" s="285" t="s">
        <v>20</v>
      </c>
      <c r="D59" s="469"/>
      <c r="E59" s="6"/>
      <c r="G59" s="5"/>
      <c r="J59" s="6"/>
      <c r="K59" s="6"/>
      <c r="M59" s="6"/>
      <c r="N59" s="6"/>
      <c r="P59" s="6"/>
      <c r="Q59" s="6"/>
      <c r="S59" s="6"/>
      <c r="T59" s="6"/>
      <c r="V59" s="6"/>
      <c r="W59" s="6"/>
      <c r="Y59" s="6"/>
      <c r="Z59" s="6"/>
      <c r="AB59" s="6"/>
      <c r="AC59" s="6"/>
      <c r="AE59" s="6"/>
      <c r="AF59" s="6"/>
      <c r="AG59" s="6"/>
      <c r="AI59" s="6"/>
      <c r="AJ59" s="6"/>
      <c r="AL59" s="6"/>
      <c r="AM59" s="6"/>
      <c r="AO59" s="6"/>
      <c r="AP59" s="6"/>
      <c r="AR59" s="6"/>
      <c r="AS59" s="6"/>
      <c r="AU59" s="6"/>
      <c r="AV59" s="6"/>
      <c r="AX59" s="6"/>
      <c r="AY59" s="6"/>
      <c r="BA59" s="6"/>
      <c r="BB59" s="6"/>
      <c r="BD59" s="6"/>
      <c r="BE59" s="6"/>
      <c r="BG59" s="6"/>
      <c r="BH59" s="6"/>
      <c r="BJ59" s="6"/>
      <c r="BK59" s="6"/>
      <c r="BM59" s="6"/>
      <c r="BN59" s="6"/>
      <c r="BP59" s="6"/>
      <c r="BQ59" s="6"/>
      <c r="BS59" s="6"/>
      <c r="BT59" s="6"/>
      <c r="BV59" s="6"/>
      <c r="BW59" s="6"/>
      <c r="BY59" s="6"/>
      <c r="BZ59" s="6"/>
      <c r="CB59" s="6"/>
      <c r="CC59" s="6"/>
      <c r="CE59" s="6"/>
      <c r="CF59" s="6"/>
      <c r="CH59" s="6"/>
      <c r="CI59" s="6"/>
      <c r="CK59" s="6"/>
      <c r="CL59" s="6"/>
      <c r="CN59" s="6"/>
      <c r="CO59" s="6"/>
      <c r="CQ59" s="6"/>
      <c r="CR59" s="6"/>
      <c r="CT59" s="6"/>
      <c r="CU59" s="6"/>
      <c r="CW59" s="6"/>
      <c r="CX59" s="6"/>
      <c r="CZ59" s="6"/>
      <c r="DA59" s="6"/>
      <c r="DC59" s="6"/>
      <c r="DD59" s="6"/>
      <c r="DF59" s="6"/>
      <c r="DG59" s="6"/>
      <c r="DI59" s="6"/>
      <c r="DJ59" s="6"/>
      <c r="DL59" s="6"/>
      <c r="DM59" s="6"/>
      <c r="DO59" s="6"/>
      <c r="DP59" s="6"/>
      <c r="DR59" s="6"/>
      <c r="DS59" s="6"/>
      <c r="DU59" s="6"/>
      <c r="DV59" s="6"/>
      <c r="DX59" s="6"/>
      <c r="DY59" s="6"/>
      <c r="EA59" s="6"/>
      <c r="EB59" s="6"/>
      <c r="ED59" s="6"/>
      <c r="EE59" s="6"/>
      <c r="EG59" s="6"/>
      <c r="EH59" s="6"/>
      <c r="EJ59" s="6"/>
      <c r="EK59" s="6"/>
      <c r="EM59" s="6"/>
      <c r="EN59" s="6"/>
      <c r="EP59" s="6"/>
      <c r="EQ59" s="6"/>
      <c r="ES59" s="6"/>
      <c r="ET59" s="6"/>
      <c r="EV59" s="6"/>
      <c r="EW59" s="6"/>
      <c r="EY59" s="6"/>
      <c r="EZ59" s="6"/>
      <c r="FB59" s="6"/>
      <c r="FC59" s="6"/>
      <c r="FE59" s="6"/>
      <c r="FF59" s="6"/>
      <c r="FH59" s="6"/>
      <c r="FI59" s="6"/>
      <c r="FK59" s="6"/>
      <c r="FL59" s="6"/>
      <c r="FN59" s="6"/>
      <c r="FO59" s="6"/>
      <c r="FQ59" s="6"/>
      <c r="FR59" s="6"/>
      <c r="FT59" s="6"/>
      <c r="FU59" s="6"/>
      <c r="FW59" s="6"/>
      <c r="FX59" s="6"/>
      <c r="FZ59" s="6"/>
      <c r="GA59" s="6"/>
      <c r="GC59" s="6"/>
      <c r="GD59" s="6"/>
      <c r="GF59" s="6"/>
      <c r="GG59" s="6"/>
      <c r="GI59" s="6"/>
      <c r="GJ59" s="6"/>
      <c r="GL59" s="6"/>
      <c r="GM59" s="6"/>
      <c r="GO59" s="6"/>
      <c r="GP59" s="6"/>
      <c r="GR59" s="6"/>
      <c r="GS59" s="6"/>
      <c r="GU59" s="6"/>
      <c r="GV59" s="6"/>
      <c r="GX59" s="6"/>
      <c r="GY59" s="6"/>
      <c r="HA59" s="6"/>
      <c r="HB59" s="6"/>
      <c r="HD59" s="6"/>
      <c r="HE59" s="6"/>
      <c r="HG59" s="6"/>
      <c r="HH59" s="6"/>
      <c r="HJ59" s="6"/>
      <c r="HK59" s="6"/>
      <c r="HM59" s="6"/>
      <c r="HN59" s="6"/>
      <c r="HP59" s="6"/>
      <c r="HQ59" s="6"/>
      <c r="HS59" s="6"/>
      <c r="HT59" s="6"/>
      <c r="HV59" s="6"/>
      <c r="HW59" s="6"/>
      <c r="HY59" s="6"/>
      <c r="HZ59" s="6"/>
      <c r="IB59" s="6"/>
      <c r="IC59" s="6"/>
      <c r="IE59" s="6"/>
      <c r="IF59" s="6"/>
    </row>
    <row r="60" spans="1:240" x14ac:dyDescent="0.3">
      <c r="A60" s="6"/>
      <c r="B60" s="170"/>
      <c r="C60" s="285" t="s">
        <v>21</v>
      </c>
      <c r="D60" s="341"/>
      <c r="E60" s="6"/>
      <c r="G60" s="5"/>
      <c r="J60" s="6"/>
      <c r="K60" s="6"/>
      <c r="M60" s="6"/>
      <c r="N60" s="6"/>
      <c r="P60" s="6"/>
      <c r="Q60" s="6"/>
      <c r="S60" s="6"/>
      <c r="T60" s="6"/>
      <c r="V60" s="6"/>
      <c r="W60" s="6"/>
      <c r="Y60" s="6"/>
      <c r="Z60" s="6"/>
      <c r="AB60" s="6"/>
      <c r="AC60" s="6"/>
      <c r="AE60" s="6"/>
      <c r="AF60" s="6"/>
      <c r="AG60" s="6"/>
      <c r="AI60" s="6"/>
      <c r="AJ60" s="6"/>
      <c r="AL60" s="6"/>
      <c r="AM60" s="6"/>
      <c r="AO60" s="6"/>
      <c r="AP60" s="6"/>
      <c r="AR60" s="6"/>
      <c r="AS60" s="6"/>
      <c r="AU60" s="6"/>
      <c r="AV60" s="6"/>
      <c r="AX60" s="6"/>
      <c r="AY60" s="6"/>
      <c r="BA60" s="6"/>
      <c r="BB60" s="6"/>
      <c r="BD60" s="6"/>
      <c r="BE60" s="6"/>
      <c r="BG60" s="6"/>
      <c r="BH60" s="6"/>
      <c r="BJ60" s="6"/>
      <c r="BK60" s="6"/>
      <c r="BM60" s="6"/>
      <c r="BN60" s="6"/>
      <c r="BP60" s="6"/>
      <c r="BQ60" s="6"/>
      <c r="BS60" s="6"/>
      <c r="BT60" s="6"/>
      <c r="BV60" s="6"/>
      <c r="BW60" s="6"/>
      <c r="BY60" s="6"/>
      <c r="BZ60" s="6"/>
      <c r="CB60" s="6"/>
      <c r="CC60" s="6"/>
      <c r="CE60" s="6"/>
      <c r="CF60" s="6"/>
      <c r="CH60" s="6"/>
      <c r="CI60" s="6"/>
      <c r="CK60" s="6"/>
      <c r="CL60" s="6"/>
      <c r="CN60" s="6"/>
      <c r="CO60" s="6"/>
      <c r="CQ60" s="6"/>
      <c r="CR60" s="6"/>
      <c r="CT60" s="6"/>
      <c r="CU60" s="6"/>
      <c r="CW60" s="6"/>
      <c r="CX60" s="6"/>
      <c r="CZ60" s="6"/>
      <c r="DA60" s="6"/>
      <c r="DC60" s="6"/>
      <c r="DD60" s="6"/>
      <c r="DF60" s="6"/>
      <c r="DG60" s="6"/>
      <c r="DI60" s="6"/>
      <c r="DJ60" s="6"/>
      <c r="DL60" s="6"/>
      <c r="DM60" s="6"/>
      <c r="DO60" s="6"/>
      <c r="DP60" s="6"/>
      <c r="DR60" s="6"/>
      <c r="DS60" s="6"/>
      <c r="DU60" s="6"/>
      <c r="DV60" s="6"/>
      <c r="DX60" s="6"/>
      <c r="DY60" s="6"/>
      <c r="EA60" s="6"/>
      <c r="EB60" s="6"/>
      <c r="ED60" s="6"/>
      <c r="EE60" s="6"/>
      <c r="EG60" s="6"/>
      <c r="EH60" s="6"/>
      <c r="EJ60" s="6"/>
      <c r="EK60" s="6"/>
      <c r="EM60" s="6"/>
      <c r="EN60" s="6"/>
      <c r="EP60" s="6"/>
      <c r="EQ60" s="6"/>
      <c r="ES60" s="6"/>
      <c r="ET60" s="6"/>
      <c r="EV60" s="6"/>
      <c r="EW60" s="6"/>
      <c r="EY60" s="6"/>
      <c r="EZ60" s="6"/>
      <c r="FB60" s="6"/>
      <c r="FC60" s="6"/>
      <c r="FE60" s="6"/>
      <c r="FF60" s="6"/>
      <c r="FH60" s="6"/>
      <c r="FI60" s="6"/>
      <c r="FK60" s="6"/>
      <c r="FL60" s="6"/>
      <c r="FN60" s="6"/>
      <c r="FO60" s="6"/>
      <c r="FQ60" s="6"/>
      <c r="FR60" s="6"/>
      <c r="FT60" s="6"/>
      <c r="FU60" s="6"/>
      <c r="FW60" s="6"/>
      <c r="FX60" s="6"/>
      <c r="FZ60" s="6"/>
      <c r="GA60" s="6"/>
      <c r="GC60" s="6"/>
      <c r="GD60" s="6"/>
      <c r="GF60" s="6"/>
      <c r="GG60" s="6"/>
      <c r="GI60" s="6"/>
      <c r="GJ60" s="6"/>
      <c r="GL60" s="6"/>
      <c r="GM60" s="6"/>
      <c r="GO60" s="6"/>
      <c r="GP60" s="6"/>
      <c r="GR60" s="6"/>
      <c r="GS60" s="6"/>
      <c r="GU60" s="6"/>
      <c r="GV60" s="6"/>
      <c r="GX60" s="6"/>
      <c r="GY60" s="6"/>
      <c r="HA60" s="6"/>
      <c r="HB60" s="6"/>
      <c r="HD60" s="6"/>
      <c r="HE60" s="6"/>
      <c r="HG60" s="6"/>
      <c r="HH60" s="6"/>
      <c r="HJ60" s="6"/>
      <c r="HK60" s="6"/>
      <c r="HM60" s="6"/>
      <c r="HN60" s="6"/>
      <c r="HP60" s="6"/>
      <c r="HQ60" s="6"/>
      <c r="HS60" s="6"/>
      <c r="HT60" s="6"/>
      <c r="HV60" s="6"/>
      <c r="HW60" s="6"/>
      <c r="HY60" s="6"/>
      <c r="HZ60" s="6"/>
      <c r="IB60" s="6"/>
      <c r="IC60" s="6"/>
      <c r="IE60" s="6"/>
      <c r="IF60" s="6"/>
    </row>
    <row r="61" spans="1:240" x14ac:dyDescent="0.3">
      <c r="A61" s="6"/>
      <c r="B61" s="170"/>
      <c r="D61" s="104"/>
      <c r="E61" s="6"/>
      <c r="G61" s="5"/>
      <c r="J61" s="6"/>
      <c r="K61" s="6"/>
      <c r="M61" s="6"/>
      <c r="N61" s="6"/>
      <c r="P61" s="6"/>
      <c r="Q61" s="6"/>
      <c r="S61" s="6"/>
      <c r="T61" s="6"/>
      <c r="V61" s="6"/>
      <c r="W61" s="6"/>
      <c r="Y61" s="6"/>
      <c r="Z61" s="6"/>
      <c r="AB61" s="6"/>
      <c r="AC61" s="6"/>
      <c r="AE61" s="6"/>
      <c r="AF61" s="6"/>
      <c r="AG61" s="6"/>
      <c r="AI61" s="6"/>
      <c r="AJ61" s="6"/>
      <c r="AL61" s="6"/>
      <c r="AM61" s="6"/>
      <c r="AO61" s="6"/>
      <c r="AP61" s="6"/>
      <c r="AR61" s="6"/>
      <c r="AS61" s="6"/>
      <c r="AU61" s="6"/>
      <c r="AV61" s="6"/>
      <c r="AX61" s="6"/>
      <c r="AY61" s="6"/>
      <c r="BA61" s="6"/>
      <c r="BB61" s="6"/>
      <c r="BD61" s="6"/>
      <c r="BE61" s="6"/>
      <c r="BG61" s="6"/>
      <c r="BH61" s="6"/>
      <c r="BJ61" s="6"/>
      <c r="BK61" s="6"/>
      <c r="BM61" s="6"/>
      <c r="BN61" s="6"/>
      <c r="BP61" s="6"/>
      <c r="BQ61" s="6"/>
      <c r="BS61" s="6"/>
      <c r="BT61" s="6"/>
      <c r="BV61" s="6"/>
      <c r="BW61" s="6"/>
      <c r="BY61" s="6"/>
      <c r="BZ61" s="6"/>
      <c r="CB61" s="6"/>
      <c r="CC61" s="6"/>
      <c r="CE61" s="6"/>
      <c r="CF61" s="6"/>
      <c r="CH61" s="6"/>
      <c r="CI61" s="6"/>
      <c r="CK61" s="6"/>
      <c r="CL61" s="6"/>
      <c r="CN61" s="6"/>
      <c r="CO61" s="6"/>
      <c r="CQ61" s="6"/>
      <c r="CR61" s="6"/>
      <c r="CT61" s="6"/>
      <c r="CU61" s="6"/>
      <c r="CW61" s="6"/>
      <c r="CX61" s="6"/>
      <c r="CZ61" s="6"/>
      <c r="DA61" s="6"/>
      <c r="DC61" s="6"/>
      <c r="DD61" s="6"/>
      <c r="DF61" s="6"/>
      <c r="DG61" s="6"/>
      <c r="DI61" s="6"/>
      <c r="DJ61" s="6"/>
      <c r="DL61" s="6"/>
      <c r="DM61" s="6"/>
      <c r="DO61" s="6"/>
      <c r="DP61" s="6"/>
      <c r="DR61" s="6"/>
      <c r="DS61" s="6"/>
      <c r="DU61" s="6"/>
      <c r="DV61" s="6"/>
      <c r="DX61" s="6"/>
      <c r="DY61" s="6"/>
      <c r="EA61" s="6"/>
      <c r="EB61" s="6"/>
      <c r="ED61" s="6"/>
      <c r="EE61" s="6"/>
      <c r="EG61" s="6"/>
      <c r="EH61" s="6"/>
      <c r="EJ61" s="6"/>
      <c r="EK61" s="6"/>
      <c r="EM61" s="6"/>
      <c r="EN61" s="6"/>
      <c r="EP61" s="6"/>
      <c r="EQ61" s="6"/>
      <c r="ES61" s="6"/>
      <c r="ET61" s="6"/>
      <c r="EV61" s="6"/>
      <c r="EW61" s="6"/>
      <c r="EY61" s="6"/>
      <c r="EZ61" s="6"/>
      <c r="FB61" s="6"/>
      <c r="FC61" s="6"/>
      <c r="FE61" s="6"/>
      <c r="FF61" s="6"/>
      <c r="FH61" s="6"/>
      <c r="FI61" s="6"/>
      <c r="FK61" s="6"/>
      <c r="FL61" s="6"/>
      <c r="FN61" s="6"/>
      <c r="FO61" s="6"/>
      <c r="FQ61" s="6"/>
      <c r="FR61" s="6"/>
      <c r="FT61" s="6"/>
      <c r="FU61" s="6"/>
      <c r="FW61" s="6"/>
      <c r="FX61" s="6"/>
      <c r="FZ61" s="6"/>
      <c r="GA61" s="6"/>
      <c r="GC61" s="6"/>
      <c r="GD61" s="6"/>
      <c r="GF61" s="6"/>
      <c r="GG61" s="6"/>
      <c r="GI61" s="6"/>
      <c r="GJ61" s="6"/>
      <c r="GL61" s="6"/>
      <c r="GM61" s="6"/>
      <c r="GO61" s="6"/>
      <c r="GP61" s="6"/>
      <c r="GR61" s="6"/>
      <c r="GS61" s="6"/>
      <c r="GU61" s="6"/>
      <c r="GV61" s="6"/>
      <c r="GX61" s="6"/>
      <c r="GY61" s="6"/>
      <c r="HA61" s="6"/>
      <c r="HB61" s="6"/>
      <c r="HD61" s="6"/>
      <c r="HE61" s="6"/>
      <c r="HG61" s="6"/>
      <c r="HH61" s="6"/>
      <c r="HJ61" s="6"/>
      <c r="HK61" s="6"/>
      <c r="HM61" s="6"/>
      <c r="HN61" s="6"/>
      <c r="HP61" s="6"/>
      <c r="HQ61" s="6"/>
      <c r="HS61" s="6"/>
      <c r="HT61" s="6"/>
      <c r="HV61" s="6"/>
      <c r="HW61" s="6"/>
      <c r="HY61" s="6"/>
      <c r="HZ61" s="6"/>
      <c r="IB61" s="6"/>
      <c r="IC61" s="6"/>
      <c r="IE61" s="6"/>
      <c r="IF61" s="6"/>
    </row>
    <row r="62" spans="1:240" x14ac:dyDescent="0.3">
      <c r="A62" s="6"/>
      <c r="B62" s="170"/>
      <c r="D62" s="104"/>
      <c r="E62" s="6"/>
      <c r="G62" s="5"/>
      <c r="J62" s="6"/>
      <c r="K62" s="6"/>
      <c r="M62" s="6"/>
      <c r="N62" s="6"/>
      <c r="P62" s="6"/>
      <c r="Q62" s="6"/>
      <c r="S62" s="6"/>
      <c r="T62" s="6"/>
      <c r="V62" s="6"/>
      <c r="W62" s="6"/>
      <c r="Y62" s="6"/>
      <c r="Z62" s="6"/>
      <c r="AB62" s="6"/>
      <c r="AC62" s="6"/>
      <c r="AE62" s="6"/>
      <c r="AF62" s="6"/>
      <c r="AG62" s="6"/>
      <c r="AI62" s="6"/>
      <c r="AJ62" s="6"/>
      <c r="AL62" s="6"/>
      <c r="AM62" s="6"/>
      <c r="AO62" s="6"/>
      <c r="AP62" s="6"/>
      <c r="AR62" s="6"/>
      <c r="AS62" s="6"/>
      <c r="AU62" s="6"/>
      <c r="AV62" s="6"/>
      <c r="AX62" s="6"/>
      <c r="AY62" s="6"/>
      <c r="BA62" s="6"/>
      <c r="BB62" s="6"/>
      <c r="BD62" s="6"/>
      <c r="BE62" s="6"/>
      <c r="BG62" s="6"/>
      <c r="BH62" s="6"/>
      <c r="BJ62" s="6"/>
      <c r="BK62" s="6"/>
      <c r="BM62" s="6"/>
      <c r="BN62" s="6"/>
      <c r="BP62" s="6"/>
      <c r="BQ62" s="6"/>
      <c r="BS62" s="6"/>
      <c r="BT62" s="6"/>
      <c r="BV62" s="6"/>
      <c r="BW62" s="6"/>
      <c r="BY62" s="6"/>
      <c r="BZ62" s="6"/>
      <c r="CB62" s="6"/>
      <c r="CC62" s="6"/>
      <c r="CE62" s="6"/>
      <c r="CF62" s="6"/>
      <c r="CH62" s="6"/>
      <c r="CI62" s="6"/>
      <c r="CK62" s="6"/>
      <c r="CL62" s="6"/>
      <c r="CN62" s="6"/>
      <c r="CO62" s="6"/>
      <c r="CQ62" s="6"/>
      <c r="CR62" s="6"/>
      <c r="CT62" s="6"/>
      <c r="CU62" s="6"/>
      <c r="CW62" s="6"/>
      <c r="CX62" s="6"/>
      <c r="CZ62" s="6"/>
      <c r="DA62" s="6"/>
      <c r="DC62" s="6"/>
      <c r="DD62" s="6"/>
      <c r="DF62" s="6"/>
      <c r="DG62" s="6"/>
      <c r="DI62" s="6"/>
      <c r="DJ62" s="6"/>
      <c r="DL62" s="6"/>
      <c r="DM62" s="6"/>
      <c r="DO62" s="6"/>
      <c r="DP62" s="6"/>
      <c r="DR62" s="6"/>
      <c r="DS62" s="6"/>
      <c r="DU62" s="6"/>
      <c r="DV62" s="6"/>
      <c r="DX62" s="6"/>
      <c r="DY62" s="6"/>
      <c r="EA62" s="6"/>
      <c r="EB62" s="6"/>
      <c r="ED62" s="6"/>
      <c r="EE62" s="6"/>
      <c r="EG62" s="6"/>
      <c r="EH62" s="6"/>
      <c r="EJ62" s="6"/>
      <c r="EK62" s="6"/>
      <c r="EM62" s="6"/>
      <c r="EN62" s="6"/>
      <c r="EP62" s="6"/>
      <c r="EQ62" s="6"/>
      <c r="ES62" s="6"/>
      <c r="ET62" s="6"/>
      <c r="EV62" s="6"/>
      <c r="EW62" s="6"/>
      <c r="EY62" s="6"/>
      <c r="EZ62" s="6"/>
      <c r="FB62" s="6"/>
      <c r="FC62" s="6"/>
      <c r="FE62" s="6"/>
      <c r="FF62" s="6"/>
      <c r="FH62" s="6"/>
      <c r="FI62" s="6"/>
      <c r="FK62" s="6"/>
      <c r="FL62" s="6"/>
      <c r="FN62" s="6"/>
      <c r="FO62" s="6"/>
      <c r="FQ62" s="6"/>
      <c r="FR62" s="6"/>
      <c r="FT62" s="6"/>
      <c r="FU62" s="6"/>
      <c r="FW62" s="6"/>
      <c r="FX62" s="6"/>
      <c r="FZ62" s="6"/>
      <c r="GA62" s="6"/>
      <c r="GC62" s="6"/>
      <c r="GD62" s="6"/>
      <c r="GF62" s="6"/>
      <c r="GG62" s="6"/>
      <c r="GI62" s="6"/>
      <c r="GJ62" s="6"/>
      <c r="GL62" s="6"/>
      <c r="GM62" s="6"/>
      <c r="GO62" s="6"/>
      <c r="GP62" s="6"/>
      <c r="GR62" s="6"/>
      <c r="GS62" s="6"/>
      <c r="GU62" s="6"/>
      <c r="GV62" s="6"/>
      <c r="GX62" s="6"/>
      <c r="GY62" s="6"/>
      <c r="HA62" s="6"/>
      <c r="HB62" s="6"/>
      <c r="HD62" s="6"/>
      <c r="HE62" s="6"/>
      <c r="HG62" s="6"/>
      <c r="HH62" s="6"/>
      <c r="HJ62" s="6"/>
      <c r="HK62" s="6"/>
      <c r="HM62" s="6"/>
      <c r="HN62" s="6"/>
      <c r="HP62" s="6"/>
      <c r="HQ62" s="6"/>
      <c r="HS62" s="6"/>
      <c r="HT62" s="6"/>
      <c r="HV62" s="6"/>
      <c r="HW62" s="6"/>
      <c r="HY62" s="6"/>
      <c r="HZ62" s="6"/>
      <c r="IB62" s="6"/>
      <c r="IC62" s="6"/>
      <c r="IE62" s="6"/>
      <c r="IF62" s="6"/>
    </row>
    <row r="63" spans="1:240" x14ac:dyDescent="0.3">
      <c r="A63" s="6"/>
      <c r="B63" s="170"/>
      <c r="D63" s="104"/>
      <c r="E63" s="6"/>
      <c r="G63" s="5"/>
      <c r="J63" s="6"/>
      <c r="K63" s="6"/>
      <c r="M63" s="6"/>
      <c r="N63" s="6"/>
      <c r="P63" s="6"/>
      <c r="Q63" s="6"/>
      <c r="S63" s="6"/>
      <c r="T63" s="6"/>
      <c r="V63" s="6"/>
      <c r="W63" s="6"/>
      <c r="Y63" s="6"/>
      <c r="Z63" s="6"/>
      <c r="AB63" s="6"/>
      <c r="AC63" s="6"/>
      <c r="AE63" s="6"/>
      <c r="AF63" s="6"/>
      <c r="AG63" s="6"/>
      <c r="AI63" s="6"/>
      <c r="AJ63" s="6"/>
      <c r="AL63" s="6"/>
      <c r="AM63" s="6"/>
      <c r="AO63" s="6"/>
      <c r="AP63" s="6"/>
      <c r="AR63" s="6"/>
      <c r="AS63" s="6"/>
      <c r="AU63" s="6"/>
      <c r="AV63" s="6"/>
      <c r="AX63" s="6"/>
      <c r="AY63" s="6"/>
      <c r="BA63" s="6"/>
      <c r="BB63" s="6"/>
      <c r="BD63" s="6"/>
      <c r="BE63" s="6"/>
      <c r="BG63" s="6"/>
      <c r="BH63" s="6"/>
      <c r="BJ63" s="6"/>
      <c r="BK63" s="6"/>
      <c r="BM63" s="6"/>
      <c r="BN63" s="6"/>
      <c r="BP63" s="6"/>
      <c r="BQ63" s="6"/>
      <c r="BS63" s="6"/>
      <c r="BT63" s="6"/>
      <c r="BV63" s="6"/>
      <c r="BW63" s="6"/>
      <c r="BY63" s="6"/>
      <c r="BZ63" s="6"/>
      <c r="CB63" s="6"/>
      <c r="CC63" s="6"/>
      <c r="CE63" s="6"/>
      <c r="CF63" s="6"/>
      <c r="CH63" s="6"/>
      <c r="CI63" s="6"/>
      <c r="CK63" s="6"/>
      <c r="CL63" s="6"/>
      <c r="CN63" s="6"/>
      <c r="CO63" s="6"/>
      <c r="CQ63" s="6"/>
      <c r="CR63" s="6"/>
      <c r="CT63" s="6"/>
      <c r="CU63" s="6"/>
      <c r="CW63" s="6"/>
      <c r="CX63" s="6"/>
      <c r="CZ63" s="6"/>
      <c r="DA63" s="6"/>
      <c r="DC63" s="6"/>
      <c r="DD63" s="6"/>
      <c r="DF63" s="6"/>
      <c r="DG63" s="6"/>
      <c r="DI63" s="6"/>
      <c r="DJ63" s="6"/>
      <c r="DL63" s="6"/>
      <c r="DM63" s="6"/>
      <c r="DO63" s="6"/>
      <c r="DP63" s="6"/>
      <c r="DR63" s="6"/>
      <c r="DS63" s="6"/>
      <c r="DU63" s="6"/>
      <c r="DV63" s="6"/>
      <c r="DX63" s="6"/>
      <c r="DY63" s="6"/>
      <c r="EA63" s="6"/>
      <c r="EB63" s="6"/>
      <c r="ED63" s="6"/>
      <c r="EE63" s="6"/>
      <c r="EG63" s="6"/>
      <c r="EH63" s="6"/>
      <c r="EJ63" s="6"/>
      <c r="EK63" s="6"/>
      <c r="EM63" s="6"/>
      <c r="EN63" s="6"/>
      <c r="EP63" s="6"/>
      <c r="EQ63" s="6"/>
      <c r="ES63" s="6"/>
      <c r="ET63" s="6"/>
      <c r="EV63" s="6"/>
      <c r="EW63" s="6"/>
      <c r="EY63" s="6"/>
      <c r="EZ63" s="6"/>
      <c r="FB63" s="6"/>
      <c r="FC63" s="6"/>
      <c r="FE63" s="6"/>
      <c r="FF63" s="6"/>
      <c r="FH63" s="6"/>
      <c r="FI63" s="6"/>
      <c r="FK63" s="6"/>
      <c r="FL63" s="6"/>
      <c r="FN63" s="6"/>
      <c r="FO63" s="6"/>
      <c r="FQ63" s="6"/>
      <c r="FR63" s="6"/>
      <c r="FT63" s="6"/>
      <c r="FU63" s="6"/>
      <c r="FW63" s="6"/>
      <c r="FX63" s="6"/>
      <c r="FZ63" s="6"/>
      <c r="GA63" s="6"/>
      <c r="GC63" s="6"/>
      <c r="GD63" s="6"/>
      <c r="GF63" s="6"/>
      <c r="GG63" s="6"/>
      <c r="GI63" s="6"/>
      <c r="GJ63" s="6"/>
      <c r="GL63" s="6"/>
      <c r="GM63" s="6"/>
      <c r="GO63" s="6"/>
      <c r="GP63" s="6"/>
      <c r="GR63" s="6"/>
      <c r="GS63" s="6"/>
      <c r="GU63" s="6"/>
      <c r="GV63" s="6"/>
      <c r="GX63" s="6"/>
      <c r="GY63" s="6"/>
      <c r="HA63" s="6"/>
      <c r="HB63" s="6"/>
      <c r="HD63" s="6"/>
      <c r="HE63" s="6"/>
      <c r="HG63" s="6"/>
      <c r="HH63" s="6"/>
      <c r="HJ63" s="6"/>
      <c r="HK63" s="6"/>
      <c r="HM63" s="6"/>
      <c r="HN63" s="6"/>
      <c r="HP63" s="6"/>
      <c r="HQ63" s="6"/>
      <c r="HS63" s="6"/>
      <c r="HT63" s="6"/>
      <c r="HV63" s="6"/>
      <c r="HW63" s="6"/>
      <c r="HY63" s="6"/>
      <c r="HZ63" s="6"/>
      <c r="IB63" s="6"/>
      <c r="IC63" s="6"/>
      <c r="IE63" s="6"/>
      <c r="IF63" s="6"/>
    </row>
    <row r="64" spans="1:240" x14ac:dyDescent="0.3">
      <c r="A64" s="6"/>
      <c r="B64" s="170"/>
      <c r="D64" s="104"/>
      <c r="E64" s="6"/>
      <c r="G64" s="5"/>
      <c r="J64" s="6"/>
      <c r="K64" s="6"/>
      <c r="M64" s="6"/>
      <c r="N64" s="6"/>
      <c r="P64" s="6"/>
      <c r="Q64" s="6"/>
      <c r="S64" s="6"/>
      <c r="T64" s="6"/>
      <c r="V64" s="6"/>
      <c r="W64" s="6"/>
      <c r="Y64" s="6"/>
      <c r="Z64" s="6"/>
      <c r="AB64" s="6"/>
      <c r="AC64" s="6"/>
      <c r="AE64" s="6"/>
      <c r="AF64" s="6"/>
      <c r="AG64" s="6"/>
      <c r="AI64" s="6"/>
      <c r="AJ64" s="6"/>
      <c r="AL64" s="6"/>
      <c r="AM64" s="6"/>
      <c r="AO64" s="6"/>
      <c r="AP64" s="6"/>
      <c r="AR64" s="6"/>
      <c r="AS64" s="6"/>
      <c r="AU64" s="6"/>
      <c r="AV64" s="6"/>
      <c r="AX64" s="6"/>
      <c r="AY64" s="6"/>
      <c r="BA64" s="6"/>
      <c r="BB64" s="6"/>
      <c r="BD64" s="6"/>
      <c r="BE64" s="6"/>
      <c r="BG64" s="6"/>
      <c r="BH64" s="6"/>
      <c r="BJ64" s="6"/>
      <c r="BK64" s="6"/>
      <c r="BM64" s="6"/>
      <c r="BN64" s="6"/>
      <c r="BP64" s="6"/>
      <c r="BQ64" s="6"/>
      <c r="BS64" s="6"/>
      <c r="BT64" s="6"/>
      <c r="BV64" s="6"/>
      <c r="BW64" s="6"/>
      <c r="BY64" s="6"/>
      <c r="BZ64" s="6"/>
      <c r="CB64" s="6"/>
      <c r="CC64" s="6"/>
      <c r="CE64" s="6"/>
      <c r="CF64" s="6"/>
      <c r="CH64" s="6"/>
      <c r="CI64" s="6"/>
      <c r="CK64" s="6"/>
      <c r="CL64" s="6"/>
      <c r="CN64" s="6"/>
      <c r="CO64" s="6"/>
      <c r="CQ64" s="6"/>
      <c r="CR64" s="6"/>
      <c r="CT64" s="6"/>
      <c r="CU64" s="6"/>
      <c r="CW64" s="6"/>
      <c r="CX64" s="6"/>
      <c r="CZ64" s="6"/>
      <c r="DA64" s="6"/>
      <c r="DC64" s="6"/>
      <c r="DD64" s="6"/>
      <c r="DF64" s="6"/>
      <c r="DG64" s="6"/>
      <c r="DI64" s="6"/>
      <c r="DJ64" s="6"/>
      <c r="DL64" s="6"/>
      <c r="DM64" s="6"/>
      <c r="DO64" s="6"/>
      <c r="DP64" s="6"/>
      <c r="DR64" s="6"/>
      <c r="DS64" s="6"/>
      <c r="DU64" s="6"/>
      <c r="DV64" s="6"/>
      <c r="DX64" s="6"/>
      <c r="DY64" s="6"/>
      <c r="EA64" s="6"/>
      <c r="EB64" s="6"/>
      <c r="ED64" s="6"/>
      <c r="EE64" s="6"/>
      <c r="EG64" s="6"/>
      <c r="EH64" s="6"/>
      <c r="EJ64" s="6"/>
      <c r="EK64" s="6"/>
      <c r="EM64" s="6"/>
      <c r="EN64" s="6"/>
      <c r="EP64" s="6"/>
      <c r="EQ64" s="6"/>
      <c r="ES64" s="6"/>
      <c r="ET64" s="6"/>
      <c r="EV64" s="6"/>
      <c r="EW64" s="6"/>
      <c r="EY64" s="6"/>
      <c r="EZ64" s="6"/>
      <c r="FB64" s="6"/>
      <c r="FC64" s="6"/>
      <c r="FE64" s="6"/>
      <c r="FF64" s="6"/>
      <c r="FH64" s="6"/>
      <c r="FI64" s="6"/>
      <c r="FK64" s="6"/>
      <c r="FL64" s="6"/>
      <c r="FN64" s="6"/>
      <c r="FO64" s="6"/>
      <c r="FQ64" s="6"/>
      <c r="FR64" s="6"/>
      <c r="FT64" s="6"/>
      <c r="FU64" s="6"/>
      <c r="FW64" s="6"/>
      <c r="FX64" s="6"/>
      <c r="FZ64" s="6"/>
      <c r="GA64" s="6"/>
      <c r="GC64" s="6"/>
      <c r="GD64" s="6"/>
      <c r="GF64" s="6"/>
      <c r="GG64" s="6"/>
      <c r="GI64" s="6"/>
      <c r="GJ64" s="6"/>
      <c r="GL64" s="6"/>
      <c r="GM64" s="6"/>
      <c r="GO64" s="6"/>
      <c r="GP64" s="6"/>
      <c r="GR64" s="6"/>
      <c r="GS64" s="6"/>
      <c r="GU64" s="6"/>
      <c r="GV64" s="6"/>
      <c r="GX64" s="6"/>
      <c r="GY64" s="6"/>
      <c r="HA64" s="6"/>
      <c r="HB64" s="6"/>
      <c r="HD64" s="6"/>
      <c r="HE64" s="6"/>
      <c r="HG64" s="6"/>
      <c r="HH64" s="6"/>
      <c r="HJ64" s="6"/>
      <c r="HK64" s="6"/>
      <c r="HM64" s="6"/>
      <c r="HN64" s="6"/>
      <c r="HP64" s="6"/>
      <c r="HQ64" s="6"/>
      <c r="HS64" s="6"/>
      <c r="HT64" s="6"/>
      <c r="HV64" s="6"/>
      <c r="HW64" s="6"/>
      <c r="HY64" s="6"/>
      <c r="HZ64" s="6"/>
      <c r="IB64" s="6"/>
      <c r="IC64" s="6"/>
      <c r="IE64" s="6"/>
      <c r="IF64" s="6"/>
    </row>
    <row r="65" spans="1:240" ht="24.75" customHeight="1" x14ac:dyDescent="0.3">
      <c r="A65" s="6"/>
      <c r="D65" s="104"/>
      <c r="E65" s="6"/>
      <c r="G65" s="5"/>
      <c r="J65" s="6"/>
      <c r="K65" s="6"/>
      <c r="M65" s="6"/>
      <c r="N65" s="6"/>
      <c r="P65" s="6"/>
      <c r="Q65" s="6"/>
      <c r="S65" s="6"/>
      <c r="T65" s="6"/>
      <c r="V65" s="6"/>
      <c r="W65" s="6"/>
      <c r="Y65" s="6"/>
      <c r="Z65" s="6"/>
      <c r="AB65" s="6"/>
      <c r="AC65" s="6"/>
      <c r="AE65" s="6"/>
      <c r="AF65" s="6"/>
      <c r="AG65" s="6"/>
      <c r="AI65" s="6"/>
      <c r="AJ65" s="6"/>
      <c r="AL65" s="6"/>
      <c r="AM65" s="6"/>
      <c r="AO65" s="6"/>
      <c r="AP65" s="6"/>
      <c r="AR65" s="6"/>
      <c r="AS65" s="6"/>
      <c r="AU65" s="6"/>
      <c r="AV65" s="6"/>
      <c r="AX65" s="6"/>
      <c r="AY65" s="6"/>
      <c r="BA65" s="6"/>
      <c r="BB65" s="6"/>
      <c r="BD65" s="6"/>
      <c r="BE65" s="6"/>
      <c r="BG65" s="6"/>
      <c r="BH65" s="6"/>
      <c r="BJ65" s="6"/>
      <c r="BK65" s="6"/>
      <c r="BM65" s="6"/>
      <c r="BN65" s="6"/>
      <c r="BP65" s="6"/>
      <c r="BQ65" s="6"/>
      <c r="BS65" s="6"/>
      <c r="BT65" s="6"/>
      <c r="BV65" s="6"/>
      <c r="BW65" s="6"/>
      <c r="BY65" s="6"/>
      <c r="BZ65" s="6"/>
      <c r="CB65" s="6"/>
      <c r="CC65" s="6"/>
      <c r="CE65" s="6"/>
      <c r="CF65" s="6"/>
      <c r="CH65" s="6"/>
      <c r="CI65" s="6"/>
      <c r="CK65" s="6"/>
      <c r="CL65" s="6"/>
      <c r="CN65" s="6"/>
      <c r="CO65" s="6"/>
      <c r="CQ65" s="6"/>
      <c r="CR65" s="6"/>
      <c r="CT65" s="6"/>
      <c r="CU65" s="6"/>
      <c r="CW65" s="6"/>
      <c r="CX65" s="6"/>
      <c r="CZ65" s="6"/>
      <c r="DA65" s="6"/>
      <c r="DC65" s="6"/>
      <c r="DD65" s="6"/>
      <c r="DF65" s="6"/>
      <c r="DG65" s="6"/>
      <c r="DI65" s="6"/>
      <c r="DJ65" s="6"/>
      <c r="DL65" s="6"/>
      <c r="DM65" s="6"/>
      <c r="DO65" s="6"/>
      <c r="DP65" s="6"/>
      <c r="DR65" s="6"/>
      <c r="DS65" s="6"/>
      <c r="DU65" s="6"/>
      <c r="DV65" s="6"/>
      <c r="DX65" s="6"/>
      <c r="DY65" s="6"/>
      <c r="EA65" s="6"/>
      <c r="EB65" s="6"/>
      <c r="ED65" s="6"/>
      <c r="EE65" s="6"/>
      <c r="EG65" s="6"/>
      <c r="EH65" s="6"/>
      <c r="EJ65" s="6"/>
      <c r="EK65" s="6"/>
      <c r="EM65" s="6"/>
      <c r="EN65" s="6"/>
      <c r="EP65" s="6"/>
      <c r="EQ65" s="6"/>
      <c r="ES65" s="6"/>
      <c r="ET65" s="6"/>
      <c r="EV65" s="6"/>
      <c r="EW65" s="6"/>
      <c r="EY65" s="6"/>
      <c r="EZ65" s="6"/>
      <c r="FB65" s="6"/>
      <c r="FC65" s="6"/>
      <c r="FE65" s="6"/>
      <c r="FF65" s="6"/>
      <c r="FH65" s="6"/>
      <c r="FI65" s="6"/>
      <c r="FK65" s="6"/>
      <c r="FL65" s="6"/>
      <c r="FN65" s="6"/>
      <c r="FO65" s="6"/>
      <c r="FQ65" s="6"/>
      <c r="FR65" s="6"/>
      <c r="FT65" s="6"/>
      <c r="FU65" s="6"/>
      <c r="FW65" s="6"/>
      <c r="FX65" s="6"/>
      <c r="FZ65" s="6"/>
      <c r="GA65" s="6"/>
      <c r="GC65" s="6"/>
      <c r="GD65" s="6"/>
      <c r="GF65" s="6"/>
      <c r="GG65" s="6"/>
      <c r="GI65" s="6"/>
      <c r="GJ65" s="6"/>
      <c r="GL65" s="6"/>
      <c r="GM65" s="6"/>
      <c r="GO65" s="6"/>
      <c r="GP65" s="6"/>
      <c r="GR65" s="6"/>
      <c r="GS65" s="6"/>
      <c r="GU65" s="6"/>
      <c r="GV65" s="6"/>
      <c r="GX65" s="6"/>
      <c r="GY65" s="6"/>
      <c r="HA65" s="6"/>
      <c r="HB65" s="6"/>
      <c r="HD65" s="6"/>
      <c r="HE65" s="6"/>
      <c r="HG65" s="6"/>
      <c r="HH65" s="6"/>
      <c r="HJ65" s="6"/>
      <c r="HK65" s="6"/>
      <c r="HM65" s="6"/>
      <c r="HN65" s="6"/>
      <c r="HP65" s="6"/>
      <c r="HQ65" s="6"/>
      <c r="HS65" s="6"/>
      <c r="HT65" s="6"/>
      <c r="HV65" s="6"/>
      <c r="HW65" s="6"/>
      <c r="HY65" s="6"/>
      <c r="HZ65" s="6"/>
      <c r="IB65" s="6"/>
      <c r="IC65" s="6"/>
      <c r="IE65" s="6"/>
      <c r="IF65" s="6"/>
    </row>
    <row r="66" spans="1:240" x14ac:dyDescent="0.3">
      <c r="A66" s="289" t="s">
        <v>246</v>
      </c>
      <c r="B66" s="290" t="s">
        <v>247</v>
      </c>
      <c r="C66" s="291" t="s">
        <v>248</v>
      </c>
      <c r="D66" s="290" t="s">
        <v>249</v>
      </c>
      <c r="E66" s="290" t="s">
        <v>250</v>
      </c>
      <c r="F66" s="290" t="s">
        <v>251</v>
      </c>
      <c r="G66" s="290" t="s">
        <v>252</v>
      </c>
      <c r="H66" s="290" t="s">
        <v>253</v>
      </c>
      <c r="I66" s="290" t="s">
        <v>254</v>
      </c>
      <c r="J66" s="290" t="s">
        <v>255</v>
      </c>
      <c r="K66" s="290" t="s">
        <v>256</v>
      </c>
      <c r="L66" s="290" t="s">
        <v>257</v>
      </c>
      <c r="M66" s="290" t="s">
        <v>258</v>
      </c>
      <c r="N66" s="290" t="s">
        <v>259</v>
      </c>
      <c r="O66" s="290" t="s">
        <v>260</v>
      </c>
      <c r="P66" s="290" t="s">
        <v>200</v>
      </c>
      <c r="Q66" s="290" t="s">
        <v>261</v>
      </c>
      <c r="R66" s="290" t="s">
        <v>1</v>
      </c>
      <c r="S66" s="291" t="s">
        <v>301</v>
      </c>
    </row>
    <row r="67" spans="1:240" x14ac:dyDescent="0.3">
      <c r="A67" s="286" t="s">
        <v>203</v>
      </c>
      <c r="B67" s="284" t="s">
        <v>272</v>
      </c>
      <c r="C67" s="287" t="s">
        <v>274</v>
      </c>
      <c r="D67" s="284" t="s">
        <v>279</v>
      </c>
      <c r="E67" s="284" t="s">
        <v>281</v>
      </c>
      <c r="F67" s="284" t="s">
        <v>282</v>
      </c>
      <c r="G67" s="284" t="s">
        <v>283</v>
      </c>
      <c r="H67" s="284" t="s">
        <v>285</v>
      </c>
      <c r="I67" s="284" t="s">
        <v>287</v>
      </c>
      <c r="J67" s="284" t="s">
        <v>289</v>
      </c>
      <c r="K67" s="284" t="s">
        <v>293</v>
      </c>
      <c r="L67" s="284" t="s">
        <v>294</v>
      </c>
      <c r="M67" s="284" t="s">
        <v>295</v>
      </c>
      <c r="N67" s="284" t="s">
        <v>223</v>
      </c>
      <c r="O67" s="284" t="s">
        <v>298</v>
      </c>
      <c r="P67" s="284" t="s">
        <v>300</v>
      </c>
      <c r="Q67" s="338" t="s">
        <v>414</v>
      </c>
      <c r="R67" s="284" t="s">
        <v>415</v>
      </c>
      <c r="S67" s="339" t="s">
        <v>417</v>
      </c>
    </row>
    <row r="68" spans="1:240" x14ac:dyDescent="0.3">
      <c r="A68" s="286" t="s">
        <v>205</v>
      </c>
      <c r="B68" s="284" t="s">
        <v>224</v>
      </c>
      <c r="C68" s="287" t="s">
        <v>279</v>
      </c>
      <c r="D68" s="284" t="s">
        <v>280</v>
      </c>
      <c r="E68" s="284" t="s">
        <v>19</v>
      </c>
      <c r="F68" s="284" t="s">
        <v>19</v>
      </c>
      <c r="G68" s="284" t="s">
        <v>284</v>
      </c>
      <c r="H68" s="284" t="s">
        <v>241</v>
      </c>
      <c r="I68" s="284" t="s">
        <v>207</v>
      </c>
      <c r="J68" s="284" t="s">
        <v>204</v>
      </c>
      <c r="K68" s="284" t="s">
        <v>234</v>
      </c>
      <c r="L68" s="284" t="s">
        <v>230</v>
      </c>
      <c r="M68" s="284" t="s">
        <v>296</v>
      </c>
      <c r="N68" s="284" t="s">
        <v>228</v>
      </c>
      <c r="O68" s="284" t="s">
        <v>299</v>
      </c>
      <c r="P68" s="284" t="s">
        <v>201</v>
      </c>
      <c r="Q68" s="284" t="s">
        <v>20</v>
      </c>
      <c r="R68" s="285" t="s">
        <v>20</v>
      </c>
      <c r="S68" s="287" t="s">
        <v>20</v>
      </c>
    </row>
    <row r="69" spans="1:240" ht="12" customHeight="1" x14ac:dyDescent="0.3">
      <c r="A69" s="286" t="s">
        <v>206</v>
      </c>
      <c r="B69" s="284" t="s">
        <v>225</v>
      </c>
      <c r="C69" s="287" t="s">
        <v>275</v>
      </c>
      <c r="D69" s="284" t="s">
        <v>269</v>
      </c>
      <c r="E69" s="284" t="s">
        <v>20</v>
      </c>
      <c r="F69" s="284" t="s">
        <v>20</v>
      </c>
      <c r="G69" s="284" t="s">
        <v>222</v>
      </c>
      <c r="H69" s="284" t="s">
        <v>242</v>
      </c>
      <c r="I69" s="284" t="s">
        <v>288</v>
      </c>
      <c r="J69" s="284" t="s">
        <v>290</v>
      </c>
      <c r="K69" s="284" t="s">
        <v>240</v>
      </c>
      <c r="L69" s="284" t="s">
        <v>19</v>
      </c>
      <c r="M69" s="284" t="s">
        <v>235</v>
      </c>
      <c r="N69" s="284" t="s">
        <v>236</v>
      </c>
      <c r="O69" s="284" t="s">
        <v>233</v>
      </c>
      <c r="P69" s="284" t="s">
        <v>226</v>
      </c>
      <c r="Q69" s="285"/>
      <c r="R69" s="285"/>
      <c r="S69" s="288"/>
    </row>
    <row r="70" spans="1:240" x14ac:dyDescent="0.3">
      <c r="A70" s="286" t="s">
        <v>270</v>
      </c>
      <c r="B70" s="284" t="s">
        <v>238</v>
      </c>
      <c r="C70" s="287" t="s">
        <v>276</v>
      </c>
      <c r="D70" s="284" t="s">
        <v>19</v>
      </c>
      <c r="E70" s="284" t="s">
        <v>21</v>
      </c>
      <c r="F70" s="284" t="s">
        <v>21</v>
      </c>
      <c r="G70" s="284" t="s">
        <v>232</v>
      </c>
      <c r="H70" s="284" t="s">
        <v>286</v>
      </c>
      <c r="I70" s="284" t="s">
        <v>227</v>
      </c>
      <c r="J70" s="284" t="s">
        <v>291</v>
      </c>
      <c r="K70" s="284" t="s">
        <v>19</v>
      </c>
      <c r="L70" s="284" t="s">
        <v>20</v>
      </c>
      <c r="M70" s="284" t="s">
        <v>124</v>
      </c>
      <c r="N70" s="284" t="s">
        <v>269</v>
      </c>
      <c r="O70" s="284" t="s">
        <v>19</v>
      </c>
      <c r="P70" s="284" t="s">
        <v>231</v>
      </c>
      <c r="Q70" s="285"/>
      <c r="R70" s="285"/>
      <c r="S70" s="288"/>
    </row>
    <row r="71" spans="1:240" x14ac:dyDescent="0.3">
      <c r="A71" s="286" t="s">
        <v>271</v>
      </c>
      <c r="B71" s="284" t="s">
        <v>273</v>
      </c>
      <c r="C71" s="287" t="s">
        <v>277</v>
      </c>
      <c r="D71" s="284" t="s">
        <v>20</v>
      </c>
      <c r="E71" s="284"/>
      <c r="F71" s="284"/>
      <c r="G71" s="284" t="s">
        <v>237</v>
      </c>
      <c r="H71" s="284" t="s">
        <v>269</v>
      </c>
      <c r="I71" s="284" t="s">
        <v>229</v>
      </c>
      <c r="J71" s="284" t="s">
        <v>292</v>
      </c>
      <c r="K71" s="284" t="s">
        <v>20</v>
      </c>
      <c r="L71" s="284" t="s">
        <v>21</v>
      </c>
      <c r="M71" s="284" t="s">
        <v>297</v>
      </c>
      <c r="N71" s="285" t="s">
        <v>19</v>
      </c>
      <c r="O71" s="284" t="s">
        <v>20</v>
      </c>
      <c r="P71" s="284" t="s">
        <v>244</v>
      </c>
      <c r="Q71" s="285"/>
      <c r="R71" s="285"/>
      <c r="S71" s="288"/>
    </row>
    <row r="72" spans="1:240" x14ac:dyDescent="0.3">
      <c r="A72" s="286" t="s">
        <v>208</v>
      </c>
      <c r="B72" s="284" t="s">
        <v>239</v>
      </c>
      <c r="C72" s="287" t="s">
        <v>278</v>
      </c>
      <c r="D72" s="284" t="s">
        <v>21</v>
      </c>
      <c r="E72" s="285"/>
      <c r="F72" s="285"/>
      <c r="G72" s="284" t="s">
        <v>19</v>
      </c>
      <c r="H72" s="284" t="s">
        <v>19</v>
      </c>
      <c r="I72" s="284" t="s">
        <v>125</v>
      </c>
      <c r="J72" s="284" t="s">
        <v>213</v>
      </c>
      <c r="K72" s="284" t="s">
        <v>21</v>
      </c>
      <c r="L72" s="284"/>
      <c r="M72" s="284" t="s">
        <v>269</v>
      </c>
      <c r="N72" s="285" t="s">
        <v>20</v>
      </c>
      <c r="O72" s="284" t="s">
        <v>21</v>
      </c>
      <c r="P72" s="284" t="s">
        <v>243</v>
      </c>
      <c r="Q72" s="285"/>
      <c r="R72" s="285"/>
      <c r="S72" s="288"/>
    </row>
    <row r="73" spans="1:240" x14ac:dyDescent="0.3">
      <c r="A73" s="286" t="s">
        <v>209</v>
      </c>
      <c r="B73" s="284" t="s">
        <v>245</v>
      </c>
      <c r="C73" s="287" t="s">
        <v>269</v>
      </c>
      <c r="D73" s="285"/>
      <c r="E73" s="285"/>
      <c r="F73" s="285"/>
      <c r="G73" s="284" t="s">
        <v>20</v>
      </c>
      <c r="H73" s="284" t="s">
        <v>20</v>
      </c>
      <c r="I73" s="284" t="s">
        <v>19</v>
      </c>
      <c r="J73" s="284" t="s">
        <v>19</v>
      </c>
      <c r="K73" s="284"/>
      <c r="L73" s="285"/>
      <c r="M73" s="284" t="s">
        <v>19</v>
      </c>
      <c r="N73" s="285" t="s">
        <v>21</v>
      </c>
      <c r="O73" s="284"/>
      <c r="P73" s="284" t="s">
        <v>269</v>
      </c>
      <c r="Q73" s="285"/>
      <c r="R73" s="285"/>
      <c r="S73" s="288"/>
    </row>
    <row r="74" spans="1:240" x14ac:dyDescent="0.3">
      <c r="A74" s="286" t="s">
        <v>210</v>
      </c>
      <c r="B74" s="284" t="s">
        <v>19</v>
      </c>
      <c r="C74" s="287" t="s">
        <v>19</v>
      </c>
      <c r="D74" s="285"/>
      <c r="E74" s="285"/>
      <c r="F74" s="285"/>
      <c r="G74" s="284" t="s">
        <v>21</v>
      </c>
      <c r="H74" s="284" t="s">
        <v>21</v>
      </c>
      <c r="I74" s="284" t="s">
        <v>20</v>
      </c>
      <c r="J74" s="284" t="s">
        <v>20</v>
      </c>
      <c r="K74" s="285"/>
      <c r="L74" s="285"/>
      <c r="M74" s="284" t="s">
        <v>20</v>
      </c>
      <c r="N74" s="285"/>
      <c r="O74" s="285"/>
      <c r="P74" s="284" t="s">
        <v>19</v>
      </c>
      <c r="Q74" s="285"/>
      <c r="R74" s="285"/>
      <c r="S74" s="288"/>
    </row>
    <row r="75" spans="1:240" x14ac:dyDescent="0.3">
      <c r="A75" s="286" t="s">
        <v>211</v>
      </c>
      <c r="B75" s="284" t="s">
        <v>20</v>
      </c>
      <c r="C75" s="287" t="s">
        <v>20</v>
      </c>
      <c r="D75" s="285"/>
      <c r="E75" s="285"/>
      <c r="F75" s="285"/>
      <c r="G75" s="284"/>
      <c r="H75" s="285"/>
      <c r="I75" s="284" t="s">
        <v>21</v>
      </c>
      <c r="J75" s="284" t="s">
        <v>21</v>
      </c>
      <c r="K75" s="285"/>
      <c r="L75" s="285"/>
      <c r="M75" s="285" t="s">
        <v>21</v>
      </c>
      <c r="N75" s="284"/>
      <c r="O75" s="284"/>
      <c r="P75" s="284" t="s">
        <v>20</v>
      </c>
      <c r="Q75" s="285"/>
      <c r="R75" s="285"/>
      <c r="S75" s="288"/>
    </row>
    <row r="76" spans="1:240" x14ac:dyDescent="0.3">
      <c r="A76" s="286" t="s">
        <v>212</v>
      </c>
      <c r="B76" s="284" t="s">
        <v>21</v>
      </c>
      <c r="C76" s="287" t="s">
        <v>21</v>
      </c>
      <c r="D76" s="285"/>
      <c r="E76" s="285"/>
      <c r="F76" s="285"/>
      <c r="G76" s="285"/>
      <c r="H76" s="285"/>
      <c r="I76" s="285"/>
      <c r="J76" s="284"/>
      <c r="K76" s="285"/>
      <c r="L76" s="285"/>
      <c r="M76" s="285"/>
      <c r="N76" s="285"/>
      <c r="O76" s="285"/>
      <c r="P76" s="284" t="s">
        <v>21</v>
      </c>
      <c r="Q76" s="285"/>
      <c r="R76" s="285"/>
      <c r="S76" s="288"/>
    </row>
    <row r="77" spans="1:240" x14ac:dyDescent="0.3">
      <c r="A77" s="286" t="s">
        <v>214</v>
      </c>
      <c r="B77" s="284"/>
      <c r="C77" s="288"/>
      <c r="D77" s="285"/>
      <c r="E77" s="285"/>
      <c r="F77" s="285"/>
      <c r="G77" s="285"/>
      <c r="H77" s="285"/>
      <c r="I77" s="285"/>
      <c r="J77" s="285"/>
      <c r="K77" s="285"/>
      <c r="L77" s="285"/>
      <c r="M77" s="285"/>
      <c r="N77" s="285"/>
      <c r="O77" s="285"/>
      <c r="P77" s="285"/>
      <c r="Q77" s="285"/>
      <c r="R77" s="285"/>
      <c r="S77" s="288"/>
    </row>
    <row r="78" spans="1:240" x14ac:dyDescent="0.3">
      <c r="A78" s="286" t="s">
        <v>215</v>
      </c>
      <c r="B78" s="285"/>
      <c r="C78" s="288"/>
      <c r="D78" s="285"/>
      <c r="E78" s="285"/>
      <c r="F78" s="285"/>
      <c r="G78" s="285"/>
      <c r="H78" s="285"/>
      <c r="I78" s="285"/>
      <c r="J78" s="285"/>
      <c r="K78" s="285"/>
      <c r="L78" s="285"/>
      <c r="M78" s="285"/>
      <c r="N78" s="285"/>
      <c r="O78" s="285"/>
      <c r="P78" s="285"/>
      <c r="Q78" s="285"/>
      <c r="R78" s="285"/>
      <c r="S78" s="288"/>
    </row>
    <row r="79" spans="1:240" x14ac:dyDescent="0.3">
      <c r="A79" s="286" t="s">
        <v>216</v>
      </c>
      <c r="B79" s="285"/>
      <c r="C79" s="288"/>
      <c r="D79" s="285"/>
      <c r="E79" s="285"/>
      <c r="F79" s="285"/>
      <c r="G79" s="285"/>
      <c r="H79" s="285"/>
      <c r="I79" s="285"/>
      <c r="J79" s="285"/>
      <c r="K79" s="285"/>
      <c r="L79" s="285"/>
      <c r="M79" s="285"/>
      <c r="N79" s="285"/>
      <c r="O79" s="285"/>
      <c r="P79" s="285"/>
      <c r="Q79" s="285"/>
      <c r="R79" s="285"/>
      <c r="S79" s="288"/>
    </row>
    <row r="80" spans="1:240" x14ac:dyDescent="0.3">
      <c r="A80" s="286" t="s">
        <v>217</v>
      </c>
      <c r="B80" s="285"/>
      <c r="C80" s="288"/>
      <c r="D80" s="285"/>
      <c r="E80" s="285"/>
      <c r="F80" s="285"/>
      <c r="G80" s="285"/>
      <c r="H80" s="285"/>
      <c r="I80" s="285"/>
      <c r="J80" s="285"/>
      <c r="K80" s="285"/>
      <c r="L80" s="285"/>
      <c r="M80" s="285"/>
      <c r="N80" s="285"/>
      <c r="O80" s="285"/>
      <c r="P80" s="285"/>
      <c r="Q80" s="285"/>
      <c r="R80" s="285"/>
      <c r="S80" s="288"/>
    </row>
    <row r="81" spans="1:19" x14ac:dyDescent="0.3">
      <c r="A81" s="286" t="s">
        <v>218</v>
      </c>
      <c r="B81" s="285"/>
      <c r="C81" s="288"/>
      <c r="D81" s="285"/>
      <c r="E81" s="285"/>
      <c r="F81" s="285"/>
      <c r="G81" s="285"/>
      <c r="H81" s="285"/>
      <c r="I81" s="285"/>
      <c r="J81" s="285"/>
      <c r="K81" s="285"/>
      <c r="L81" s="285"/>
      <c r="M81" s="285"/>
      <c r="N81" s="285"/>
      <c r="O81" s="285"/>
      <c r="P81" s="285"/>
      <c r="Q81" s="285"/>
      <c r="R81" s="285"/>
      <c r="S81" s="288"/>
    </row>
    <row r="82" spans="1:19" x14ac:dyDescent="0.3">
      <c r="A82" s="286" t="s">
        <v>219</v>
      </c>
      <c r="B82" s="285"/>
      <c r="C82" s="288"/>
      <c r="D82" s="285"/>
      <c r="E82" s="285"/>
      <c r="F82" s="285"/>
      <c r="G82" s="285"/>
      <c r="H82" s="285"/>
      <c r="I82" s="285"/>
      <c r="J82" s="285"/>
      <c r="K82" s="285"/>
      <c r="L82" s="285"/>
      <c r="M82" s="285"/>
      <c r="N82" s="285"/>
      <c r="O82" s="285"/>
      <c r="P82" s="285"/>
      <c r="Q82" s="285"/>
      <c r="R82" s="285"/>
      <c r="S82" s="288"/>
    </row>
    <row r="83" spans="1:19" x14ac:dyDescent="0.3">
      <c r="A83" s="286" t="s">
        <v>220</v>
      </c>
      <c r="B83" s="285"/>
      <c r="C83" s="288"/>
      <c r="D83" s="285"/>
      <c r="E83" s="285"/>
      <c r="F83" s="285"/>
      <c r="G83" s="285"/>
      <c r="H83" s="285"/>
      <c r="I83" s="285"/>
      <c r="J83" s="285"/>
      <c r="K83" s="285"/>
      <c r="L83" s="285"/>
      <c r="M83" s="285"/>
      <c r="N83" s="285"/>
      <c r="O83" s="285"/>
      <c r="P83" s="285"/>
      <c r="Q83" s="285"/>
      <c r="R83" s="285"/>
      <c r="S83" s="288"/>
    </row>
    <row r="84" spans="1:19" x14ac:dyDescent="0.3">
      <c r="A84" s="286" t="s">
        <v>221</v>
      </c>
      <c r="B84" s="285"/>
      <c r="C84" s="288"/>
      <c r="D84" s="285"/>
      <c r="E84" s="285"/>
      <c r="F84" s="285"/>
      <c r="G84" s="285"/>
      <c r="H84" s="285"/>
      <c r="I84" s="285"/>
      <c r="J84" s="285"/>
      <c r="K84" s="285"/>
      <c r="L84" s="285"/>
      <c r="M84" s="285"/>
      <c r="N84" s="285"/>
      <c r="O84" s="285"/>
      <c r="P84" s="285"/>
      <c r="Q84" s="285"/>
      <c r="R84" s="285"/>
      <c r="S84" s="288"/>
    </row>
    <row r="85" spans="1:19" x14ac:dyDescent="0.3">
      <c r="A85" s="286" t="s">
        <v>19</v>
      </c>
      <c r="B85" s="285"/>
      <c r="C85" s="288"/>
      <c r="D85" s="285"/>
      <c r="E85" s="285"/>
      <c r="F85" s="285"/>
      <c r="G85" s="285"/>
      <c r="H85" s="285"/>
      <c r="I85" s="285"/>
      <c r="J85" s="285"/>
      <c r="K85" s="285"/>
      <c r="L85" s="285"/>
      <c r="M85" s="285"/>
      <c r="N85" s="285"/>
      <c r="O85" s="285"/>
      <c r="P85" s="285"/>
      <c r="Q85" s="285"/>
      <c r="R85" s="285"/>
      <c r="S85" s="288"/>
    </row>
    <row r="86" spans="1:19" x14ac:dyDescent="0.3">
      <c r="A86" s="286" t="s">
        <v>20</v>
      </c>
      <c r="B86" s="285"/>
      <c r="C86" s="288"/>
      <c r="D86" s="285"/>
      <c r="E86" s="285"/>
      <c r="F86" s="285"/>
      <c r="G86" s="285"/>
      <c r="H86" s="285"/>
      <c r="I86" s="285"/>
      <c r="J86" s="285"/>
      <c r="K86" s="285"/>
      <c r="L86" s="285"/>
      <c r="M86" s="285"/>
      <c r="N86" s="285"/>
      <c r="O86" s="285"/>
      <c r="P86" s="285"/>
      <c r="Q86" s="285"/>
      <c r="R86" s="285"/>
      <c r="S86" s="288"/>
    </row>
    <row r="87" spans="1:19" x14ac:dyDescent="0.3">
      <c r="A87" s="292" t="s">
        <v>21</v>
      </c>
      <c r="B87" s="293"/>
      <c r="C87" s="294"/>
      <c r="D87" s="285"/>
      <c r="E87" s="285"/>
      <c r="F87" s="285"/>
      <c r="G87" s="285"/>
      <c r="H87" s="285"/>
      <c r="I87" s="285"/>
      <c r="J87" s="285"/>
      <c r="K87" s="285"/>
      <c r="L87" s="285"/>
      <c r="M87" s="285"/>
      <c r="N87" s="285"/>
      <c r="O87" s="285"/>
      <c r="P87" s="285"/>
      <c r="Q87" s="285"/>
      <c r="R87" s="285"/>
      <c r="S87" s="288"/>
    </row>
    <row r="88" spans="1:19" x14ac:dyDescent="0.3">
      <c r="A88" s="6"/>
      <c r="B88" s="4"/>
      <c r="C88" s="4"/>
      <c r="D88" s="104"/>
      <c r="E88" s="4"/>
      <c r="F88" s="256"/>
    </row>
    <row r="89" spans="1:19" x14ac:dyDescent="0.3">
      <c r="A89" s="6"/>
      <c r="B89" s="4"/>
      <c r="C89" s="4"/>
      <c r="D89" s="104"/>
      <c r="E89" s="4"/>
      <c r="F89" s="256"/>
      <c r="I89" s="4"/>
    </row>
    <row r="90" spans="1:19" x14ac:dyDescent="0.3">
      <c r="A90" s="6" t="s">
        <v>161</v>
      </c>
      <c r="B90" s="4" t="s">
        <v>302</v>
      </c>
      <c r="C90" s="4"/>
      <c r="D90" s="104"/>
      <c r="E90" s="4"/>
      <c r="F90" s="256"/>
    </row>
    <row r="91" spans="1:19" x14ac:dyDescent="0.3">
      <c r="A91" s="6"/>
      <c r="B91" s="4" t="s">
        <v>303</v>
      </c>
      <c r="C91" s="4"/>
      <c r="D91" s="104"/>
      <c r="E91" s="4"/>
      <c r="F91" s="256"/>
    </row>
    <row r="92" spans="1:19" x14ac:dyDescent="0.3">
      <c r="A92" s="6"/>
      <c r="B92" s="4"/>
      <c r="C92" s="4"/>
      <c r="D92" s="104"/>
      <c r="E92" s="4"/>
      <c r="F92" s="256"/>
    </row>
    <row r="93" spans="1:19" x14ac:dyDescent="0.3">
      <c r="A93" s="6"/>
      <c r="B93" s="4"/>
      <c r="D93" s="104"/>
    </row>
    <row r="94" spans="1:19" x14ac:dyDescent="0.3">
      <c r="A94" s="6"/>
      <c r="B94" s="6"/>
      <c r="D94" s="104"/>
    </row>
    <row r="95" spans="1:19" x14ac:dyDescent="0.3">
      <c r="A95" s="7" t="s">
        <v>268</v>
      </c>
      <c r="B95" s="11" t="s">
        <v>994</v>
      </c>
      <c r="D95" s="104"/>
    </row>
    <row r="96" spans="1:19" x14ac:dyDescent="0.3">
      <c r="B96" s="7" t="s">
        <v>995</v>
      </c>
      <c r="D96" s="104"/>
    </row>
    <row r="97" spans="1:12" x14ac:dyDescent="0.3">
      <c r="B97" s="7" t="s">
        <v>996</v>
      </c>
      <c r="D97" s="104"/>
    </row>
    <row r="98" spans="1:12" ht="13.5" customHeight="1" x14ac:dyDescent="0.3">
      <c r="B98" s="7" t="s">
        <v>997</v>
      </c>
      <c r="D98" s="104"/>
    </row>
    <row r="99" spans="1:12" x14ac:dyDescent="0.3">
      <c r="B99" s="7" t="s">
        <v>998</v>
      </c>
      <c r="D99" s="104"/>
    </row>
    <row r="100" spans="1:12" x14ac:dyDescent="0.3">
      <c r="D100" s="104"/>
    </row>
    <row r="101" spans="1:12" x14ac:dyDescent="0.3">
      <c r="D101" s="104"/>
    </row>
    <row r="102" spans="1:12" x14ac:dyDescent="0.3">
      <c r="D102" s="104"/>
      <c r="F102" s="326" t="s">
        <v>875</v>
      </c>
    </row>
    <row r="103" spans="1:12" x14ac:dyDescent="0.3">
      <c r="A103" s="36" t="s">
        <v>198</v>
      </c>
      <c r="B103" s="36" t="s">
        <v>359</v>
      </c>
      <c r="C103" s="36" t="s">
        <v>366</v>
      </c>
      <c r="D103" s="36" t="s">
        <v>199</v>
      </c>
      <c r="E103" s="36"/>
      <c r="F103" s="257" t="s">
        <v>309</v>
      </c>
      <c r="H103" s="36"/>
      <c r="I103" s="36"/>
      <c r="J103" s="36"/>
      <c r="K103" s="36"/>
    </row>
    <row r="104" spans="1:12" x14ac:dyDescent="0.3">
      <c r="A104" s="59" t="str">
        <f>IF('Basic data'!B6="","",'Basic data'!B6)</f>
        <v>Not listed</v>
      </c>
      <c r="B104" s="82" t="str">
        <f>IF($A$104="","",VLOOKUP($A$104,$A$107:$J$107,2,FALSE))</f>
        <v>-----</v>
      </c>
      <c r="C104" s="82" t="str">
        <f>IF($A$104="","",VLOOKUP($A$104,$A$107:$J$107,3,FALSE))</f>
        <v>-----</v>
      </c>
      <c r="D104" s="82" t="str">
        <f>IF($A$104="","",VLOOKUP($A$104,$A$107:$J$107,4,FALSE))</f>
        <v>-----</v>
      </c>
      <c r="F104" s="107" t="str">
        <f>IF($A$104="","",VLOOKUP($A$104,$A$107:$J$107,6,FALSE))</f>
        <v>-----</v>
      </c>
      <c r="J104" s="106"/>
      <c r="K104" s="106"/>
    </row>
    <row r="106" spans="1:12" ht="14.25" customHeight="1" x14ac:dyDescent="0.3">
      <c r="A106" s="36" t="s">
        <v>198</v>
      </c>
      <c r="B106" s="36" t="s">
        <v>359</v>
      </c>
      <c r="C106" s="36" t="s">
        <v>366</v>
      </c>
      <c r="D106" s="36" t="s">
        <v>199</v>
      </c>
      <c r="E106" s="36"/>
      <c r="F106" s="257" t="s">
        <v>309</v>
      </c>
      <c r="H106" s="36"/>
      <c r="I106" s="36"/>
      <c r="J106" s="36"/>
      <c r="K106" s="36"/>
      <c r="L106" s="36"/>
    </row>
    <row r="107" spans="1:12" ht="14.25" x14ac:dyDescent="0.45">
      <c r="A107" s="11" t="s">
        <v>894</v>
      </c>
      <c r="B107" s="82" t="s">
        <v>28</v>
      </c>
      <c r="C107" s="82" t="s">
        <v>28</v>
      </c>
      <c r="D107" s="82" t="s">
        <v>28</v>
      </c>
      <c r="E107"/>
      <c r="F107" s="466" t="s">
        <v>28</v>
      </c>
    </row>
    <row r="108" spans="1:12" ht="14.25" x14ac:dyDescent="0.45">
      <c r="E108"/>
      <c r="F108" s="328"/>
    </row>
    <row r="109" spans="1:12" ht="14.25" x14ac:dyDescent="0.45">
      <c r="E109"/>
    </row>
    <row r="110" spans="1:12" x14ac:dyDescent="0.3">
      <c r="A110" s="473" t="s">
        <v>999</v>
      </c>
    </row>
    <row r="111" spans="1:12" x14ac:dyDescent="0.3">
      <c r="A111" s="473" t="s">
        <v>1000</v>
      </c>
    </row>
    <row r="112" spans="1:12" x14ac:dyDescent="0.3">
      <c r="A112" s="473" t="s">
        <v>1001</v>
      </c>
    </row>
    <row r="113" spans="1:1" x14ac:dyDescent="0.3">
      <c r="A113" s="473" t="s">
        <v>1002</v>
      </c>
    </row>
    <row r="114" spans="1:1" x14ac:dyDescent="0.3">
      <c r="A114" s="473" t="s">
        <v>1003</v>
      </c>
    </row>
    <row r="115" spans="1:1" x14ac:dyDescent="0.3">
      <c r="A115" s="473" t="s">
        <v>1004</v>
      </c>
    </row>
    <row r="116" spans="1:1" x14ac:dyDescent="0.3">
      <c r="A116" s="473" t="s">
        <v>1005</v>
      </c>
    </row>
    <row r="117" spans="1:1" x14ac:dyDescent="0.3">
      <c r="A117" s="473" t="s">
        <v>1006</v>
      </c>
    </row>
    <row r="118" spans="1:1" x14ac:dyDescent="0.3">
      <c r="A118" s="473" t="s">
        <v>1007</v>
      </c>
    </row>
    <row r="119" spans="1:1" x14ac:dyDescent="0.3">
      <c r="A119" s="473" t="s">
        <v>1008</v>
      </c>
    </row>
    <row r="120" spans="1:1" x14ac:dyDescent="0.3">
      <c r="A120" s="473" t="s">
        <v>1009</v>
      </c>
    </row>
    <row r="121" spans="1:1" x14ac:dyDescent="0.3">
      <c r="A121" s="473" t="s">
        <v>1010</v>
      </c>
    </row>
    <row r="122" spans="1:1" x14ac:dyDescent="0.3">
      <c r="A122" s="473" t="s">
        <v>1011</v>
      </c>
    </row>
    <row r="123" spans="1:1" x14ac:dyDescent="0.3">
      <c r="A123" s="473" t="s">
        <v>1012</v>
      </c>
    </row>
    <row r="124" spans="1:1" x14ac:dyDescent="0.3">
      <c r="A124" s="473" t="s">
        <v>1013</v>
      </c>
    </row>
    <row r="125" spans="1:1" x14ac:dyDescent="0.3">
      <c r="A125" s="473" t="s">
        <v>1014</v>
      </c>
    </row>
    <row r="126" spans="1:1" x14ac:dyDescent="0.3">
      <c r="A126" s="473" t="s">
        <v>1015</v>
      </c>
    </row>
    <row r="127" spans="1:1" x14ac:dyDescent="0.3">
      <c r="A127" s="473" t="s">
        <v>1016</v>
      </c>
    </row>
    <row r="128" spans="1:1" x14ac:dyDescent="0.3">
      <c r="A128" s="473" t="s">
        <v>1017</v>
      </c>
    </row>
    <row r="129" spans="1:1" x14ac:dyDescent="0.3">
      <c r="A129" s="473" t="s">
        <v>1018</v>
      </c>
    </row>
    <row r="130" spans="1:1" x14ac:dyDescent="0.3">
      <c r="A130" s="473" t="s">
        <v>1019</v>
      </c>
    </row>
    <row r="131" spans="1:1" x14ac:dyDescent="0.3">
      <c r="A131" s="473" t="s">
        <v>1020</v>
      </c>
    </row>
    <row r="132" spans="1:1" x14ac:dyDescent="0.3">
      <c r="A132" s="473" t="s">
        <v>1021</v>
      </c>
    </row>
    <row r="133" spans="1:1" x14ac:dyDescent="0.3">
      <c r="A133" s="473" t="s">
        <v>1022</v>
      </c>
    </row>
    <row r="134" spans="1:1" x14ac:dyDescent="0.3">
      <c r="A134" s="473" t="s">
        <v>1023</v>
      </c>
    </row>
    <row r="135" spans="1:1" x14ac:dyDescent="0.3">
      <c r="A135" s="473" t="s">
        <v>1024</v>
      </c>
    </row>
    <row r="136" spans="1:1" x14ac:dyDescent="0.3">
      <c r="A136" s="473" t="s">
        <v>1025</v>
      </c>
    </row>
    <row r="137" spans="1:1" x14ac:dyDescent="0.3">
      <c r="A137" s="473" t="s">
        <v>1026</v>
      </c>
    </row>
    <row r="138" spans="1:1" x14ac:dyDescent="0.3">
      <c r="A138" s="473" t="s">
        <v>1027</v>
      </c>
    </row>
    <row r="139" spans="1:1" x14ac:dyDescent="0.3">
      <c r="A139" s="473" t="s">
        <v>1028</v>
      </c>
    </row>
    <row r="140" spans="1:1" x14ac:dyDescent="0.3">
      <c r="A140" s="473" t="s">
        <v>1029</v>
      </c>
    </row>
    <row r="141" spans="1:1" x14ac:dyDescent="0.3">
      <c r="A141" s="473" t="s">
        <v>1030</v>
      </c>
    </row>
    <row r="142" spans="1:1" x14ac:dyDescent="0.3">
      <c r="A142" s="473" t="s">
        <v>1031</v>
      </c>
    </row>
    <row r="143" spans="1:1" x14ac:dyDescent="0.3">
      <c r="A143" s="473" t="s">
        <v>1032</v>
      </c>
    </row>
    <row r="144" spans="1:1" x14ac:dyDescent="0.3">
      <c r="A144" s="473" t="s">
        <v>1033</v>
      </c>
    </row>
    <row r="145" spans="1:1" x14ac:dyDescent="0.3">
      <c r="A145" s="473" t="s">
        <v>1034</v>
      </c>
    </row>
    <row r="146" spans="1:1" x14ac:dyDescent="0.3">
      <c r="A146" s="473" t="s">
        <v>1035</v>
      </c>
    </row>
    <row r="147" spans="1:1" x14ac:dyDescent="0.3">
      <c r="A147" s="473" t="s">
        <v>1036</v>
      </c>
    </row>
    <row r="148" spans="1:1" x14ac:dyDescent="0.3">
      <c r="A148" s="473" t="s">
        <v>1037</v>
      </c>
    </row>
    <row r="149" spans="1:1" x14ac:dyDescent="0.3">
      <c r="A149" s="473" t="s">
        <v>1038</v>
      </c>
    </row>
    <row r="150" spans="1:1" x14ac:dyDescent="0.3">
      <c r="A150" s="473" t="s">
        <v>1039</v>
      </c>
    </row>
    <row r="151" spans="1:1" x14ac:dyDescent="0.3">
      <c r="A151" s="473" t="s">
        <v>1040</v>
      </c>
    </row>
    <row r="152" spans="1:1" x14ac:dyDescent="0.3">
      <c r="A152" s="473" t="s">
        <v>1041</v>
      </c>
    </row>
    <row r="153" spans="1:1" x14ac:dyDescent="0.3">
      <c r="A153" s="473" t="s">
        <v>1042</v>
      </c>
    </row>
    <row r="154" spans="1:1" x14ac:dyDescent="0.3">
      <c r="A154" s="473" t="s">
        <v>1043</v>
      </c>
    </row>
    <row r="155" spans="1:1" x14ac:dyDescent="0.3">
      <c r="A155" s="473" t="s">
        <v>1044</v>
      </c>
    </row>
    <row r="156" spans="1:1" x14ac:dyDescent="0.3">
      <c r="A156" s="473" t="s">
        <v>1045</v>
      </c>
    </row>
    <row r="157" spans="1:1" x14ac:dyDescent="0.3">
      <c r="A157" s="473" t="s">
        <v>1046</v>
      </c>
    </row>
    <row r="158" spans="1:1" x14ac:dyDescent="0.3">
      <c r="A158" s="473" t="s">
        <v>1047</v>
      </c>
    </row>
    <row r="159" spans="1:1" x14ac:dyDescent="0.3">
      <c r="A159" s="473" t="s">
        <v>1048</v>
      </c>
    </row>
    <row r="160" spans="1:1" x14ac:dyDescent="0.3">
      <c r="A160" s="473" t="s">
        <v>1049</v>
      </c>
    </row>
    <row r="161" spans="1:1" x14ac:dyDescent="0.3">
      <c r="A161" s="473" t="s">
        <v>1050</v>
      </c>
    </row>
    <row r="162" spans="1:1" x14ac:dyDescent="0.3">
      <c r="A162" s="473" t="s">
        <v>1051</v>
      </c>
    </row>
    <row r="163" spans="1:1" x14ac:dyDescent="0.3">
      <c r="A163" s="473" t="s">
        <v>1052</v>
      </c>
    </row>
    <row r="164" spans="1:1" x14ac:dyDescent="0.3">
      <c r="A164" s="473" t="s">
        <v>1053</v>
      </c>
    </row>
    <row r="165" spans="1:1" x14ac:dyDescent="0.3">
      <c r="A165" s="473" t="s">
        <v>1054</v>
      </c>
    </row>
    <row r="166" spans="1:1" x14ac:dyDescent="0.3">
      <c r="A166" s="473" t="s">
        <v>1055</v>
      </c>
    </row>
    <row r="167" spans="1:1" x14ac:dyDescent="0.3">
      <c r="A167" s="473" t="s">
        <v>1056</v>
      </c>
    </row>
    <row r="168" spans="1:1" x14ac:dyDescent="0.3">
      <c r="A168" s="473" t="s">
        <v>1057</v>
      </c>
    </row>
    <row r="169" spans="1:1" x14ac:dyDescent="0.3">
      <c r="A169" s="473" t="s">
        <v>1058</v>
      </c>
    </row>
    <row r="170" spans="1:1" x14ac:dyDescent="0.3">
      <c r="A170" s="473" t="s">
        <v>1059</v>
      </c>
    </row>
    <row r="171" spans="1:1" x14ac:dyDescent="0.3">
      <c r="A171" s="473" t="s">
        <v>1060</v>
      </c>
    </row>
    <row r="172" spans="1:1" x14ac:dyDescent="0.3">
      <c r="A172" s="473" t="s">
        <v>1061</v>
      </c>
    </row>
    <row r="173" spans="1:1" x14ac:dyDescent="0.3">
      <c r="A173" s="473" t="s">
        <v>1062</v>
      </c>
    </row>
    <row r="174" spans="1:1" x14ac:dyDescent="0.3">
      <c r="A174" s="473" t="s">
        <v>1063</v>
      </c>
    </row>
    <row r="175" spans="1:1" x14ac:dyDescent="0.3">
      <c r="A175" s="473" t="s">
        <v>1064</v>
      </c>
    </row>
    <row r="176" spans="1:1" x14ac:dyDescent="0.3">
      <c r="A176" s="473" t="s">
        <v>1065</v>
      </c>
    </row>
    <row r="177" spans="1:1" x14ac:dyDescent="0.3">
      <c r="A177" s="473" t="s">
        <v>1066</v>
      </c>
    </row>
    <row r="178" spans="1:1" x14ac:dyDescent="0.3">
      <c r="A178" s="473" t="s">
        <v>1067</v>
      </c>
    </row>
    <row r="179" spans="1:1" x14ac:dyDescent="0.3">
      <c r="A179" s="473" t="s">
        <v>1068</v>
      </c>
    </row>
    <row r="180" spans="1:1" x14ac:dyDescent="0.3">
      <c r="A180" s="473" t="s">
        <v>1069</v>
      </c>
    </row>
    <row r="181" spans="1:1" x14ac:dyDescent="0.3">
      <c r="A181" s="473" t="s">
        <v>1070</v>
      </c>
    </row>
    <row r="182" spans="1:1" x14ac:dyDescent="0.3">
      <c r="A182" s="473" t="s">
        <v>1071</v>
      </c>
    </row>
    <row r="183" spans="1:1" x14ac:dyDescent="0.3">
      <c r="A183" s="473" t="s">
        <v>1072</v>
      </c>
    </row>
    <row r="184" spans="1:1" x14ac:dyDescent="0.3">
      <c r="A184" s="473" t="s">
        <v>1073</v>
      </c>
    </row>
    <row r="185" spans="1:1" x14ac:dyDescent="0.3">
      <c r="A185" s="473" t="s">
        <v>1074</v>
      </c>
    </row>
    <row r="186" spans="1:1" x14ac:dyDescent="0.3">
      <c r="A186" s="473" t="s">
        <v>1075</v>
      </c>
    </row>
    <row r="187" spans="1:1" x14ac:dyDescent="0.3">
      <c r="A187" s="473" t="s">
        <v>1076</v>
      </c>
    </row>
    <row r="188" spans="1:1" x14ac:dyDescent="0.3">
      <c r="A188" s="473" t="s">
        <v>1077</v>
      </c>
    </row>
    <row r="189" spans="1:1" x14ac:dyDescent="0.3">
      <c r="A189" s="473" t="s">
        <v>1078</v>
      </c>
    </row>
    <row r="190" spans="1:1" x14ac:dyDescent="0.3">
      <c r="A190" s="473" t="s">
        <v>1079</v>
      </c>
    </row>
    <row r="191" spans="1:1" x14ac:dyDescent="0.3">
      <c r="A191" s="473" t="s">
        <v>1080</v>
      </c>
    </row>
    <row r="192" spans="1:1" x14ac:dyDescent="0.3">
      <c r="A192" s="473" t="s">
        <v>1081</v>
      </c>
    </row>
    <row r="193" spans="1:1" x14ac:dyDescent="0.3">
      <c r="A193" s="473" t="s">
        <v>1082</v>
      </c>
    </row>
    <row r="194" spans="1:1" x14ac:dyDescent="0.3">
      <c r="A194" s="473" t="s">
        <v>1083</v>
      </c>
    </row>
    <row r="195" spans="1:1" x14ac:dyDescent="0.3">
      <c r="A195" s="473" t="s">
        <v>1084</v>
      </c>
    </row>
    <row r="196" spans="1:1" x14ac:dyDescent="0.3">
      <c r="A196" s="473" t="s">
        <v>1085</v>
      </c>
    </row>
    <row r="197" spans="1:1" x14ac:dyDescent="0.3">
      <c r="A197" s="473" t="s">
        <v>1086</v>
      </c>
    </row>
    <row r="198" spans="1:1" x14ac:dyDescent="0.3">
      <c r="A198" s="473" t="s">
        <v>1087</v>
      </c>
    </row>
    <row r="199" spans="1:1" x14ac:dyDescent="0.3">
      <c r="A199" s="473" t="s">
        <v>1088</v>
      </c>
    </row>
    <row r="200" spans="1:1" x14ac:dyDescent="0.3">
      <c r="A200" s="473" t="s">
        <v>1089</v>
      </c>
    </row>
    <row r="201" spans="1:1" x14ac:dyDescent="0.3">
      <c r="A201" s="473" t="s">
        <v>1090</v>
      </c>
    </row>
    <row r="202" spans="1:1" x14ac:dyDescent="0.3">
      <c r="A202" s="473" t="s">
        <v>1091</v>
      </c>
    </row>
    <row r="203" spans="1:1" x14ac:dyDescent="0.3">
      <c r="A203" s="473" t="s">
        <v>1092</v>
      </c>
    </row>
    <row r="204" spans="1:1" x14ac:dyDescent="0.3">
      <c r="A204" s="473" t="s">
        <v>1093</v>
      </c>
    </row>
    <row r="205" spans="1:1" x14ac:dyDescent="0.3">
      <c r="A205" s="473" t="s">
        <v>1094</v>
      </c>
    </row>
    <row r="206" spans="1:1" x14ac:dyDescent="0.3">
      <c r="A206" s="473" t="s">
        <v>1095</v>
      </c>
    </row>
    <row r="207" spans="1:1" x14ac:dyDescent="0.3">
      <c r="A207" s="473" t="s">
        <v>1096</v>
      </c>
    </row>
    <row r="208" spans="1:1" x14ac:dyDescent="0.3">
      <c r="A208" s="473" t="s">
        <v>1097</v>
      </c>
    </row>
    <row r="209" spans="1:1" x14ac:dyDescent="0.3">
      <c r="A209" s="473" t="s">
        <v>1098</v>
      </c>
    </row>
    <row r="210" spans="1:1" x14ac:dyDescent="0.3">
      <c r="A210" s="473" t="s">
        <v>1099</v>
      </c>
    </row>
    <row r="211" spans="1:1" x14ac:dyDescent="0.3">
      <c r="A211" s="473" t="s">
        <v>1100</v>
      </c>
    </row>
    <row r="212" spans="1:1" x14ac:dyDescent="0.3">
      <c r="A212" s="473" t="s">
        <v>1101</v>
      </c>
    </row>
    <row r="213" spans="1:1" x14ac:dyDescent="0.3">
      <c r="A213" s="473" t="s">
        <v>1102</v>
      </c>
    </row>
    <row r="214" spans="1:1" x14ac:dyDescent="0.3">
      <c r="A214" s="473" t="s">
        <v>1103</v>
      </c>
    </row>
    <row r="215" spans="1:1" x14ac:dyDescent="0.3">
      <c r="A215" s="473" t="s">
        <v>1104</v>
      </c>
    </row>
    <row r="216" spans="1:1" x14ac:dyDescent="0.3">
      <c r="A216" s="473" t="s">
        <v>1105</v>
      </c>
    </row>
    <row r="217" spans="1:1" x14ac:dyDescent="0.3">
      <c r="A217" s="473" t="s">
        <v>1106</v>
      </c>
    </row>
    <row r="218" spans="1:1" x14ac:dyDescent="0.3">
      <c r="A218" s="473" t="s">
        <v>1107</v>
      </c>
    </row>
    <row r="219" spans="1:1" x14ac:dyDescent="0.3">
      <c r="A219" s="473" t="s">
        <v>1108</v>
      </c>
    </row>
    <row r="220" spans="1:1" x14ac:dyDescent="0.3">
      <c r="A220" s="473" t="s">
        <v>1109</v>
      </c>
    </row>
    <row r="221" spans="1:1" x14ac:dyDescent="0.3">
      <c r="A221" s="473" t="s">
        <v>1110</v>
      </c>
    </row>
    <row r="222" spans="1:1" x14ac:dyDescent="0.3">
      <c r="A222" s="473" t="s">
        <v>1111</v>
      </c>
    </row>
    <row r="223" spans="1:1" x14ac:dyDescent="0.3">
      <c r="A223" s="473" t="s">
        <v>1112</v>
      </c>
    </row>
    <row r="224" spans="1:1" x14ac:dyDescent="0.3">
      <c r="A224" s="473" t="s">
        <v>1113</v>
      </c>
    </row>
    <row r="225" spans="1:1" x14ac:dyDescent="0.3">
      <c r="A225" s="473" t="s">
        <v>1114</v>
      </c>
    </row>
    <row r="226" spans="1:1" x14ac:dyDescent="0.3">
      <c r="A226" s="473" t="s">
        <v>1115</v>
      </c>
    </row>
    <row r="227" spans="1:1" x14ac:dyDescent="0.3">
      <c r="A227" s="473" t="s">
        <v>1116</v>
      </c>
    </row>
    <row r="228" spans="1:1" x14ac:dyDescent="0.3">
      <c r="A228" s="473" t="s">
        <v>1117</v>
      </c>
    </row>
    <row r="229" spans="1:1" x14ac:dyDescent="0.3">
      <c r="A229" s="473" t="s">
        <v>1118</v>
      </c>
    </row>
    <row r="230" spans="1:1" x14ac:dyDescent="0.3">
      <c r="A230" s="473" t="s">
        <v>1119</v>
      </c>
    </row>
    <row r="231" spans="1:1" x14ac:dyDescent="0.3">
      <c r="A231" s="473" t="s">
        <v>1120</v>
      </c>
    </row>
    <row r="232" spans="1:1" x14ac:dyDescent="0.3">
      <c r="A232" s="473" t="s">
        <v>1121</v>
      </c>
    </row>
    <row r="233" spans="1:1" x14ac:dyDescent="0.3">
      <c r="A233" s="473" t="s">
        <v>1122</v>
      </c>
    </row>
    <row r="234" spans="1:1" x14ac:dyDescent="0.3">
      <c r="A234" s="473" t="s">
        <v>1123</v>
      </c>
    </row>
    <row r="235" spans="1:1" x14ac:dyDescent="0.3">
      <c r="A235" s="473" t="s">
        <v>1124</v>
      </c>
    </row>
    <row r="236" spans="1:1" x14ac:dyDescent="0.3">
      <c r="A236" s="473" t="s">
        <v>1125</v>
      </c>
    </row>
    <row r="237" spans="1:1" x14ac:dyDescent="0.3">
      <c r="A237" s="473" t="s">
        <v>1126</v>
      </c>
    </row>
    <row r="238" spans="1:1" x14ac:dyDescent="0.3">
      <c r="A238" s="473" t="s">
        <v>1127</v>
      </c>
    </row>
    <row r="239" spans="1:1" x14ac:dyDescent="0.3">
      <c r="A239" s="473" t="s">
        <v>1128</v>
      </c>
    </row>
    <row r="240" spans="1:1" x14ac:dyDescent="0.3">
      <c r="A240" s="473" t="s">
        <v>1129</v>
      </c>
    </row>
    <row r="241" spans="1:1" x14ac:dyDescent="0.3">
      <c r="A241" s="473" t="s">
        <v>1130</v>
      </c>
    </row>
    <row r="242" spans="1:1" x14ac:dyDescent="0.3">
      <c r="A242" s="473" t="s">
        <v>1131</v>
      </c>
    </row>
    <row r="243" spans="1:1" x14ac:dyDescent="0.3">
      <c r="A243" s="473" t="s">
        <v>1132</v>
      </c>
    </row>
    <row r="244" spans="1:1" x14ac:dyDescent="0.3">
      <c r="A244" s="473" t="s">
        <v>1133</v>
      </c>
    </row>
    <row r="245" spans="1:1" x14ac:dyDescent="0.3">
      <c r="A245" s="473" t="s">
        <v>1134</v>
      </c>
    </row>
    <row r="246" spans="1:1" x14ac:dyDescent="0.3">
      <c r="A246" s="473" t="s">
        <v>1135</v>
      </c>
    </row>
    <row r="247" spans="1:1" x14ac:dyDescent="0.3">
      <c r="A247" s="473" t="s">
        <v>1136</v>
      </c>
    </row>
    <row r="248" spans="1:1" x14ac:dyDescent="0.3">
      <c r="A248" s="473" t="s">
        <v>1137</v>
      </c>
    </row>
    <row r="249" spans="1:1" x14ac:dyDescent="0.3">
      <c r="A249" s="473" t="s">
        <v>1138</v>
      </c>
    </row>
    <row r="250" spans="1:1" x14ac:dyDescent="0.3">
      <c r="A250" s="473" t="s">
        <v>1139</v>
      </c>
    </row>
    <row r="251" spans="1:1" x14ac:dyDescent="0.3">
      <c r="A251" s="473" t="s">
        <v>1140</v>
      </c>
    </row>
    <row r="252" spans="1:1" x14ac:dyDescent="0.3">
      <c r="A252" s="473" t="s">
        <v>1141</v>
      </c>
    </row>
    <row r="253" spans="1:1" x14ac:dyDescent="0.3">
      <c r="A253" s="473" t="s">
        <v>1142</v>
      </c>
    </row>
    <row r="254" spans="1:1" x14ac:dyDescent="0.3">
      <c r="A254" s="473" t="s">
        <v>1143</v>
      </c>
    </row>
    <row r="255" spans="1:1" x14ac:dyDescent="0.3">
      <c r="A255" s="473" t="s">
        <v>1144</v>
      </c>
    </row>
    <row r="256" spans="1:1" x14ac:dyDescent="0.3">
      <c r="A256" s="473" t="s">
        <v>1145</v>
      </c>
    </row>
    <row r="257" spans="1:1" x14ac:dyDescent="0.3">
      <c r="A257" s="473" t="s">
        <v>1146</v>
      </c>
    </row>
    <row r="258" spans="1:1" x14ac:dyDescent="0.3">
      <c r="A258" s="473" t="s">
        <v>1147</v>
      </c>
    </row>
    <row r="259" spans="1:1" x14ac:dyDescent="0.3">
      <c r="A259" s="473" t="s">
        <v>1148</v>
      </c>
    </row>
    <row r="260" spans="1:1" x14ac:dyDescent="0.3">
      <c r="A260" s="473" t="s">
        <v>1149</v>
      </c>
    </row>
    <row r="261" spans="1:1" x14ac:dyDescent="0.3">
      <c r="A261" s="473" t="s">
        <v>1150</v>
      </c>
    </row>
    <row r="262" spans="1:1" x14ac:dyDescent="0.3">
      <c r="A262" s="473" t="s">
        <v>1151</v>
      </c>
    </row>
    <row r="263" spans="1:1" x14ac:dyDescent="0.3">
      <c r="A263" s="473" t="s">
        <v>1152</v>
      </c>
    </row>
    <row r="264" spans="1:1" x14ac:dyDescent="0.3">
      <c r="A264" s="473" t="s">
        <v>1153</v>
      </c>
    </row>
    <row r="265" spans="1:1" x14ac:dyDescent="0.3">
      <c r="A265" s="473" t="s">
        <v>1154</v>
      </c>
    </row>
    <row r="266" spans="1:1" x14ac:dyDescent="0.3">
      <c r="A266" s="473" t="s">
        <v>1155</v>
      </c>
    </row>
    <row r="267" spans="1:1" x14ac:dyDescent="0.3">
      <c r="A267" s="473" t="s">
        <v>1156</v>
      </c>
    </row>
    <row r="268" spans="1:1" x14ac:dyDescent="0.3">
      <c r="A268" s="473" t="s">
        <v>1157</v>
      </c>
    </row>
    <row r="269" spans="1:1" x14ac:dyDescent="0.3">
      <c r="A269" s="473" t="s">
        <v>1158</v>
      </c>
    </row>
    <row r="270" spans="1:1" x14ac:dyDescent="0.3">
      <c r="A270" s="473" t="s">
        <v>1159</v>
      </c>
    </row>
    <row r="271" spans="1:1" x14ac:dyDescent="0.3">
      <c r="A271" s="473" t="s">
        <v>1160</v>
      </c>
    </row>
    <row r="272" spans="1:1" x14ac:dyDescent="0.3">
      <c r="A272" s="473" t="s">
        <v>1161</v>
      </c>
    </row>
    <row r="273" spans="1:1" x14ac:dyDescent="0.3">
      <c r="A273" s="473" t="s">
        <v>1162</v>
      </c>
    </row>
    <row r="274" spans="1:1" x14ac:dyDescent="0.3">
      <c r="A274" s="473" t="s">
        <v>1163</v>
      </c>
    </row>
    <row r="275" spans="1:1" x14ac:dyDescent="0.3">
      <c r="A275" s="473" t="s">
        <v>1164</v>
      </c>
    </row>
    <row r="276" spans="1:1" x14ac:dyDescent="0.3">
      <c r="A276" s="473" t="s">
        <v>1165</v>
      </c>
    </row>
    <row r="277" spans="1:1" x14ac:dyDescent="0.3">
      <c r="A277" s="473" t="s">
        <v>1166</v>
      </c>
    </row>
    <row r="278" spans="1:1" x14ac:dyDescent="0.3">
      <c r="A278" s="473" t="s">
        <v>1167</v>
      </c>
    </row>
    <row r="279" spans="1:1" x14ac:dyDescent="0.3">
      <c r="A279" s="473" t="s">
        <v>1168</v>
      </c>
    </row>
    <row r="280" spans="1:1" x14ac:dyDescent="0.3">
      <c r="A280" s="473" t="s">
        <v>1169</v>
      </c>
    </row>
    <row r="281" spans="1:1" x14ac:dyDescent="0.3">
      <c r="A281" s="473" t="s">
        <v>1170</v>
      </c>
    </row>
    <row r="282" spans="1:1" x14ac:dyDescent="0.3">
      <c r="A282" s="473" t="s">
        <v>1171</v>
      </c>
    </row>
    <row r="283" spans="1:1" x14ac:dyDescent="0.3">
      <c r="A283" s="473" t="s">
        <v>1172</v>
      </c>
    </row>
    <row r="284" spans="1:1" x14ac:dyDescent="0.3">
      <c r="A284" s="473" t="s">
        <v>1173</v>
      </c>
    </row>
    <row r="285" spans="1:1" x14ac:dyDescent="0.3">
      <c r="A285" s="473" t="s">
        <v>1174</v>
      </c>
    </row>
    <row r="286" spans="1:1" x14ac:dyDescent="0.3">
      <c r="A286" s="473" t="s">
        <v>1175</v>
      </c>
    </row>
    <row r="287" spans="1:1" x14ac:dyDescent="0.3">
      <c r="A287" s="473" t="s">
        <v>1176</v>
      </c>
    </row>
    <row r="288" spans="1:1" x14ac:dyDescent="0.3">
      <c r="A288" s="473" t="s">
        <v>1177</v>
      </c>
    </row>
    <row r="289" spans="1:1" x14ac:dyDescent="0.3">
      <c r="A289" s="473" t="s">
        <v>1178</v>
      </c>
    </row>
    <row r="290" spans="1:1" x14ac:dyDescent="0.3">
      <c r="A290" s="473" t="s">
        <v>1179</v>
      </c>
    </row>
    <row r="291" spans="1:1" x14ac:dyDescent="0.3">
      <c r="A291" s="473" t="s">
        <v>1180</v>
      </c>
    </row>
    <row r="292" spans="1:1" x14ac:dyDescent="0.3">
      <c r="A292" s="473" t="s">
        <v>1181</v>
      </c>
    </row>
    <row r="293" spans="1:1" x14ac:dyDescent="0.3">
      <c r="A293" s="473" t="s">
        <v>1182</v>
      </c>
    </row>
    <row r="294" spans="1:1" x14ac:dyDescent="0.3">
      <c r="A294" s="473" t="s">
        <v>1183</v>
      </c>
    </row>
    <row r="295" spans="1:1" x14ac:dyDescent="0.3">
      <c r="A295" s="473" t="s">
        <v>1184</v>
      </c>
    </row>
    <row r="296" spans="1:1" x14ac:dyDescent="0.3">
      <c r="A296" s="473" t="s">
        <v>1185</v>
      </c>
    </row>
    <row r="297" spans="1:1" x14ac:dyDescent="0.3">
      <c r="A297" s="473" t="s">
        <v>1186</v>
      </c>
    </row>
    <row r="298" spans="1:1" x14ac:dyDescent="0.3">
      <c r="A298" s="473" t="s">
        <v>1187</v>
      </c>
    </row>
    <row r="299" spans="1:1" x14ac:dyDescent="0.3">
      <c r="A299" s="473" t="s">
        <v>1188</v>
      </c>
    </row>
    <row r="300" spans="1:1" x14ac:dyDescent="0.3">
      <c r="A300" s="473" t="s">
        <v>1189</v>
      </c>
    </row>
    <row r="301" spans="1:1" x14ac:dyDescent="0.3">
      <c r="A301" s="473" t="s">
        <v>1190</v>
      </c>
    </row>
    <row r="302" spans="1:1" x14ac:dyDescent="0.3">
      <c r="A302" s="473" t="s">
        <v>1191</v>
      </c>
    </row>
    <row r="303" spans="1:1" x14ac:dyDescent="0.3">
      <c r="A303" s="473" t="s">
        <v>1192</v>
      </c>
    </row>
    <row r="304" spans="1:1" x14ac:dyDescent="0.3">
      <c r="A304" s="473" t="s">
        <v>1193</v>
      </c>
    </row>
    <row r="305" spans="1:1" x14ac:dyDescent="0.3">
      <c r="A305" s="473" t="s">
        <v>1194</v>
      </c>
    </row>
    <row r="306" spans="1:1" x14ac:dyDescent="0.3">
      <c r="A306" s="473" t="s">
        <v>1195</v>
      </c>
    </row>
  </sheetData>
  <autoFilter ref="F106:F107" xr:uid="{00000000-0009-0000-0000-000003000000}"/>
  <phoneticPr fontId="75"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S123"/>
  <sheetViews>
    <sheetView showGridLines="0" tabSelected="1" showRuler="0" zoomScaleNormal="100" zoomScaleSheetLayoutView="90" workbookViewId="0">
      <pane ySplit="11" topLeftCell="A33" activePane="bottomLeft" state="frozen"/>
      <selection pane="bottomLeft" activeCell="O33" sqref="O33"/>
    </sheetView>
  </sheetViews>
  <sheetFormatPr baseColWidth="10" defaultColWidth="9.1328125" defaultRowHeight="14.25" x14ac:dyDescent="0.45"/>
  <cols>
    <col min="1" max="1" width="7" customWidth="1"/>
    <col min="2" max="2" width="4.3984375" customWidth="1"/>
    <col min="3" max="3" width="20.3984375" customWidth="1"/>
    <col min="4" max="4" width="13.3984375" customWidth="1"/>
    <col min="5" max="5" width="12.73046875" customWidth="1"/>
    <col min="6" max="6" width="13.59765625" customWidth="1"/>
    <col min="7" max="7" width="14.1328125" customWidth="1"/>
    <col min="8" max="8" width="13.86328125" customWidth="1"/>
    <col min="9" max="9" width="8.265625" customWidth="1"/>
    <col min="10" max="10" width="7" customWidth="1"/>
    <col min="11" max="11" width="3.3984375" customWidth="1"/>
    <col min="12" max="12" width="3.265625" customWidth="1"/>
    <col min="13" max="13" width="7" customWidth="1"/>
    <col min="14" max="14" width="9.265625" customWidth="1"/>
    <col min="15" max="15" width="6.86328125" customWidth="1"/>
    <col min="16" max="16" width="8" customWidth="1"/>
    <col min="17" max="18" width="73" customWidth="1"/>
    <col min="19" max="19" width="5.3984375" style="330" hidden="1" customWidth="1"/>
  </cols>
  <sheetData>
    <row r="1" spans="1:19" ht="9.9499999999999993" customHeight="1" x14ac:dyDescent="0.45">
      <c r="A1" s="8"/>
      <c r="B1" s="8"/>
      <c r="C1" s="8"/>
      <c r="D1" s="8"/>
      <c r="E1" s="8"/>
      <c r="F1" s="8"/>
      <c r="G1" s="8"/>
      <c r="H1" s="8"/>
      <c r="I1" s="8"/>
      <c r="J1" s="8"/>
      <c r="K1" s="8"/>
      <c r="L1" s="8"/>
      <c r="M1" s="8"/>
      <c r="N1" s="8"/>
      <c r="O1" s="8"/>
      <c r="P1" s="8"/>
      <c r="Q1" s="8"/>
      <c r="R1" s="8"/>
    </row>
    <row r="2" spans="1:19" s="8" customFormat="1" ht="12.95" customHeight="1" x14ac:dyDescent="0.35">
      <c r="A2" s="17" t="str">
        <f>'Basic data'!A2</f>
        <v>Anlage EB M1.1 (Auditjahr 2023 / Kennzahlenjahr 2022)</v>
      </c>
      <c r="S2" s="331"/>
    </row>
    <row r="3" spans="1:19" ht="16.899999999999999" x14ac:dyDescent="0.5">
      <c r="A3" s="22" t="s">
        <v>895</v>
      </c>
      <c r="B3" s="8"/>
      <c r="C3" s="8"/>
      <c r="D3" s="8"/>
      <c r="E3" s="8"/>
      <c r="F3" s="8"/>
      <c r="G3" s="8"/>
      <c r="H3" s="8"/>
      <c r="I3" s="8"/>
      <c r="J3" s="8"/>
      <c r="K3" s="8"/>
      <c r="L3" s="8"/>
      <c r="M3" s="8"/>
      <c r="N3" s="23"/>
      <c r="O3" s="8"/>
      <c r="P3" s="8"/>
      <c r="Q3" s="8"/>
      <c r="R3" s="8"/>
    </row>
    <row r="4" spans="1:19" x14ac:dyDescent="0.45">
      <c r="A4" s="8"/>
      <c r="B4" s="8"/>
      <c r="C4" s="8"/>
      <c r="D4" s="8"/>
      <c r="E4" s="8"/>
      <c r="F4" s="8"/>
      <c r="G4" s="8"/>
      <c r="H4" s="8"/>
      <c r="I4" s="8"/>
      <c r="J4" s="8"/>
      <c r="K4" s="8"/>
      <c r="L4" s="8"/>
      <c r="M4" s="8"/>
      <c r="N4" s="23"/>
      <c r="O4" s="8"/>
      <c r="P4" s="8"/>
      <c r="Q4" s="8"/>
      <c r="R4" s="8"/>
    </row>
    <row r="5" spans="1:19" ht="15" customHeight="1" x14ac:dyDescent="0.45">
      <c r="A5" s="8"/>
      <c r="B5" s="8"/>
      <c r="C5" s="8"/>
      <c r="D5" s="15"/>
      <c r="E5" s="15"/>
      <c r="F5" s="15"/>
      <c r="G5" s="15"/>
      <c r="H5" s="15"/>
      <c r="I5" s="15"/>
      <c r="J5" s="15"/>
      <c r="K5" s="15"/>
      <c r="L5" s="15"/>
      <c r="M5" s="15"/>
      <c r="N5" s="23"/>
      <c r="O5" s="8"/>
      <c r="P5" s="8"/>
      <c r="Q5" s="8"/>
      <c r="R5" s="8"/>
    </row>
    <row r="6" spans="1:19" s="26" customFormat="1" ht="15" customHeight="1" x14ac:dyDescent="0.45">
      <c r="A6" s="29" t="s">
        <v>880</v>
      </c>
      <c r="B6" s="29"/>
      <c r="D6" s="670" t="str">
        <f>IF('Basic data'!B8=0,"",'Basic data'!B8)</f>
        <v/>
      </c>
      <c r="E6" s="671"/>
      <c r="F6" s="672"/>
      <c r="G6" s="672"/>
      <c r="H6" s="672"/>
      <c r="I6" s="672"/>
      <c r="J6" s="672"/>
      <c r="K6" s="672"/>
      <c r="L6" s="673"/>
      <c r="M6" s="673"/>
      <c r="N6" s="674"/>
      <c r="O6" s="23"/>
      <c r="P6" s="21"/>
      <c r="Q6" s="23"/>
      <c r="R6" s="23"/>
      <c r="S6" s="332"/>
    </row>
    <row r="7" spans="1:19" s="26" customFormat="1" ht="6.95" customHeight="1" x14ac:dyDescent="0.4">
      <c r="A7" s="10"/>
      <c r="B7" s="10"/>
      <c r="C7" s="25"/>
      <c r="D7" s="15"/>
      <c r="E7" s="15"/>
      <c r="F7" s="15"/>
      <c r="G7" s="15"/>
      <c r="H7" s="15"/>
      <c r="I7" s="15"/>
      <c r="J7" s="15"/>
      <c r="K7" s="15"/>
      <c r="L7" s="15"/>
      <c r="M7" s="15"/>
      <c r="N7" s="23"/>
      <c r="O7" s="23"/>
      <c r="P7" s="21"/>
      <c r="Q7" s="23"/>
      <c r="R7" s="23"/>
      <c r="S7" s="332"/>
    </row>
    <row r="8" spans="1:19" s="26" customFormat="1" ht="15" customHeight="1" x14ac:dyDescent="0.45">
      <c r="A8" s="29" t="s">
        <v>879</v>
      </c>
      <c r="B8" s="29"/>
      <c r="C8" s="28"/>
      <c r="D8" s="670" t="str">
        <f>IF('Basic data'!B6=0,"",'Basic data'!B6)</f>
        <v>Not listed</v>
      </c>
      <c r="E8" s="682"/>
      <c r="F8" s="23"/>
      <c r="G8" s="23"/>
      <c r="I8" s="678" t="s">
        <v>1202</v>
      </c>
      <c r="J8" s="679"/>
      <c r="K8" s="683" t="str">
        <f>IF('Basic data'!G12=0,"",'Basic data'!G12)</f>
        <v/>
      </c>
      <c r="L8" s="684"/>
      <c r="M8" s="684"/>
      <c r="N8" s="674"/>
      <c r="O8" s="23"/>
      <c r="P8" s="21"/>
      <c r="Q8" s="23"/>
      <c r="R8" s="23"/>
      <c r="S8" s="332"/>
    </row>
    <row r="9" spans="1:19" s="26" customFormat="1" ht="18" customHeight="1" thickBot="1" x14ac:dyDescent="0.45">
      <c r="A9" s="10"/>
      <c r="B9" s="10"/>
      <c r="O9" s="23"/>
      <c r="P9" s="21"/>
      <c r="S9" s="332"/>
    </row>
    <row r="10" spans="1:19" s="12" customFormat="1" ht="16.5" customHeight="1" thickBot="1" x14ac:dyDescent="0.5">
      <c r="A10" s="676" t="s">
        <v>1275</v>
      </c>
      <c r="B10" s="676" t="s">
        <v>1225</v>
      </c>
      <c r="C10" s="676" t="s">
        <v>913</v>
      </c>
      <c r="D10" s="685" t="s">
        <v>914</v>
      </c>
      <c r="E10" s="686"/>
      <c r="F10" s="685" t="s">
        <v>915</v>
      </c>
      <c r="G10" s="686"/>
      <c r="H10" s="692" t="s">
        <v>916</v>
      </c>
      <c r="I10" s="693"/>
      <c r="J10" s="697" t="s">
        <v>1212</v>
      </c>
      <c r="K10" s="695" t="s">
        <v>917</v>
      </c>
      <c r="L10" s="696"/>
      <c r="M10" s="697" t="s">
        <v>1213</v>
      </c>
      <c r="N10" s="685" t="s">
        <v>918</v>
      </c>
      <c r="O10" s="699"/>
      <c r="P10" s="676" t="s">
        <v>919</v>
      </c>
      <c r="Q10" s="690" t="s">
        <v>920</v>
      </c>
      <c r="R10" s="691"/>
      <c r="S10" s="333"/>
    </row>
    <row r="11" spans="1:19" s="12" customFormat="1" ht="25.5" customHeight="1" thickBot="1" x14ac:dyDescent="0.5">
      <c r="A11" s="677"/>
      <c r="B11" s="677"/>
      <c r="C11" s="677"/>
      <c r="D11" s="687"/>
      <c r="E11" s="688"/>
      <c r="F11" s="687"/>
      <c r="G11" s="688"/>
      <c r="H11" s="694"/>
      <c r="I11" s="693"/>
      <c r="J11" s="698"/>
      <c r="K11" s="696"/>
      <c r="L11" s="696"/>
      <c r="M11" s="698"/>
      <c r="N11" s="700"/>
      <c r="O11" s="701"/>
      <c r="P11" s="689"/>
      <c r="Q11" s="310" t="s">
        <v>921</v>
      </c>
      <c r="R11" s="310" t="s">
        <v>922</v>
      </c>
      <c r="S11" s="333"/>
    </row>
    <row r="12" spans="1:19" s="12" customFormat="1" ht="25.5" customHeight="1" thickBot="1" x14ac:dyDescent="0.5">
      <c r="A12" s="619">
        <v>1</v>
      </c>
      <c r="B12" s="619"/>
      <c r="C12" s="745" t="s">
        <v>1226</v>
      </c>
      <c r="D12" s="748" t="s">
        <v>28</v>
      </c>
      <c r="E12" s="749"/>
      <c r="F12" s="754" t="s">
        <v>1226</v>
      </c>
      <c r="G12" s="749"/>
      <c r="H12" s="748" t="s">
        <v>28</v>
      </c>
      <c r="I12" s="749"/>
      <c r="J12" s="590"/>
      <c r="K12" s="607" t="s">
        <v>1197</v>
      </c>
      <c r="L12" s="608"/>
      <c r="M12" s="590"/>
      <c r="N12" s="755" t="s">
        <v>989</v>
      </c>
      <c r="O12" s="758"/>
      <c r="P12" s="675" t="str">
        <f>IF(O12="",Berechnung1!F5,IF(O12=0,Berechnung1!H5,IF(O12=Berechnung1!D25,Berechnung1!$F$5,IF(OR(O12&lt;Berechnung1!E25,O12&gt;Berechnung1!F25),Berechnung1!$G$5,IF(OR(ROUND(O12,4)&lt;Berechnung1!J25,ROUND(O12,4)&gt;Berechnung1!K25),Berechnung1!$D$5,IF(OR(ROUND(O12,4)&lt;Berechnung1!G25,ROUND(O12,4)&gt;Berechnung1!H25),Berechnung1!$E$5,Berechnung1!$C$5))))))</f>
        <v>Incomplete</v>
      </c>
      <c r="Q12" s="585"/>
      <c r="R12" s="583"/>
      <c r="S12" s="333"/>
    </row>
    <row r="13" spans="1:19" s="12" customFormat="1" ht="25.5" customHeight="1" thickBot="1" x14ac:dyDescent="0.5">
      <c r="A13" s="680"/>
      <c r="B13" s="680"/>
      <c r="C13" s="746"/>
      <c r="D13" s="750"/>
      <c r="E13" s="751"/>
      <c r="F13" s="750"/>
      <c r="G13" s="751"/>
      <c r="H13" s="750"/>
      <c r="I13" s="751"/>
      <c r="J13" s="588"/>
      <c r="K13" s="609"/>
      <c r="L13" s="610"/>
      <c r="M13" s="588"/>
      <c r="N13" s="756"/>
      <c r="O13" s="759"/>
      <c r="P13" s="675"/>
      <c r="Q13" s="586"/>
      <c r="R13" s="584"/>
      <c r="S13" s="333"/>
    </row>
    <row r="14" spans="1:19" s="12" customFormat="1" ht="25.5" customHeight="1" thickBot="1" x14ac:dyDescent="0.5">
      <c r="A14" s="681"/>
      <c r="B14" s="681"/>
      <c r="C14" s="747"/>
      <c r="D14" s="752"/>
      <c r="E14" s="753"/>
      <c r="F14" s="752"/>
      <c r="G14" s="753"/>
      <c r="H14" s="752"/>
      <c r="I14" s="753"/>
      <c r="J14" s="589"/>
      <c r="K14" s="611"/>
      <c r="L14" s="612"/>
      <c r="M14" s="589"/>
      <c r="N14" s="757"/>
      <c r="O14" s="760"/>
      <c r="P14" s="675"/>
      <c r="Q14" s="586"/>
      <c r="R14" s="584"/>
      <c r="S14" s="333"/>
    </row>
    <row r="15" spans="1:19" ht="30" customHeight="1" thickBot="1" x14ac:dyDescent="0.5">
      <c r="A15" s="619" t="s">
        <v>1227</v>
      </c>
      <c r="B15" s="634" t="s">
        <v>1229</v>
      </c>
      <c r="C15" s="622" t="s">
        <v>1261</v>
      </c>
      <c r="D15" s="625" t="s">
        <v>1262</v>
      </c>
      <c r="E15" s="626"/>
      <c r="F15" s="625" t="s">
        <v>923</v>
      </c>
      <c r="G15" s="626"/>
      <c r="H15" s="625" t="s">
        <v>924</v>
      </c>
      <c r="I15" s="626"/>
      <c r="J15" s="590"/>
      <c r="K15" s="607" t="s">
        <v>101</v>
      </c>
      <c r="L15" s="608"/>
      <c r="M15" s="590"/>
      <c r="N15" s="117" t="s">
        <v>915</v>
      </c>
      <c r="O15" s="524"/>
      <c r="P15" s="637" t="str">
        <f>IF(O17=Berechnung1!D28,Berechnung1!$F$5,IF(OR(O17&lt; Berechnung1!E28,O17&gt; Berechnung1!F28),Berechnung1!$G$5,IF(OR(ROUND(O17,4)&lt;Berechnung1!J28,ROUND(O17,4)&gt;Berechnung1!K28),Berechnung1!$D$5,IF(OR(ROUND(O17,4)&lt;Berechnung1!G28,ROUND(O17,4)&gt;Berechnung1!H28),Berechnung1!$E$5,Berechnung1!$C$5))))</f>
        <v>Incomplete</v>
      </c>
      <c r="Q15" s="585"/>
      <c r="R15" s="583"/>
    </row>
    <row r="16" spans="1:19" ht="30" customHeight="1" thickBot="1" x14ac:dyDescent="0.5">
      <c r="A16" s="620"/>
      <c r="B16" s="635"/>
      <c r="C16" s="623"/>
      <c r="D16" s="627"/>
      <c r="E16" s="628"/>
      <c r="F16" s="627"/>
      <c r="G16" s="628"/>
      <c r="H16" s="627"/>
      <c r="I16" s="628"/>
      <c r="J16" s="588"/>
      <c r="K16" s="609"/>
      <c r="L16" s="610"/>
      <c r="M16" s="588"/>
      <c r="N16" s="117" t="s">
        <v>988</v>
      </c>
      <c r="O16" s="525"/>
      <c r="P16" s="637"/>
      <c r="Q16" s="586"/>
      <c r="R16" s="584"/>
      <c r="S16" s="330">
        <f>IF('Basic data'!H33="",0,'Basic data'!H33)</f>
        <v>0</v>
      </c>
    </row>
    <row r="17" spans="1:18" ht="30" customHeight="1" thickBot="1" x14ac:dyDescent="0.5">
      <c r="A17" s="621"/>
      <c r="B17" s="636"/>
      <c r="C17" s="624"/>
      <c r="D17" s="629"/>
      <c r="E17" s="630"/>
      <c r="F17" s="629"/>
      <c r="G17" s="630"/>
      <c r="H17" s="629"/>
      <c r="I17" s="630"/>
      <c r="J17" s="589"/>
      <c r="K17" s="611"/>
      <c r="L17" s="612"/>
      <c r="M17" s="589"/>
      <c r="N17" s="117" t="s">
        <v>89</v>
      </c>
      <c r="O17" s="513" t="str">
        <f>IF(O15="","n.d.",IF(O16="","n.d.",IF(O16=0,"",O15/O16)))</f>
        <v>n.d.</v>
      </c>
      <c r="P17" s="637"/>
      <c r="Q17" s="586"/>
      <c r="R17" s="584"/>
    </row>
    <row r="18" spans="1:18" ht="30" customHeight="1" thickBot="1" x14ac:dyDescent="0.5">
      <c r="A18" s="619" t="s">
        <v>1228</v>
      </c>
      <c r="B18" s="634"/>
      <c r="C18" s="622" t="s">
        <v>1263</v>
      </c>
      <c r="D18" s="625" t="s">
        <v>1264</v>
      </c>
      <c r="E18" s="626"/>
      <c r="F18" s="625" t="s">
        <v>1265</v>
      </c>
      <c r="G18" s="626"/>
      <c r="H18" s="625" t="s">
        <v>1231</v>
      </c>
      <c r="I18" s="626"/>
      <c r="J18" s="590"/>
      <c r="K18" s="607" t="s">
        <v>101</v>
      </c>
      <c r="L18" s="608"/>
      <c r="M18" s="590"/>
      <c r="N18" s="512" t="s">
        <v>915</v>
      </c>
      <c r="O18" s="525"/>
      <c r="P18" s="675" t="str">
        <f>IF(AND(O18&lt;&gt;"",O19&lt;&gt;"",O18=0,O19=0),Berechnung1!$H$5,IF(O20="",Berechnung1!$D$5,IF(O20=Berechnung1!D31,Berechnung1!$F$5,IF(OR(O20&lt; Berechnung1!E31,O20&gt; Berechnung1!F31),Berechnung1!$G$5,IF(OR(ROUND(O20,4)&lt;Berechnung1!J31,ROUND(O20,4)&gt;Berechnung1!K31),Berechnung1!$D$5,IF(OR(ROUND(O20,4)&lt;Berechnung1!G31,ROUND(O20,4)&gt;Berechnung1!H31),Berechnung1!$E$5,Berechnung1!$C$5))))))</f>
        <v>Incomplete</v>
      </c>
      <c r="Q18" s="585"/>
      <c r="R18" s="583"/>
    </row>
    <row r="19" spans="1:18" ht="30" customHeight="1" thickBot="1" x14ac:dyDescent="0.5">
      <c r="A19" s="620"/>
      <c r="B19" s="635"/>
      <c r="C19" s="623"/>
      <c r="D19" s="627"/>
      <c r="E19" s="628"/>
      <c r="F19" s="627"/>
      <c r="G19" s="628"/>
      <c r="H19" s="627"/>
      <c r="I19" s="628"/>
      <c r="J19" s="588"/>
      <c r="K19" s="609"/>
      <c r="L19" s="610"/>
      <c r="M19" s="588"/>
      <c r="N19" s="117" t="s">
        <v>988</v>
      </c>
      <c r="O19" s="514">
        <f>O12</f>
        <v>0</v>
      </c>
      <c r="P19" s="637"/>
      <c r="Q19" s="586"/>
      <c r="R19" s="584"/>
    </row>
    <row r="20" spans="1:18" ht="30" customHeight="1" thickBot="1" x14ac:dyDescent="0.5">
      <c r="A20" s="621"/>
      <c r="B20" s="636"/>
      <c r="C20" s="624"/>
      <c r="D20" s="629"/>
      <c r="E20" s="630"/>
      <c r="F20" s="629"/>
      <c r="G20" s="630"/>
      <c r="H20" s="629"/>
      <c r="I20" s="630"/>
      <c r="J20" s="589"/>
      <c r="K20" s="611"/>
      <c r="L20" s="612"/>
      <c r="M20" s="589"/>
      <c r="N20" s="117" t="s">
        <v>89</v>
      </c>
      <c r="O20" s="324" t="str">
        <f>IF(O18="","n.d.",IF(O19="","n.d.",IF(O19=0,"",O18/O19)))</f>
        <v>n.d.</v>
      </c>
      <c r="P20" s="637"/>
      <c r="Q20" s="586"/>
      <c r="R20" s="584"/>
    </row>
    <row r="21" spans="1:18" ht="30" customHeight="1" thickBot="1" x14ac:dyDescent="0.5">
      <c r="A21" s="619">
        <v>3</v>
      </c>
      <c r="B21" s="634"/>
      <c r="C21" s="622" t="s">
        <v>925</v>
      </c>
      <c r="D21" s="625" t="s">
        <v>1266</v>
      </c>
      <c r="E21" s="626"/>
      <c r="F21" s="625" t="s">
        <v>1267</v>
      </c>
      <c r="G21" s="626"/>
      <c r="H21" s="625" t="s">
        <v>926</v>
      </c>
      <c r="I21" s="626"/>
      <c r="J21" s="590"/>
      <c r="K21" s="607" t="s">
        <v>101</v>
      </c>
      <c r="L21" s="608"/>
      <c r="M21" s="590"/>
      <c r="N21" s="117" t="s">
        <v>915</v>
      </c>
      <c r="O21" s="525"/>
      <c r="P21" s="613" t="str">
        <f>IF(O23=Berechnung1!D34,Berechnung1!$F$5,IF(OR(O23&lt; Berechnung1!E34,O23&gt; Berechnung1!F34),Berechnung1!$G$5,IF(OR(ROUND(O23,4)&lt;Berechnung1!J34,ROUND(O23,4)&gt;Berechnung1!K34),Berechnung1!$D$5,IF(OR(ROUND(O23,4)&lt;Berechnung1!G34,ROUND(O23,4)&gt;Berechnung1!H34),Berechnung1!$E$5,Berechnung1!$C$5))))</f>
        <v>Incomplete</v>
      </c>
      <c r="Q21" s="585"/>
      <c r="R21" s="583"/>
    </row>
    <row r="22" spans="1:18" ht="30" customHeight="1" thickBot="1" x14ac:dyDescent="0.5">
      <c r="A22" s="620"/>
      <c r="B22" s="635"/>
      <c r="C22" s="623"/>
      <c r="D22" s="627"/>
      <c r="E22" s="628"/>
      <c r="F22" s="627"/>
      <c r="G22" s="628"/>
      <c r="H22" s="627"/>
      <c r="I22" s="628"/>
      <c r="J22" s="588"/>
      <c r="K22" s="609"/>
      <c r="L22" s="610"/>
      <c r="M22" s="588"/>
      <c r="N22" s="117" t="s">
        <v>988</v>
      </c>
      <c r="O22" s="118">
        <f>IF(SUM('Basic data'!$B$33:$E$33) = "","",SUM('Basic data'!$B$33:$E$33))</f>
        <v>0</v>
      </c>
      <c r="P22" s="614"/>
      <c r="Q22" s="586"/>
      <c r="R22" s="584"/>
    </row>
    <row r="23" spans="1:18" ht="30" customHeight="1" thickBot="1" x14ac:dyDescent="0.5">
      <c r="A23" s="621"/>
      <c r="B23" s="636"/>
      <c r="C23" s="624"/>
      <c r="D23" s="629"/>
      <c r="E23" s="630"/>
      <c r="F23" s="629"/>
      <c r="G23" s="630"/>
      <c r="H23" s="629"/>
      <c r="I23" s="630"/>
      <c r="J23" s="589"/>
      <c r="K23" s="611"/>
      <c r="L23" s="612"/>
      <c r="M23" s="589"/>
      <c r="N23" s="117" t="s">
        <v>89</v>
      </c>
      <c r="O23" s="513" t="str">
        <f>IF(O21="","n.d.",IF(O22="","n.d.",IF(O22=0,"",O21/O22)))</f>
        <v>n.d.</v>
      </c>
      <c r="P23" s="593"/>
      <c r="Q23" s="586"/>
      <c r="R23" s="584"/>
    </row>
    <row r="24" spans="1:18" ht="30" customHeight="1" thickBot="1" x14ac:dyDescent="0.5">
      <c r="A24" s="705">
        <v>4</v>
      </c>
      <c r="B24" s="708"/>
      <c r="C24" s="711" t="s">
        <v>1277</v>
      </c>
      <c r="D24" s="714" t="s">
        <v>1278</v>
      </c>
      <c r="E24" s="715"/>
      <c r="F24" s="714" t="s">
        <v>1279</v>
      </c>
      <c r="G24" s="715"/>
      <c r="H24" s="714" t="s">
        <v>1232</v>
      </c>
      <c r="I24" s="715"/>
      <c r="J24" s="702"/>
      <c r="K24" s="720" t="s">
        <v>1280</v>
      </c>
      <c r="L24" s="721"/>
      <c r="M24" s="702"/>
      <c r="N24" s="515" t="s">
        <v>915</v>
      </c>
      <c r="O24" s="526"/>
      <c r="P24" s="726" t="str">
        <f>IF(O26=Berechnung1!D37,Berechnung1!$F$17,IF(OR(O26&lt; Berechnung1!E37,O26&gt; Berechnung1!F37),Berechnung1!$G$17,IF(OR(ROUND(O26,4)&lt;Berechnung1!J37,ROUND(O26,4)&gt;Berechnung1!K37),Berechnung1!$D$17,IF(OR(ROUND(O26,4)&lt;Berechnung1!G37,ROUND(O26,4)&gt;Berechnung1!H37),Berechnung1!$E$17,Berechnung1!$C$17))))</f>
        <v>optional - incomplete</v>
      </c>
      <c r="Q24" s="585"/>
      <c r="R24" s="668"/>
    </row>
    <row r="25" spans="1:18" ht="30" customHeight="1" thickBot="1" x14ac:dyDescent="0.5">
      <c r="A25" s="706"/>
      <c r="B25" s="709"/>
      <c r="C25" s="712"/>
      <c r="D25" s="716"/>
      <c r="E25" s="717"/>
      <c r="F25" s="716"/>
      <c r="G25" s="717"/>
      <c r="H25" s="716"/>
      <c r="I25" s="717"/>
      <c r="J25" s="703"/>
      <c r="K25" s="722"/>
      <c r="L25" s="723"/>
      <c r="M25" s="703"/>
      <c r="N25" s="511" t="s">
        <v>988</v>
      </c>
      <c r="O25" s="516">
        <f>IF(OR('Basic data'!$H$33 = "",O19=""),0,'Basic data'!$H$33+O19)</f>
        <v>0</v>
      </c>
      <c r="P25" s="727"/>
      <c r="Q25" s="586"/>
      <c r="R25" s="669"/>
    </row>
    <row r="26" spans="1:18" ht="30" customHeight="1" thickBot="1" x14ac:dyDescent="0.5">
      <c r="A26" s="707"/>
      <c r="B26" s="710"/>
      <c r="C26" s="713"/>
      <c r="D26" s="718"/>
      <c r="E26" s="719"/>
      <c r="F26" s="718"/>
      <c r="G26" s="719"/>
      <c r="H26" s="718"/>
      <c r="I26" s="719"/>
      <c r="J26" s="704"/>
      <c r="K26" s="724"/>
      <c r="L26" s="725"/>
      <c r="M26" s="704"/>
      <c r="N26" s="511" t="s">
        <v>89</v>
      </c>
      <c r="O26" s="517" t="str">
        <f>IF(O24="","n.d.",IF(O25="","n.d.",IF(O25=0,"",O24/O25)))</f>
        <v>n.d.</v>
      </c>
      <c r="P26" s="728"/>
      <c r="Q26" s="586"/>
      <c r="R26" s="669"/>
    </row>
    <row r="27" spans="1:18" ht="30" customHeight="1" thickBot="1" x14ac:dyDescent="0.5">
      <c r="A27" s="619">
        <v>5</v>
      </c>
      <c r="B27" s="634"/>
      <c r="C27" s="622" t="s">
        <v>927</v>
      </c>
      <c r="D27" s="625" t="s">
        <v>1281</v>
      </c>
      <c r="E27" s="626"/>
      <c r="F27" s="625" t="s">
        <v>1233</v>
      </c>
      <c r="G27" s="626"/>
      <c r="H27" s="625" t="s">
        <v>1234</v>
      </c>
      <c r="I27" s="626"/>
      <c r="J27" s="590" t="s">
        <v>813</v>
      </c>
      <c r="K27" s="607" t="s">
        <v>1197</v>
      </c>
      <c r="L27" s="608"/>
      <c r="M27" s="587"/>
      <c r="N27" s="512" t="s">
        <v>915</v>
      </c>
      <c r="O27" s="525"/>
      <c r="P27" s="591" t="str">
        <f>IF(O29=Berechnung1!D40,Berechnung1!$F$5,IF(OR(O29&lt; Berechnung1!E40,O29&gt; Berechnung1!F40),Berechnung1!$G$5,IF(OR(ROUND(O29,4)&lt;Berechnung1!J40,ROUND(O29,4)&gt;Berechnung1!K40),Berechnung1!$D$5,IF(OR(ROUND(O29,4)&lt;Berechnung1!G40,ROUND(O29,4)&gt;Berechnung1!H40),Berechnung1!$E$5,Berechnung1!$C$5))))</f>
        <v>Incomplete</v>
      </c>
      <c r="Q27" s="585"/>
      <c r="R27" s="583"/>
    </row>
    <row r="28" spans="1:18" ht="30" customHeight="1" thickBot="1" x14ac:dyDescent="0.5">
      <c r="A28" s="620"/>
      <c r="B28" s="635"/>
      <c r="C28" s="623"/>
      <c r="D28" s="627"/>
      <c r="E28" s="628"/>
      <c r="F28" s="627"/>
      <c r="G28" s="628"/>
      <c r="H28" s="627"/>
      <c r="I28" s="628"/>
      <c r="J28" s="588"/>
      <c r="K28" s="609"/>
      <c r="L28" s="610"/>
      <c r="M28" s="588"/>
      <c r="N28" s="117" t="s">
        <v>988</v>
      </c>
      <c r="O28" s="514">
        <f>IF(OR('Basic data'!$H$33 = "",O19=""),0,'Basic data'!$H$33+O19)</f>
        <v>0</v>
      </c>
      <c r="P28" s="614"/>
      <c r="Q28" s="586"/>
      <c r="R28" s="584"/>
    </row>
    <row r="29" spans="1:18" ht="30" customHeight="1" thickBot="1" x14ac:dyDescent="0.5">
      <c r="A29" s="621"/>
      <c r="B29" s="636"/>
      <c r="C29" s="624"/>
      <c r="D29" s="629"/>
      <c r="E29" s="630"/>
      <c r="F29" s="629"/>
      <c r="G29" s="630"/>
      <c r="H29" s="629"/>
      <c r="I29" s="630"/>
      <c r="J29" s="589"/>
      <c r="K29" s="611"/>
      <c r="L29" s="612"/>
      <c r="M29" s="589"/>
      <c r="N29" s="117" t="s">
        <v>89</v>
      </c>
      <c r="O29" s="513" t="str">
        <f>IF(O27="","n.d.",IF(O28="","n.d.",IF(O28=0,"",O27/O28)))</f>
        <v>n.d.</v>
      </c>
      <c r="P29" s="593"/>
      <c r="Q29" s="586"/>
      <c r="R29" s="584"/>
    </row>
    <row r="30" spans="1:18" ht="30" customHeight="1" thickBot="1" x14ac:dyDescent="0.5">
      <c r="A30" s="619">
        <v>6</v>
      </c>
      <c r="B30" s="631" t="s">
        <v>1200</v>
      </c>
      <c r="C30" s="622" t="s">
        <v>1308</v>
      </c>
      <c r="D30" s="625" t="s">
        <v>928</v>
      </c>
      <c r="E30" s="626"/>
      <c r="F30" s="625" t="s">
        <v>1306</v>
      </c>
      <c r="G30" s="626"/>
      <c r="H30" s="625" t="s">
        <v>929</v>
      </c>
      <c r="I30" s="626"/>
      <c r="J30" s="590"/>
      <c r="K30" s="607" t="s">
        <v>409</v>
      </c>
      <c r="L30" s="608"/>
      <c r="M30" s="590"/>
      <c r="N30" s="512" t="s">
        <v>915</v>
      </c>
      <c r="O30" s="525"/>
      <c r="P30" s="591" t="str">
        <f>IF(O32=Berechnung1!D43,Berechnung1!$F$5,IF(OR(O32&lt; Berechnung1!E43,O32&gt; Berechnung1!F43),Berechnung1!$G$5,IF(OR(ROUND(O32,4)&lt;Berechnung1!J43,ROUND(O32,4)&gt;Berechnung1!K43),Berechnung1!$D$5,IF(OR(ROUND(O32,4)&lt;Berechnung1!G43,ROUND(O32,4)&gt;Berechnung1!H43),Berechnung1!$E$5,Berechnung1!$C$5))))</f>
        <v>Incomplete</v>
      </c>
      <c r="Q30" s="585"/>
      <c r="R30" s="583"/>
    </row>
    <row r="31" spans="1:18" ht="30" customHeight="1" thickBot="1" x14ac:dyDescent="0.5">
      <c r="A31" s="620"/>
      <c r="B31" s="632"/>
      <c r="C31" s="623"/>
      <c r="D31" s="627"/>
      <c r="E31" s="628"/>
      <c r="F31" s="627"/>
      <c r="G31" s="628"/>
      <c r="H31" s="627"/>
      <c r="I31" s="628"/>
      <c r="J31" s="588"/>
      <c r="K31" s="609"/>
      <c r="L31" s="610"/>
      <c r="M31" s="588"/>
      <c r="N31" s="117" t="s">
        <v>988</v>
      </c>
      <c r="O31" s="514">
        <f>IF('Basic data'!$H$33 = "",0,'Basic data'!$H$33)</f>
        <v>0</v>
      </c>
      <c r="P31" s="614"/>
      <c r="Q31" s="586"/>
      <c r="R31" s="584"/>
    </row>
    <row r="32" spans="1:18" ht="30" customHeight="1" thickBot="1" x14ac:dyDescent="0.5">
      <c r="A32" s="621"/>
      <c r="B32" s="633"/>
      <c r="C32" s="624"/>
      <c r="D32" s="629"/>
      <c r="E32" s="630"/>
      <c r="F32" s="629"/>
      <c r="G32" s="630"/>
      <c r="H32" s="629"/>
      <c r="I32" s="630"/>
      <c r="J32" s="589"/>
      <c r="K32" s="611"/>
      <c r="L32" s="612"/>
      <c r="M32" s="589"/>
      <c r="N32" s="117" t="s">
        <v>89</v>
      </c>
      <c r="O32" s="324" t="str">
        <f>IF(O30="","n.d.",IF(O31="","n.d.",IF(O31=0,"",O30/O31)))</f>
        <v>n.d.</v>
      </c>
      <c r="P32" s="593"/>
      <c r="Q32" s="586"/>
      <c r="R32" s="584"/>
    </row>
    <row r="33" spans="1:19" ht="33" customHeight="1" thickBot="1" x14ac:dyDescent="0.5">
      <c r="A33" s="619">
        <v>7</v>
      </c>
      <c r="B33" s="631" t="s">
        <v>1229</v>
      </c>
      <c r="C33" s="622" t="s">
        <v>930</v>
      </c>
      <c r="D33" s="625" t="s">
        <v>1235</v>
      </c>
      <c r="E33" s="626"/>
      <c r="F33" s="625" t="s">
        <v>1309</v>
      </c>
      <c r="G33" s="626"/>
      <c r="H33" s="625" t="s">
        <v>929</v>
      </c>
      <c r="I33" s="626"/>
      <c r="J33" s="590"/>
      <c r="K33" s="607" t="s">
        <v>90</v>
      </c>
      <c r="L33" s="608"/>
      <c r="M33" s="587"/>
      <c r="N33" s="117" t="s">
        <v>915</v>
      </c>
      <c r="O33" s="525"/>
      <c r="P33" s="613" t="str">
        <f>IF(O35=Berechnung1!D46,Berechnung1!$F$5,IF(OR(O35&lt; Berechnung1!E46,O35&gt; Berechnung1!F46),Berechnung1!$G$5,IF(OR(ROUND(O35,4)&lt;Berechnung1!J46,ROUND(O35,4)&gt;Berechnung1!K46),Berechnung1!$D$5,IF(OR(ROUND(O35,4)&lt;Berechnung1!G46,ROUND(O35,4)&gt;Berechnung1!H46),Berechnung1!$E$5,Berechnung1!$C$5))))</f>
        <v>Incomplete</v>
      </c>
      <c r="Q33" s="585"/>
      <c r="R33" s="583"/>
      <c r="S33" s="359"/>
    </row>
    <row r="34" spans="1:19" ht="33" customHeight="1" thickBot="1" x14ac:dyDescent="0.5">
      <c r="A34" s="620"/>
      <c r="B34" s="632"/>
      <c r="C34" s="623"/>
      <c r="D34" s="627"/>
      <c r="E34" s="628"/>
      <c r="F34" s="627"/>
      <c r="G34" s="628"/>
      <c r="H34" s="627"/>
      <c r="I34" s="628"/>
      <c r="J34" s="588"/>
      <c r="K34" s="609"/>
      <c r="L34" s="610"/>
      <c r="M34" s="588"/>
      <c r="N34" s="117" t="s">
        <v>988</v>
      </c>
      <c r="O34" s="361">
        <f>IF('Basic data'!$H$33 = "",0,'Basic data'!$H$33)</f>
        <v>0</v>
      </c>
      <c r="P34" s="614"/>
      <c r="Q34" s="586"/>
      <c r="R34" s="584"/>
      <c r="S34" s="359"/>
    </row>
    <row r="35" spans="1:19" ht="33" customHeight="1" thickBot="1" x14ac:dyDescent="0.5">
      <c r="A35" s="621"/>
      <c r="B35" s="633"/>
      <c r="C35" s="624"/>
      <c r="D35" s="629"/>
      <c r="E35" s="630"/>
      <c r="F35" s="629"/>
      <c r="G35" s="630"/>
      <c r="H35" s="629"/>
      <c r="I35" s="630"/>
      <c r="J35" s="589"/>
      <c r="K35" s="611"/>
      <c r="L35" s="612"/>
      <c r="M35" s="589"/>
      <c r="N35" s="360" t="s">
        <v>89</v>
      </c>
      <c r="O35" s="362" t="str">
        <f>IF(O33="","n.d.",IF(O34="","n.d.",IF(O34=0,"",O33/O34)))</f>
        <v>n.d.</v>
      </c>
      <c r="P35" s="593"/>
      <c r="Q35" s="586"/>
      <c r="R35" s="584"/>
      <c r="S35" s="359"/>
    </row>
    <row r="36" spans="1:19" ht="30" customHeight="1" thickBot="1" x14ac:dyDescent="0.5">
      <c r="A36" s="619">
        <v>8</v>
      </c>
      <c r="B36" s="631"/>
      <c r="C36" s="622" t="s">
        <v>931</v>
      </c>
      <c r="D36" s="625" t="s">
        <v>1236</v>
      </c>
      <c r="E36" s="626"/>
      <c r="F36" s="625" t="s">
        <v>932</v>
      </c>
      <c r="G36" s="626"/>
      <c r="H36" s="625" t="s">
        <v>1288</v>
      </c>
      <c r="I36" s="626"/>
      <c r="J36" s="590"/>
      <c r="K36" s="607" t="s">
        <v>90</v>
      </c>
      <c r="L36" s="608"/>
      <c r="M36" s="587"/>
      <c r="N36" s="117" t="s">
        <v>915</v>
      </c>
      <c r="O36" s="525"/>
      <c r="P36" s="613" t="str">
        <f>IF(AND(O36&lt;&gt;"",O37&lt;&gt;"",O36=0,O37=0),Berechnung1!$H$5,IF(O38="",Berechnung1!$D$5,IF(O38=Berechnung1!D49,Berechnung1!$F$5,IF(OR(O38&lt;Berechnung1!E49,O38&gt;Berechnung1!F49),Berechnung1!$G$5,IF(OR(ROUND(O38,4)&lt;Berechnung1!J49,ROUND(O38,4)&gt;Berechnung1!K49),Berechnung1!$D$5,IF(OR(ROUND(O38,4)&lt;Berechnung1!G49,ROUND(O38,4)&gt;Berechnung1!H49),Berechnung1!$E$5,Berechnung1!$C$5))))))</f>
        <v>Incomplete</v>
      </c>
      <c r="Q36" s="585"/>
      <c r="R36" s="583"/>
      <c r="S36" s="359"/>
    </row>
    <row r="37" spans="1:19" ht="30" customHeight="1" thickBot="1" x14ac:dyDescent="0.5">
      <c r="A37" s="620"/>
      <c r="B37" s="632"/>
      <c r="C37" s="623"/>
      <c r="D37" s="627"/>
      <c r="E37" s="628"/>
      <c r="F37" s="627"/>
      <c r="G37" s="628"/>
      <c r="H37" s="627"/>
      <c r="I37" s="628"/>
      <c r="J37" s="588"/>
      <c r="K37" s="609"/>
      <c r="L37" s="610"/>
      <c r="M37" s="588"/>
      <c r="N37" s="117" t="s">
        <v>988</v>
      </c>
      <c r="O37" s="525"/>
      <c r="P37" s="614"/>
      <c r="Q37" s="586"/>
      <c r="R37" s="584"/>
      <c r="S37" s="359"/>
    </row>
    <row r="38" spans="1:19" ht="30" customHeight="1" thickBot="1" x14ac:dyDescent="0.5">
      <c r="A38" s="621"/>
      <c r="B38" s="633"/>
      <c r="C38" s="624"/>
      <c r="D38" s="629"/>
      <c r="E38" s="630"/>
      <c r="F38" s="629"/>
      <c r="G38" s="630"/>
      <c r="H38" s="629"/>
      <c r="I38" s="630"/>
      <c r="J38" s="589"/>
      <c r="K38" s="611"/>
      <c r="L38" s="612"/>
      <c r="M38" s="589"/>
      <c r="N38" s="360" t="s">
        <v>89</v>
      </c>
      <c r="O38" s="362" t="str">
        <f>IF(O36="","n.d.",IF(O37="","n.d.",IF(O37=0,"",O36/O37)))</f>
        <v>n.d.</v>
      </c>
      <c r="P38" s="593"/>
      <c r="Q38" s="586"/>
      <c r="R38" s="584"/>
      <c r="S38" s="359"/>
    </row>
    <row r="39" spans="1:19" ht="30" customHeight="1" thickBot="1" x14ac:dyDescent="0.5">
      <c r="A39" s="619">
        <v>9</v>
      </c>
      <c r="B39" s="634"/>
      <c r="C39" s="622" t="s">
        <v>933</v>
      </c>
      <c r="D39" s="625" t="s">
        <v>1237</v>
      </c>
      <c r="E39" s="626"/>
      <c r="F39" s="625" t="s">
        <v>934</v>
      </c>
      <c r="G39" s="626"/>
      <c r="H39" s="625" t="s">
        <v>935</v>
      </c>
      <c r="I39" s="626"/>
      <c r="J39" s="590"/>
      <c r="K39" s="607" t="s">
        <v>90</v>
      </c>
      <c r="L39" s="608"/>
      <c r="M39" s="590"/>
      <c r="N39" s="117" t="s">
        <v>915</v>
      </c>
      <c r="O39" s="525"/>
      <c r="P39" s="613" t="str">
        <f>IF(AND(O39&lt;&gt;"",O40&lt;&gt;"",O39=0,O40=0),Berechnung1!$H$5,IF(OR(O39="",O40=""),Berechnung1!$F$5,IF(AND(O39=0,O40=0),Berechnung1!$D$5,IF(O41=Berechnung1!D52,Berechnung1!$F$5,IF(OR(O41&lt;Berechnung1!E52,O41&gt;Berechnung1!F52),Berechnung1!$G$5,IF(OR(ROUND(O41,4)&lt;Berechnung1!J52,ROUND(O41,4)&gt;Berechnung1!K52),Berechnung1!$D$5,IF(OR(ROUND(O41,4)&lt;Berechnung1!G52,ROUND(O41,4)&gt;Berechnung1!H52),Berechnung1!$E$5,Berechnung1!$C$5)))))))</f>
        <v>Incomplete</v>
      </c>
      <c r="Q39" s="585"/>
      <c r="R39" s="583"/>
    </row>
    <row r="40" spans="1:19" ht="30" customHeight="1" thickBot="1" x14ac:dyDescent="0.5">
      <c r="A40" s="620"/>
      <c r="B40" s="635"/>
      <c r="C40" s="623"/>
      <c r="D40" s="627"/>
      <c r="E40" s="628"/>
      <c r="F40" s="627"/>
      <c r="G40" s="628"/>
      <c r="H40" s="627"/>
      <c r="I40" s="628"/>
      <c r="J40" s="588"/>
      <c r="K40" s="609"/>
      <c r="L40" s="610"/>
      <c r="M40" s="588"/>
      <c r="N40" s="117" t="s">
        <v>988</v>
      </c>
      <c r="O40" s="525"/>
      <c r="P40" s="614"/>
      <c r="Q40" s="586"/>
      <c r="R40" s="584"/>
      <c r="S40" s="330">
        <f>IF('Basic data'!H33="",0,'Basic data'!H33)</f>
        <v>0</v>
      </c>
    </row>
    <row r="41" spans="1:19" ht="30" customHeight="1" thickBot="1" x14ac:dyDescent="0.5">
      <c r="A41" s="621"/>
      <c r="B41" s="636"/>
      <c r="C41" s="624"/>
      <c r="D41" s="629"/>
      <c r="E41" s="630"/>
      <c r="F41" s="629"/>
      <c r="G41" s="630"/>
      <c r="H41" s="629"/>
      <c r="I41" s="630"/>
      <c r="J41" s="589"/>
      <c r="K41" s="611"/>
      <c r="L41" s="612"/>
      <c r="M41" s="589"/>
      <c r="N41" s="117" t="s">
        <v>89</v>
      </c>
      <c r="O41" s="513" t="str">
        <f>IF(O39="","n.d.",IF(O40="","n.d.",IF(O40=0,"",O39/O40)))</f>
        <v>n.d.</v>
      </c>
      <c r="P41" s="593"/>
      <c r="Q41" s="586"/>
      <c r="R41" s="584"/>
    </row>
    <row r="42" spans="1:19" ht="30" customHeight="1" thickBot="1" x14ac:dyDescent="0.5">
      <c r="A42" s="619">
        <v>10</v>
      </c>
      <c r="B42" s="634" t="s">
        <v>1229</v>
      </c>
      <c r="C42" s="622" t="s">
        <v>936</v>
      </c>
      <c r="D42" s="625" t="s">
        <v>1238</v>
      </c>
      <c r="E42" s="626"/>
      <c r="F42" s="625" t="s">
        <v>937</v>
      </c>
      <c r="G42" s="626"/>
      <c r="H42" s="625" t="s">
        <v>1289</v>
      </c>
      <c r="I42" s="626"/>
      <c r="J42" s="607"/>
      <c r="K42" s="607" t="s">
        <v>1300</v>
      </c>
      <c r="L42" s="608"/>
      <c r="M42" s="590"/>
      <c r="N42" s="518" t="s">
        <v>915</v>
      </c>
      <c r="O42" s="527"/>
      <c r="P42" s="591" t="str">
        <f>IF(AND(O42&lt;&gt;"",O43&lt;&gt;"",O42=0,O43=0),Berechnung1!$H$5,IF(OR(O42="",O43=""),Berechnung1!$F$5,IF(AND(O42=0,O43=0),Berechnung1!$D$5,IF(O44=Berechnung1!D55,Berechnung1!$F$5,IF(OR(O44&lt;Berechnung1!E55,O44&gt;Berechnung1!F55),Berechnung1!$G$5,IF(OR(ROUND(O44,4)&lt;Berechnung1!J55,ROUND(O44,4)&gt;Berechnung1!K55),Berechnung1!$D$5,IF(OR(ROUND(O44,4)&lt;Berechnung1!G55,ROUND(O44,4)&gt;Berechnung1!H55),Berechnung1!$E$5,Berechnung1!$C$5)))))))</f>
        <v>Incomplete</v>
      </c>
      <c r="Q42" s="585"/>
      <c r="R42" s="583"/>
    </row>
    <row r="43" spans="1:19" ht="30" customHeight="1" thickBot="1" x14ac:dyDescent="0.5">
      <c r="A43" s="620"/>
      <c r="B43" s="635"/>
      <c r="C43" s="623"/>
      <c r="D43" s="627"/>
      <c r="E43" s="628"/>
      <c r="F43" s="627"/>
      <c r="G43" s="628"/>
      <c r="H43" s="627"/>
      <c r="I43" s="628"/>
      <c r="J43" s="609"/>
      <c r="K43" s="609"/>
      <c r="L43" s="610"/>
      <c r="M43" s="588"/>
      <c r="N43" s="518" t="s">
        <v>988</v>
      </c>
      <c r="O43" s="527"/>
      <c r="P43" s="592"/>
      <c r="Q43" s="586"/>
      <c r="R43" s="584"/>
    </row>
    <row r="44" spans="1:19" ht="30" customHeight="1" thickBot="1" x14ac:dyDescent="0.5">
      <c r="A44" s="621"/>
      <c r="B44" s="636"/>
      <c r="C44" s="624"/>
      <c r="D44" s="629"/>
      <c r="E44" s="630"/>
      <c r="F44" s="629"/>
      <c r="G44" s="630"/>
      <c r="H44" s="629"/>
      <c r="I44" s="630"/>
      <c r="J44" s="611"/>
      <c r="K44" s="611"/>
      <c r="L44" s="612"/>
      <c r="M44" s="589"/>
      <c r="N44" s="259" t="s">
        <v>89</v>
      </c>
      <c r="O44" s="520" t="str">
        <f>IF(O42="","n.d.",IF(O43="","n.d.",IF(O43=0,"",O42/O43)))</f>
        <v>n.d.</v>
      </c>
      <c r="P44" s="593"/>
      <c r="Q44" s="586"/>
      <c r="R44" s="584"/>
    </row>
    <row r="45" spans="1:19" ht="30" customHeight="1" thickBot="1" x14ac:dyDescent="0.5">
      <c r="A45" s="619">
        <v>11</v>
      </c>
      <c r="B45" s="634"/>
      <c r="C45" s="622" t="s">
        <v>938</v>
      </c>
      <c r="D45" s="625" t="s">
        <v>1239</v>
      </c>
      <c r="E45" s="626"/>
      <c r="F45" s="625" t="s">
        <v>939</v>
      </c>
      <c r="G45" s="626"/>
      <c r="H45" s="625" t="s">
        <v>940</v>
      </c>
      <c r="I45" s="626"/>
      <c r="J45" s="590" t="s">
        <v>156</v>
      </c>
      <c r="K45" s="607" t="s">
        <v>102</v>
      </c>
      <c r="L45" s="608"/>
      <c r="M45" s="590"/>
      <c r="N45" s="518" t="s">
        <v>915</v>
      </c>
      <c r="O45" s="527"/>
      <c r="P45" s="591" t="str">
        <f>IF(O47=Berechnung1!D58,Berechnung1!$F$5,IF(OR(O47&lt; Berechnung1!E58,O47&gt; Berechnung1!F58),Berechnung1!$G$5,IF(OR(O47&lt;Berechnung1!J58,O47&gt;Berechnung1!K58),Berechnung1!$D$5,IF(OR(ROUND(O47,4)&lt;Berechnung1!G58,ROUND(O47,4)&gt;Berechnung1!H58),Berechnung1!$E$5,Berechnung1!$C$5))))</f>
        <v>Incomplete</v>
      </c>
      <c r="Q45" s="585"/>
      <c r="R45" s="583"/>
    </row>
    <row r="46" spans="1:19" ht="30" customHeight="1" thickBot="1" x14ac:dyDescent="0.5">
      <c r="A46" s="620"/>
      <c r="B46" s="635"/>
      <c r="C46" s="623"/>
      <c r="D46" s="627"/>
      <c r="E46" s="628"/>
      <c r="F46" s="627"/>
      <c r="G46" s="628"/>
      <c r="H46" s="627"/>
      <c r="I46" s="628"/>
      <c r="J46" s="588"/>
      <c r="K46" s="609"/>
      <c r="L46" s="610"/>
      <c r="M46" s="588"/>
      <c r="N46" s="518" t="s">
        <v>988</v>
      </c>
      <c r="O46" s="527"/>
      <c r="P46" s="592"/>
      <c r="Q46" s="586"/>
      <c r="R46" s="584"/>
    </row>
    <row r="47" spans="1:19" ht="30" customHeight="1" thickBot="1" x14ac:dyDescent="0.5">
      <c r="A47" s="621"/>
      <c r="B47" s="636"/>
      <c r="C47" s="624"/>
      <c r="D47" s="629"/>
      <c r="E47" s="630"/>
      <c r="F47" s="629"/>
      <c r="G47" s="630"/>
      <c r="H47" s="629"/>
      <c r="I47" s="630"/>
      <c r="J47" s="589"/>
      <c r="K47" s="611"/>
      <c r="L47" s="612"/>
      <c r="M47" s="589"/>
      <c r="N47" s="259" t="s">
        <v>89</v>
      </c>
      <c r="O47" s="519" t="str">
        <f>IF(O45="","n.d.",IF(O46="","n.d.",IF(O46=0,"",O45/O46)))</f>
        <v>n.d.</v>
      </c>
      <c r="P47" s="593"/>
      <c r="Q47" s="586"/>
      <c r="R47" s="584"/>
    </row>
    <row r="48" spans="1:19" s="119" customFormat="1" ht="30" customHeight="1" thickBot="1" x14ac:dyDescent="0.4">
      <c r="A48" s="619">
        <v>12</v>
      </c>
      <c r="B48" s="634" t="s">
        <v>1229</v>
      </c>
      <c r="C48" s="622" t="s">
        <v>941</v>
      </c>
      <c r="D48" s="625" t="s">
        <v>942</v>
      </c>
      <c r="E48" s="626"/>
      <c r="F48" s="625" t="s">
        <v>943</v>
      </c>
      <c r="G48" s="626"/>
      <c r="H48" s="625" t="s">
        <v>944</v>
      </c>
      <c r="I48" s="626"/>
      <c r="J48" s="590"/>
      <c r="K48" s="607" t="s">
        <v>90</v>
      </c>
      <c r="L48" s="608"/>
      <c r="M48" s="587"/>
      <c r="N48" s="259" t="s">
        <v>915</v>
      </c>
      <c r="O48" s="527"/>
      <c r="P48" s="580" t="str">
        <f>IF(AND(O48&lt;&gt;"",O49&lt;&gt;"",O48=0,O49=0),Berechnung1!$H$5,IF(O50="",Berechnung1!$D$5,IF(O50=Berechnung1!D61,Berechnung1!$F$5,IF(OR(O50&lt;Berechnung1!E61,O50&gt;Berechnung1!F61),Berechnung1!$G$5,IF(OR(ROUND(O50,4)&lt;Berechnung1!J61,ROUND(O50,4)&gt;Berechnung1!K61),Berechnung1!$D$5,IF(OR(ROUND(O50,4)&lt;Berechnung1!G61,ROUND(O50,4)&gt;Berechnung1!H61),Berechnung1!$E$5,Berechnung1!$C$5))))))</f>
        <v>Incomplete</v>
      </c>
      <c r="Q48" s="585"/>
      <c r="R48" s="583"/>
      <c r="S48" s="331"/>
    </row>
    <row r="49" spans="1:19" s="119" customFormat="1" ht="30" customHeight="1" thickBot="1" x14ac:dyDescent="0.4">
      <c r="A49" s="620"/>
      <c r="B49" s="635"/>
      <c r="C49" s="623"/>
      <c r="D49" s="627"/>
      <c r="E49" s="628"/>
      <c r="F49" s="627"/>
      <c r="G49" s="628"/>
      <c r="H49" s="627"/>
      <c r="I49" s="628"/>
      <c r="J49" s="588"/>
      <c r="K49" s="609"/>
      <c r="L49" s="610"/>
      <c r="M49" s="588"/>
      <c r="N49" s="259" t="s">
        <v>988</v>
      </c>
      <c r="O49" s="527"/>
      <c r="P49" s="581"/>
      <c r="Q49" s="586"/>
      <c r="R49" s="584"/>
      <c r="S49" s="331">
        <f>IF(OR('Basic data'!H35="",'Basic data'!D35=""),0,('Basic data'!H35-'Basic data'!D35))</f>
        <v>0</v>
      </c>
    </row>
    <row r="50" spans="1:19" s="119" customFormat="1" ht="30" customHeight="1" thickBot="1" x14ac:dyDescent="0.4">
      <c r="A50" s="621"/>
      <c r="B50" s="636"/>
      <c r="C50" s="624"/>
      <c r="D50" s="629"/>
      <c r="E50" s="630"/>
      <c r="F50" s="629"/>
      <c r="G50" s="630"/>
      <c r="H50" s="629"/>
      <c r="I50" s="630"/>
      <c r="J50" s="589"/>
      <c r="K50" s="611"/>
      <c r="L50" s="612"/>
      <c r="M50" s="589"/>
      <c r="N50" s="259" t="s">
        <v>89</v>
      </c>
      <c r="O50" s="325" t="str">
        <f>IF(O48="","n.d.",IF(O49="","n.d.",IF(AND(O48=0,O49=0),"",IF(O49=0,"n.d.",O48/O49))))</f>
        <v>n.d.</v>
      </c>
      <c r="P50" s="582"/>
      <c r="Q50" s="586"/>
      <c r="R50" s="584"/>
      <c r="S50" s="331"/>
    </row>
    <row r="51" spans="1:19" ht="30" customHeight="1" thickBot="1" x14ac:dyDescent="0.5">
      <c r="A51" s="619">
        <v>13</v>
      </c>
      <c r="B51" s="631" t="s">
        <v>1201</v>
      </c>
      <c r="C51" s="622" t="s">
        <v>945</v>
      </c>
      <c r="D51" s="625" t="s">
        <v>946</v>
      </c>
      <c r="E51" s="626"/>
      <c r="F51" s="625" t="s">
        <v>947</v>
      </c>
      <c r="G51" s="626"/>
      <c r="H51" s="625" t="s">
        <v>28</v>
      </c>
      <c r="I51" s="626"/>
      <c r="J51" s="590"/>
      <c r="K51" s="607" t="s">
        <v>106</v>
      </c>
      <c r="L51" s="608"/>
      <c r="M51" s="590"/>
      <c r="N51" s="615" t="s">
        <v>989</v>
      </c>
      <c r="O51" s="616">
        <f>'Basic data'!B34+'Basic data'!D34</f>
        <v>0</v>
      </c>
      <c r="P51" s="613" t="str">
        <f>IF(O51=Berechnung1!D64,Berechnung1!$F$5,IF(OR(O51&lt; Berechnung1!E64,O51&gt; Berechnung1!F64),Berechnung1!$G$5,IF(OR(ROUND(O51,4)&lt;Berechnung1!J64,ROUND(O51,4)&gt;Berechnung1!K64),Berechnung1!$D$5,IF(OR(ROUND(O51,4)&lt;Berechnung1!G64,ROUND(O51,4)&gt;Berechnung1!H64),Berechnung1!$E$5,Berechnung1!$C$5))))</f>
        <v>Incomplete</v>
      </c>
      <c r="Q51" s="585"/>
      <c r="R51" s="583"/>
    </row>
    <row r="52" spans="1:19" ht="30" customHeight="1" thickBot="1" x14ac:dyDescent="0.5">
      <c r="A52" s="620"/>
      <c r="B52" s="632"/>
      <c r="C52" s="623"/>
      <c r="D52" s="627"/>
      <c r="E52" s="628"/>
      <c r="F52" s="627"/>
      <c r="G52" s="628"/>
      <c r="H52" s="627"/>
      <c r="I52" s="628"/>
      <c r="J52" s="588"/>
      <c r="K52" s="609"/>
      <c r="L52" s="610"/>
      <c r="M52" s="588"/>
      <c r="N52" s="615"/>
      <c r="O52" s="617"/>
      <c r="P52" s="614"/>
      <c r="Q52" s="586"/>
      <c r="R52" s="584"/>
    </row>
    <row r="53" spans="1:19" ht="30" customHeight="1" thickBot="1" x14ac:dyDescent="0.5">
      <c r="A53" s="621"/>
      <c r="B53" s="633"/>
      <c r="C53" s="624"/>
      <c r="D53" s="629"/>
      <c r="E53" s="630"/>
      <c r="F53" s="629"/>
      <c r="G53" s="630"/>
      <c r="H53" s="629"/>
      <c r="I53" s="630"/>
      <c r="J53" s="589"/>
      <c r="K53" s="611"/>
      <c r="L53" s="612"/>
      <c r="M53" s="589"/>
      <c r="N53" s="615"/>
      <c r="O53" s="618"/>
      <c r="P53" s="593"/>
      <c r="Q53" s="586"/>
      <c r="R53" s="584"/>
    </row>
    <row r="54" spans="1:19" ht="30" customHeight="1" thickBot="1" x14ac:dyDescent="0.5">
      <c r="A54" s="619">
        <v>14</v>
      </c>
      <c r="B54" s="631" t="s">
        <v>1201</v>
      </c>
      <c r="C54" s="622" t="s">
        <v>948</v>
      </c>
      <c r="D54" s="625" t="s">
        <v>946</v>
      </c>
      <c r="E54" s="626"/>
      <c r="F54" s="625" t="s">
        <v>949</v>
      </c>
      <c r="G54" s="626"/>
      <c r="H54" s="625" t="s">
        <v>28</v>
      </c>
      <c r="I54" s="626"/>
      <c r="J54" s="590"/>
      <c r="K54" s="607" t="s">
        <v>107</v>
      </c>
      <c r="L54" s="608"/>
      <c r="M54" s="590"/>
      <c r="N54" s="615" t="s">
        <v>989</v>
      </c>
      <c r="O54" s="616">
        <f>IF(SUM('Basic data'!$B$35:$D$35) = 0,0,SUM('Basic data'!$B$35:$D$35))</f>
        <v>0</v>
      </c>
      <c r="P54" s="613" t="str">
        <f>IF(O54=Berechnung1!D67,Berechnung1!$F$5,IF(OR(O54&lt; Berechnung1!E67,O54&gt; Berechnung1!F67),Berechnung1!$G$5,IF(OR(ROUND(O54,4)&lt;Berechnung1!J67,ROUND(O54,4)&gt;Berechnung1!K67),Berechnung1!$D$5,IF(OR(ROUND(O54,4)&lt;Berechnung1!G67,ROUND(O54,4)&gt;Berechnung1!H67),Berechnung1!$E$5,Berechnung1!$C$5))))</f>
        <v>Incomplete</v>
      </c>
      <c r="Q54" s="585"/>
      <c r="R54" s="583"/>
    </row>
    <row r="55" spans="1:19" ht="30" customHeight="1" thickBot="1" x14ac:dyDescent="0.5">
      <c r="A55" s="620"/>
      <c r="B55" s="632"/>
      <c r="C55" s="623"/>
      <c r="D55" s="627"/>
      <c r="E55" s="628"/>
      <c r="F55" s="627"/>
      <c r="G55" s="628"/>
      <c r="H55" s="627"/>
      <c r="I55" s="628"/>
      <c r="J55" s="588"/>
      <c r="K55" s="609"/>
      <c r="L55" s="610"/>
      <c r="M55" s="588"/>
      <c r="N55" s="615"/>
      <c r="O55" s="617"/>
      <c r="P55" s="614"/>
      <c r="Q55" s="586"/>
      <c r="R55" s="584"/>
    </row>
    <row r="56" spans="1:19" ht="30" customHeight="1" thickBot="1" x14ac:dyDescent="0.5">
      <c r="A56" s="621"/>
      <c r="B56" s="633"/>
      <c r="C56" s="624"/>
      <c r="D56" s="629"/>
      <c r="E56" s="630"/>
      <c r="F56" s="629"/>
      <c r="G56" s="630"/>
      <c r="H56" s="629"/>
      <c r="I56" s="630"/>
      <c r="J56" s="589"/>
      <c r="K56" s="611"/>
      <c r="L56" s="612"/>
      <c r="M56" s="589"/>
      <c r="N56" s="615"/>
      <c r="O56" s="618"/>
      <c r="P56" s="593"/>
      <c r="Q56" s="586"/>
      <c r="R56" s="584"/>
    </row>
    <row r="57" spans="1:19" ht="30" customHeight="1" thickBot="1" x14ac:dyDescent="0.5">
      <c r="A57" s="619">
        <v>15</v>
      </c>
      <c r="B57" s="634"/>
      <c r="C57" s="622" t="s">
        <v>950</v>
      </c>
      <c r="D57" s="625" t="s">
        <v>1240</v>
      </c>
      <c r="E57" s="626"/>
      <c r="F57" s="625" t="s">
        <v>1241</v>
      </c>
      <c r="G57" s="626"/>
      <c r="H57" s="625" t="s">
        <v>951</v>
      </c>
      <c r="I57" s="626"/>
      <c r="J57" s="590" t="s">
        <v>156</v>
      </c>
      <c r="K57" s="607" t="s">
        <v>104</v>
      </c>
      <c r="L57" s="608"/>
      <c r="M57" s="590" t="s">
        <v>430</v>
      </c>
      <c r="N57" s="259" t="s">
        <v>915</v>
      </c>
      <c r="O57" s="527"/>
      <c r="P57" s="637" t="str">
        <f>IF(O59=Berechnung1!D70,Berechnung1!$F$5,IF(OR(O59&lt; Berechnung1!E70,O59&gt; Berechnung1!F70),Berechnung1!$G$5,IF(OR(ROUND(O59,4)&lt;Berechnung1!G70,ROUND(O59,4)&gt;Berechnung1!H70),Berechnung1!$E$5,IF(OR(O59&lt;Berechnung1!J70,O59&gt;Berechnung1!K70),Berechnung1!$D$5,Berechnung1!$C$5))))</f>
        <v>Incomplete</v>
      </c>
      <c r="Q57" s="585"/>
      <c r="R57" s="583"/>
    </row>
    <row r="58" spans="1:19" ht="30" customHeight="1" thickBot="1" x14ac:dyDescent="0.5">
      <c r="A58" s="620"/>
      <c r="B58" s="635"/>
      <c r="C58" s="623"/>
      <c r="D58" s="627"/>
      <c r="E58" s="628"/>
      <c r="F58" s="627"/>
      <c r="G58" s="628"/>
      <c r="H58" s="627"/>
      <c r="I58" s="628"/>
      <c r="J58" s="588"/>
      <c r="K58" s="609"/>
      <c r="L58" s="610"/>
      <c r="M58" s="588"/>
      <c r="N58" s="259" t="s">
        <v>988</v>
      </c>
      <c r="O58" s="390">
        <f>IF('Basic data'!$B$34 = 0,0,'Basic data'!$B$34)</f>
        <v>0</v>
      </c>
      <c r="P58" s="637"/>
      <c r="Q58" s="586"/>
      <c r="R58" s="584"/>
    </row>
    <row r="59" spans="1:19" ht="30" customHeight="1" thickBot="1" x14ac:dyDescent="0.5">
      <c r="A59" s="621"/>
      <c r="B59" s="636"/>
      <c r="C59" s="624"/>
      <c r="D59" s="629"/>
      <c r="E59" s="630"/>
      <c r="F59" s="629"/>
      <c r="G59" s="630"/>
      <c r="H59" s="629"/>
      <c r="I59" s="630"/>
      <c r="J59" s="589"/>
      <c r="K59" s="611"/>
      <c r="L59" s="612"/>
      <c r="M59" s="589"/>
      <c r="N59" s="259" t="s">
        <v>89</v>
      </c>
      <c r="O59" s="325" t="str">
        <f>IF(O57="","n.d.",IF(O58="","n.d.",IF(O58=0,"",O57/O58)))</f>
        <v>n.d.</v>
      </c>
      <c r="P59" s="637"/>
      <c r="Q59" s="586"/>
      <c r="R59" s="584"/>
    </row>
    <row r="60" spans="1:19" ht="30" customHeight="1" thickBot="1" x14ac:dyDescent="0.5">
      <c r="A60" s="619">
        <v>16</v>
      </c>
      <c r="B60" s="634"/>
      <c r="C60" s="622" t="s">
        <v>952</v>
      </c>
      <c r="D60" s="625" t="s">
        <v>1242</v>
      </c>
      <c r="E60" s="626"/>
      <c r="F60" s="625" t="s">
        <v>1304</v>
      </c>
      <c r="G60" s="626"/>
      <c r="H60" s="625" t="s">
        <v>1199</v>
      </c>
      <c r="I60" s="626"/>
      <c r="J60" s="590" t="s">
        <v>156</v>
      </c>
      <c r="K60" s="607" t="s">
        <v>104</v>
      </c>
      <c r="L60" s="608"/>
      <c r="M60" s="590" t="s">
        <v>430</v>
      </c>
      <c r="N60" s="259" t="s">
        <v>915</v>
      </c>
      <c r="O60" s="527"/>
      <c r="P60" s="637" t="str">
        <f>IF(O62=Berechnung1!D73,Berechnung1!$F$5,IF(OR(O62&lt; Berechnung1!E73,O62&gt; Berechnung1!F73),Berechnung1!$G$5,IF(OR(ROUND(O62,4)&lt;Berechnung1!G73,ROUND(O62,4)&gt;Berechnung1!H73),Berechnung1!$E$5,IF(OR(O62&lt;Berechnung1!J73,O62&gt;Berechnung1!K73),Berechnung1!$D$5,Berechnung1!$C$5))))</f>
        <v>Incomplete</v>
      </c>
      <c r="Q60" s="585"/>
      <c r="R60" s="583"/>
    </row>
    <row r="61" spans="1:19" ht="30" customHeight="1" thickBot="1" x14ac:dyDescent="0.5">
      <c r="A61" s="620"/>
      <c r="B61" s="635"/>
      <c r="C61" s="623"/>
      <c r="D61" s="627"/>
      <c r="E61" s="628"/>
      <c r="F61" s="627"/>
      <c r="G61" s="628"/>
      <c r="H61" s="627"/>
      <c r="I61" s="628"/>
      <c r="J61" s="588"/>
      <c r="K61" s="609"/>
      <c r="L61" s="610"/>
      <c r="M61" s="588"/>
      <c r="N61" s="259" t="s">
        <v>988</v>
      </c>
      <c r="O61" s="390">
        <f>IF('Basic data'!$B$35 = 0,0,'Basic data'!$B$35)</f>
        <v>0</v>
      </c>
      <c r="P61" s="637"/>
      <c r="Q61" s="586"/>
      <c r="R61" s="584"/>
    </row>
    <row r="62" spans="1:19" ht="30" customHeight="1" thickBot="1" x14ac:dyDescent="0.5">
      <c r="A62" s="621"/>
      <c r="B62" s="636"/>
      <c r="C62" s="624"/>
      <c r="D62" s="629"/>
      <c r="E62" s="630"/>
      <c r="F62" s="629"/>
      <c r="G62" s="630"/>
      <c r="H62" s="629"/>
      <c r="I62" s="630"/>
      <c r="J62" s="589"/>
      <c r="K62" s="611"/>
      <c r="L62" s="612"/>
      <c r="M62" s="589"/>
      <c r="N62" s="259" t="s">
        <v>89</v>
      </c>
      <c r="O62" s="325" t="str">
        <f>IF(O60="","n.d.",IF(O61="","n.d.",IF(O61=0,"",O60/O61)))</f>
        <v>n.d.</v>
      </c>
      <c r="P62" s="637"/>
      <c r="Q62" s="586"/>
      <c r="R62" s="584"/>
    </row>
    <row r="63" spans="1:19" ht="30" customHeight="1" thickBot="1" x14ac:dyDescent="0.5">
      <c r="A63" s="619">
        <v>17</v>
      </c>
      <c r="B63" s="634" t="s">
        <v>1229</v>
      </c>
      <c r="C63" s="622" t="s">
        <v>953</v>
      </c>
      <c r="D63" s="625" t="s">
        <v>1243</v>
      </c>
      <c r="E63" s="626"/>
      <c r="F63" s="625" t="s">
        <v>954</v>
      </c>
      <c r="G63" s="626"/>
      <c r="H63" s="625" t="s">
        <v>955</v>
      </c>
      <c r="I63" s="626"/>
      <c r="J63" s="590" t="s">
        <v>156</v>
      </c>
      <c r="K63" s="607" t="s">
        <v>105</v>
      </c>
      <c r="L63" s="608"/>
      <c r="M63" s="590"/>
      <c r="N63" s="259" t="s">
        <v>915</v>
      </c>
      <c r="O63" s="527"/>
      <c r="P63" s="613" t="str">
        <f>IF(O65=Berechnung1!D76,Berechnung1!$F$5,IF(OR(O65&lt; Berechnung1!E76,O65&gt; Berechnung1!F76),Berechnung1!$G$5,IF(OR(O65&lt;Berechnung1!J76,O65&gt;Berechnung1!K76),Berechnung1!$D$5,IF(OR(ROUND(O65,4)&lt;Berechnung1!G76,ROUND(O65,4)&gt;Berechnung1!H76),Berechnung1!$E$5,Berechnung1!$C$5))))</f>
        <v>Incomplete</v>
      </c>
      <c r="Q63" s="585"/>
      <c r="R63" s="583"/>
    </row>
    <row r="64" spans="1:19" ht="30" customHeight="1" thickBot="1" x14ac:dyDescent="0.5">
      <c r="A64" s="620"/>
      <c r="B64" s="635"/>
      <c r="C64" s="623"/>
      <c r="D64" s="627"/>
      <c r="E64" s="628"/>
      <c r="F64" s="627"/>
      <c r="G64" s="628"/>
      <c r="H64" s="627"/>
      <c r="I64" s="628"/>
      <c r="J64" s="588"/>
      <c r="K64" s="609"/>
      <c r="L64" s="610"/>
      <c r="M64" s="588"/>
      <c r="N64" s="259" t="s">
        <v>988</v>
      </c>
      <c r="O64" s="527"/>
      <c r="P64" s="614"/>
      <c r="Q64" s="586"/>
      <c r="R64" s="584"/>
    </row>
    <row r="65" spans="1:19" ht="30" customHeight="1" thickBot="1" x14ac:dyDescent="0.5">
      <c r="A65" s="621"/>
      <c r="B65" s="636"/>
      <c r="C65" s="624"/>
      <c r="D65" s="629"/>
      <c r="E65" s="630"/>
      <c r="F65" s="629"/>
      <c r="G65" s="630"/>
      <c r="H65" s="629"/>
      <c r="I65" s="630"/>
      <c r="J65" s="589"/>
      <c r="K65" s="611"/>
      <c r="L65" s="612"/>
      <c r="M65" s="589"/>
      <c r="N65" s="259" t="s">
        <v>89</v>
      </c>
      <c r="O65" s="325" t="str">
        <f>IF(O63="","n.d.",IF(O64="","n.d.",IF(O64=0,"",O63/O64)))</f>
        <v>n.d.</v>
      </c>
      <c r="P65" s="593"/>
      <c r="Q65" s="586"/>
      <c r="R65" s="584"/>
    </row>
    <row r="66" spans="1:19" ht="30" customHeight="1" thickBot="1" x14ac:dyDescent="0.5">
      <c r="A66" s="619">
        <v>18</v>
      </c>
      <c r="B66" s="634" t="s">
        <v>1229</v>
      </c>
      <c r="C66" s="622" t="s">
        <v>956</v>
      </c>
      <c r="D66" s="625" t="s">
        <v>1244</v>
      </c>
      <c r="E66" s="626"/>
      <c r="F66" s="625" t="s">
        <v>1245</v>
      </c>
      <c r="G66" s="626"/>
      <c r="H66" s="625" t="s">
        <v>957</v>
      </c>
      <c r="I66" s="626"/>
      <c r="J66" s="590" t="s">
        <v>156</v>
      </c>
      <c r="K66" s="607" t="s">
        <v>104</v>
      </c>
      <c r="L66" s="608"/>
      <c r="M66" s="590"/>
      <c r="N66" s="259" t="s">
        <v>915</v>
      </c>
      <c r="O66" s="527"/>
      <c r="P66" s="613" t="str">
        <f>IF(O68=Berechnung1!D79,Berechnung1!$F$5,IF(OR(O68&lt; Berechnung1!E79,O68&gt; Berechnung1!F79),Berechnung1!$G$5,IF(OR(O68&lt;Berechnung1!J79,O68&gt;Berechnung1!K79),Berechnung1!$D$5,IF(OR(ROUND(O68,4)&lt;Berechnung1!G79,ROUND(O68,4)&gt;Berechnung1!H79),Berechnung1!$E$5,Berechnung1!$C$5))))</f>
        <v>Incomplete</v>
      </c>
      <c r="Q66" s="585"/>
      <c r="R66" s="583"/>
    </row>
    <row r="67" spans="1:19" ht="30" customHeight="1" thickBot="1" x14ac:dyDescent="0.5">
      <c r="A67" s="620"/>
      <c r="B67" s="635"/>
      <c r="C67" s="623"/>
      <c r="D67" s="627"/>
      <c r="E67" s="628"/>
      <c r="F67" s="627"/>
      <c r="G67" s="628"/>
      <c r="H67" s="627"/>
      <c r="I67" s="628"/>
      <c r="J67" s="588"/>
      <c r="K67" s="609"/>
      <c r="L67" s="610"/>
      <c r="M67" s="588"/>
      <c r="N67" s="259" t="s">
        <v>988</v>
      </c>
      <c r="O67" s="527"/>
      <c r="P67" s="614"/>
      <c r="Q67" s="586"/>
      <c r="R67" s="584"/>
    </row>
    <row r="68" spans="1:19" ht="30" customHeight="1" thickBot="1" x14ac:dyDescent="0.5">
      <c r="A68" s="621"/>
      <c r="B68" s="636"/>
      <c r="C68" s="624"/>
      <c r="D68" s="629"/>
      <c r="E68" s="630"/>
      <c r="F68" s="629"/>
      <c r="G68" s="630"/>
      <c r="H68" s="629"/>
      <c r="I68" s="630"/>
      <c r="J68" s="589"/>
      <c r="K68" s="611"/>
      <c r="L68" s="612"/>
      <c r="M68" s="589"/>
      <c r="N68" s="259" t="s">
        <v>89</v>
      </c>
      <c r="O68" s="325" t="str">
        <f>IF(O66="","n.d.",IF(O67="","n.d.",IF(O67=0,"",O66/O67)))</f>
        <v>n.d.</v>
      </c>
      <c r="P68" s="593"/>
      <c r="Q68" s="586"/>
      <c r="R68" s="584"/>
    </row>
    <row r="69" spans="1:19" ht="30" customHeight="1" thickBot="1" x14ac:dyDescent="0.5">
      <c r="A69" s="619">
        <v>19</v>
      </c>
      <c r="B69" s="634"/>
      <c r="C69" s="622" t="s">
        <v>958</v>
      </c>
      <c r="D69" s="625" t="s">
        <v>1246</v>
      </c>
      <c r="E69" s="626"/>
      <c r="F69" s="625" t="s">
        <v>959</v>
      </c>
      <c r="G69" s="626"/>
      <c r="H69" s="625" t="s">
        <v>960</v>
      </c>
      <c r="I69" s="626"/>
      <c r="J69" s="590" t="s">
        <v>156</v>
      </c>
      <c r="K69" s="607" t="s">
        <v>108</v>
      </c>
      <c r="L69" s="608"/>
      <c r="M69" s="590"/>
      <c r="N69" s="259" t="s">
        <v>915</v>
      </c>
      <c r="O69" s="527"/>
      <c r="P69" s="637" t="str">
        <f>IF(O71=Berechnung1!D82,Berechnung1!$F$5,IF(OR(O71&lt; Berechnung1!E82,O71&gt; Berechnung1!F82),Berechnung1!$G$5,IF(OR(O71&lt;Berechnung1!J82,O71&gt;Berechnung1!K82),Berechnung1!$D$5,IF(OR(ROUND(O71,4)&lt;Berechnung1!G82,ROUND(O71,4)&gt;Berechnung1!H82),Berechnung1!$E$5,Berechnung1!$C$5))))</f>
        <v>Incomplete</v>
      </c>
      <c r="Q69" s="585"/>
      <c r="R69" s="583"/>
    </row>
    <row r="70" spans="1:19" ht="30" customHeight="1" thickBot="1" x14ac:dyDescent="0.5">
      <c r="A70" s="620"/>
      <c r="B70" s="635"/>
      <c r="C70" s="623"/>
      <c r="D70" s="627"/>
      <c r="E70" s="628"/>
      <c r="F70" s="627"/>
      <c r="G70" s="628"/>
      <c r="H70" s="627"/>
      <c r="I70" s="628"/>
      <c r="J70" s="588"/>
      <c r="K70" s="609"/>
      <c r="L70" s="610"/>
      <c r="M70" s="588"/>
      <c r="N70" s="259" t="s">
        <v>988</v>
      </c>
      <c r="O70" s="390">
        <f>IF('Basic data'!B33 = "",0,'Basic data'!B33)</f>
        <v>0</v>
      </c>
      <c r="P70" s="637"/>
      <c r="Q70" s="586"/>
      <c r="R70" s="584"/>
    </row>
    <row r="71" spans="1:19" ht="30" customHeight="1" thickBot="1" x14ac:dyDescent="0.5">
      <c r="A71" s="621"/>
      <c r="B71" s="636"/>
      <c r="C71" s="624"/>
      <c r="D71" s="629"/>
      <c r="E71" s="630"/>
      <c r="F71" s="629"/>
      <c r="G71" s="630"/>
      <c r="H71" s="629"/>
      <c r="I71" s="630"/>
      <c r="J71" s="589"/>
      <c r="K71" s="611"/>
      <c r="L71" s="612"/>
      <c r="M71" s="589"/>
      <c r="N71" s="259" t="s">
        <v>89</v>
      </c>
      <c r="O71" s="325" t="str">
        <f>IF(O69="","n.d.",IF(O70="","n.d.",IF(O70=0,"",O69/O70)))</f>
        <v>n.d.</v>
      </c>
      <c r="P71" s="637"/>
      <c r="Q71" s="586"/>
      <c r="R71" s="584"/>
    </row>
    <row r="72" spans="1:19" ht="30" customHeight="1" thickBot="1" x14ac:dyDescent="0.5">
      <c r="A72" s="619">
        <v>20</v>
      </c>
      <c r="B72" s="634"/>
      <c r="C72" s="622" t="s">
        <v>961</v>
      </c>
      <c r="D72" s="625" t="s">
        <v>1247</v>
      </c>
      <c r="E72" s="626"/>
      <c r="F72" s="625" t="s">
        <v>962</v>
      </c>
      <c r="G72" s="626"/>
      <c r="H72" s="625" t="s">
        <v>963</v>
      </c>
      <c r="I72" s="626"/>
      <c r="J72" s="590"/>
      <c r="K72" s="607" t="s">
        <v>90</v>
      </c>
      <c r="L72" s="608"/>
      <c r="M72" s="590"/>
      <c r="N72" s="259" t="s">
        <v>915</v>
      </c>
      <c r="O72" s="527"/>
      <c r="P72" s="637" t="str">
        <f>IF(O74=Berechnung1!D85,Berechnung1!$F$5,IF(OR(O74&lt; Berechnung1!E85,O74&gt; Berechnung1!F85),Berechnung1!$G$5,IF(OR(ROUND(O74,4)&lt;Berechnung1!J85,ROUND(O74,4)&gt;Berechnung1!K85),Berechnung1!$D$5,IF(OR(ROUND(O74,4)&lt;Berechnung1!G85,ROUND(O74,4)&gt;Berechnung1!H85),Berechnung1!$E$5,Berechnung1!$C$5))))</f>
        <v>Incomplete</v>
      </c>
      <c r="Q72" s="585"/>
      <c r="R72" s="583"/>
    </row>
    <row r="73" spans="1:19" ht="30" customHeight="1" thickBot="1" x14ac:dyDescent="0.5">
      <c r="A73" s="620"/>
      <c r="B73" s="635"/>
      <c r="C73" s="623"/>
      <c r="D73" s="627"/>
      <c r="E73" s="628"/>
      <c r="F73" s="627"/>
      <c r="G73" s="628"/>
      <c r="H73" s="627"/>
      <c r="I73" s="628"/>
      <c r="J73" s="588"/>
      <c r="K73" s="609"/>
      <c r="L73" s="610"/>
      <c r="M73" s="588"/>
      <c r="N73" s="259" t="s">
        <v>988</v>
      </c>
      <c r="O73" s="390">
        <f>IF(SUM('Basic data'!$B$35) = "",0,SUM('Basic data'!$B$35))</f>
        <v>0</v>
      </c>
      <c r="P73" s="637"/>
      <c r="Q73" s="586"/>
      <c r="R73" s="584"/>
    </row>
    <row r="74" spans="1:19" ht="30" customHeight="1" thickBot="1" x14ac:dyDescent="0.5">
      <c r="A74" s="621"/>
      <c r="B74" s="636"/>
      <c r="C74" s="624"/>
      <c r="D74" s="629"/>
      <c r="E74" s="630"/>
      <c r="F74" s="629"/>
      <c r="G74" s="630"/>
      <c r="H74" s="629"/>
      <c r="I74" s="630"/>
      <c r="J74" s="589"/>
      <c r="K74" s="611"/>
      <c r="L74" s="612"/>
      <c r="M74" s="589"/>
      <c r="N74" s="259" t="s">
        <v>89</v>
      </c>
      <c r="O74" s="325" t="str">
        <f>IF(O72="","n.d.",IF(O73="","n.d.",IF(O73=0,"",O72/O73)))</f>
        <v>n.d.</v>
      </c>
      <c r="P74" s="637"/>
      <c r="Q74" s="586"/>
      <c r="R74" s="584"/>
    </row>
    <row r="75" spans="1:19" ht="30" customHeight="1" thickBot="1" x14ac:dyDescent="0.5">
      <c r="A75" s="619">
        <v>21</v>
      </c>
      <c r="B75" s="634" t="s">
        <v>1229</v>
      </c>
      <c r="C75" s="622" t="s">
        <v>964</v>
      </c>
      <c r="D75" s="625" t="s">
        <v>1248</v>
      </c>
      <c r="E75" s="626"/>
      <c r="F75" s="625" t="s">
        <v>965</v>
      </c>
      <c r="G75" s="626"/>
      <c r="H75" s="625" t="s">
        <v>966</v>
      </c>
      <c r="I75" s="626"/>
      <c r="J75" s="590"/>
      <c r="K75" s="607" t="s">
        <v>90</v>
      </c>
      <c r="L75" s="608"/>
      <c r="M75" s="587"/>
      <c r="N75" s="259" t="s">
        <v>915</v>
      </c>
      <c r="O75" s="527"/>
      <c r="P75" s="613" t="str">
        <f>IF(O77=Berechnung1!D88,Berechnung1!$F$5,IF(OR(O77&lt; Berechnung1!E88,O77&gt; Berechnung1!F88),Berechnung1!$G$5,IF(OR(ROUND(O77,4)&lt;Berechnung1!J88,ROUND(O77,4)&gt;Berechnung1!K88),Berechnung1!$D$5,IF(OR(ROUND(O77,4)&lt;Berechnung1!G88,ROUND(O77,4)&gt;Berechnung1!H88),Berechnung1!$E$5,Berechnung1!$C$5))))</f>
        <v>Incomplete</v>
      </c>
      <c r="Q75" s="585"/>
      <c r="R75" s="583"/>
    </row>
    <row r="76" spans="1:19" ht="30" customHeight="1" thickBot="1" x14ac:dyDescent="0.5">
      <c r="A76" s="620"/>
      <c r="B76" s="635"/>
      <c r="C76" s="623"/>
      <c r="D76" s="627"/>
      <c r="E76" s="628"/>
      <c r="F76" s="627"/>
      <c r="G76" s="628"/>
      <c r="H76" s="627"/>
      <c r="I76" s="628"/>
      <c r="J76" s="588"/>
      <c r="K76" s="609"/>
      <c r="L76" s="610"/>
      <c r="M76" s="588"/>
      <c r="N76" s="259" t="s">
        <v>988</v>
      </c>
      <c r="O76" s="527"/>
      <c r="P76" s="614"/>
      <c r="Q76" s="586"/>
      <c r="R76" s="584"/>
    </row>
    <row r="77" spans="1:19" ht="30" customHeight="1" thickBot="1" x14ac:dyDescent="0.5">
      <c r="A77" s="621"/>
      <c r="B77" s="636"/>
      <c r="C77" s="624"/>
      <c r="D77" s="629"/>
      <c r="E77" s="630"/>
      <c r="F77" s="629"/>
      <c r="G77" s="630"/>
      <c r="H77" s="629"/>
      <c r="I77" s="630"/>
      <c r="J77" s="589"/>
      <c r="K77" s="611"/>
      <c r="L77" s="612"/>
      <c r="M77" s="589"/>
      <c r="N77" s="259" t="s">
        <v>89</v>
      </c>
      <c r="O77" s="521" t="str">
        <f>IF(O75="","n.d.",IF(O76="","n.d.",IF(O76=0,"",O75/O76)))</f>
        <v>n.d.</v>
      </c>
      <c r="P77" s="593"/>
      <c r="Q77" s="586"/>
      <c r="R77" s="584"/>
    </row>
    <row r="78" spans="1:19" ht="67.5" customHeight="1" thickBot="1" x14ac:dyDescent="0.5">
      <c r="A78" s="619" t="s">
        <v>1282</v>
      </c>
      <c r="B78" s="634"/>
      <c r="C78" s="622" t="s">
        <v>1249</v>
      </c>
      <c r="D78" s="625" t="s">
        <v>1250</v>
      </c>
      <c r="E78" s="626"/>
      <c r="F78" s="625" t="s">
        <v>1251</v>
      </c>
      <c r="G78" s="626"/>
      <c r="H78" s="625" t="s">
        <v>1252</v>
      </c>
      <c r="I78" s="626"/>
      <c r="J78" s="590" t="s">
        <v>155</v>
      </c>
      <c r="K78" s="607" t="s">
        <v>1197</v>
      </c>
      <c r="L78" s="608"/>
      <c r="M78" s="590"/>
      <c r="N78" s="518" t="s">
        <v>915</v>
      </c>
      <c r="O78" s="527"/>
      <c r="P78" s="737" t="str">
        <f>IF(AND(O78&lt;&gt;"",O79&lt;&gt;"",O78=0,O79=0),Berechnung1!$H$5,IF(O80="",Berechnung1!$D$5,IF(O80=Berechnung1!D91,Berechnung1!$F$5,IF(OR(O80&lt; Berechnung1!E91,O80&gt; Berechnung1!F91),Berechnung1!$G$5,IF(OR(ROUND(O80,4)&lt;Berechnung1!J91,ROUND(O80,4)&gt;Berechnung1!K91),Berechnung1!$D$5,IF(OR(ROUND(O80,4)&lt;Berechnung1!G91,ROUND(O80,4)&gt;Berechnung1!H91),Berechnung1!$E$5,Berechnung1!$C$5))))))</f>
        <v>Incomplete</v>
      </c>
      <c r="Q78" s="585"/>
      <c r="R78" s="583"/>
    </row>
    <row r="79" spans="1:19" ht="67.5" customHeight="1" thickBot="1" x14ac:dyDescent="0.5">
      <c r="A79" s="620"/>
      <c r="B79" s="635"/>
      <c r="C79" s="623"/>
      <c r="D79" s="627"/>
      <c r="E79" s="628"/>
      <c r="F79" s="627"/>
      <c r="G79" s="628"/>
      <c r="H79" s="627"/>
      <c r="I79" s="628"/>
      <c r="J79" s="588"/>
      <c r="K79" s="609"/>
      <c r="L79" s="610"/>
      <c r="M79" s="588"/>
      <c r="N79" s="518" t="s">
        <v>988</v>
      </c>
      <c r="O79" s="527"/>
      <c r="P79" s="738"/>
      <c r="Q79" s="586"/>
      <c r="R79" s="584"/>
      <c r="S79" s="330">
        <f>IF(AND('Basic data'!H33="",'Basic data'!D35=""),0,'Basic data'!H33-'Basic data'!D35)</f>
        <v>0</v>
      </c>
    </row>
    <row r="80" spans="1:19" ht="67.5" customHeight="1" thickBot="1" x14ac:dyDescent="0.5">
      <c r="A80" s="621"/>
      <c r="B80" s="636"/>
      <c r="C80" s="624"/>
      <c r="D80" s="629"/>
      <c r="E80" s="630"/>
      <c r="F80" s="629"/>
      <c r="G80" s="630"/>
      <c r="H80" s="629"/>
      <c r="I80" s="630"/>
      <c r="J80" s="588"/>
      <c r="K80" s="609"/>
      <c r="L80" s="610"/>
      <c r="M80" s="588"/>
      <c r="N80" s="488" t="s">
        <v>89</v>
      </c>
      <c r="O80" s="522" t="str">
        <f>IF(O78="","n.d.",IF(O79="","n.d.",IF(O79=0,"",O78/O79)))</f>
        <v>n.d.</v>
      </c>
      <c r="P80" s="739"/>
      <c r="Q80" s="586"/>
      <c r="R80" s="584"/>
    </row>
    <row r="81" spans="1:19" ht="30" customHeight="1" thickBot="1" x14ac:dyDescent="0.5">
      <c r="A81" s="619" t="s">
        <v>1283</v>
      </c>
      <c r="B81" s="634"/>
      <c r="C81" s="622" t="s">
        <v>1253</v>
      </c>
      <c r="D81" s="625" t="s">
        <v>814</v>
      </c>
      <c r="E81" s="732"/>
      <c r="F81" s="625" t="s">
        <v>1302</v>
      </c>
      <c r="G81" s="626"/>
      <c r="H81" s="625" t="s">
        <v>28</v>
      </c>
      <c r="I81" s="732"/>
      <c r="J81" s="590"/>
      <c r="K81" s="607" t="s">
        <v>1197</v>
      </c>
      <c r="L81" s="608"/>
      <c r="M81" s="590"/>
      <c r="N81" s="729" t="s">
        <v>989</v>
      </c>
      <c r="O81" s="740"/>
      <c r="P81" s="737" t="str">
        <f>IF(O81="",Berechnung1!F5,IF(O81=Berechnung1!D94,Berechnung1!$F$5,IF(OR(O81&lt;Berechnung1!E94,O81&gt;Berechnung1!F94),Berechnung1!$G$5,IF(OR(ROUND(O81,4)&lt;Berechnung1!J94,ROUND(O81,4)&gt;Berechnung1!K94),Berechnung1!$D$5,IF(OR(ROUND(O81,4)&lt;Berechnung1!G94,ROUND(O81,4)&gt;Berechnung1!H94),Berechnung1!$E$5,Berechnung1!$C$5)))))</f>
        <v>Incomplete</v>
      </c>
      <c r="Q81" s="585"/>
      <c r="R81" s="583"/>
    </row>
    <row r="82" spans="1:19" ht="30" customHeight="1" thickBot="1" x14ac:dyDescent="0.5">
      <c r="A82" s="620"/>
      <c r="B82" s="635"/>
      <c r="C82" s="623"/>
      <c r="D82" s="733"/>
      <c r="E82" s="734"/>
      <c r="F82" s="627"/>
      <c r="G82" s="628"/>
      <c r="H82" s="733"/>
      <c r="I82" s="734"/>
      <c r="J82" s="588"/>
      <c r="K82" s="609"/>
      <c r="L82" s="610"/>
      <c r="M82" s="588"/>
      <c r="N82" s="730"/>
      <c r="O82" s="741"/>
      <c r="P82" s="738"/>
      <c r="Q82" s="586"/>
      <c r="R82" s="584"/>
    </row>
    <row r="83" spans="1:19" ht="30" customHeight="1" thickBot="1" x14ac:dyDescent="0.5">
      <c r="A83" s="621"/>
      <c r="B83" s="636"/>
      <c r="C83" s="624"/>
      <c r="D83" s="735"/>
      <c r="E83" s="736"/>
      <c r="F83" s="629"/>
      <c r="G83" s="630"/>
      <c r="H83" s="735"/>
      <c r="I83" s="736"/>
      <c r="J83" s="589"/>
      <c r="K83" s="611"/>
      <c r="L83" s="612"/>
      <c r="M83" s="589"/>
      <c r="N83" s="731"/>
      <c r="O83" s="742"/>
      <c r="P83" s="738"/>
      <c r="Q83" s="586"/>
      <c r="R83" s="584"/>
    </row>
    <row r="84" spans="1:19" ht="30" customHeight="1" thickBot="1" x14ac:dyDescent="0.5">
      <c r="A84" s="619" t="s">
        <v>1284</v>
      </c>
      <c r="B84" s="634"/>
      <c r="C84" s="622" t="s">
        <v>1254</v>
      </c>
      <c r="D84" s="625" t="s">
        <v>28</v>
      </c>
      <c r="E84" s="732"/>
      <c r="F84" s="625" t="s">
        <v>1303</v>
      </c>
      <c r="G84" s="626"/>
      <c r="H84" s="625" t="s">
        <v>28</v>
      </c>
      <c r="I84" s="732"/>
      <c r="J84" s="590"/>
      <c r="K84" s="607" t="s">
        <v>1197</v>
      </c>
      <c r="L84" s="608"/>
      <c r="M84" s="590"/>
      <c r="N84" s="619" t="s">
        <v>989</v>
      </c>
      <c r="O84" s="617">
        <f>IF(AND(O78&lt;&gt;"",O81&lt;&gt;"")=TRUE,O78-O81,0)</f>
        <v>0</v>
      </c>
      <c r="P84" s="634" t="str">
        <f>IF(OR(O78="",O81=""),Berechnung1!F5,IF(AND(O84=Berechnung1!D97,ISBLANK(O81)=FALSE)=TRUE,Berechnung1!$C$5,IF(O84=Berechnung1!D97,Berechnung1!$D$5,IF(OR(O84&lt;Berechnung1!E97,O84&gt;Berechnung1!F97),Berechnung1!$G$5,IF(OR(ROUND(O84,4)&lt;Berechnung1!J97,ROUND(O84,4)&gt;Berechnung1!K97),Berechnung1!$D$5,IF(OR(ROUND(O84,4)&lt;Berechnung1!G97,ROUND(O84,4)&gt;Berechnung1!H97),Berechnung1!$E$5,Berechnung1!$C$5))))))</f>
        <v>Incomplete</v>
      </c>
      <c r="Q84" s="585"/>
      <c r="R84" s="583"/>
    </row>
    <row r="85" spans="1:19" ht="30" customHeight="1" thickBot="1" x14ac:dyDescent="0.5">
      <c r="A85" s="620"/>
      <c r="B85" s="635"/>
      <c r="C85" s="623"/>
      <c r="D85" s="733"/>
      <c r="E85" s="734"/>
      <c r="F85" s="627"/>
      <c r="G85" s="628"/>
      <c r="H85" s="733"/>
      <c r="I85" s="734"/>
      <c r="J85" s="588"/>
      <c r="K85" s="609"/>
      <c r="L85" s="610"/>
      <c r="M85" s="588"/>
      <c r="N85" s="680"/>
      <c r="O85" s="617"/>
      <c r="P85" s="739"/>
      <c r="Q85" s="586"/>
      <c r="R85" s="584"/>
    </row>
    <row r="86" spans="1:19" ht="30" customHeight="1" thickBot="1" x14ac:dyDescent="0.5">
      <c r="A86" s="621"/>
      <c r="B86" s="636"/>
      <c r="C86" s="624"/>
      <c r="D86" s="735"/>
      <c r="E86" s="736"/>
      <c r="F86" s="629"/>
      <c r="G86" s="630"/>
      <c r="H86" s="735"/>
      <c r="I86" s="736"/>
      <c r="J86" s="589"/>
      <c r="K86" s="611"/>
      <c r="L86" s="612"/>
      <c r="M86" s="589"/>
      <c r="N86" s="681"/>
      <c r="O86" s="618"/>
      <c r="P86" s="739"/>
      <c r="Q86" s="586"/>
      <c r="R86" s="584"/>
    </row>
    <row r="87" spans="1:19" ht="30" customHeight="1" thickBot="1" x14ac:dyDescent="0.5">
      <c r="A87" s="619">
        <v>23</v>
      </c>
      <c r="B87" s="634" t="s">
        <v>1229</v>
      </c>
      <c r="C87" s="622" t="s">
        <v>967</v>
      </c>
      <c r="D87" s="625" t="s">
        <v>1255</v>
      </c>
      <c r="E87" s="626"/>
      <c r="F87" s="625" t="s">
        <v>968</v>
      </c>
      <c r="G87" s="626"/>
      <c r="H87" s="625" t="s">
        <v>969</v>
      </c>
      <c r="I87" s="626"/>
      <c r="J87" s="590"/>
      <c r="K87" s="607" t="s">
        <v>103</v>
      </c>
      <c r="L87" s="608"/>
      <c r="M87" s="587"/>
      <c r="N87" s="259" t="s">
        <v>915</v>
      </c>
      <c r="O87" s="527"/>
      <c r="P87" s="613" t="str">
        <f>IF(AND(O87&lt;&gt;"",O88&lt;&gt;"",O87=0,O88=0),Berechnung1!$H$5,IF(O89=Berechnung1!D100,Berechnung1!$F$5,IF(OR(O89&lt;Berechnung1!E100,O89&gt;Berechnung1!F100),Berechnung1!$G$5,IF(OR(ROUND(O89,4)&lt;Berechnung1!J100,ROUND(O89,4)&gt;Berechnung1!K100),Berechnung1!$D$5,IF(OR(ROUND(O89,4)&lt;Berechnung1!G100,ROUND(O89,4)&gt;Berechnung1!H100),Berechnung1!$E$5,Berechnung1!$C$5)))))</f>
        <v>Incomplete</v>
      </c>
      <c r="Q87" s="585"/>
      <c r="R87" s="583"/>
    </row>
    <row r="88" spans="1:19" ht="30" customHeight="1" thickBot="1" x14ac:dyDescent="0.5">
      <c r="A88" s="620"/>
      <c r="B88" s="635"/>
      <c r="C88" s="623"/>
      <c r="D88" s="627"/>
      <c r="E88" s="628"/>
      <c r="F88" s="627"/>
      <c r="G88" s="628"/>
      <c r="H88" s="627"/>
      <c r="I88" s="628"/>
      <c r="J88" s="588"/>
      <c r="K88" s="609"/>
      <c r="L88" s="610"/>
      <c r="M88" s="588"/>
      <c r="N88" s="259" t="s">
        <v>988</v>
      </c>
      <c r="O88" s="527"/>
      <c r="P88" s="614"/>
      <c r="Q88" s="586"/>
      <c r="R88" s="584"/>
    </row>
    <row r="89" spans="1:19" ht="30" customHeight="1" thickBot="1" x14ac:dyDescent="0.5">
      <c r="A89" s="621"/>
      <c r="B89" s="636"/>
      <c r="C89" s="624"/>
      <c r="D89" s="629"/>
      <c r="E89" s="630"/>
      <c r="F89" s="629"/>
      <c r="G89" s="630"/>
      <c r="H89" s="629"/>
      <c r="I89" s="630"/>
      <c r="J89" s="589"/>
      <c r="K89" s="611"/>
      <c r="L89" s="612"/>
      <c r="M89" s="589"/>
      <c r="N89" s="259" t="s">
        <v>89</v>
      </c>
      <c r="O89" s="521" t="str">
        <f>IF(O87="","n.d.",IF(O88="","n.d.",IF(O88=0,"",O87/O88)))</f>
        <v>n.d.</v>
      </c>
      <c r="P89" s="614"/>
      <c r="Q89" s="586"/>
      <c r="R89" s="584"/>
    </row>
    <row r="90" spans="1:19" ht="34.5" customHeight="1" thickBot="1" x14ac:dyDescent="0.5">
      <c r="A90" s="619">
        <v>24</v>
      </c>
      <c r="B90" s="634" t="s">
        <v>1229</v>
      </c>
      <c r="C90" s="622" t="s">
        <v>970</v>
      </c>
      <c r="D90" s="625" t="s">
        <v>1256</v>
      </c>
      <c r="E90" s="626"/>
      <c r="F90" s="625" t="s">
        <v>971</v>
      </c>
      <c r="G90" s="626"/>
      <c r="H90" s="625" t="s">
        <v>972</v>
      </c>
      <c r="I90" s="626"/>
      <c r="J90" s="590" t="s">
        <v>813</v>
      </c>
      <c r="K90" s="607" t="s">
        <v>1197</v>
      </c>
      <c r="L90" s="608"/>
      <c r="M90" s="587"/>
      <c r="N90" s="518" t="s">
        <v>915</v>
      </c>
      <c r="O90" s="527"/>
      <c r="P90" s="591" t="str">
        <f>IF(AND(O90&lt;&gt;"",O91&lt;&gt;"",O90=0,O91=0),Berechnung1!$H$5,IF(OR(O90="",O91=""),Berechnung1!$F$5,IF(AND(O90=0,O91=0),Berechnung1!$D$5,IF(O92=Berechnung1!D103,Berechnung1!$F$5,IF(OR(O92&lt;Berechnung1!E103,O92&gt;Berechnung1!F103),Berechnung1!$G$5,IF(OR(ROUND(O92,4)&lt;Berechnung1!J103,ROUND(O92,4)&gt;Berechnung1!K103),Berechnung1!$D$5,IF(OR(ROUND(O92,4)&lt;Berechnung1!G103,ROUND(O92,4)&gt;Berechnung1!H103),Berechnung1!$E$5,Berechnung1!$C$5)))))))</f>
        <v>Incomplete</v>
      </c>
      <c r="Q90" s="585"/>
      <c r="R90" s="583"/>
    </row>
    <row r="91" spans="1:19" ht="34.5" customHeight="1" thickBot="1" x14ac:dyDescent="0.5">
      <c r="A91" s="620"/>
      <c r="B91" s="635"/>
      <c r="C91" s="623"/>
      <c r="D91" s="627"/>
      <c r="E91" s="628"/>
      <c r="F91" s="627"/>
      <c r="G91" s="628"/>
      <c r="H91" s="627"/>
      <c r="I91" s="628"/>
      <c r="J91" s="588"/>
      <c r="K91" s="609"/>
      <c r="L91" s="610"/>
      <c r="M91" s="743"/>
      <c r="N91" s="518" t="s">
        <v>988</v>
      </c>
      <c r="O91" s="527"/>
      <c r="P91" s="592"/>
      <c r="Q91" s="586"/>
      <c r="R91" s="584"/>
    </row>
    <row r="92" spans="1:19" ht="34.5" customHeight="1" thickBot="1" x14ac:dyDescent="0.5">
      <c r="A92" s="621"/>
      <c r="B92" s="636"/>
      <c r="C92" s="624"/>
      <c r="D92" s="629"/>
      <c r="E92" s="630"/>
      <c r="F92" s="629"/>
      <c r="G92" s="630"/>
      <c r="H92" s="629"/>
      <c r="I92" s="630"/>
      <c r="J92" s="589"/>
      <c r="K92" s="611"/>
      <c r="L92" s="612"/>
      <c r="M92" s="744"/>
      <c r="N92" s="259" t="s">
        <v>89</v>
      </c>
      <c r="O92" s="519" t="str">
        <f>IF(O90="","n.d.",IF(O91="","n.d.",IF(O91=0,"",O90/O91)))</f>
        <v>n.d.</v>
      </c>
      <c r="P92" s="593"/>
      <c r="Q92" s="586"/>
      <c r="R92" s="584"/>
    </row>
    <row r="93" spans="1:19" ht="30" customHeight="1" thickBot="1" x14ac:dyDescent="0.5">
      <c r="A93" s="619">
        <v>25</v>
      </c>
      <c r="B93" s="634" t="s">
        <v>1229</v>
      </c>
      <c r="C93" s="622" t="s">
        <v>973</v>
      </c>
      <c r="D93" s="625" t="s">
        <v>974</v>
      </c>
      <c r="E93" s="626"/>
      <c r="F93" s="625" t="s">
        <v>975</v>
      </c>
      <c r="G93" s="626"/>
      <c r="H93" s="625" t="s">
        <v>1290</v>
      </c>
      <c r="I93" s="626"/>
      <c r="J93" s="590"/>
      <c r="K93" s="607" t="s">
        <v>815</v>
      </c>
      <c r="L93" s="608"/>
      <c r="M93" s="587"/>
      <c r="N93" s="259" t="s">
        <v>915</v>
      </c>
      <c r="O93" s="527"/>
      <c r="P93" s="613" t="str">
        <f>IF(O95=Berechnung1!D106,Berechnung1!$F$5,IF(OR(O95&lt; Berechnung1!E106,O95&gt; Berechnung1!F106),Berechnung1!$G$5,IF(OR(ROUND(O95,4)&lt;Berechnung1!J106,ROUND(O95,4)&gt;Berechnung1!K106),Berechnung1!$D$5,IF(OR(ROUND(O95,4)&lt;Berechnung1!G106,ROUND(O95,4)&gt;Berechnung1!H106),Berechnung1!$E$5,Berechnung1!$C$5))))</f>
        <v>Incomplete</v>
      </c>
      <c r="Q93" s="585"/>
      <c r="R93" s="583"/>
    </row>
    <row r="94" spans="1:19" ht="30" customHeight="1" thickBot="1" x14ac:dyDescent="0.5">
      <c r="A94" s="620"/>
      <c r="B94" s="635"/>
      <c r="C94" s="623"/>
      <c r="D94" s="627"/>
      <c r="E94" s="628"/>
      <c r="F94" s="627"/>
      <c r="G94" s="628"/>
      <c r="H94" s="627"/>
      <c r="I94" s="628"/>
      <c r="J94" s="588"/>
      <c r="K94" s="609"/>
      <c r="L94" s="610"/>
      <c r="M94" s="588"/>
      <c r="N94" s="259" t="s">
        <v>988</v>
      </c>
      <c r="O94" s="527"/>
      <c r="P94" s="614"/>
      <c r="Q94" s="586"/>
      <c r="R94" s="584"/>
    </row>
    <row r="95" spans="1:19" ht="30" customHeight="1" thickBot="1" x14ac:dyDescent="0.5">
      <c r="A95" s="621"/>
      <c r="B95" s="636"/>
      <c r="C95" s="624"/>
      <c r="D95" s="629"/>
      <c r="E95" s="630"/>
      <c r="F95" s="629"/>
      <c r="G95" s="630"/>
      <c r="H95" s="629"/>
      <c r="I95" s="630"/>
      <c r="J95" s="589"/>
      <c r="K95" s="611"/>
      <c r="L95" s="612"/>
      <c r="M95" s="589"/>
      <c r="N95" s="259" t="s">
        <v>89</v>
      </c>
      <c r="O95" s="325" t="str">
        <f>IF(O93="","n.d.",IF(O94="","n.d.",IF(O94=0,"",O93/O94)))</f>
        <v>n.d.</v>
      </c>
      <c r="P95" s="593"/>
      <c r="Q95" s="586"/>
      <c r="R95" s="584"/>
    </row>
    <row r="96" spans="1:19" s="119" customFormat="1" ht="62.25" customHeight="1" thickBot="1" x14ac:dyDescent="0.4">
      <c r="A96" s="619">
        <v>26</v>
      </c>
      <c r="B96" s="634" t="s">
        <v>1229</v>
      </c>
      <c r="C96" s="622" t="s">
        <v>976</v>
      </c>
      <c r="D96" s="625" t="s">
        <v>1257</v>
      </c>
      <c r="E96" s="626"/>
      <c r="F96" s="625" t="s">
        <v>977</v>
      </c>
      <c r="G96" s="626"/>
      <c r="H96" s="625" t="s">
        <v>978</v>
      </c>
      <c r="I96" s="626"/>
      <c r="J96" s="590"/>
      <c r="K96" s="607" t="s">
        <v>101</v>
      </c>
      <c r="L96" s="608"/>
      <c r="M96" s="587"/>
      <c r="N96" s="259" t="s">
        <v>915</v>
      </c>
      <c r="O96" s="527"/>
      <c r="P96" s="613" t="str">
        <f>IF(O98=Berechnung1!D109,Berechnung1!$F$5,IF(OR(O98&lt; Berechnung1!E109,O98&gt; Berechnung1!F109),Berechnung1!$G$5,IF(OR(ROUND(O98,4)&lt;Berechnung1!J109,ROUND(O98,4)&gt;Berechnung1!K109),Berechnung1!$D$5,IF(OR(ROUND(O98,4)&lt;Berechnung1!G109,ROUND(O98,4)&gt;Berechnung1!H109),Berechnung1!$E$5,Berechnung1!$C$5))))</f>
        <v>Incomplete</v>
      </c>
      <c r="Q96" s="585"/>
      <c r="R96" s="583"/>
      <c r="S96" s="331"/>
    </row>
    <row r="97" spans="1:19" s="119" customFormat="1" ht="62.25" customHeight="1" thickBot="1" x14ac:dyDescent="0.4">
      <c r="A97" s="620"/>
      <c r="B97" s="635"/>
      <c r="C97" s="623"/>
      <c r="D97" s="627"/>
      <c r="E97" s="628"/>
      <c r="F97" s="627"/>
      <c r="G97" s="628"/>
      <c r="H97" s="627"/>
      <c r="I97" s="628"/>
      <c r="J97" s="588"/>
      <c r="K97" s="609"/>
      <c r="L97" s="610"/>
      <c r="M97" s="588"/>
      <c r="N97" s="259" t="s">
        <v>988</v>
      </c>
      <c r="O97" s="527"/>
      <c r="P97" s="614"/>
      <c r="Q97" s="586"/>
      <c r="R97" s="584"/>
      <c r="S97" s="331"/>
    </row>
    <row r="98" spans="1:19" s="119" customFormat="1" ht="62.25" customHeight="1" thickBot="1" x14ac:dyDescent="0.4">
      <c r="A98" s="621"/>
      <c r="B98" s="636"/>
      <c r="C98" s="624"/>
      <c r="D98" s="629"/>
      <c r="E98" s="630"/>
      <c r="F98" s="629"/>
      <c r="G98" s="630"/>
      <c r="H98" s="629"/>
      <c r="I98" s="630"/>
      <c r="J98" s="589"/>
      <c r="K98" s="611"/>
      <c r="L98" s="612"/>
      <c r="M98" s="589"/>
      <c r="N98" s="259" t="s">
        <v>89</v>
      </c>
      <c r="O98" s="325" t="str">
        <f>IF(O96="","n.d.",IF(O97="","n.d.",IF(O97=0,"",O96/O97)))</f>
        <v>n.d.</v>
      </c>
      <c r="P98" s="593"/>
      <c r="Q98" s="586"/>
      <c r="R98" s="584"/>
      <c r="S98" s="331"/>
    </row>
    <row r="99" spans="1:19" ht="30" customHeight="1" thickBot="1" x14ac:dyDescent="0.5">
      <c r="A99" s="619">
        <v>27</v>
      </c>
      <c r="B99" s="634" t="s">
        <v>1229</v>
      </c>
      <c r="C99" s="622" t="s">
        <v>979</v>
      </c>
      <c r="D99" s="625" t="s">
        <v>980</v>
      </c>
      <c r="E99" s="626"/>
      <c r="F99" s="625" t="s">
        <v>981</v>
      </c>
      <c r="G99" s="626"/>
      <c r="H99" s="625" t="s">
        <v>982</v>
      </c>
      <c r="I99" s="626"/>
      <c r="J99" s="590"/>
      <c r="K99" s="607" t="s">
        <v>92</v>
      </c>
      <c r="L99" s="608"/>
      <c r="M99" s="587"/>
      <c r="N99" s="259" t="s">
        <v>915</v>
      </c>
      <c r="O99" s="527"/>
      <c r="P99" s="637" t="str">
        <f>IF(O101=Berechnung1!D112,Berechnung1!$F$5,IF(OR(O101&lt; Berechnung1!E112,O101&gt; Berechnung1!F112),Berechnung1!$G$5,IF(OR(ROUND(O101,4)&lt;Berechnung1!J112,ROUND(O101,4)&gt;Berechnung1!K112),Berechnung1!$D$5,IF(OR(ROUND(O101,4)&lt;Berechnung1!G112,ROUND(O101,4)&gt;Berechnung1!H112),Berechnung1!$E$5,Berechnung1!$C$5))))</f>
        <v>Incomplete</v>
      </c>
      <c r="Q99" s="585"/>
      <c r="R99" s="583"/>
    </row>
    <row r="100" spans="1:19" ht="30" customHeight="1" thickBot="1" x14ac:dyDescent="0.5">
      <c r="A100" s="620"/>
      <c r="B100" s="635"/>
      <c r="C100" s="623"/>
      <c r="D100" s="627"/>
      <c r="E100" s="628"/>
      <c r="F100" s="627"/>
      <c r="G100" s="628"/>
      <c r="H100" s="627"/>
      <c r="I100" s="628"/>
      <c r="J100" s="588"/>
      <c r="K100" s="609"/>
      <c r="L100" s="610"/>
      <c r="M100" s="588"/>
      <c r="N100" s="259" t="s">
        <v>988</v>
      </c>
      <c r="O100" s="527"/>
      <c r="P100" s="637"/>
      <c r="Q100" s="586"/>
      <c r="R100" s="584"/>
    </row>
    <row r="101" spans="1:19" ht="30" customHeight="1" thickBot="1" x14ac:dyDescent="0.5">
      <c r="A101" s="621"/>
      <c r="B101" s="636"/>
      <c r="C101" s="624"/>
      <c r="D101" s="629"/>
      <c r="E101" s="630"/>
      <c r="F101" s="629"/>
      <c r="G101" s="630"/>
      <c r="H101" s="629"/>
      <c r="I101" s="630"/>
      <c r="J101" s="589"/>
      <c r="K101" s="611"/>
      <c r="L101" s="612"/>
      <c r="M101" s="589"/>
      <c r="N101" s="259" t="s">
        <v>89</v>
      </c>
      <c r="O101" s="325" t="str">
        <f>IF(O99="","n.d.",IF(O100="","n.d.",IF(O100=0,"",O99/O100)))</f>
        <v>n.d.</v>
      </c>
      <c r="P101" s="637"/>
      <c r="Q101" s="586"/>
      <c r="R101" s="584"/>
    </row>
    <row r="102" spans="1:19" ht="30" customHeight="1" thickBot="1" x14ac:dyDescent="0.5">
      <c r="A102" s="619">
        <v>28</v>
      </c>
      <c r="B102" s="619"/>
      <c r="C102" s="622" t="s">
        <v>983</v>
      </c>
      <c r="D102" s="625" t="s">
        <v>984</v>
      </c>
      <c r="E102" s="626"/>
      <c r="F102" s="625" t="s">
        <v>985</v>
      </c>
      <c r="G102" s="626"/>
      <c r="H102" s="625" t="s">
        <v>1291</v>
      </c>
      <c r="I102" s="626"/>
      <c r="J102" s="590" t="s">
        <v>433</v>
      </c>
      <c r="K102" s="607" t="s">
        <v>1197</v>
      </c>
      <c r="L102" s="608"/>
      <c r="M102" s="587"/>
      <c r="N102" s="259" t="s">
        <v>915</v>
      </c>
      <c r="O102" s="527"/>
      <c r="P102" s="613" t="str">
        <f>IF(AND(O102&lt;&gt;"",O103&lt;&gt;"",O102=0,O103=0),Berechnung1!$H$5,IF(O104=Berechnung1!D115,Berechnung1!$F$5,IF(OR(O104&lt;Berechnung1!E115,O104&gt;Berechnung1!F115),Berechnung1!$G$5,IF(OR(ROUND(O104,4)&lt;Berechnung1!J115,ROUND(O104,4)&gt;Berechnung1!K115),Berechnung1!$D$5,IF(OR(ROUND(O104,4)&lt;Berechnung1!G115,ROUND(O104,4)&gt;Berechnung1!H115),Berechnung1!$E$5,Berechnung1!$C$5)))))</f>
        <v>Incomplete</v>
      </c>
      <c r="Q102" s="585"/>
      <c r="R102" s="583"/>
    </row>
    <row r="103" spans="1:19" ht="30" customHeight="1" thickBot="1" x14ac:dyDescent="0.5">
      <c r="A103" s="620"/>
      <c r="B103" s="620"/>
      <c r="C103" s="623"/>
      <c r="D103" s="627"/>
      <c r="E103" s="628"/>
      <c r="F103" s="627"/>
      <c r="G103" s="628"/>
      <c r="H103" s="627"/>
      <c r="I103" s="628"/>
      <c r="J103" s="588"/>
      <c r="K103" s="609"/>
      <c r="L103" s="610"/>
      <c r="M103" s="588"/>
      <c r="N103" s="259" t="s">
        <v>988</v>
      </c>
      <c r="O103" s="390">
        <f>IF(O87="",0,O87)</f>
        <v>0</v>
      </c>
      <c r="P103" s="614"/>
      <c r="Q103" s="586"/>
      <c r="R103" s="584"/>
    </row>
    <row r="104" spans="1:19" ht="30" customHeight="1" thickBot="1" x14ac:dyDescent="0.5">
      <c r="A104" s="621"/>
      <c r="B104" s="621"/>
      <c r="C104" s="624"/>
      <c r="D104" s="629"/>
      <c r="E104" s="630"/>
      <c r="F104" s="629"/>
      <c r="G104" s="630"/>
      <c r="H104" s="629"/>
      <c r="I104" s="630"/>
      <c r="J104" s="589"/>
      <c r="K104" s="611"/>
      <c r="L104" s="612"/>
      <c r="M104" s="589"/>
      <c r="N104" s="259" t="s">
        <v>89</v>
      </c>
      <c r="O104" s="521" t="str">
        <f>IF(O102="","n.d.",IF(O103="","n.d.",IF(O103=0,"",O102/O103)))</f>
        <v>n.d.</v>
      </c>
      <c r="P104" s="614"/>
      <c r="Q104" s="586"/>
      <c r="R104" s="584"/>
    </row>
    <row r="105" spans="1:19" s="502" customFormat="1" ht="30" customHeight="1" thickBot="1" x14ac:dyDescent="0.5">
      <c r="A105" s="619" t="s">
        <v>1285</v>
      </c>
      <c r="B105" s="619"/>
      <c r="C105" s="622" t="s">
        <v>1292</v>
      </c>
      <c r="D105" s="625" t="s">
        <v>1258</v>
      </c>
      <c r="E105" s="626"/>
      <c r="F105" s="625" t="s">
        <v>1305</v>
      </c>
      <c r="G105" s="626"/>
      <c r="H105" s="625" t="s">
        <v>1293</v>
      </c>
      <c r="I105" s="626"/>
      <c r="J105" s="590"/>
      <c r="K105" s="607" t="s">
        <v>1197</v>
      </c>
      <c r="L105" s="608"/>
      <c r="M105" s="587" t="s">
        <v>1259</v>
      </c>
      <c r="N105" s="518" t="s">
        <v>915</v>
      </c>
      <c r="O105" s="527"/>
      <c r="P105" s="591" t="str">
        <f>IF(AND(O105&lt;&gt;"",O106&lt;&gt;"",O105=0,O106=0),Berechnung1!$H$5,IF(O107=Berechnung1!D118,Berechnung1!$F$5,IF(OR(O107&lt;Berechnung1!E118,O107&gt;Berechnung1!F118),Berechnung1!$G$5,IF(OR(ROUND(O107,4)&lt;Berechnung1!J118,ROUND(O107,4)&gt;Berechnung1!K118),Berechnung1!$D$5,IF(OR(ROUND(O107,4)&lt;Berechnung1!G118,ROUND(O107,4)&gt;Berechnung1!H118),Berechnung1!$E$5,Berechnung1!$C$5)))))</f>
        <v>Incomplete</v>
      </c>
      <c r="Q105" s="585"/>
      <c r="R105" s="583"/>
      <c r="S105" s="501"/>
    </row>
    <row r="106" spans="1:19" s="502" customFormat="1" ht="30" customHeight="1" thickBot="1" x14ac:dyDescent="0.5">
      <c r="A106" s="620"/>
      <c r="B106" s="620"/>
      <c r="C106" s="623"/>
      <c r="D106" s="627"/>
      <c r="E106" s="628"/>
      <c r="F106" s="627"/>
      <c r="G106" s="628"/>
      <c r="H106" s="627"/>
      <c r="I106" s="628"/>
      <c r="J106" s="588"/>
      <c r="K106" s="609"/>
      <c r="L106" s="610"/>
      <c r="M106" s="588"/>
      <c r="N106" s="259" t="s">
        <v>988</v>
      </c>
      <c r="O106" s="510">
        <f>O70</f>
        <v>0</v>
      </c>
      <c r="P106" s="614"/>
      <c r="Q106" s="586"/>
      <c r="R106" s="584"/>
      <c r="S106" s="501"/>
    </row>
    <row r="107" spans="1:19" s="502" customFormat="1" ht="30" customHeight="1" thickBot="1" x14ac:dyDescent="0.5">
      <c r="A107" s="621"/>
      <c r="B107" s="621"/>
      <c r="C107" s="624"/>
      <c r="D107" s="629"/>
      <c r="E107" s="630"/>
      <c r="F107" s="629"/>
      <c r="G107" s="630"/>
      <c r="H107" s="629"/>
      <c r="I107" s="630"/>
      <c r="J107" s="589"/>
      <c r="K107" s="611"/>
      <c r="L107" s="612"/>
      <c r="M107" s="589"/>
      <c r="N107" s="259"/>
      <c r="O107" s="325" t="str">
        <f>IF(O105="","n.d.",IF(O106="","n.d.",IF(O106=0,"",O105/O106)))</f>
        <v>n.d.</v>
      </c>
      <c r="P107" s="614"/>
      <c r="Q107" s="586"/>
      <c r="R107" s="584"/>
      <c r="S107" s="501"/>
    </row>
    <row r="108" spans="1:19" ht="30" customHeight="1" thickBot="1" x14ac:dyDescent="0.5">
      <c r="A108" s="655">
        <v>30</v>
      </c>
      <c r="B108" s="655"/>
      <c r="C108" s="658" t="s">
        <v>986</v>
      </c>
      <c r="D108" s="661" t="s">
        <v>987</v>
      </c>
      <c r="E108" s="662"/>
      <c r="F108" s="598" t="s">
        <v>1299</v>
      </c>
      <c r="G108" s="599"/>
      <c r="H108" s="599"/>
      <c r="I108" s="599"/>
      <c r="J108" s="599"/>
      <c r="K108" s="599"/>
      <c r="L108" s="599"/>
      <c r="M108" s="600"/>
      <c r="N108" s="386" t="s">
        <v>915</v>
      </c>
      <c r="O108" s="388"/>
      <c r="P108" s="667"/>
      <c r="Q108" s="594"/>
      <c r="R108" s="596"/>
    </row>
    <row r="109" spans="1:19" ht="30" customHeight="1" thickBot="1" x14ac:dyDescent="0.5">
      <c r="A109" s="656"/>
      <c r="B109" s="656"/>
      <c r="C109" s="659"/>
      <c r="D109" s="663"/>
      <c r="E109" s="664"/>
      <c r="F109" s="601"/>
      <c r="G109" s="602"/>
      <c r="H109" s="602"/>
      <c r="I109" s="602"/>
      <c r="J109" s="602"/>
      <c r="K109" s="602"/>
      <c r="L109" s="602"/>
      <c r="M109" s="603"/>
      <c r="N109" s="386" t="s">
        <v>988</v>
      </c>
      <c r="O109" s="388"/>
      <c r="P109" s="667"/>
      <c r="Q109" s="595"/>
      <c r="R109" s="597"/>
    </row>
    <row r="110" spans="1:19" ht="30" customHeight="1" thickBot="1" x14ac:dyDescent="0.5">
      <c r="A110" s="657"/>
      <c r="B110" s="657"/>
      <c r="C110" s="660"/>
      <c r="D110" s="665"/>
      <c r="E110" s="666"/>
      <c r="F110" s="604"/>
      <c r="G110" s="605"/>
      <c r="H110" s="605"/>
      <c r="I110" s="605"/>
      <c r="J110" s="605"/>
      <c r="K110" s="605"/>
      <c r="L110" s="605"/>
      <c r="M110" s="606"/>
      <c r="N110" s="386" t="s">
        <v>89</v>
      </c>
      <c r="O110" s="387" t="str">
        <f>IF(O108="","n.d.",IF(O109="","n.d.",IF(O109=0,"",O108/O109)))</f>
        <v>n.d.</v>
      </c>
      <c r="P110" s="667"/>
      <c r="Q110" s="595"/>
      <c r="R110" s="597"/>
    </row>
    <row r="111" spans="1:19" ht="7.15" customHeight="1" x14ac:dyDescent="0.45">
      <c r="A111" s="507"/>
      <c r="B111" s="507"/>
      <c r="C111" s="508"/>
      <c r="D111" s="508"/>
      <c r="E111" s="508"/>
      <c r="F111" s="503"/>
      <c r="G111" s="503"/>
      <c r="H111" s="503"/>
      <c r="I111" s="503"/>
      <c r="J111" s="503"/>
      <c r="K111" s="503"/>
      <c r="L111" s="503"/>
      <c r="M111" s="503"/>
      <c r="N111" s="504"/>
      <c r="O111" s="505"/>
      <c r="P111" s="506"/>
      <c r="Q111" s="505"/>
      <c r="R111" s="505"/>
    </row>
    <row r="112" spans="1:19" ht="18" customHeight="1" thickBot="1" x14ac:dyDescent="0.5">
      <c r="A112" s="32" t="s">
        <v>1301</v>
      </c>
      <c r="B112" s="32"/>
      <c r="C112" s="8"/>
      <c r="D112" s="15"/>
      <c r="E112" s="15"/>
      <c r="F112" s="15"/>
      <c r="G112" s="15"/>
      <c r="H112" s="503"/>
      <c r="I112" s="503"/>
      <c r="J112" s="503"/>
      <c r="K112" s="503"/>
      <c r="L112" s="503"/>
      <c r="M112" s="503"/>
      <c r="N112" s="504"/>
      <c r="O112" s="505"/>
      <c r="P112" s="506"/>
      <c r="Q112" s="505"/>
      <c r="R112" s="505"/>
    </row>
    <row r="113" spans="1:19" ht="18" customHeight="1" thickBot="1" x14ac:dyDescent="0.5">
      <c r="A113" s="489"/>
      <c r="B113" s="641" t="s">
        <v>896</v>
      </c>
      <c r="C113" s="642"/>
      <c r="D113" s="490" t="s">
        <v>897</v>
      </c>
      <c r="E113" s="491" t="str">
        <f>CONCATENATE(TEXT(Berechnung1!C9,"0,00%")," (",Berechnung1!C6,")")</f>
        <v>0,00% (0)</v>
      </c>
      <c r="F113" s="645" t="str">
        <f>CONCATENATE(TEXT(Berechnung1!D10,"0,00%")," (",Berechnung1!D7,")")</f>
        <v>0,00% (0)</v>
      </c>
      <c r="G113" s="646" t="s">
        <v>902</v>
      </c>
      <c r="H113" s="503"/>
      <c r="I113" s="503"/>
      <c r="J113" s="503"/>
      <c r="K113" s="503"/>
      <c r="L113" s="503"/>
      <c r="M113" s="503"/>
      <c r="N113" s="504"/>
      <c r="O113" s="505"/>
      <c r="P113" s="506"/>
      <c r="Q113" s="505"/>
      <c r="R113" s="505"/>
    </row>
    <row r="114" spans="1:19" ht="18" customHeight="1" thickBot="1" x14ac:dyDescent="0.5">
      <c r="A114" s="489"/>
      <c r="B114" s="643"/>
      <c r="C114" s="644"/>
      <c r="D114" s="492" t="s">
        <v>898</v>
      </c>
      <c r="E114" s="493" t="str">
        <f>CONCATENATE(TEXT(Berechnung1!K9,"0,00%")," (",Berechnung1!K6,")")</f>
        <v>0,00% (0)</v>
      </c>
      <c r="F114" s="645"/>
      <c r="G114" s="647"/>
      <c r="H114" s="503"/>
      <c r="I114" s="503"/>
      <c r="J114" s="503"/>
      <c r="K114" s="503"/>
      <c r="L114" s="503"/>
      <c r="M114" s="503"/>
      <c r="N114" s="504"/>
      <c r="O114" s="505"/>
      <c r="P114" s="506"/>
      <c r="Q114" s="505"/>
      <c r="R114" s="505"/>
    </row>
    <row r="115" spans="1:19" ht="18" customHeight="1" thickBot="1" x14ac:dyDescent="0.5">
      <c r="A115" s="494" t="s">
        <v>1268</v>
      </c>
      <c r="B115" s="648" t="s">
        <v>1269</v>
      </c>
      <c r="C115" s="649"/>
      <c r="D115" s="649"/>
      <c r="E115" s="650"/>
      <c r="F115" s="495" t="str">
        <f>CONCATENATE(TEXT(Berechnung1!E10,"0,00%")," (",Berechnung1!E7,")")</f>
        <v>0,00% (0)</v>
      </c>
      <c r="G115" s="496" t="str">
        <f>CONCATENATE(TEXT(Berechnung1!E11,"0,00%")," (",Berechnung1!E8,")")</f>
        <v>0,00% (0)</v>
      </c>
      <c r="H115" s="503"/>
      <c r="I115" s="503"/>
      <c r="J115" s="503"/>
      <c r="K115" s="503"/>
      <c r="L115" s="503"/>
      <c r="M115" s="503"/>
      <c r="N115" s="504"/>
      <c r="O115" s="505"/>
      <c r="P115" s="506"/>
      <c r="Q115" s="505"/>
      <c r="R115" s="505"/>
    </row>
    <row r="116" spans="1:19" ht="18" customHeight="1" thickBot="1" x14ac:dyDescent="0.5">
      <c r="A116" s="489"/>
      <c r="B116" s="651" t="s">
        <v>1270</v>
      </c>
      <c r="C116" s="652"/>
      <c r="D116" s="497" t="s">
        <v>900</v>
      </c>
      <c r="E116" s="498" t="str">
        <f>CONCATENATE(TEXT(Berechnung1!G9,"0,00%")," (",Berechnung1!G6,")")</f>
        <v>0,00% (0)</v>
      </c>
      <c r="F116" s="645" t="str">
        <f>CONCATENATE(TEXT(Berechnung1!G10,"0,00%")," (",Berechnung1!G8,")")</f>
        <v>100,00% (31)</v>
      </c>
      <c r="G116" s="645"/>
      <c r="H116" s="503"/>
      <c r="I116" s="503"/>
      <c r="J116" s="503"/>
      <c r="K116" s="503"/>
      <c r="L116" s="503"/>
      <c r="M116" s="503"/>
      <c r="N116" s="504"/>
      <c r="O116" s="505"/>
      <c r="P116" s="506"/>
      <c r="Q116" s="505"/>
      <c r="R116" s="505"/>
    </row>
    <row r="117" spans="1:19" ht="18" customHeight="1" thickBot="1" x14ac:dyDescent="0.5">
      <c r="A117" s="489"/>
      <c r="B117" s="653"/>
      <c r="C117" s="654"/>
      <c r="D117" s="499" t="s">
        <v>901</v>
      </c>
      <c r="E117" s="500" t="str">
        <f>CONCATENATE(TEXT(Berechnung1!F9,"0,00%")," (",Berechnung1!F6,")")</f>
        <v>100,00% (31)</v>
      </c>
      <c r="F117" s="645"/>
      <c r="G117" s="645"/>
      <c r="H117" s="503"/>
      <c r="I117" s="503"/>
      <c r="J117" s="503"/>
      <c r="K117" s="503"/>
      <c r="L117" s="503"/>
      <c r="M117" s="503"/>
      <c r="N117" s="504"/>
      <c r="O117" s="505"/>
      <c r="P117" s="506"/>
      <c r="Q117" s="505"/>
      <c r="R117" s="505"/>
    </row>
    <row r="118" spans="1:19" ht="7.15" customHeight="1" x14ac:dyDescent="0.45"/>
    <row r="119" spans="1:19" ht="13.5" customHeight="1" x14ac:dyDescent="0.45">
      <c r="A119" s="90" t="s">
        <v>990</v>
      </c>
    </row>
    <row r="120" spans="1:19" s="11" customFormat="1" ht="27.75" customHeight="1" x14ac:dyDescent="0.3">
      <c r="A120" s="640" t="s">
        <v>1274</v>
      </c>
      <c r="B120" s="640"/>
      <c r="C120" s="640"/>
      <c r="D120" s="640"/>
      <c r="E120" s="640"/>
      <c r="F120" s="640"/>
      <c r="G120" s="640"/>
      <c r="H120" s="640"/>
      <c r="I120" s="640"/>
      <c r="J120" s="640"/>
      <c r="K120" s="640"/>
      <c r="L120" s="640"/>
      <c r="M120" s="640"/>
      <c r="N120" s="640"/>
      <c r="O120" s="640"/>
      <c r="P120" s="640"/>
      <c r="S120" s="334"/>
    </row>
    <row r="121" spans="1:19" s="8" customFormat="1" ht="104.25" customHeight="1" x14ac:dyDescent="0.35">
      <c r="A121" s="638" t="s">
        <v>991</v>
      </c>
      <c r="B121" s="639"/>
      <c r="C121" s="639"/>
      <c r="D121" s="639"/>
      <c r="E121" s="639"/>
      <c r="F121" s="639"/>
      <c r="G121" s="639"/>
      <c r="H121" s="639"/>
      <c r="I121" s="639"/>
      <c r="J121" s="639"/>
      <c r="K121" s="639"/>
      <c r="L121" s="639"/>
      <c r="M121" s="639"/>
      <c r="N121" s="639"/>
      <c r="O121" s="639"/>
      <c r="P121" s="639"/>
      <c r="S121" s="331"/>
    </row>
    <row r="122" spans="1:19" x14ac:dyDescent="0.45">
      <c r="A122" s="36"/>
    </row>
    <row r="123" spans="1:19" x14ac:dyDescent="0.45">
      <c r="A123" s="761"/>
      <c r="B123" s="761"/>
      <c r="C123" s="761"/>
      <c r="D123" s="761"/>
      <c r="E123" s="761"/>
      <c r="F123" s="761"/>
      <c r="G123" s="761"/>
      <c r="H123" s="761"/>
      <c r="I123" s="761"/>
      <c r="J123" s="761"/>
      <c r="K123" s="761"/>
      <c r="L123" s="761"/>
      <c r="M123" s="761"/>
      <c r="N123" s="761"/>
      <c r="O123" s="761"/>
      <c r="P123" s="761"/>
    </row>
  </sheetData>
  <sheetProtection algorithmName="SHA-512" hashValue="ww1w4bCK8d6LDYrR3Bkczu5dWcDFFRnNAENbhsfr019Z/KuAn/G8ovMxWVzt0af2f7gWDNxgkvFUtV7yoCuh/Q==" saltValue="tnJCVFQ0EQ+QGt6OOBanhw==" spinCount="100000" sheet="1" objects="1" scenarios="1" selectLockedCells="1"/>
  <dataConsolidate/>
  <mergeCells count="427">
    <mergeCell ref="M66:M68"/>
    <mergeCell ref="K63:L65"/>
    <mergeCell ref="M75:M77"/>
    <mergeCell ref="J81:J83"/>
    <mergeCell ref="K81:L83"/>
    <mergeCell ref="J72:J74"/>
    <mergeCell ref="P12:P14"/>
    <mergeCell ref="F39:G41"/>
    <mergeCell ref="H39:I41"/>
    <mergeCell ref="H30:I32"/>
    <mergeCell ref="F42:G44"/>
    <mergeCell ref="H42:I44"/>
    <mergeCell ref="J42:J44"/>
    <mergeCell ref="M39:M41"/>
    <mergeCell ref="J39:J41"/>
    <mergeCell ref="K39:L41"/>
    <mergeCell ref="J66:J68"/>
    <mergeCell ref="J54:J56"/>
    <mergeCell ref="M54:M56"/>
    <mergeCell ref="K51:L53"/>
    <mergeCell ref="H54:I56"/>
    <mergeCell ref="J51:J53"/>
    <mergeCell ref="F51:G53"/>
    <mergeCell ref="J78:J80"/>
    <mergeCell ref="F54:G56"/>
    <mergeCell ref="J48:J50"/>
    <mergeCell ref="A123:P123"/>
    <mergeCell ref="C66:C68"/>
    <mergeCell ref="D66:E68"/>
    <mergeCell ref="F66:G68"/>
    <mergeCell ref="J60:J62"/>
    <mergeCell ref="M60:M62"/>
    <mergeCell ref="J84:J86"/>
    <mergeCell ref="K84:L86"/>
    <mergeCell ref="J69:J71"/>
    <mergeCell ref="M69:M71"/>
    <mergeCell ref="F69:G71"/>
    <mergeCell ref="H69:I71"/>
    <mergeCell ref="M99:M101"/>
    <mergeCell ref="J99:J101"/>
    <mergeCell ref="A99:A101"/>
    <mergeCell ref="B99:B101"/>
    <mergeCell ref="D96:E98"/>
    <mergeCell ref="K66:L68"/>
    <mergeCell ref="M63:M65"/>
    <mergeCell ref="H66:I68"/>
    <mergeCell ref="M72:M74"/>
    <mergeCell ref="H51:I53"/>
    <mergeCell ref="C12:C14"/>
    <mergeCell ref="D12:E14"/>
    <mergeCell ref="F12:G14"/>
    <mergeCell ref="H12:I14"/>
    <mergeCell ref="J12:J14"/>
    <mergeCell ref="K12:L14"/>
    <mergeCell ref="M12:M14"/>
    <mergeCell ref="N12:N14"/>
    <mergeCell ref="O12:O14"/>
    <mergeCell ref="J45:J47"/>
    <mergeCell ref="J63:J65"/>
    <mergeCell ref="J30:J32"/>
    <mergeCell ref="M30:M32"/>
    <mergeCell ref="A36:A38"/>
    <mergeCell ref="B36:B38"/>
    <mergeCell ref="C36:C38"/>
    <mergeCell ref="D36:E38"/>
    <mergeCell ref="F36:G38"/>
    <mergeCell ref="J36:J38"/>
    <mergeCell ref="K36:L38"/>
    <mergeCell ref="A33:A35"/>
    <mergeCell ref="B33:B35"/>
    <mergeCell ref="C33:C35"/>
    <mergeCell ref="D33:E35"/>
    <mergeCell ref="F33:G35"/>
    <mergeCell ref="H33:I35"/>
    <mergeCell ref="H36:I38"/>
    <mergeCell ref="J33:J35"/>
    <mergeCell ref="K33:L35"/>
    <mergeCell ref="D57:E59"/>
    <mergeCell ref="F57:G59"/>
    <mergeCell ref="H57:I59"/>
    <mergeCell ref="K57:L59"/>
    <mergeCell ref="Q93:Q95"/>
    <mergeCell ref="Q99:Q101"/>
    <mergeCell ref="Q90:Q92"/>
    <mergeCell ref="P90:P92"/>
    <mergeCell ref="Q96:Q98"/>
    <mergeCell ref="P75:P77"/>
    <mergeCell ref="P81:P83"/>
    <mergeCell ref="M78:M80"/>
    <mergeCell ref="O84:O86"/>
    <mergeCell ref="R96:R98"/>
    <mergeCell ref="R99:R101"/>
    <mergeCell ref="P93:P95"/>
    <mergeCell ref="M93:M95"/>
    <mergeCell ref="M96:M98"/>
    <mergeCell ref="P99:P101"/>
    <mergeCell ref="P96:P98"/>
    <mergeCell ref="F90:G92"/>
    <mergeCell ref="A75:A77"/>
    <mergeCell ref="B75:B77"/>
    <mergeCell ref="K75:L77"/>
    <mergeCell ref="C75:C77"/>
    <mergeCell ref="D75:E77"/>
    <mergeCell ref="F75:G77"/>
    <mergeCell ref="H75:I77"/>
    <mergeCell ref="K78:L80"/>
    <mergeCell ref="J90:J92"/>
    <mergeCell ref="A90:A92"/>
    <mergeCell ref="B90:B92"/>
    <mergeCell ref="C90:C92"/>
    <mergeCell ref="D90:E92"/>
    <mergeCell ref="J96:J98"/>
    <mergeCell ref="M90:M92"/>
    <mergeCell ref="K99:L101"/>
    <mergeCell ref="A93:A95"/>
    <mergeCell ref="B93:B95"/>
    <mergeCell ref="C99:C101"/>
    <mergeCell ref="D99:E101"/>
    <mergeCell ref="F99:G101"/>
    <mergeCell ref="K93:L95"/>
    <mergeCell ref="K96:L98"/>
    <mergeCell ref="H96:I98"/>
    <mergeCell ref="F96:G98"/>
    <mergeCell ref="A96:A98"/>
    <mergeCell ref="B96:B98"/>
    <mergeCell ref="C96:C98"/>
    <mergeCell ref="C93:C95"/>
    <mergeCell ref="D93:E95"/>
    <mergeCell ref="F93:G95"/>
    <mergeCell ref="H93:I95"/>
    <mergeCell ref="J93:J95"/>
    <mergeCell ref="H99:I101"/>
    <mergeCell ref="H90:I92"/>
    <mergeCell ref="R87:R89"/>
    <mergeCell ref="C78:C80"/>
    <mergeCell ref="D78:E80"/>
    <mergeCell ref="F78:G80"/>
    <mergeCell ref="H78:I80"/>
    <mergeCell ref="P78:P80"/>
    <mergeCell ref="K90:L92"/>
    <mergeCell ref="K87:L89"/>
    <mergeCell ref="H87:I89"/>
    <mergeCell ref="J87:J89"/>
    <mergeCell ref="C87:C89"/>
    <mergeCell ref="D87:E89"/>
    <mergeCell ref="C84:C86"/>
    <mergeCell ref="D84:E86"/>
    <mergeCell ref="F84:G86"/>
    <mergeCell ref="C81:C83"/>
    <mergeCell ref="D81:E83"/>
    <mergeCell ref="H81:I83"/>
    <mergeCell ref="O81:O83"/>
    <mergeCell ref="M81:M83"/>
    <mergeCell ref="M84:M86"/>
    <mergeCell ref="P84:P86"/>
    <mergeCell ref="P87:P89"/>
    <mergeCell ref="A78:A80"/>
    <mergeCell ref="B78:B80"/>
    <mergeCell ref="Q78:Q80"/>
    <mergeCell ref="R75:R77"/>
    <mergeCell ref="R78:R80"/>
    <mergeCell ref="Q75:Q77"/>
    <mergeCell ref="F87:G89"/>
    <mergeCell ref="A87:A89"/>
    <mergeCell ref="B87:B89"/>
    <mergeCell ref="A84:A86"/>
    <mergeCell ref="B84:B86"/>
    <mergeCell ref="M87:M89"/>
    <mergeCell ref="J75:J77"/>
    <mergeCell ref="A81:A83"/>
    <mergeCell ref="B81:B83"/>
    <mergeCell ref="F81:G83"/>
    <mergeCell ref="Q87:Q89"/>
    <mergeCell ref="Q81:Q83"/>
    <mergeCell ref="Q84:Q86"/>
    <mergeCell ref="R81:R83"/>
    <mergeCell ref="R84:R86"/>
    <mergeCell ref="N81:N83"/>
    <mergeCell ref="N84:N86"/>
    <mergeCell ref="H84:I86"/>
    <mergeCell ref="R66:R68"/>
    <mergeCell ref="A66:A68"/>
    <mergeCell ref="B66:B68"/>
    <mergeCell ref="P60:P62"/>
    <mergeCell ref="Q69:Q71"/>
    <mergeCell ref="R90:R92"/>
    <mergeCell ref="R93:R95"/>
    <mergeCell ref="R72:R74"/>
    <mergeCell ref="K72:L74"/>
    <mergeCell ref="R69:R71"/>
    <mergeCell ref="P69:P71"/>
    <mergeCell ref="A72:A74"/>
    <mergeCell ref="B72:B74"/>
    <mergeCell ref="C72:C74"/>
    <mergeCell ref="D72:E74"/>
    <mergeCell ref="H72:I74"/>
    <mergeCell ref="P72:P74"/>
    <mergeCell ref="K69:L71"/>
    <mergeCell ref="A69:A71"/>
    <mergeCell ref="B69:B71"/>
    <mergeCell ref="C69:C71"/>
    <mergeCell ref="D69:E71"/>
    <mergeCell ref="F72:G74"/>
    <mergeCell ref="Q72:Q74"/>
    <mergeCell ref="M57:M59"/>
    <mergeCell ref="J57:J59"/>
    <mergeCell ref="R60:R62"/>
    <mergeCell ref="A63:A65"/>
    <mergeCell ref="B63:B65"/>
    <mergeCell ref="C63:C65"/>
    <mergeCell ref="K60:L62"/>
    <mergeCell ref="Q60:Q62"/>
    <mergeCell ref="F63:G65"/>
    <mergeCell ref="H63:I65"/>
    <mergeCell ref="A60:A62"/>
    <mergeCell ref="B60:B62"/>
    <mergeCell ref="C60:C62"/>
    <mergeCell ref="D60:E62"/>
    <mergeCell ref="F60:G62"/>
    <mergeCell ref="H60:I62"/>
    <mergeCell ref="D63:E65"/>
    <mergeCell ref="R63:R65"/>
    <mergeCell ref="P63:P65"/>
    <mergeCell ref="R27:R29"/>
    <mergeCell ref="J24:J26"/>
    <mergeCell ref="O51:O53"/>
    <mergeCell ref="K54:L56"/>
    <mergeCell ref="A39:A41"/>
    <mergeCell ref="A54:A56"/>
    <mergeCell ref="B54:B56"/>
    <mergeCell ref="C54:C56"/>
    <mergeCell ref="D54:E56"/>
    <mergeCell ref="A51:A53"/>
    <mergeCell ref="B51:B53"/>
    <mergeCell ref="C51:C53"/>
    <mergeCell ref="D51:E53"/>
    <mergeCell ref="C39:C41"/>
    <mergeCell ref="A45:A47"/>
    <mergeCell ref="B45:B47"/>
    <mergeCell ref="C45:C47"/>
    <mergeCell ref="B42:B44"/>
    <mergeCell ref="A42:A44"/>
    <mergeCell ref="C42:C44"/>
    <mergeCell ref="D42:E44"/>
    <mergeCell ref="D39:E41"/>
    <mergeCell ref="H45:I47"/>
    <mergeCell ref="A48:A50"/>
    <mergeCell ref="A27:A29"/>
    <mergeCell ref="B27:B29"/>
    <mergeCell ref="C27:C29"/>
    <mergeCell ref="D27:E29"/>
    <mergeCell ref="F27:G29"/>
    <mergeCell ref="H27:I29"/>
    <mergeCell ref="K27:L29"/>
    <mergeCell ref="M24:M26"/>
    <mergeCell ref="Q27:Q29"/>
    <mergeCell ref="A24:A26"/>
    <mergeCell ref="B24:B26"/>
    <mergeCell ref="C24:C26"/>
    <mergeCell ref="D24:E26"/>
    <mergeCell ref="F24:G26"/>
    <mergeCell ref="H24:I26"/>
    <mergeCell ref="K24:L26"/>
    <mergeCell ref="P24:P26"/>
    <mergeCell ref="P27:P29"/>
    <mergeCell ref="J27:J29"/>
    <mergeCell ref="M27:M29"/>
    <mergeCell ref="Q24:Q26"/>
    <mergeCell ref="P21:P23"/>
    <mergeCell ref="D10:E11"/>
    <mergeCell ref="P10:P11"/>
    <mergeCell ref="R21:R23"/>
    <mergeCell ref="Q18:Q20"/>
    <mergeCell ref="J18:J20"/>
    <mergeCell ref="M18:M20"/>
    <mergeCell ref="P15:P17"/>
    <mergeCell ref="Q15:Q17"/>
    <mergeCell ref="Q10:R10"/>
    <mergeCell ref="F10:G11"/>
    <mergeCell ref="H10:I11"/>
    <mergeCell ref="K10:L11"/>
    <mergeCell ref="J10:J11"/>
    <mergeCell ref="M10:M11"/>
    <mergeCell ref="N10:O11"/>
    <mergeCell ref="K15:L17"/>
    <mergeCell ref="R15:R17"/>
    <mergeCell ref="Q21:Q23"/>
    <mergeCell ref="K18:L20"/>
    <mergeCell ref="R18:R20"/>
    <mergeCell ref="J15:J17"/>
    <mergeCell ref="R12:R14"/>
    <mergeCell ref="Q12:Q14"/>
    <mergeCell ref="R24:R26"/>
    <mergeCell ref="D6:N6"/>
    <mergeCell ref="P18:P20"/>
    <mergeCell ref="A10:A11"/>
    <mergeCell ref="B10:B11"/>
    <mergeCell ref="C10:C11"/>
    <mergeCell ref="M15:M17"/>
    <mergeCell ref="A18:A20"/>
    <mergeCell ref="B18:B20"/>
    <mergeCell ref="C18:C20"/>
    <mergeCell ref="D18:E20"/>
    <mergeCell ref="F18:G20"/>
    <mergeCell ref="H18:I20"/>
    <mergeCell ref="A15:A17"/>
    <mergeCell ref="D15:E17"/>
    <mergeCell ref="F15:G17"/>
    <mergeCell ref="H15:I17"/>
    <mergeCell ref="I8:J8"/>
    <mergeCell ref="A12:A14"/>
    <mergeCell ref="B12:B14"/>
    <mergeCell ref="D8:E8"/>
    <mergeCell ref="K8:N8"/>
    <mergeCell ref="B15:B17"/>
    <mergeCell ref="C15:C17"/>
    <mergeCell ref="A21:A23"/>
    <mergeCell ref="B21:B23"/>
    <mergeCell ref="C21:C23"/>
    <mergeCell ref="D21:E23"/>
    <mergeCell ref="J21:J23"/>
    <mergeCell ref="M21:M23"/>
    <mergeCell ref="F21:G23"/>
    <mergeCell ref="H21:I23"/>
    <mergeCell ref="K21:L23"/>
    <mergeCell ref="A121:P121"/>
    <mergeCell ref="A120:P120"/>
    <mergeCell ref="K105:L107"/>
    <mergeCell ref="M105:M107"/>
    <mergeCell ref="P105:P107"/>
    <mergeCell ref="B113:C114"/>
    <mergeCell ref="F113:F114"/>
    <mergeCell ref="G113:G114"/>
    <mergeCell ref="B115:E115"/>
    <mergeCell ref="B116:C117"/>
    <mergeCell ref="F116:G117"/>
    <mergeCell ref="A108:A110"/>
    <mergeCell ref="B108:B110"/>
    <mergeCell ref="C108:C110"/>
    <mergeCell ref="D108:E110"/>
    <mergeCell ref="P108:P110"/>
    <mergeCell ref="A105:A107"/>
    <mergeCell ref="B105:B107"/>
    <mergeCell ref="C105:C107"/>
    <mergeCell ref="D105:E107"/>
    <mergeCell ref="F105:G107"/>
    <mergeCell ref="H105:I107"/>
    <mergeCell ref="J105:J107"/>
    <mergeCell ref="P51:P53"/>
    <mergeCell ref="Q51:Q53"/>
    <mergeCell ref="R51:R53"/>
    <mergeCell ref="R54:R56"/>
    <mergeCell ref="Q63:Q65"/>
    <mergeCell ref="P66:P68"/>
    <mergeCell ref="Q66:Q68"/>
    <mergeCell ref="A30:A32"/>
    <mergeCell ref="B30:B32"/>
    <mergeCell ref="C30:C32"/>
    <mergeCell ref="D30:E32"/>
    <mergeCell ref="F30:G32"/>
    <mergeCell ref="D45:E47"/>
    <mergeCell ref="F45:G47"/>
    <mergeCell ref="B39:B41"/>
    <mergeCell ref="D48:E50"/>
    <mergeCell ref="F48:G50"/>
    <mergeCell ref="H48:I50"/>
    <mergeCell ref="B48:B50"/>
    <mergeCell ref="C48:C50"/>
    <mergeCell ref="A57:A59"/>
    <mergeCell ref="B57:B59"/>
    <mergeCell ref="P57:P59"/>
    <mergeCell ref="C57:C59"/>
    <mergeCell ref="R30:R32"/>
    <mergeCell ref="P39:P41"/>
    <mergeCell ref="Q39:Q41"/>
    <mergeCell ref="K45:L47"/>
    <mergeCell ref="P45:P47"/>
    <mergeCell ref="Q45:Q47"/>
    <mergeCell ref="R45:R47"/>
    <mergeCell ref="Q30:Q32"/>
    <mergeCell ref="R39:R41"/>
    <mergeCell ref="M33:M35"/>
    <mergeCell ref="M36:M38"/>
    <mergeCell ref="Q33:Q35"/>
    <mergeCell ref="Q36:Q38"/>
    <mergeCell ref="P30:P32"/>
    <mergeCell ref="M42:M44"/>
    <mergeCell ref="K30:L32"/>
    <mergeCell ref="Q42:Q44"/>
    <mergeCell ref="R42:R44"/>
    <mergeCell ref="R36:R38"/>
    <mergeCell ref="P33:P35"/>
    <mergeCell ref="P36:P38"/>
    <mergeCell ref="R33:R35"/>
    <mergeCell ref="A102:A104"/>
    <mergeCell ref="B102:B104"/>
    <mergeCell ref="C102:C104"/>
    <mergeCell ref="D102:E104"/>
    <mergeCell ref="F102:G104"/>
    <mergeCell ref="H102:I104"/>
    <mergeCell ref="J102:J104"/>
    <mergeCell ref="K102:L104"/>
    <mergeCell ref="M102:M104"/>
    <mergeCell ref="P48:P50"/>
    <mergeCell ref="R48:R50"/>
    <mergeCell ref="Q48:Q50"/>
    <mergeCell ref="M48:M50"/>
    <mergeCell ref="M45:M47"/>
    <mergeCell ref="P42:P44"/>
    <mergeCell ref="Q108:Q110"/>
    <mergeCell ref="R108:R110"/>
    <mergeCell ref="F108:M110"/>
    <mergeCell ref="K42:L44"/>
    <mergeCell ref="K48:L50"/>
    <mergeCell ref="Q105:Q107"/>
    <mergeCell ref="R105:R107"/>
    <mergeCell ref="P102:P104"/>
    <mergeCell ref="Q102:Q104"/>
    <mergeCell ref="R102:R104"/>
    <mergeCell ref="R57:R59"/>
    <mergeCell ref="Q57:Q59"/>
    <mergeCell ref="N51:N53"/>
    <mergeCell ref="M51:M53"/>
    <mergeCell ref="O54:O56"/>
    <mergeCell ref="P54:P56"/>
    <mergeCell ref="Q54:Q56"/>
    <mergeCell ref="N54:N56"/>
  </mergeCells>
  <phoneticPr fontId="75" type="noConversion"/>
  <conditionalFormatting sqref="P45:P47">
    <cfRule type="expression" dxfId="409" priority="499" stopIfTrue="1">
      <formula>OR(P45=$D$116,P45=$D$117)</formula>
    </cfRule>
    <cfRule type="cellIs" dxfId="408" priority="500" stopIfTrue="1" operator="equal">
      <formula>"OK (Plausibility unclear)"</formula>
    </cfRule>
  </conditionalFormatting>
  <conditionalFormatting sqref="P45:P47">
    <cfRule type="cellIs" dxfId="407" priority="502" stopIfTrue="1" operator="equal">
      <formula>"OK"</formula>
    </cfRule>
  </conditionalFormatting>
  <conditionalFormatting sqref="P60:P62">
    <cfRule type="expression" dxfId="406" priority="495" stopIfTrue="1">
      <formula>OR(P60=$D$116,P60=$D$117)</formula>
    </cfRule>
    <cfRule type="cellIs" dxfId="405" priority="496" stopIfTrue="1" operator="equal">
      <formula>"OK (Plausibility unclear)"</formula>
    </cfRule>
  </conditionalFormatting>
  <conditionalFormatting sqref="P60:P62">
    <cfRule type="cellIs" dxfId="404" priority="498" stopIfTrue="1" operator="equal">
      <formula>"OK"</formula>
    </cfRule>
  </conditionalFormatting>
  <conditionalFormatting sqref="P72:P74">
    <cfRule type="expression" dxfId="403" priority="487" stopIfTrue="1">
      <formula>OR(P72=$D$116,P72=$D$117)</formula>
    </cfRule>
    <cfRule type="cellIs" dxfId="402" priority="488" stopIfTrue="1" operator="equal">
      <formula>"OK (Plausibility unclear)"</formula>
    </cfRule>
  </conditionalFormatting>
  <conditionalFormatting sqref="P72:P74">
    <cfRule type="cellIs" dxfId="401" priority="490" stopIfTrue="1" operator="equal">
      <formula>"OK"</formula>
    </cfRule>
  </conditionalFormatting>
  <conditionalFormatting sqref="O30">
    <cfRule type="expression" dxfId="400" priority="454" stopIfTrue="1">
      <formula>LEN(TRIM(O30))=0</formula>
    </cfRule>
  </conditionalFormatting>
  <conditionalFormatting sqref="P66:P68">
    <cfRule type="expression" dxfId="399" priority="450" stopIfTrue="1">
      <formula>OR(P66=$D$116,P66=$D$117)</formula>
    </cfRule>
    <cfRule type="cellIs" dxfId="398" priority="451" stopIfTrue="1" operator="equal">
      <formula>"OK (Plausibility unclear)"</formula>
    </cfRule>
  </conditionalFormatting>
  <conditionalFormatting sqref="P66:P68">
    <cfRule type="cellIs" dxfId="397" priority="453" stopIfTrue="1" operator="equal">
      <formula>"OK"</formula>
    </cfRule>
  </conditionalFormatting>
  <conditionalFormatting sqref="P69:P71">
    <cfRule type="expression" dxfId="396" priority="446" stopIfTrue="1">
      <formula>OR(P69=$D$116,P69=$D$117)</formula>
    </cfRule>
    <cfRule type="cellIs" dxfId="395" priority="447" stopIfTrue="1" operator="equal">
      <formula>"OK (Plausibility unclear)"</formula>
    </cfRule>
  </conditionalFormatting>
  <conditionalFormatting sqref="P69:P71">
    <cfRule type="cellIs" dxfId="394" priority="449" stopIfTrue="1" operator="equal">
      <formula>"OK"</formula>
    </cfRule>
  </conditionalFormatting>
  <conditionalFormatting sqref="P57:P59">
    <cfRule type="expression" dxfId="393" priority="370" stopIfTrue="1">
      <formula>OR(P57=$D$116,P57=$D$117)</formula>
    </cfRule>
    <cfRule type="cellIs" dxfId="392" priority="371" stopIfTrue="1" operator="equal">
      <formula>"OK (Plausibility unclear)"</formula>
    </cfRule>
  </conditionalFormatting>
  <conditionalFormatting sqref="P57:P59">
    <cfRule type="cellIs" dxfId="391" priority="373" stopIfTrue="1" operator="equal">
      <formula>"OK"</formula>
    </cfRule>
  </conditionalFormatting>
  <conditionalFormatting sqref="P63:P65">
    <cfRule type="expression" dxfId="390" priority="362" stopIfTrue="1">
      <formula>OR(P63=$D$116,P63=$D$117)</formula>
    </cfRule>
    <cfRule type="cellIs" dxfId="389" priority="363" stopIfTrue="1" operator="equal">
      <formula>"OK (Plausibility unclear)"</formula>
    </cfRule>
  </conditionalFormatting>
  <conditionalFormatting sqref="P63:P65">
    <cfRule type="cellIs" dxfId="388" priority="365" stopIfTrue="1" operator="equal">
      <formula>"OK"</formula>
    </cfRule>
  </conditionalFormatting>
  <conditionalFormatting sqref="P54:P56">
    <cfRule type="expression" dxfId="387" priority="354" stopIfTrue="1">
      <formula>OR(P54=$D$116,P54=$D$117)</formula>
    </cfRule>
    <cfRule type="cellIs" dxfId="386" priority="355" stopIfTrue="1" operator="equal">
      <formula>"OK (Plausibility unclear)"</formula>
    </cfRule>
  </conditionalFormatting>
  <conditionalFormatting sqref="P54:P56">
    <cfRule type="cellIs" dxfId="385" priority="357" stopIfTrue="1" operator="equal">
      <formula>"OK"</formula>
    </cfRule>
  </conditionalFormatting>
  <conditionalFormatting sqref="O18">
    <cfRule type="expression" dxfId="384" priority="353" stopIfTrue="1">
      <formula>LEN(TRIM(O18))=0</formula>
    </cfRule>
  </conditionalFormatting>
  <conditionalFormatting sqref="O45">
    <cfRule type="expression" dxfId="383" priority="351" stopIfTrue="1">
      <formula>LEN(TRIM(O45))=0</formula>
    </cfRule>
  </conditionalFormatting>
  <conditionalFormatting sqref="O46">
    <cfRule type="expression" dxfId="382" priority="350" stopIfTrue="1">
      <formula>LEN(TRIM(O46))=0</formula>
    </cfRule>
  </conditionalFormatting>
  <conditionalFormatting sqref="O15">
    <cfRule type="expression" dxfId="381" priority="343" stopIfTrue="1">
      <formula>LEN(TRIM(O15))=0</formula>
    </cfRule>
  </conditionalFormatting>
  <conditionalFormatting sqref="O16">
    <cfRule type="expression" dxfId="380" priority="342" stopIfTrue="1">
      <formula>LEN(TRIM(O16))=0</formula>
    </cfRule>
  </conditionalFormatting>
  <conditionalFormatting sqref="O48">
    <cfRule type="expression" dxfId="379" priority="307" stopIfTrue="1">
      <formula>LEN(TRIM(O48))=0</formula>
    </cfRule>
  </conditionalFormatting>
  <conditionalFormatting sqref="O21">
    <cfRule type="expression" dxfId="378" priority="301" stopIfTrue="1">
      <formula>LEN(TRIM(O21))=0</formula>
    </cfRule>
  </conditionalFormatting>
  <conditionalFormatting sqref="O24">
    <cfRule type="expression" dxfId="377" priority="300" stopIfTrue="1">
      <formula>LEN(TRIM(O24))=0</formula>
    </cfRule>
  </conditionalFormatting>
  <conditionalFormatting sqref="O27">
    <cfRule type="expression" dxfId="376" priority="299" stopIfTrue="1">
      <formula>LEN(TRIM(O27))=0</formula>
    </cfRule>
  </conditionalFormatting>
  <conditionalFormatting sqref="P15:P20">
    <cfRule type="expression" dxfId="375" priority="89" stopIfTrue="1">
      <formula>OR(P15=$D$116,P15=$D$117)</formula>
    </cfRule>
    <cfRule type="cellIs" dxfId="374" priority="296" stopIfTrue="1" operator="equal">
      <formula>"OK (Plausibility unclear)"</formula>
    </cfRule>
    <cfRule type="cellIs" dxfId="373" priority="298" stopIfTrue="1" operator="equal">
      <formula>"OK"</formula>
    </cfRule>
  </conditionalFormatting>
  <conditionalFormatting sqref="P21:P23">
    <cfRule type="expression" dxfId="372" priority="283" stopIfTrue="1">
      <formula>OR(P21=$D$116,P21=$D$117)</formula>
    </cfRule>
    <cfRule type="cellIs" dxfId="371" priority="284" stopIfTrue="1" operator="equal">
      <formula>"OK (Plausibility unclear)"</formula>
    </cfRule>
    <cfRule type="cellIs" dxfId="370" priority="286" stopIfTrue="1" operator="equal">
      <formula>"OK"</formula>
    </cfRule>
  </conditionalFormatting>
  <conditionalFormatting sqref="P24:P26">
    <cfRule type="expression" dxfId="369" priority="279" stopIfTrue="1">
      <formula>OR(P24=$D$116,P24=$D$117)</formula>
    </cfRule>
    <cfRule type="cellIs" dxfId="368" priority="280" stopIfTrue="1" operator="equal">
      <formula>"optional - OK (Plausibility unclear)"</formula>
    </cfRule>
    <cfRule type="cellIs" dxfId="367" priority="282" stopIfTrue="1" operator="equal">
      <formula>"optional - OK"</formula>
    </cfRule>
    <cfRule type="cellIs" dxfId="366" priority="3" stopIfTrue="1" operator="equal">
      <formula>"optional - Target value not met"</formula>
    </cfRule>
  </conditionalFormatting>
  <conditionalFormatting sqref="P27:P32">
    <cfRule type="expression" dxfId="365" priority="271" stopIfTrue="1">
      <formula>OR(P27=$D$116,P27=$D$117)</formula>
    </cfRule>
    <cfRule type="cellIs" dxfId="364" priority="272" stopIfTrue="1" operator="equal">
      <formula>"OK (Plausibility unclear)"</formula>
    </cfRule>
    <cfRule type="cellIs" dxfId="363" priority="274" stopIfTrue="1" operator="equal">
      <formula>"OK"</formula>
    </cfRule>
  </conditionalFormatting>
  <conditionalFormatting sqref="P51:P53">
    <cfRule type="expression" dxfId="362" priority="255" stopIfTrue="1">
      <formula>OR(P51=$D$116,P51=$D$117)</formula>
    </cfRule>
    <cfRule type="cellIs" dxfId="361" priority="256" stopIfTrue="1" operator="equal">
      <formula>"OK (Plausibility unclear)"</formula>
    </cfRule>
  </conditionalFormatting>
  <conditionalFormatting sqref="P51:P53">
    <cfRule type="cellIs" dxfId="360" priority="258" stopIfTrue="1" operator="equal">
      <formula>"OK"</formula>
    </cfRule>
  </conditionalFormatting>
  <conditionalFormatting sqref="O78">
    <cfRule type="expression" dxfId="359" priority="244" stopIfTrue="1">
      <formula>LEN(TRIM(O78))=0</formula>
    </cfRule>
  </conditionalFormatting>
  <conditionalFormatting sqref="O79">
    <cfRule type="expression" dxfId="358" priority="243" stopIfTrue="1">
      <formula>LEN(TRIM(O79))=0</formula>
    </cfRule>
  </conditionalFormatting>
  <conditionalFormatting sqref="O57">
    <cfRule type="expression" dxfId="357" priority="230" stopIfTrue="1">
      <formula>LEN(TRIM(O57))=0</formula>
    </cfRule>
  </conditionalFormatting>
  <conditionalFormatting sqref="O60">
    <cfRule type="expression" dxfId="356" priority="229" stopIfTrue="1">
      <formula>LEN(TRIM(O60))=0</formula>
    </cfRule>
  </conditionalFormatting>
  <conditionalFormatting sqref="O69">
    <cfRule type="expression" dxfId="355" priority="227" stopIfTrue="1">
      <formula>LEN(TRIM(O69))=0</formula>
    </cfRule>
  </conditionalFormatting>
  <conditionalFormatting sqref="O72">
    <cfRule type="expression" dxfId="354" priority="225" stopIfTrue="1">
      <formula>LEN(TRIM(O72))=0</formula>
    </cfRule>
  </conditionalFormatting>
  <conditionalFormatting sqref="P75:P77">
    <cfRule type="expression" dxfId="353" priority="205" stopIfTrue="1">
      <formula>OR(P75=$D$116,P75=$D$117)</formula>
    </cfRule>
    <cfRule type="cellIs" dxfId="352" priority="206" stopIfTrue="1" operator="equal">
      <formula>"OK (Plausibility unclear)"</formula>
    </cfRule>
  </conditionalFormatting>
  <conditionalFormatting sqref="P75:P77">
    <cfRule type="cellIs" dxfId="351" priority="208" stopIfTrue="1" operator="equal">
      <formula>"OK"</formula>
    </cfRule>
  </conditionalFormatting>
  <conditionalFormatting sqref="O39">
    <cfRule type="expression" dxfId="350" priority="204" stopIfTrue="1">
      <formula>LEN(TRIM(O39))=0</formula>
    </cfRule>
  </conditionalFormatting>
  <conditionalFormatting sqref="O40">
    <cfRule type="expression" dxfId="349" priority="203" stopIfTrue="1">
      <formula>LEN(TRIM(O40))=0</formula>
    </cfRule>
  </conditionalFormatting>
  <conditionalFormatting sqref="O63">
    <cfRule type="expression" dxfId="348" priority="202" stopIfTrue="1">
      <formula>LEN(TRIM(O63))=0</formula>
    </cfRule>
  </conditionalFormatting>
  <conditionalFormatting sqref="O64">
    <cfRule type="expression" dxfId="347" priority="201" stopIfTrue="1">
      <formula>LEN(TRIM(O64))=0</formula>
    </cfRule>
  </conditionalFormatting>
  <conditionalFormatting sqref="O87">
    <cfRule type="expression" dxfId="346" priority="196" stopIfTrue="1">
      <formula>LEN(TRIM(O87))=0</formula>
    </cfRule>
  </conditionalFormatting>
  <conditionalFormatting sqref="O88">
    <cfRule type="expression" dxfId="345" priority="195" stopIfTrue="1">
      <formula>LEN(TRIM(O88))=0</formula>
    </cfRule>
  </conditionalFormatting>
  <conditionalFormatting sqref="O90">
    <cfRule type="expression" dxfId="344" priority="194" stopIfTrue="1">
      <formula>LEN(TRIM(O90))=0</formula>
    </cfRule>
  </conditionalFormatting>
  <conditionalFormatting sqref="O91">
    <cfRule type="expression" dxfId="343" priority="193" stopIfTrue="1">
      <formula>LEN(TRIM(O91))=0</formula>
    </cfRule>
  </conditionalFormatting>
  <conditionalFormatting sqref="O66">
    <cfRule type="expression" dxfId="342" priority="185" stopIfTrue="1">
      <formula>LEN(TRIM(O66))=0</formula>
    </cfRule>
  </conditionalFormatting>
  <conditionalFormatting sqref="O67">
    <cfRule type="expression" dxfId="341" priority="184" stopIfTrue="1">
      <formula>LEN(TRIM(O67))=0</formula>
    </cfRule>
  </conditionalFormatting>
  <conditionalFormatting sqref="O75">
    <cfRule type="expression" dxfId="340" priority="183" stopIfTrue="1">
      <formula>LEN(TRIM(O75))=0</formula>
    </cfRule>
  </conditionalFormatting>
  <conditionalFormatting sqref="O76">
    <cfRule type="expression" dxfId="339" priority="182" stopIfTrue="1">
      <formula>LEN(TRIM(O76))=0</formula>
    </cfRule>
  </conditionalFormatting>
  <conditionalFormatting sqref="O93">
    <cfRule type="expression" dxfId="338" priority="181" stopIfTrue="1">
      <formula>LEN(TRIM(O93))=0</formula>
    </cfRule>
  </conditionalFormatting>
  <conditionalFormatting sqref="O94">
    <cfRule type="expression" dxfId="337" priority="180" stopIfTrue="1">
      <formula>LEN(TRIM(O94))=0</formula>
    </cfRule>
  </conditionalFormatting>
  <conditionalFormatting sqref="O96">
    <cfRule type="expression" dxfId="336" priority="179" stopIfTrue="1">
      <formula>LEN(TRIM(O96))=0</formula>
    </cfRule>
  </conditionalFormatting>
  <conditionalFormatting sqref="O97">
    <cfRule type="expression" dxfId="335" priority="178" stopIfTrue="1">
      <formula>LEN(TRIM(O97))=0</formula>
    </cfRule>
  </conditionalFormatting>
  <conditionalFormatting sqref="O99">
    <cfRule type="expression" dxfId="334" priority="177" stopIfTrue="1">
      <formula>LEN(TRIM(O99))=0</formula>
    </cfRule>
  </conditionalFormatting>
  <conditionalFormatting sqref="O100">
    <cfRule type="expression" dxfId="333" priority="176" stopIfTrue="1">
      <formula>LEN(TRIM(O100))=0</formula>
    </cfRule>
  </conditionalFormatting>
  <conditionalFormatting sqref="O49">
    <cfRule type="expression" dxfId="332" priority="175" stopIfTrue="1">
      <formula>LEN(TRIM(O49))=0</formula>
    </cfRule>
  </conditionalFormatting>
  <conditionalFormatting sqref="P48:P50">
    <cfRule type="expression" dxfId="331" priority="86" stopIfTrue="1">
      <formula>OR(P48=$D$116,P48=$D$117)</formula>
    </cfRule>
    <cfRule type="cellIs" dxfId="330" priority="171" operator="equal">
      <formula>"Exception (Plausibility unclear)"</formula>
    </cfRule>
    <cfRule type="cellIs" dxfId="329" priority="172" stopIfTrue="1" operator="equal">
      <formula>"OK (Plausibility unclear)"</formula>
    </cfRule>
    <cfRule type="cellIs" dxfId="328" priority="174" stopIfTrue="1" operator="equal">
      <formula>"OK"</formula>
    </cfRule>
  </conditionalFormatting>
  <conditionalFormatting sqref="P33:P35">
    <cfRule type="expression" dxfId="327" priority="157" stopIfTrue="1">
      <formula>OR(P33=$D$116,P33=$D$117)</formula>
    </cfRule>
    <cfRule type="cellIs" dxfId="326" priority="158" stopIfTrue="1" operator="equal">
      <formula>"OK (Plausibility unclear)"</formula>
    </cfRule>
    <cfRule type="cellIs" dxfId="325" priority="160" stopIfTrue="1" operator="equal">
      <formula>"OK"</formula>
    </cfRule>
  </conditionalFormatting>
  <conditionalFormatting sqref="P36:P38">
    <cfRule type="expression" dxfId="324" priority="88" stopIfTrue="1">
      <formula>OR(P36=$D$116,P36=$D$117)</formula>
    </cfRule>
    <cfRule type="cellIs" dxfId="323" priority="153" operator="equal">
      <formula>"Exception (Plausibility unclear)"</formula>
    </cfRule>
    <cfRule type="cellIs" dxfId="322" priority="154" stopIfTrue="1" operator="equal">
      <formula>"OK (Plausibility unclear)"</formula>
    </cfRule>
    <cfRule type="cellIs" dxfId="321" priority="156" stopIfTrue="1" operator="equal">
      <formula>"OK"</formula>
    </cfRule>
  </conditionalFormatting>
  <conditionalFormatting sqref="O33">
    <cfRule type="expression" dxfId="320" priority="150" stopIfTrue="1">
      <formula>LEN(TRIM(O33))=0</formula>
    </cfRule>
  </conditionalFormatting>
  <conditionalFormatting sqref="O36:O37">
    <cfRule type="expression" dxfId="319" priority="149" stopIfTrue="1">
      <formula>LEN(TRIM(O36))=0</formula>
    </cfRule>
  </conditionalFormatting>
  <conditionalFormatting sqref="O102">
    <cfRule type="expression" dxfId="318" priority="142" stopIfTrue="1">
      <formula>LEN(TRIM(O102))=0</formula>
    </cfRule>
  </conditionalFormatting>
  <conditionalFormatting sqref="P108:P117">
    <cfRule type="expression" dxfId="317" priority="119" stopIfTrue="1">
      <formula>OR(P108=#REF!,P108=#REF!)</formula>
    </cfRule>
    <cfRule type="cellIs" dxfId="316" priority="120" stopIfTrue="1" operator="equal">
      <formula>"I.O. (Plausibilität unklar)"</formula>
    </cfRule>
    <cfRule type="cellIs" dxfId="315" priority="121" stopIfTrue="1" operator="equal">
      <formula>#REF!</formula>
    </cfRule>
  </conditionalFormatting>
  <conditionalFormatting sqref="P108:P117">
    <cfRule type="cellIs" dxfId="314" priority="122" stopIfTrue="1" operator="equal">
      <formula>"I.O."</formula>
    </cfRule>
  </conditionalFormatting>
  <conditionalFormatting sqref="P108:P117">
    <cfRule type="expression" dxfId="313" priority="129" stopIfTrue="1">
      <formula>OR(P108="optional - incorrect")</formula>
    </cfRule>
    <cfRule type="cellIs" dxfId="312" priority="130" stopIfTrue="1" operator="equal">
      <formula>"optional - OK (Plausibility unclear)"</formula>
    </cfRule>
    <cfRule type="cellIs" dxfId="311" priority="131" stopIfTrue="1" operator="equal">
      <formula>"optional - Target value not met"</formula>
    </cfRule>
    <cfRule type="cellIs" dxfId="310" priority="132" stopIfTrue="1" operator="equal">
      <formula>"optional - OK"</formula>
    </cfRule>
  </conditionalFormatting>
  <conditionalFormatting sqref="Q108:Q110">
    <cfRule type="expression" dxfId="309" priority="444" stopIfTrue="1">
      <formula>OR($P108="optional - Target value not met",$P108="optional - OK (Plausibility unclear)",$P108="optional - incomplete")</formula>
    </cfRule>
  </conditionalFormatting>
  <conditionalFormatting sqref="P99:P101">
    <cfRule type="expression" dxfId="308" priority="251" stopIfTrue="1">
      <formula>OR(P99=$D$116,P99=$D$117)</formula>
    </cfRule>
    <cfRule type="cellIs" dxfId="307" priority="252" stopIfTrue="1" operator="equal">
      <formula>"OK (Plausibility unclear)"</formula>
    </cfRule>
    <cfRule type="cellIs" dxfId="306" priority="254" stopIfTrue="1" operator="equal">
      <formula>"OK"</formula>
    </cfRule>
  </conditionalFormatting>
  <conditionalFormatting sqref="O42">
    <cfRule type="expression" dxfId="305" priority="113" stopIfTrue="1">
      <formula>LEN(TRIM(O42))=0</formula>
    </cfRule>
  </conditionalFormatting>
  <conditionalFormatting sqref="O43">
    <cfRule type="expression" dxfId="304" priority="112" stopIfTrue="1">
      <formula>LEN(TRIM(O43))=0</formula>
    </cfRule>
  </conditionalFormatting>
  <conditionalFormatting sqref="O81">
    <cfRule type="expression" dxfId="303" priority="111" stopIfTrue="1">
      <formula>LEN(TRIM(O81))=0</formula>
    </cfRule>
  </conditionalFormatting>
  <conditionalFormatting sqref="P39:P41">
    <cfRule type="cellIs" dxfId="302" priority="87" operator="equal">
      <formula>"Exception (Plausibility unclear)"</formula>
    </cfRule>
    <cfRule type="expression" dxfId="301" priority="106" stopIfTrue="1">
      <formula>OR(P39=$D$116,P39=$D$117)</formula>
    </cfRule>
    <cfRule type="cellIs" dxfId="300" priority="107" stopIfTrue="1" operator="equal">
      <formula>"OK (Plausibility unclear)"</formula>
    </cfRule>
    <cfRule type="cellIs" dxfId="299" priority="109" stopIfTrue="1" operator="equal">
      <formula>"OK"</formula>
    </cfRule>
  </conditionalFormatting>
  <conditionalFormatting sqref="P18:P20">
    <cfRule type="cellIs" dxfId="298" priority="295" stopIfTrue="1" operator="equal">
      <formula>"Exception (Plausibility unclear)"</formula>
    </cfRule>
  </conditionalFormatting>
  <conditionalFormatting sqref="P78:P80">
    <cfRule type="expression" dxfId="297" priority="84" stopIfTrue="1">
      <formula>OR(P78=$D$116,P78=$D$117)</formula>
    </cfRule>
    <cfRule type="cellIs" dxfId="296" priority="217" operator="equal">
      <formula>"Exception (Plausibility unclear)"</formula>
    </cfRule>
    <cfRule type="cellIs" dxfId="295" priority="218" stopIfTrue="1" operator="equal">
      <formula>"OK (Plausibility unclear)"</formula>
    </cfRule>
    <cfRule type="cellIs" dxfId="294" priority="220" stopIfTrue="1" operator="equal">
      <formula>"OK"</formula>
    </cfRule>
  </conditionalFormatting>
  <conditionalFormatting sqref="P42:P44">
    <cfRule type="cellIs" dxfId="293" priority="76" operator="equal">
      <formula>"Exception (Plausibility unclear)"</formula>
    </cfRule>
    <cfRule type="expression" dxfId="292" priority="77" stopIfTrue="1">
      <formula>OR(P42=$D$116,P42=$D$117)</formula>
    </cfRule>
    <cfRule type="cellIs" dxfId="291" priority="78" stopIfTrue="1" operator="equal">
      <formula>"OK (Plausibility unclear)"</formula>
    </cfRule>
    <cfRule type="cellIs" dxfId="290" priority="80" stopIfTrue="1" operator="equal">
      <formula>"OK"</formula>
    </cfRule>
  </conditionalFormatting>
  <conditionalFormatting sqref="P90:P92">
    <cfRule type="cellIs" dxfId="289" priority="45" operator="equal">
      <formula>"Exception (Plausibility unclear)"</formula>
    </cfRule>
    <cfRule type="expression" dxfId="288" priority="60" stopIfTrue="1">
      <formula>OR(P90=$D$116,P90=$D$117)</formula>
    </cfRule>
    <cfRule type="cellIs" dxfId="287" priority="61" stopIfTrue="1" operator="equal">
      <formula>"OK (Plausibility unclear)"</formula>
    </cfRule>
  </conditionalFormatting>
  <conditionalFormatting sqref="P90:P92">
    <cfRule type="cellIs" dxfId="286" priority="63" stopIfTrue="1" operator="equal">
      <formula>"OK"</formula>
    </cfRule>
  </conditionalFormatting>
  <conditionalFormatting sqref="P96:P98">
    <cfRule type="expression" dxfId="285" priority="56" stopIfTrue="1">
      <formula>OR(P96=$D$116,P96=$D$117)</formula>
    </cfRule>
    <cfRule type="cellIs" dxfId="284" priority="57" stopIfTrue="1" operator="equal">
      <formula>"OK (Plausibility unclear)"</formula>
    </cfRule>
  </conditionalFormatting>
  <conditionalFormatting sqref="P96:P98">
    <cfRule type="cellIs" dxfId="283" priority="59" stopIfTrue="1" operator="equal">
      <formula>"OK"</formula>
    </cfRule>
  </conditionalFormatting>
  <conditionalFormatting sqref="P87:P89">
    <cfRule type="expression" dxfId="282" priority="51" stopIfTrue="1">
      <formula>OR(P87=$D$116,P87=$D$117)</formula>
    </cfRule>
    <cfRule type="cellIs" dxfId="281" priority="53" stopIfTrue="1" operator="equal">
      <formula>"OK (Plausibility unclear)"</formula>
    </cfRule>
    <cfRule type="cellIs" dxfId="280" priority="55" stopIfTrue="1" operator="equal">
      <formula>"OK"</formula>
    </cfRule>
  </conditionalFormatting>
  <conditionalFormatting sqref="P87:P89">
    <cfRule type="cellIs" dxfId="279" priority="52" operator="equal">
      <formula>"Exception (Plausibility unclear)"</formula>
    </cfRule>
  </conditionalFormatting>
  <conditionalFormatting sqref="P102:P104">
    <cfRule type="expression" dxfId="278" priority="46" stopIfTrue="1">
      <formula>OR(P102=$D$116,P102=$D$117)</formula>
    </cfRule>
    <cfRule type="cellIs" dxfId="277" priority="48" stopIfTrue="1" operator="equal">
      <formula>"OK (Plausibility unclear)"</formula>
    </cfRule>
    <cfRule type="cellIs" dxfId="276" priority="50" stopIfTrue="1" operator="equal">
      <formula>"OK"</formula>
    </cfRule>
  </conditionalFormatting>
  <conditionalFormatting sqref="P102:P104">
    <cfRule type="cellIs" dxfId="275" priority="47" operator="equal">
      <formula>"Exception (Plausibility unclear)"</formula>
    </cfRule>
  </conditionalFormatting>
  <conditionalFormatting sqref="O12">
    <cfRule type="expression" dxfId="274" priority="44" stopIfTrue="1">
      <formula>LEN(TRIM(O12))=0</formula>
    </cfRule>
  </conditionalFormatting>
  <conditionalFormatting sqref="Q12:Q14 Q18:Q107">
    <cfRule type="notContainsBlanks" dxfId="273" priority="42" stopIfTrue="1">
      <formula>LEN(TRIM(Q12))&gt;0</formula>
    </cfRule>
    <cfRule type="expression" dxfId="272" priority="43" stopIfTrue="1">
      <formula>OR($P12="Incomplete",$P12="Target value not met",$P12="OK (Plausibility unclear)",$P12="Exception (Plausibility unclear)")</formula>
    </cfRule>
  </conditionalFormatting>
  <conditionalFormatting sqref="P12:P14">
    <cfRule type="expression" dxfId="271" priority="38" stopIfTrue="1">
      <formula>OR(P12=$D$116,P12=$D$117)</formula>
    </cfRule>
    <cfRule type="cellIs" dxfId="270" priority="39" stopIfTrue="1" operator="equal">
      <formula>"Exception (Plausibility unclear)"</formula>
    </cfRule>
    <cfRule type="cellIs" dxfId="269" priority="41" stopIfTrue="1" operator="equal">
      <formula>"OK"</formula>
    </cfRule>
  </conditionalFormatting>
  <conditionalFormatting sqref="O105">
    <cfRule type="expression" dxfId="268" priority="37" stopIfTrue="1">
      <formula>LEN(TRIM(O105))=0</formula>
    </cfRule>
  </conditionalFormatting>
  <conditionalFormatting sqref="P105:P107">
    <cfRule type="cellIs" dxfId="267" priority="34" stopIfTrue="1" operator="equal">
      <formula>"optional - OK (Plausibility unclear)"</formula>
    </cfRule>
    <cfRule type="cellIs" dxfId="266" priority="35" stopIfTrue="1" operator="equal">
      <formula>"optional - Target value not met"</formula>
    </cfRule>
    <cfRule type="cellIs" dxfId="265" priority="36" stopIfTrue="1" operator="equal">
      <formula>"optional - OK"</formula>
    </cfRule>
  </conditionalFormatting>
  <conditionalFormatting sqref="P105:P107">
    <cfRule type="cellIs" dxfId="264" priority="33" operator="equal">
      <formula>"Exception (Plausibility unclear)"</formula>
    </cfRule>
  </conditionalFormatting>
  <conditionalFormatting sqref="P105">
    <cfRule type="expression" dxfId="263" priority="32" stopIfTrue="1">
      <formula>OR(P105=#REF!,P105=#REF!)</formula>
    </cfRule>
  </conditionalFormatting>
  <conditionalFormatting sqref="P93:P95">
    <cfRule type="cellIs" dxfId="262" priority="24" operator="equal">
      <formula>"Exception (Plausibility unclear)"</formula>
    </cfRule>
    <cfRule type="expression" dxfId="261" priority="25" stopIfTrue="1">
      <formula>OR(P93=$D$116,P93=$D$117)</formula>
    </cfRule>
    <cfRule type="cellIs" dxfId="260" priority="26" stopIfTrue="1" operator="equal">
      <formula>"OK (Plausibility unclear)"</formula>
    </cfRule>
  </conditionalFormatting>
  <conditionalFormatting sqref="P93:P95">
    <cfRule type="cellIs" dxfId="259" priority="28" stopIfTrue="1" operator="equal">
      <formula>"OK"</formula>
    </cfRule>
  </conditionalFormatting>
  <conditionalFormatting sqref="P81:P83">
    <cfRule type="expression" dxfId="258" priority="19" stopIfTrue="1">
      <formula>OR(P81=$D$116,P81=$D$117)</formula>
    </cfRule>
    <cfRule type="cellIs" dxfId="257" priority="20" operator="equal">
      <formula>"Exception (Plausibility unclear)"</formula>
    </cfRule>
    <cfRule type="cellIs" dxfId="256" priority="21" stopIfTrue="1" operator="equal">
      <formula>"OK (Plausibility unclear)"</formula>
    </cfRule>
    <cfRule type="cellIs" dxfId="255" priority="23" stopIfTrue="1" operator="equal">
      <formula>"OK"</formula>
    </cfRule>
  </conditionalFormatting>
  <conditionalFormatting sqref="P84:P86">
    <cfRule type="expression" dxfId="254" priority="14" stopIfTrue="1">
      <formula>OR(P84=$D$116,P84=$D$117)</formula>
    </cfRule>
    <cfRule type="cellIs" dxfId="253" priority="16" stopIfTrue="1" operator="equal">
      <formula>"OK (Plausibility unclear)"</formula>
    </cfRule>
    <cfRule type="cellIs" dxfId="252" priority="18" stopIfTrue="1" operator="equal">
      <formula>"OK"</formula>
    </cfRule>
  </conditionalFormatting>
  <conditionalFormatting sqref="P12:P114">
    <cfRule type="cellIs" dxfId="251" priority="40" stopIfTrue="1" operator="equal">
      <formula>"Target value not met"</formula>
    </cfRule>
  </conditionalFormatting>
  <conditionalFormatting sqref="Q108">
    <cfRule type="expression" dxfId="250" priority="596" stopIfTrue="1">
      <formula>OR($P110=#REF!,$P110="I.O. (Plausibilität unklar)",$P110=#REF!)</formula>
    </cfRule>
    <cfRule type="notContainsBlanks" dxfId="249" priority="597" stopIfTrue="1">
      <formula>LEN(TRIM(Q108))&gt;0</formula>
    </cfRule>
  </conditionalFormatting>
  <conditionalFormatting sqref="Q109:Q110">
    <cfRule type="expression" dxfId="248" priority="601" stopIfTrue="1">
      <formula>OR($P118=#REF!,$P118="I.O. (Plausibilität unklar)",$P118=#REF!)</formula>
    </cfRule>
    <cfRule type="notContainsBlanks" dxfId="247" priority="602" stopIfTrue="1">
      <formula>LEN(TRIM(Q109))&gt;0</formula>
    </cfRule>
  </conditionalFormatting>
  <conditionalFormatting sqref="Q15:Q17">
    <cfRule type="notContainsBlanks" dxfId="246" priority="12" stopIfTrue="1">
      <formula>LEN(TRIM(Q15))&gt;0</formula>
    </cfRule>
    <cfRule type="expression" dxfId="245" priority="13" stopIfTrue="1">
      <formula>OR($P15="Incomplete",$P15="Target value not met",$P15="OK (Plausibility unclear)",$P15="optional - Exception (Plausibility unclear)")</formula>
    </cfRule>
  </conditionalFormatting>
  <conditionalFormatting sqref="P105:P107">
    <cfRule type="expression" dxfId="244" priority="4" stopIfTrue="1">
      <formula>OR(P105=$D$116,P105=$D$117)</formula>
    </cfRule>
    <cfRule type="cellIs" dxfId="243" priority="6" stopIfTrue="1" operator="equal">
      <formula>"OK (Plausibility unclear)"</formula>
    </cfRule>
    <cfRule type="cellIs" dxfId="242" priority="7" stopIfTrue="1" operator="equal">
      <formula>"OK"</formula>
    </cfRule>
  </conditionalFormatting>
  <conditionalFormatting sqref="P105:P107">
    <cfRule type="cellIs" dxfId="241" priority="5" operator="equal">
      <formula>"Exception (Plausibility unclear)"</formula>
    </cfRule>
  </conditionalFormatting>
  <conditionalFormatting sqref="Q24">
    <cfRule type="notContainsBlanks" dxfId="240" priority="2" stopIfTrue="1">
      <formula>LEN(TRIM(Q24))&gt;0</formula>
    </cfRule>
    <cfRule type="expression" dxfId="239" priority="1" stopIfTrue="1">
      <formula>OR($P24="optional - incomplete",$P24="optional - Target value not met",$P24="optional - OK (Plausibility unclear)",$P24="optional - Exception (Plausibility unclear)")</formula>
    </cfRule>
  </conditionalFormatting>
  <dataValidations count="42">
    <dataValidation type="whole" showInputMessage="1" showErrorMessage="1" errorTitle="Input data error" error="1.Numerator has to be a positive whole number._x000a_2.Numerator cannot be bigger than denominator." sqref="O18 O78 O90 O96" xr:uid="{00000000-0002-0000-0400-000000000000}">
      <formula1>0</formula1>
      <formula2>IF(O19="",5000,O19)</formula2>
    </dataValidation>
    <dataValidation type="whole" showInputMessage="1" showErrorMessage="1" errorTitle="Input data error" error="1.Sheet „Basic data“ has to be filled out completely._x000a_2.Numerator has to be a positive whole number." sqref="O30" xr:uid="{00000000-0002-0000-0400-000001000000}">
      <formula1>0</formula1>
      <formula2>5000</formula2>
    </dataValidation>
    <dataValidation type="textLength" allowBlank="1" showInputMessage="1" showErrorMessage="1" errorTitle="Character length" error="Minimum 30 characters and maximum 500 characters." sqref="Q108:R117 Q15:R105" xr:uid="{00000000-0002-0000-0400-000002000000}">
      <formula1>30</formula1>
      <formula2>500</formula2>
    </dataValidation>
    <dataValidation errorStyle="information" allowBlank="1" showInputMessage="1" showErrorMessage="1" sqref="P39:P42 P36 P15:P33 P78:P81 P84 P87 P90 P93 P96" xr:uid="{00000000-0002-0000-0400-000003000000}"/>
    <dataValidation errorStyle="information" allowBlank="1" showInputMessage="1" showErrorMessage="1" errorTitle="Kennzahl" promptTitle="Kennzahl" sqref="A10:B12" xr:uid="{00000000-0002-0000-0400-000004000000}"/>
    <dataValidation type="whole" showInputMessage="1" showErrorMessage="1" errorTitle="Input data error" error="1.Sheet „Basic data“ has to be filled out completely._x000a_2.Numerator has to be a positive whole number._x000a_3.Numerator cannot be bigger than denominator." sqref="O27 O21 O24 O33 O69 O57" xr:uid="{00000000-0002-0000-0400-000005000000}">
      <formula1>0</formula1>
      <formula2>IF(O22="",0,O22)</formula2>
    </dataValidation>
    <dataValidation type="whole" showInputMessage="1" showErrorMessage="1" errorTitle="Input data error" error="1.Numerator has to be a positive whole number._x000a_2.Numerator cannot be bigger than denominator." sqref="O45" xr:uid="{00000000-0002-0000-0400-000006000000}">
      <formula1>0</formula1>
      <formula2>IF(O46="",20000,O46)</formula2>
    </dataValidation>
    <dataValidation type="whole" showInputMessage="1" showErrorMessage="1" errorTitle="Input data error" error="1.Denominator has to be a positive whole number._x000a_2.Denominator cannot be smaller than numerator." sqref="O19" xr:uid="{00000000-0002-0000-0400-000007000000}">
      <formula1>IF(O18="",0,O18)</formula1>
      <formula2>5000</formula2>
    </dataValidation>
    <dataValidation type="whole" showInputMessage="1" showErrorMessage="1" errorTitle="Input data error" error="1.Denominator has to be a positive whole number._x000a_2.Denominator cannot be smaller than numerator." sqref="O79" xr:uid="{00000000-0002-0000-0400-000008000000}">
      <formula1>O78</formula1>
      <formula2>5000</formula2>
    </dataValidation>
    <dataValidation type="whole" showInputMessage="1" showErrorMessage="1" errorTitle="Input data error" error="Number cannot be bigger than Nominator IN 22a." sqref="O81:O83" xr:uid="{00000000-0002-0000-0400-000009000000}">
      <formula1>0</formula1>
      <formula2>IF(ISNUMBER(O78),O78,-1)</formula2>
    </dataValidation>
    <dataValidation type="whole" allowBlank="1" showErrorMessage="1" errorTitle="Input data error" error="1.Numerator has to be a positive whole number._x000a_2.Numerator cannot be bigger than denominator." sqref="O42" xr:uid="{00000000-0002-0000-0400-00000A000000}">
      <formula1>0</formula1>
      <formula2>IF(O43="",0,O43)</formula2>
    </dataValidation>
    <dataValidation type="custom" operator="equal" showErrorMessage="1" errorTitle="Input data error" error="1.Denominator has to be a positive whole number._x000a_2.Denominator cannot be smaller than numerator." sqref="O46" xr:uid="{00000000-0002-0000-0400-00000B000000}">
      <formula1>IF(ISNUMBER(O46),IF(O46&gt;0,IF(AND(O46&gt;=O45,O46&lt;=20000),O46,FALSE),FALSE),FALSE)</formula1>
    </dataValidation>
    <dataValidation type="whole" showErrorMessage="1" errorTitle="Input data error" error="1.Denominator has to be a positive whole number._x000a_2.Denominator cannot be bigger than nominator." sqref="O109" xr:uid="{00000000-0002-0000-0400-00000C000000}">
      <formula1>O108</formula1>
      <formula2>5000</formula2>
    </dataValidation>
    <dataValidation type="whole" allowBlank="1" showErrorMessage="1" errorTitle="Input data error" error="1.Numerator has to be a positive whole number._x000a_2.Numerator cannot be bigger than denominator." sqref="O108" xr:uid="{00000000-0002-0000-0400-00000D000000}">
      <formula1>0</formula1>
      <formula2>IF(O109="",5000,O109)</formula2>
    </dataValidation>
    <dataValidation type="whole" showInputMessage="1" showErrorMessage="1" errorTitle="Input data error" error="1.Denominator has to be a positive whole number._x000a_2. Denominator cannot be smaller than numerator." sqref="O91" xr:uid="{00000000-0002-0000-0400-00000E000000}">
      <formula1>IF(O90="",0,O90)</formula1>
      <formula2>5000</formula2>
    </dataValidation>
    <dataValidation type="whole" showErrorMessage="1" errorTitle="Input data error" error="1.Denominator has to be a positive whole number._x000a_2.Denominator cannot be smaller than numerator." sqref="O43" xr:uid="{00000000-0002-0000-0400-00000F000000}">
      <formula1>IF(O42="",0,O42)</formula1>
      <formula2>20000</formula2>
    </dataValidation>
    <dataValidation type="whole" allowBlank="1" showInputMessage="1" showErrorMessage="1" errorTitle="Input data error" error="Whole number between 0 and 5000." sqref="O12:O14" xr:uid="{00000000-0002-0000-0400-000010000000}">
      <formula1>0</formula1>
      <formula2>5000</formula2>
    </dataValidation>
    <dataValidation type="textLength" allowBlank="1" showInputMessage="1" showErrorMessage="1" errorTitle="Zeichenlänge" error="Minimal 30 Zeichen und max. 200 Zeichen." sqref="Q118:R118" xr:uid="{00000000-0002-0000-0400-000011000000}">
      <formula1>30</formula1>
      <formula2>200</formula2>
    </dataValidation>
    <dataValidation type="whole" showInputMessage="1" showErrorMessage="1" errorTitle="Input data error" error="1.Numerator has to be a positive whole number._x000a_2.Numerator cannot be bigger than denominator." sqref="O105 O102" xr:uid="{00000000-0002-0000-0400-000012000000}">
      <formula1>0</formula1>
      <formula2>O103</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Q12:Q14" xr:uid="{00000000-0002-0000-0400-000013000000}">
      <formula1>30</formula1>
      <formula2>500</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sqref="O15" xr:uid="{1B8D9AB6-A6FB-43B9-BD5B-7BD9441CFDDF}">
      <formula1>0</formula1>
      <formula2>IF(O16="",O70,O16)</formula2>
    </dataValidation>
    <dataValidation type="custom" showInputMessage="1" showErrorMessage="1" errorTitle="Input data error" error="1.Sheet „Basic data“ has to be filled out completely._x000a_2.Denominator has to be a positive whole number._x000a_3.Denominator cannot be smaller than numerator._x000a_4.Denominator cannot be bigger than total primary cases." sqref="O16" xr:uid="{2A1BB853-43A9-40D3-84F2-58148A3E3E03}">
      <formula1>IF(ISNUMBER(O16),IF(O16&gt;0,IF(AND(O16&gt;=O15,O16&lt;=$S$16),O16,FALSE),FALSE),FALSE)</formula1>
    </dataValidation>
    <dataValidation type="whole" allowBlank="1" showInputMessage="1" showErrorMessage="1" errorTitle="Input data error" error="1.Numerator has to be a positive whole number._x000a_2.Numerator cannot be bigger than denominator." sqref="O36" xr:uid="{00285679-CD0B-4C06-8B9E-67C3D35CF464}">
      <formula1>0</formula1>
      <formula2>IF(O37="",5000,O37)</formula2>
    </dataValidation>
    <dataValidation type="whole" allowBlank="1" showInputMessage="1" showErrorMessage="1" errorTitle="Input data error" error="1.Sheet „Basic data“ has to be filled out completely._x000a_2.Denominator has to be a positive whole number._x000a_3.Denominator cannot be smaller than numerator._x000a_4.Denominator cannot be bigger than numerator of indicator 7." sqref="O37" xr:uid="{8E7FEAB3-3949-4256-BFD7-54DBCEC3F432}">
      <formula1>IF(36="",0,O36)</formula1>
      <formula2>O33</formula2>
    </dataValidation>
    <dataValidation type="whole" allowBlank="1" showInputMessage="1" showErrorMessage="1" errorTitle="Input data error" error="1.Sheet „Basic data“ has to be filled out completely._x000a_2.Numerator has to be a positive whole number._x000a_3.Numerator cannot be bigger than denominator._x000a_4.Numerator cannot be bigger than total primary cases." sqref="O39" xr:uid="{C7BA3982-4191-442F-9E49-A9A846806E94}">
      <formula1>0</formula1>
      <formula2>IF(O40="",S40,O40)</formula2>
    </dataValidation>
    <dataValidation type="whole" showInputMessage="1" showErrorMessage="1" errorTitle="Input data error" error="1.Sheet „Basic data“ has to be filled out completely._x000a_2.Denominator has to be a positive whole number._x000a_3.Denominator cannot be smaller than numerator._x000a_4.Denominator cannot be bigger than total primary cases." sqref="O40" xr:uid="{9D97D740-9B8C-48CE-B48B-A14E871FB9C1}">
      <formula1>IF(O39="",0,O39)</formula1>
      <formula2>S40</formula2>
    </dataValidation>
    <dataValidation type="whole" showInputMessage="1" showErrorMessage="1" errorTitle="Input data error" error="1.Numerator has to be a positive whole number._x000a_2.Numerator cannot be bigger than denominator." sqref="O48" xr:uid="{2D683B01-F8F0-470B-A3E5-F399451E18C7}">
      <formula1>0</formula1>
      <formula2>IF(O49="",S49,O49)</formula2>
    </dataValidation>
    <dataValidation type="whole" showInputMessage="1" showErrorMessage="1" errorTitle="Input data error" error="1.Sheet „Basic data“ has to be filled out completely._x000a_2.Denominator has to be a positive whole number; it cannot be smaller than numerator._x000a_3.Denominator cannot be bigger than primary cases rectum (without emergencies)." sqref="O49" xr:uid="{8D01D910-12B4-4B43-9A31-3750BE1C0109}">
      <formula1>IF(O48="",0,O48)</formula1>
      <formula2>S49</formula2>
    </dataValidation>
    <dataValidation type="whole" allowBlank="1" showInputMessage="1" showErrorMessage="1" errorTitle="Input data error" error="1.Sheet „Basic data“ has to be filled out completely._x000a_2.Numerator has to be a positive whole number._x000a_3.Numerator cannot be bigger than denominator." sqref="O60 O72" xr:uid="{ECAFB88E-71ED-4C5A-8CD4-6C84114A1012}">
      <formula1>0</formula1>
      <formula2>IF(O61="",0,O61)</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colon." sqref="O63" xr:uid="{C185C43F-566B-4626-B769-AEA6DDD7C0DE}">
      <formula1>0</formula1>
      <formula2>IF(O64="",O58,O64)</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colon." sqref="O64" xr:uid="{1218A961-C814-4452-92F4-CE3AF9D66BC3}">
      <formula1>IF(ISNUMBER(O64),IF(O64&gt;0,IF(AND(O64&gt;=O63,O64&lt;=O58),O64,FALSE),FALSE),FALSE)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66" xr:uid="{BD1C816C-235F-4D60-914A-992C17E9A835}">
      <formula1>0</formula1>
      <formula2>IF(O67="",O61,O67)</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67" xr:uid="{4D56933F-643E-42FD-B43F-408FF0170801}">
      <formula1>IF(ISNUMBER(O67),IF(O67&gt;0,IF(AND(O67&gt;=O66,O67&lt;=O61),O67,FALSE),FALSE),FALSE)</formula1>
    </dataValidation>
    <dataValidation type="whole" allowBlank="1"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75" xr:uid="{265AAD92-BC88-434C-BEB4-69BD179AFD7B}">
      <formula1>0</formula1>
      <formula2>IF(O76="",O61,O76)</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76" xr:uid="{1E262DBC-9E33-4682-93DE-17A961C5BD05}">
      <formula1>IF(ISNUMBER(O76),IF(O76&gt;0,IF(AND(O76&gt;=O75,O76&lt;=O61),O76,FALSE),FALSE),FALSE)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primary cases colon." sqref="O87" xr:uid="{439D98CE-FF97-4195-B8F2-A137A2C6D7FA}">
      <formula1>0</formula1>
      <formula2>IF(O88="",O51,O88)</formula2>
    </dataValidation>
    <dataValidation type="whole" showInputMessage="1" showErrorMessage="1" errorTitle="Input data error" error="1.Sheet „Basic data“ has to be filled out completely._x000a_2.Denominator has to be a positive whole number._x000a_3.Denominator cannot be smaller than numerator._x000a_4.Denominator cannot be bigger than surgical primary cases colon." sqref="O88" xr:uid="{2ECB13D4-84BB-4AC1-BD04-D68BDA225142}">
      <formula1>O87</formula1>
      <formula2>IF(ISNUMBER(O88),IF(O88&gt;0,IF(O88&gt;=O87,$O$51,FALSE),FALSE),FALSE)</formula2>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rectum." sqref="O93" xr:uid="{52297FF6-40A5-4E84-935B-BEB820398986}">
      <formula1>0</formula1>
      <formula2>IF(O94="",O61,O94)</formula2>
    </dataValidation>
    <dataValidation type="custom" showInputMessage="1" showErrorMessage="1" errorTitle="Input data error" error="1.Sheet „Basic data“ has to be filled out completely._x000a_2.Denominator has to be a positive whole number; it cannot be smaller than numerator._x000a_3.Denominator cannot be bigger than surgical (elective) primary cases rectum." sqref="O94" xr:uid="{C8F57F36-EC96-49BC-9409-B9AA4B3B5160}">
      <formula1>IF(ISNUMBER(O94),IF(O94&gt;0,IF(AND(O94&gt;=O93,O94&lt;=O61),O94,FALSE),FALSE),FALSE)</formula1>
    </dataValidation>
    <dataValidation type="custom" showInputMessage="1" showErrorMessage="1" errorTitle="Input data error" error="1.Denominator has to be a positive whole number._x000a_2.Denominator cannot be smaller than numerator." sqref="O97" xr:uid="{18D0C22B-63B1-4D2E-A454-BBA809EDEF65}">
      <formula1>IF(ISNUMBER(O97),IF(O97&gt;0,IF(AND(O97&gt;=O96,O97&lt;5001),O97,FALSE),FALSE),FALSE)</formula1>
    </dataValidation>
    <dataValidation type="whole" showInputMessage="1" showErrorMessage="1" errorTitle="Input data error" error="1.Sheet „Basic data“ has to be filled out completely._x000a_2.Numerator has to be a positive whole number._x000a_3.Numerator cannot be bigger than denominator._x000a_4.Numerator cannot be bigger than surgical (elective) primary cases." sqref="O99" xr:uid="{8E24A1FE-76D8-4A6A-A81A-F5F5C4D857B6}">
      <formula1>0</formula1>
      <formula2>IF(O100="",O70,O100)</formula2>
    </dataValidation>
    <dataValidation type="custom" showInputMessage="1" showErrorMessage="1" errorTitle="Input data error" error="1.Sheet „Basic data“ has to be filled out completely._x000a_2.Denominator has to be a positive whole number._x000a_3.Denominator cannot be smaller than numerator._x000a_4.Denominator cannot be bigger than surgical (elective) primary cases." sqref="O100" xr:uid="{35784079-C38A-474F-8AB7-D92EF8C89E20}">
      <formula1>IF(ISNUMBER(O100),IF(O100&gt;0,IF(AND(O100&gt;=O99,O100&lt;=O70),O100,FALSE),FALSE),FALSE)</formula1>
    </dataValidation>
  </dataValidations>
  <pageMargins left="0.15748031496062992" right="3.937007874015748E-2" top="0.27559055118110237" bottom="0.27559055118110237" header="0.11811023622047245" footer="0.11811023622047245"/>
  <pageSetup scale="86" orientation="landscape" r:id="rId1"/>
  <headerFooter>
    <oddFooter>&amp;L&amp;"Arial,Standard"&amp;7
&amp;F&amp;C&amp;"Arial,Standard"&amp;7
 © DKG  Alle Rechte vorbehalten&amp;R&amp;"Arial,Standard"&amp;7
&amp;P</oddFooter>
  </headerFooter>
  <rowBreaks count="6" manualBreakCount="6">
    <brk id="26" max="15" man="1"/>
    <brk id="44" max="15" man="1"/>
    <brk id="59" max="15" man="1"/>
    <brk id="77" max="15" man="1"/>
    <brk id="89" max="15" man="1"/>
    <brk id="101" max="15"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K43"/>
  <sheetViews>
    <sheetView zoomScaleNormal="100" workbookViewId="0">
      <selection activeCell="E34" sqref="E34"/>
    </sheetView>
  </sheetViews>
  <sheetFormatPr baseColWidth="10" defaultColWidth="9.1328125" defaultRowHeight="12.75" x14ac:dyDescent="0.45"/>
  <cols>
    <col min="1" max="1" width="23.73046875" style="177" customWidth="1"/>
    <col min="2" max="4" width="20.73046875" style="177" customWidth="1"/>
    <col min="5" max="5" width="9.73046875" style="177" customWidth="1"/>
    <col min="6" max="6" width="39.1328125" style="177" customWidth="1"/>
    <col min="7" max="7" width="46.86328125" style="177" customWidth="1"/>
    <col min="8" max="8" width="12" style="177" customWidth="1"/>
    <col min="9" max="9" width="23" style="177" customWidth="1"/>
    <col min="10" max="10" width="23.1328125" style="177" customWidth="1"/>
    <col min="11" max="11" width="25.73046875" style="177" customWidth="1"/>
    <col min="12" max="16384" width="9.1328125" style="177"/>
  </cols>
  <sheetData>
    <row r="1" spans="1:11" ht="13.15" x14ac:dyDescent="0.45">
      <c r="A1" s="175" t="s">
        <v>266</v>
      </c>
      <c r="B1" s="176">
        <v>171</v>
      </c>
    </row>
    <row r="2" spans="1:11" ht="13.15" x14ac:dyDescent="0.45">
      <c r="A2" s="175" t="s">
        <v>198</v>
      </c>
      <c r="B2" s="176" t="str">
        <f>IF('Basic data'!B6=0,"",'Basic data'!B6)</f>
        <v>Not listed</v>
      </c>
      <c r="I2" s="178"/>
    </row>
    <row r="3" spans="1:11" ht="13.15" x14ac:dyDescent="0.45">
      <c r="A3" s="175" t="s">
        <v>306</v>
      </c>
      <c r="B3" s="179" t="str">
        <f>IF('Basic data'!G12=0,"",'Basic data'!G12)</f>
        <v/>
      </c>
    </row>
    <row r="5" spans="1:11" x14ac:dyDescent="0.45">
      <c r="A5" s="211" t="s">
        <v>141</v>
      </c>
      <c r="B5" s="176"/>
    </row>
    <row r="6" spans="1:11" x14ac:dyDescent="0.45">
      <c r="A6" s="211" t="s">
        <v>142</v>
      </c>
      <c r="B6" s="176"/>
    </row>
    <row r="7" spans="1:11" x14ac:dyDescent="0.45">
      <c r="A7" s="211" t="s">
        <v>143</v>
      </c>
      <c r="B7" s="176"/>
    </row>
    <row r="8" spans="1:11" x14ac:dyDescent="0.45">
      <c r="A8" s="211" t="s">
        <v>144</v>
      </c>
      <c r="B8" s="176"/>
    </row>
    <row r="9" spans="1:11" x14ac:dyDescent="0.45">
      <c r="A9" s="211" t="s">
        <v>145</v>
      </c>
      <c r="B9" s="176"/>
    </row>
    <row r="11" spans="1:11" ht="13.15" x14ac:dyDescent="0.45">
      <c r="A11" s="212" t="s">
        <v>93</v>
      </c>
      <c r="B11" s="212" t="s">
        <v>94</v>
      </c>
      <c r="C11" s="212" t="s">
        <v>84</v>
      </c>
      <c r="D11" s="212" t="s">
        <v>95</v>
      </c>
      <c r="E11" s="212" t="s">
        <v>96</v>
      </c>
      <c r="F11" s="212" t="s">
        <v>97</v>
      </c>
      <c r="G11" s="212" t="s">
        <v>98</v>
      </c>
      <c r="H11" s="212" t="s">
        <v>99</v>
      </c>
      <c r="I11" s="233" t="s">
        <v>146</v>
      </c>
      <c r="J11" s="233" t="s">
        <v>147</v>
      </c>
      <c r="K11" s="233" t="s">
        <v>148</v>
      </c>
    </row>
    <row r="12" spans="1:11" ht="13.15" x14ac:dyDescent="0.45">
      <c r="A12" s="373">
        <v>1</v>
      </c>
      <c r="B12" s="486" t="str">
        <f>IF('Indicator sheet_(IS)'!O12= 0, "n.d.", 'Indicator sheet_(IS)'!O12)</f>
        <v>n.d.</v>
      </c>
      <c r="C12" s="483"/>
      <c r="D12" s="483"/>
      <c r="E12" s="485">
        <f>Berechnung1!N25</f>
        <v>1</v>
      </c>
      <c r="F12" s="176" t="str">
        <f>IF('Indicator sheet_(IS)'!Q12 = "", "", 'Indicator sheet_(IS)'!Q12)</f>
        <v/>
      </c>
      <c r="G12" s="176" t="str">
        <f>IF('Indicator sheet_(IS)'!R12 = "", "", 'Indicator sheet_(IS)'!R12)</f>
        <v/>
      </c>
      <c r="H12" s="453">
        <f>Berechnung1!O25</f>
        <v>0</v>
      </c>
      <c r="I12" s="233"/>
      <c r="J12" s="233"/>
      <c r="K12" s="233"/>
    </row>
    <row r="13" spans="1:11" x14ac:dyDescent="0.45">
      <c r="A13" s="373" t="s">
        <v>1227</v>
      </c>
      <c r="B13" s="210" t="str">
        <f>IF('Indicator sheet_(IS)'!O15 = "", "", 'Indicator sheet_(IS)'!O15)</f>
        <v/>
      </c>
      <c r="C13" s="210" t="str">
        <f>IF('Indicator sheet_(IS)'!O16="","",'Indicator sheet_(IS)'!O16)</f>
        <v/>
      </c>
      <c r="D13" s="321" t="str">
        <f>IF('Indicator sheet_(IS)'!O17="n.d.","n.d.",'Indicator sheet_(IS)'!O17*100)</f>
        <v>n.d.</v>
      </c>
      <c r="E13" s="210">
        <f>Berechnung1!N28</f>
        <v>1</v>
      </c>
      <c r="F13" s="176" t="str">
        <f>IF('Indicator sheet_(IS)'!Q15 = "", "", 'Indicator sheet_(IS)'!Q15)</f>
        <v/>
      </c>
      <c r="G13" s="176" t="str">
        <f>IF('Indicator sheet_(IS)'!R15 = "", "", 'Indicator sheet_(IS)'!R15)</f>
        <v/>
      </c>
      <c r="H13" s="453">
        <f>Berechnung1!O28</f>
        <v>0</v>
      </c>
      <c r="I13" s="176"/>
      <c r="J13" s="176"/>
      <c r="K13" s="176"/>
    </row>
    <row r="14" spans="1:11" x14ac:dyDescent="0.45">
      <c r="A14" s="373" t="s">
        <v>1228</v>
      </c>
      <c r="B14" s="210" t="str">
        <f>IF('Indicator sheet_(IS)'!O18 = "", "",'Indicator sheet_(IS)'!O18)</f>
        <v/>
      </c>
      <c r="C14" s="210">
        <f>IF('Indicator sheet_(IS)'!O19="","",'Indicator sheet_(IS)'!O19)</f>
        <v>0</v>
      </c>
      <c r="D14" s="462" t="str">
        <f>IF('Indicator sheet_(IS)'!O20="n.d.","n.d.",IF('Indicator sheet_(IS)'!O20="","n.d.",'Indicator sheet_(IS)'!O20*100))</f>
        <v>n.d.</v>
      </c>
      <c r="E14" s="210">
        <f>Berechnung1!N31</f>
        <v>1</v>
      </c>
      <c r="F14" s="176" t="str">
        <f>IF('Indicator sheet_(IS)'!Q18 = "", "",'Indicator sheet_(IS)'!Q18)</f>
        <v/>
      </c>
      <c r="G14" s="176" t="str">
        <f>IF('Indicator sheet_(IS)'!R18 = "", "",'Indicator sheet_(IS)'!R18)</f>
        <v/>
      </c>
      <c r="H14" s="453">
        <f>Berechnung1!O31</f>
        <v>0</v>
      </c>
      <c r="I14" s="176"/>
      <c r="J14" s="176"/>
      <c r="K14" s="176"/>
    </row>
    <row r="15" spans="1:11" x14ac:dyDescent="0.45">
      <c r="A15" s="213">
        <v>3</v>
      </c>
      <c r="B15" s="210" t="str">
        <f>IF('Indicator sheet_(IS)'!O21 = "", "",'Indicator sheet_(IS)'!O21)</f>
        <v/>
      </c>
      <c r="C15" s="210">
        <f>IF('Indicator sheet_(IS)'!O22="","",'Indicator sheet_(IS)'!O22)</f>
        <v>0</v>
      </c>
      <c r="D15" s="321" t="str">
        <f>IF('Indicator sheet_(IS)'!O23="n.d.","n.d.",'Indicator sheet_(IS)'!O23*100)</f>
        <v>n.d.</v>
      </c>
      <c r="E15" s="210">
        <f>Berechnung1!N34</f>
        <v>1</v>
      </c>
      <c r="F15" s="176" t="str">
        <f>IF('Indicator sheet_(IS)'!Q21 = "", "",'Indicator sheet_(IS)'!Q21)</f>
        <v/>
      </c>
      <c r="G15" s="176" t="str">
        <f>IF('Indicator sheet_(IS)'!R21 = "", "",'Indicator sheet_(IS)'!R21)</f>
        <v/>
      </c>
      <c r="H15" s="453">
        <f>Berechnung1!O34</f>
        <v>0</v>
      </c>
      <c r="I15" s="176"/>
      <c r="J15" s="176"/>
      <c r="K15" s="176"/>
    </row>
    <row r="16" spans="1:11" ht="13.15" x14ac:dyDescent="0.45">
      <c r="A16" s="213">
        <v>4</v>
      </c>
      <c r="B16" s="210" t="str">
        <f>IF('Indicator sheet_(IS)'!O24 = "", "",'Indicator sheet_(IS)'!O24)</f>
        <v/>
      </c>
      <c r="C16" s="210">
        <f>IF('Indicator sheet_(IS)'!O25="","",'Indicator sheet_(IS)'!O25)</f>
        <v>0</v>
      </c>
      <c r="D16" s="321" t="str">
        <f>IF('Indicator sheet_(IS)'!O26="n.d.","n.d.",'Indicator sheet_(IS)'!O26*100)</f>
        <v>n.d.</v>
      </c>
      <c r="E16" s="210">
        <f>Berechnung1!N37</f>
        <v>1</v>
      </c>
      <c r="F16" s="176" t="str">
        <f>IF('Indicator sheet_(IS)'!Q24 = "", "",'Indicator sheet_(IS)'!Q24)</f>
        <v/>
      </c>
      <c r="G16" s="176" t="str">
        <f>IF('Indicator sheet_(IS)'!R24 = "", "",'Indicator sheet_(IS)'!R24)</f>
        <v/>
      </c>
      <c r="H16" s="453">
        <f>Berechnung1!O37</f>
        <v>0</v>
      </c>
      <c r="I16" s="232"/>
      <c r="J16" s="176"/>
      <c r="K16" s="176"/>
    </row>
    <row r="17" spans="1:11" ht="13.15" x14ac:dyDescent="0.45">
      <c r="A17" s="213">
        <v>5</v>
      </c>
      <c r="B17" s="210" t="str">
        <f>IF('Indicator sheet_(IS)'!O27 = "", "",'Indicator sheet_(IS)'!O27)</f>
        <v/>
      </c>
      <c r="C17" s="210">
        <f>IF('Indicator sheet_(IS)'!O28="","",'Indicator sheet_(IS)'!O28)</f>
        <v>0</v>
      </c>
      <c r="D17" s="321" t="str">
        <f>IF('Indicator sheet_(IS)'!O29="n.d.","n.d.",'Indicator sheet_(IS)'!O29*100)</f>
        <v>n.d.</v>
      </c>
      <c r="E17" s="210">
        <f>Berechnung1!N40</f>
        <v>1</v>
      </c>
      <c r="F17" s="176" t="str">
        <f>IF('Indicator sheet_(IS)'!Q27 = "", "",'Indicator sheet_(IS)'!Q27)</f>
        <v/>
      </c>
      <c r="G17" s="176" t="str">
        <f>IF('Indicator sheet_(IS)'!R27 = "", "",'Indicator sheet_(IS)'!R27)</f>
        <v/>
      </c>
      <c r="H17" s="453">
        <f>Berechnung1!O40</f>
        <v>0</v>
      </c>
      <c r="I17" s="232"/>
      <c r="J17" s="176"/>
      <c r="K17" s="176"/>
    </row>
    <row r="18" spans="1:11" ht="13.15" x14ac:dyDescent="0.45">
      <c r="A18" s="213">
        <v>6</v>
      </c>
      <c r="B18" s="210" t="str">
        <f>IF('Indicator sheet_(IS)'!O30 = "", "",'Indicator sheet_(IS)'!O30)</f>
        <v/>
      </c>
      <c r="C18" s="210">
        <f>IF('Indicator sheet_(IS)'!O31="","",'Indicator sheet_(IS)'!O31)</f>
        <v>0</v>
      </c>
      <c r="D18" s="321" t="str">
        <f>IF('Indicator sheet_(IS)'!O32="n.d.","n.d.",'Indicator sheet_(IS)'!O32*100)</f>
        <v>n.d.</v>
      </c>
      <c r="E18" s="210">
        <f>Berechnung1!N43</f>
        <v>1</v>
      </c>
      <c r="F18" s="176" t="str">
        <f>IF('Indicator sheet_(IS)'!Q30 = "", "",'Indicator sheet_(IS)'!Q30)</f>
        <v/>
      </c>
      <c r="G18" s="176" t="str">
        <f>IF('Indicator sheet_(IS)'!R30 = "", "",'Indicator sheet_(IS)'!R30)</f>
        <v/>
      </c>
      <c r="H18" s="453">
        <f>Berechnung1!O43</f>
        <v>0</v>
      </c>
      <c r="I18" s="232"/>
      <c r="J18" s="176"/>
      <c r="K18" s="176"/>
    </row>
    <row r="19" spans="1:11" ht="13.15" x14ac:dyDescent="0.45">
      <c r="A19" s="373">
        <v>7</v>
      </c>
      <c r="B19" s="210" t="str">
        <f>IF('Indicator sheet_(IS)'!O33 = "", "",'Indicator sheet_(IS)'!O33)</f>
        <v/>
      </c>
      <c r="C19" s="210">
        <f>IF('Indicator sheet_(IS)'!O34 = "", "",'Indicator sheet_(IS)'!O34)</f>
        <v>0</v>
      </c>
      <c r="D19" s="321" t="str">
        <f>IF('Indicator sheet_(IS)'!O35="n.d.","n.d.",'Indicator sheet_(IS)'!O35*100)</f>
        <v>n.d.</v>
      </c>
      <c r="E19" s="210">
        <f>Berechnung1!N46</f>
        <v>1</v>
      </c>
      <c r="F19" s="176" t="str">
        <f>IF('Indicator sheet_(IS)'!Q33 = "", "",'Indicator sheet_(IS)'!Q33)</f>
        <v/>
      </c>
      <c r="G19" s="176" t="str">
        <f>IF('Indicator sheet_(IS)'!R33 = "", "",'Indicator sheet_(IS)'!R33)</f>
        <v/>
      </c>
      <c r="H19" s="453">
        <f>Berechnung1!O46</f>
        <v>0</v>
      </c>
      <c r="I19" s="232"/>
      <c r="J19" s="176"/>
      <c r="K19" s="176"/>
    </row>
    <row r="20" spans="1:11" ht="13.15" x14ac:dyDescent="0.45">
      <c r="A20" s="373">
        <v>8</v>
      </c>
      <c r="B20" s="210" t="str">
        <f>IF('Indicator sheet_(IS)'!O36 = "", "",'Indicator sheet_(IS)'!O36)</f>
        <v/>
      </c>
      <c r="C20" s="210" t="str">
        <f>IF('Indicator sheet_(IS)'!O37 = "", "",'Indicator sheet_(IS)'!O37)</f>
        <v/>
      </c>
      <c r="D20" s="462" t="str">
        <f>IF('Indicator sheet_(IS)'!O38="n.d.","n.d.",IF('Indicator sheet_(IS)'!O38="","n.d.",'Indicator sheet_(IS)'!O38*100))</f>
        <v>n.d.</v>
      </c>
      <c r="E20" s="210">
        <f>Berechnung1!N49</f>
        <v>1</v>
      </c>
      <c r="F20" s="176" t="str">
        <f>IF('Indicator sheet_(IS)'!Q36 = "", "",'Indicator sheet_(IS)'!Q36)</f>
        <v/>
      </c>
      <c r="G20" s="176" t="str">
        <f>IF('Indicator sheet_(IS)'!R36 = "", "",'Indicator sheet_(IS)'!R36)</f>
        <v/>
      </c>
      <c r="H20" s="453">
        <f>Berechnung1!O49</f>
        <v>0</v>
      </c>
      <c r="I20" s="232"/>
      <c r="J20" s="176"/>
      <c r="K20" s="176"/>
    </row>
    <row r="21" spans="1:11" x14ac:dyDescent="0.45">
      <c r="A21" s="213">
        <v>9</v>
      </c>
      <c r="B21" s="210" t="str">
        <f>IF('Indicator sheet_(IS)'!O39 = "", "",'Indicator sheet_(IS)'!O39)</f>
        <v/>
      </c>
      <c r="C21" s="210" t="str">
        <f>IF('Indicator sheet_(IS)'!O40="","",'Indicator sheet_(IS)'!O40)</f>
        <v/>
      </c>
      <c r="D21" s="462" t="str">
        <f>IF('Indicator sheet_(IS)'!O41="n.d.","n.d.",IF('Indicator sheet_(IS)'!O41="","n.d.",'Indicator sheet_(IS)'!O41*100))</f>
        <v>n.d.</v>
      </c>
      <c r="E21" s="210">
        <f>Berechnung1!N52</f>
        <v>1</v>
      </c>
      <c r="F21" s="176" t="str">
        <f>IF('Indicator sheet_(IS)'!Q39 = "", "",'Indicator sheet_(IS)'!Q39)</f>
        <v/>
      </c>
      <c r="G21" s="176" t="str">
        <f>IF('Indicator sheet_(IS)'!R39 = "", "",'Indicator sheet_(IS)'!R39)</f>
        <v/>
      </c>
      <c r="H21" s="453">
        <f>Berechnung1!O52</f>
        <v>0</v>
      </c>
      <c r="I21" s="176"/>
      <c r="J21" s="176"/>
      <c r="K21" s="176"/>
    </row>
    <row r="22" spans="1:11" x14ac:dyDescent="0.45">
      <c r="A22" s="213">
        <v>10</v>
      </c>
      <c r="B22" s="210" t="str">
        <f>IF('Indicator sheet_(IS)'!O42 = "", "", 'Indicator sheet_(IS)'!O42)</f>
        <v/>
      </c>
      <c r="C22" s="210" t="str">
        <f>IF('Indicator sheet_(IS)'!O43="","",'Indicator sheet_(IS)'!O43)</f>
        <v/>
      </c>
      <c r="D22" s="462" t="str">
        <f>IF('Indicator sheet_(IS)'!O44="n.d.","n.d.",IF('Indicator sheet_(IS)'!O44="","n.d.",'Indicator sheet_(IS)'!O44*100))</f>
        <v>n.d.</v>
      </c>
      <c r="E22" s="210">
        <f>Berechnung1!N55</f>
        <v>1</v>
      </c>
      <c r="F22" s="176" t="str">
        <f>IF('Indicator sheet_(IS)'!Q42 = "", "", 'Indicator sheet_(IS)'!Q42)</f>
        <v/>
      </c>
      <c r="G22" s="176" t="str">
        <f>IF('Indicator sheet_(IS)'!R42 = "", "", 'Indicator sheet_(IS)'!R42)</f>
        <v/>
      </c>
      <c r="H22" s="453">
        <f>Berechnung1!O55</f>
        <v>0</v>
      </c>
      <c r="I22" s="176"/>
      <c r="J22" s="176"/>
      <c r="K22" s="176"/>
    </row>
    <row r="23" spans="1:11" x14ac:dyDescent="0.45">
      <c r="A23" s="213">
        <v>11</v>
      </c>
      <c r="B23" s="210" t="str">
        <f>IF('Indicator sheet_(IS)'!O45 = "", "", 'Indicator sheet_(IS)'!O45)</f>
        <v/>
      </c>
      <c r="C23" s="210" t="str">
        <f>IF('Indicator sheet_(IS)'!O46="","",'Indicator sheet_(IS)'!O46)</f>
        <v/>
      </c>
      <c r="D23" s="321" t="str">
        <f>IF('Indicator sheet_(IS)'!O47="n.d.","n.d.",'Indicator sheet_(IS)'!O47*100)</f>
        <v>n.d.</v>
      </c>
      <c r="E23" s="210">
        <f>Berechnung1!N58</f>
        <v>1</v>
      </c>
      <c r="F23" s="176" t="str">
        <f>IF('Indicator sheet_(IS)'!Q45 = "", "", 'Indicator sheet_(IS)'!Q45)</f>
        <v/>
      </c>
      <c r="G23" s="176" t="str">
        <f>IF('Indicator sheet_(IS)'!R45 = "", "", 'Indicator sheet_(IS)'!R45)</f>
        <v/>
      </c>
      <c r="H23" s="453">
        <f>Berechnung1!O58</f>
        <v>0</v>
      </c>
      <c r="I23" s="176"/>
      <c r="J23" s="176"/>
      <c r="K23" s="176"/>
    </row>
    <row r="24" spans="1:11" x14ac:dyDescent="0.45">
      <c r="A24" s="213">
        <v>12</v>
      </c>
      <c r="B24" s="210" t="str">
        <f>IF('Indicator sheet_(IS)'!O48 = "", "", 'Indicator sheet_(IS)'!O48)</f>
        <v/>
      </c>
      <c r="C24" s="210" t="str">
        <f>IF('Indicator sheet_(IS)'!O49="","",'Indicator sheet_(IS)'!O49)</f>
        <v/>
      </c>
      <c r="D24" s="462" t="str">
        <f>IF('Indicator sheet_(IS)'!O50="n.d.","n.d.",IF('Indicator sheet_(IS)'!O50="","n.d.",'Indicator sheet_(IS)'!O50*100))</f>
        <v>n.d.</v>
      </c>
      <c r="E24" s="210">
        <f>Berechnung1!N61</f>
        <v>1</v>
      </c>
      <c r="F24" s="176" t="str">
        <f>IF('Indicator sheet_(IS)'!Q48 = 0, "", 'Indicator sheet_(IS)'!Q48)</f>
        <v/>
      </c>
      <c r="G24" s="176" t="str">
        <f>IF('Indicator sheet_(IS)'!R48 = 0, "", 'Indicator sheet_(IS)'!R48)</f>
        <v/>
      </c>
      <c r="H24" s="453">
        <f>Berechnung1!O61</f>
        <v>0</v>
      </c>
      <c r="I24" s="176"/>
      <c r="J24" s="176"/>
      <c r="K24" s="176"/>
    </row>
    <row r="25" spans="1:11" x14ac:dyDescent="0.45">
      <c r="A25" s="213">
        <v>13</v>
      </c>
      <c r="B25" s="210" t="str">
        <f>IF('Indicator sheet_(IS)'!O51 = 0, "n.d.", 'Indicator sheet_(IS)'!O51)</f>
        <v>n.d.</v>
      </c>
      <c r="C25" s="443" t="str">
        <f>IF('Indicator sheet_(IS)'!O55="","",'Indicator sheet_(IS)'!O55)</f>
        <v/>
      </c>
      <c r="D25" s="444"/>
      <c r="E25" s="210">
        <f>Berechnung1!N64</f>
        <v>1</v>
      </c>
      <c r="F25" s="176" t="str">
        <f>IF('Indicator sheet_(IS)'!Q51 = 0, "", 'Indicator sheet_(IS)'!Q51)</f>
        <v/>
      </c>
      <c r="G25" s="176" t="str">
        <f>IF('Indicator sheet_(IS)'!R51 = 0, "", 'Indicator sheet_(IS)'!R51)</f>
        <v/>
      </c>
      <c r="H25" s="453">
        <f>Berechnung1!O64</f>
        <v>0</v>
      </c>
      <c r="I25" s="176"/>
      <c r="J25" s="176"/>
      <c r="K25" s="176"/>
    </row>
    <row r="26" spans="1:11" x14ac:dyDescent="0.45">
      <c r="A26" s="213">
        <v>14</v>
      </c>
      <c r="B26" s="210" t="str">
        <f>IF('Indicator sheet_(IS)'!O54 = 0, "n.d.", 'Indicator sheet_(IS)'!O54)</f>
        <v>n.d.</v>
      </c>
      <c r="C26" s="443"/>
      <c r="D26" s="444"/>
      <c r="E26" s="210">
        <f>Berechnung1!N67</f>
        <v>1</v>
      </c>
      <c r="F26" s="176" t="str">
        <f>IF('Indicator sheet_(IS)'!Q54 = "", "", 'Indicator sheet_(IS)'!Q54)</f>
        <v/>
      </c>
      <c r="G26" s="176" t="str">
        <f>IF('Indicator sheet_(IS)'!R54 = "", "", 'Indicator sheet_(IS)'!R54)</f>
        <v/>
      </c>
      <c r="H26" s="453">
        <f>Berechnung1!O67</f>
        <v>0</v>
      </c>
      <c r="I26" s="176"/>
      <c r="J26" s="176"/>
      <c r="K26" s="176"/>
    </row>
    <row r="27" spans="1:11" x14ac:dyDescent="0.45">
      <c r="A27" s="213">
        <v>15</v>
      </c>
      <c r="B27" s="210" t="str">
        <f>IF('Indicator sheet_(IS)'!O57 = "", "", 'Indicator sheet_(IS)'!O57)</f>
        <v/>
      </c>
      <c r="C27" s="210">
        <f>IF('Indicator sheet_(IS)'!O58="","",'Indicator sheet_(IS)'!O58)</f>
        <v>0</v>
      </c>
      <c r="D27" s="321" t="str">
        <f>IF('Indicator sheet_(IS)'!O59="n.d.","n.d.",'Indicator sheet_(IS)'!O59*100)</f>
        <v>n.d.</v>
      </c>
      <c r="E27" s="210">
        <f>Berechnung1!N70</f>
        <v>1</v>
      </c>
      <c r="F27" s="176" t="str">
        <f>IF('Indicator sheet_(IS)'!Q57 = "", "", 'Indicator sheet_(IS)'!Q57)</f>
        <v/>
      </c>
      <c r="G27" s="176" t="str">
        <f>IF('Indicator sheet_(IS)'!R57 = "", "", 'Indicator sheet_(IS)'!R57)</f>
        <v/>
      </c>
      <c r="H27" s="453">
        <f>Berechnung1!O70</f>
        <v>0</v>
      </c>
      <c r="I27" s="176"/>
      <c r="J27" s="176"/>
      <c r="K27" s="176"/>
    </row>
    <row r="28" spans="1:11" x14ac:dyDescent="0.45">
      <c r="A28" s="213">
        <v>16</v>
      </c>
      <c r="B28" s="210" t="str">
        <f>IF('Indicator sheet_(IS)'!O60 = "", "", 'Indicator sheet_(IS)'!O60)</f>
        <v/>
      </c>
      <c r="C28" s="210">
        <f>IF('Indicator sheet_(IS)'!O61="","",'Indicator sheet_(IS)'!O61)</f>
        <v>0</v>
      </c>
      <c r="D28" s="321" t="str">
        <f>IF('Indicator sheet_(IS)'!O62="n.d.","n.d.",'Indicator sheet_(IS)'!O62*100)</f>
        <v>n.d.</v>
      </c>
      <c r="E28" s="210">
        <f>Berechnung1!N73</f>
        <v>1</v>
      </c>
      <c r="F28" s="176" t="str">
        <f>IF('Indicator sheet_(IS)'!Q60 = "", "", 'Indicator sheet_(IS)'!Q60)</f>
        <v/>
      </c>
      <c r="G28" s="176" t="str">
        <f>IF('Indicator sheet_(IS)'!R60 = "", "", 'Indicator sheet_(IS)'!R60)</f>
        <v/>
      </c>
      <c r="H28" s="453">
        <f>Berechnung1!O73</f>
        <v>0</v>
      </c>
      <c r="I28" s="176"/>
      <c r="J28" s="176"/>
      <c r="K28" s="176"/>
    </row>
    <row r="29" spans="1:11" x14ac:dyDescent="0.45">
      <c r="A29" s="213">
        <v>17</v>
      </c>
      <c r="B29" s="210" t="str">
        <f>IF('Indicator sheet_(IS)'!O63 = "", "", 'Indicator sheet_(IS)'!O63)</f>
        <v/>
      </c>
      <c r="C29" s="210" t="str">
        <f>IF('Indicator sheet_(IS)'!O64="","",'Indicator sheet_(IS)'!O64)</f>
        <v/>
      </c>
      <c r="D29" s="321" t="str">
        <f>IF('Indicator sheet_(IS)'!O65="n.d.","n.d.",'Indicator sheet_(IS)'!O65*100)</f>
        <v>n.d.</v>
      </c>
      <c r="E29" s="210">
        <f>Berechnung1!N76</f>
        <v>1</v>
      </c>
      <c r="F29" s="176" t="str">
        <f>IF('Indicator sheet_(IS)'!Q63 = "", "", 'Indicator sheet_(IS)'!Q63)</f>
        <v/>
      </c>
      <c r="G29" s="176" t="str">
        <f>IF('Indicator sheet_(IS)'!R63 = "", "", 'Indicator sheet_(IS)'!R63)</f>
        <v/>
      </c>
      <c r="H29" s="453">
        <f>Berechnung1!O76</f>
        <v>0</v>
      </c>
      <c r="I29" s="176"/>
      <c r="J29" s="176"/>
      <c r="K29" s="176"/>
    </row>
    <row r="30" spans="1:11" x14ac:dyDescent="0.45">
      <c r="A30" s="213">
        <v>18</v>
      </c>
      <c r="B30" s="210" t="str">
        <f>IF('Indicator sheet_(IS)'!O66 = "", "", 'Indicator sheet_(IS)'!O66)</f>
        <v/>
      </c>
      <c r="C30" s="210" t="str">
        <f>IF('Indicator sheet_(IS)'!O67="","",'Indicator sheet_(IS)'!O67)</f>
        <v/>
      </c>
      <c r="D30" s="321" t="str">
        <f>IF('Indicator sheet_(IS)'!O68="n.d.","n.d.",'Indicator sheet_(IS)'!O68*100)</f>
        <v>n.d.</v>
      </c>
      <c r="E30" s="210">
        <f>Berechnung1!N79</f>
        <v>1</v>
      </c>
      <c r="F30" s="176" t="str">
        <f>IF('Indicator sheet_(IS)'!Q66 = "", "", 'Indicator sheet_(IS)'!Q66)</f>
        <v/>
      </c>
      <c r="G30" s="176" t="str">
        <f>IF('Indicator sheet_(IS)'!R66 = "", "", 'Indicator sheet_(IS)'!R66)</f>
        <v/>
      </c>
      <c r="H30" s="453">
        <f>Berechnung1!O79</f>
        <v>0</v>
      </c>
      <c r="I30" s="176"/>
      <c r="J30" s="176"/>
      <c r="K30" s="176"/>
    </row>
    <row r="31" spans="1:11" x14ac:dyDescent="0.45">
      <c r="A31" s="213">
        <v>19</v>
      </c>
      <c r="B31" s="210" t="str">
        <f>IF('Indicator sheet_(IS)'!O69 = "", "", 'Indicator sheet_(IS)'!O69)</f>
        <v/>
      </c>
      <c r="C31" s="210">
        <f>IF('Indicator sheet_(IS)'!O70="","",'Indicator sheet_(IS)'!O70)</f>
        <v>0</v>
      </c>
      <c r="D31" s="321" t="str">
        <f>IF('Indicator sheet_(IS)'!O71="n.d.","n.d.",'Indicator sheet_(IS)'!O71*100)</f>
        <v>n.d.</v>
      </c>
      <c r="E31" s="210">
        <f>Berechnung1!N82</f>
        <v>1</v>
      </c>
      <c r="F31" s="176" t="str">
        <f>IF('Indicator sheet_(IS)'!Q69 = "", "", 'Indicator sheet_(IS)'!Q69)</f>
        <v/>
      </c>
      <c r="G31" s="176" t="str">
        <f>IF('Indicator sheet_(IS)'!R69 = "", "", 'Indicator sheet_(IS)'!R69)</f>
        <v/>
      </c>
      <c r="H31" s="453">
        <f>Berechnung1!O82</f>
        <v>0</v>
      </c>
      <c r="I31" s="176"/>
      <c r="J31" s="176"/>
      <c r="K31" s="176"/>
    </row>
    <row r="32" spans="1:11" x14ac:dyDescent="0.45">
      <c r="A32" s="213">
        <v>20</v>
      </c>
      <c r="B32" s="210" t="str">
        <f>IF('Indicator sheet_(IS)'!O72 = "", "", 'Indicator sheet_(IS)'!O72)</f>
        <v/>
      </c>
      <c r="C32" s="210">
        <f>IF('Indicator sheet_(IS)'!O73="","",'Indicator sheet_(IS)'!O73)</f>
        <v>0</v>
      </c>
      <c r="D32" s="321" t="str">
        <f>IF('Indicator sheet_(IS)'!O74="n.d.","n.d.",'Indicator sheet_(IS)'!O74*100)</f>
        <v>n.d.</v>
      </c>
      <c r="E32" s="210">
        <f>Berechnung1!N85</f>
        <v>1</v>
      </c>
      <c r="F32" s="176" t="str">
        <f>IF('Indicator sheet_(IS)'!Q72 = "", "", 'Indicator sheet_(IS)'!Q72)</f>
        <v/>
      </c>
      <c r="G32" s="176" t="str">
        <f>IF('Indicator sheet_(IS)'!R72 = "", "", 'Indicator sheet_(IS)'!R72)</f>
        <v/>
      </c>
      <c r="H32" s="453">
        <f>Berechnung1!O85</f>
        <v>0</v>
      </c>
      <c r="I32" s="176"/>
      <c r="J32" s="176"/>
      <c r="K32" s="176"/>
    </row>
    <row r="33" spans="1:11" x14ac:dyDescent="0.45">
      <c r="A33" s="213">
        <v>21</v>
      </c>
      <c r="B33" s="210" t="str">
        <f>IF('Indicator sheet_(IS)'!O75 = "", "", 'Indicator sheet_(IS)'!O75)</f>
        <v/>
      </c>
      <c r="C33" s="210" t="str">
        <f>IF('Indicator sheet_(IS)'!O76="","",'Indicator sheet_(IS)'!O76)</f>
        <v/>
      </c>
      <c r="D33" s="321" t="str">
        <f>IF('Indicator sheet_(IS)'!O77="n.d.","n.d.",'Indicator sheet_(IS)'!O77*100)</f>
        <v>n.d.</v>
      </c>
      <c r="E33" s="210">
        <f>Berechnung1!N88</f>
        <v>1</v>
      </c>
      <c r="F33" s="176" t="str">
        <f>IF('Indicator sheet_(IS)'!Q75 = "", "", 'Indicator sheet_(IS)'!Q75)</f>
        <v/>
      </c>
      <c r="G33" s="176" t="str">
        <f>IF('Indicator sheet_(IS)'!R75 = "", "", 'Indicator sheet_(IS)'!R75)</f>
        <v/>
      </c>
      <c r="H33" s="453">
        <f>Berechnung1!O88</f>
        <v>0</v>
      </c>
      <c r="I33" s="176"/>
      <c r="J33" s="176"/>
      <c r="K33" s="176"/>
    </row>
    <row r="34" spans="1:11" x14ac:dyDescent="0.45">
      <c r="A34" s="373" t="s">
        <v>1294</v>
      </c>
      <c r="B34" s="210" t="str">
        <f>IF('Indicator sheet_(IS)'!O78 = "", "", 'Indicator sheet_(IS)'!O78)</f>
        <v/>
      </c>
      <c r="C34" s="210" t="str">
        <f>IF('Indicator sheet_(IS)'!O79="","",'Indicator sheet_(IS)'!O79)</f>
        <v/>
      </c>
      <c r="D34" s="462" t="str">
        <f>IF('Indicator sheet_(IS)'!O80="n.d.","n.d.",IF('Indicator sheet_(IS)'!O80="","n.d.",'Indicator sheet_(IS)'!O80*100))</f>
        <v>n.d.</v>
      </c>
      <c r="E34" s="210">
        <f>Berechnung1!N91</f>
        <v>1</v>
      </c>
      <c r="F34" s="176" t="str">
        <f>IF('Indicator sheet_(IS)'!Q78 = "", "", 'Indicator sheet_(IS)'!Q78)</f>
        <v/>
      </c>
      <c r="G34" s="176" t="str">
        <f>IF('Indicator sheet_(IS)'!R78 = "", "", 'Indicator sheet_(IS)'!R78)</f>
        <v/>
      </c>
      <c r="H34" s="453">
        <f>Berechnung1!O91</f>
        <v>0</v>
      </c>
      <c r="I34" s="176"/>
      <c r="J34" s="176"/>
      <c r="K34" s="176"/>
    </row>
    <row r="35" spans="1:11" x14ac:dyDescent="0.45">
      <c r="A35" s="373" t="s">
        <v>1295</v>
      </c>
      <c r="B35" s="210" t="str">
        <f>IF('Indicator sheet_(IS)'!O81 = "", "n.d.", 'Indicator sheet_(IS)'!O81)</f>
        <v>n.d.</v>
      </c>
      <c r="C35" s="442" t="str">
        <f>IF('Indicator sheet_(IS)'!O82="","",'Indicator sheet_(IS)'!O82)</f>
        <v/>
      </c>
      <c r="D35" s="445"/>
      <c r="E35" s="210">
        <f>Berechnung1!N94</f>
        <v>1</v>
      </c>
      <c r="F35" s="176" t="str">
        <f>IF('Indicator sheet_(IS)'!Q81 = "", "", 'Indicator sheet_(IS)'!Q81)</f>
        <v/>
      </c>
      <c r="G35" s="176" t="str">
        <f>IF('Indicator sheet_(IS)'!R81 = "", "", 'Indicator sheet_(IS)'!R81)</f>
        <v/>
      </c>
      <c r="H35" s="453">
        <f>Berechnung1!O94</f>
        <v>0</v>
      </c>
      <c r="I35" s="176"/>
      <c r="J35" s="176"/>
      <c r="K35" s="176"/>
    </row>
    <row r="36" spans="1:11" x14ac:dyDescent="0.45">
      <c r="A36" s="373" t="s">
        <v>1296</v>
      </c>
      <c r="B36" s="210" t="str">
        <f>IF(E36=1, "n.d.", 'Indicator sheet_(IS)'!O84)</f>
        <v>n.d.</v>
      </c>
      <c r="C36" s="442" t="str">
        <f>IF('Indicator sheet_(IS)'!O85="","",'Indicator sheet_(IS)'!O85)</f>
        <v/>
      </c>
      <c r="D36" s="445"/>
      <c r="E36" s="210">
        <f>Berechnung1!N97</f>
        <v>1</v>
      </c>
      <c r="F36" s="176" t="str">
        <f>IF('Indicator sheet_(IS)'!Q84 = "", "", 'Indicator sheet_(IS)'!Q84)</f>
        <v/>
      </c>
      <c r="G36" s="176" t="str">
        <f>IF('Indicator sheet_(IS)'!R84 = "", "", 'Indicator sheet_(IS)'!R84)</f>
        <v/>
      </c>
      <c r="H36" s="453">
        <f>Berechnung1!O97</f>
        <v>0</v>
      </c>
      <c r="I36" s="176"/>
      <c r="J36" s="176"/>
      <c r="K36" s="176"/>
    </row>
    <row r="37" spans="1:11" x14ac:dyDescent="0.45">
      <c r="A37" s="213">
        <v>23</v>
      </c>
      <c r="B37" s="210" t="str">
        <f>IF('Indicator sheet_(IS)'!O87 = "", "", 'Indicator sheet_(IS)'!O87)</f>
        <v/>
      </c>
      <c r="C37" s="210" t="str">
        <f>IF('Indicator sheet_(IS)'!O88="","",'Indicator sheet_(IS)'!O88)</f>
        <v/>
      </c>
      <c r="D37" s="462" t="str">
        <f>IF('Indicator sheet_(IS)'!O89="n.d.","n.d.",IF('Indicator sheet_(IS)'!O89="","n.d.",'Indicator sheet_(IS)'!O89*100))</f>
        <v>n.d.</v>
      </c>
      <c r="E37" s="210">
        <f>Berechnung1!N100</f>
        <v>1</v>
      </c>
      <c r="F37" s="176" t="str">
        <f>IF('Indicator sheet_(IS)'!Q87 = "", "", 'Indicator sheet_(IS)'!Q87)</f>
        <v/>
      </c>
      <c r="G37" s="176" t="str">
        <f>IF('Indicator sheet_(IS)'!R87 = "", "", 'Indicator sheet_(IS)'!R87)</f>
        <v/>
      </c>
      <c r="H37" s="453">
        <f>Berechnung1!O100</f>
        <v>0</v>
      </c>
      <c r="I37" s="176"/>
      <c r="J37" s="176"/>
      <c r="K37" s="176"/>
    </row>
    <row r="38" spans="1:11" x14ac:dyDescent="0.45">
      <c r="A38" s="213">
        <v>24</v>
      </c>
      <c r="B38" s="210" t="str">
        <f>IF('Indicator sheet_(IS)'!O90 = "", "", 'Indicator sheet_(IS)'!O90)</f>
        <v/>
      </c>
      <c r="C38" s="210" t="str">
        <f>IF('Indicator sheet_(IS)'!O91="","",'Indicator sheet_(IS)'!O91)</f>
        <v/>
      </c>
      <c r="D38" s="462" t="str">
        <f>IF('Indicator sheet_(IS)'!O92="n.d.","n.d.",IF('Indicator sheet_(IS)'!O92="","n.d.",'Indicator sheet_(IS)'!O92*100))</f>
        <v>n.d.</v>
      </c>
      <c r="E38" s="210">
        <f>Berechnung1!N103</f>
        <v>1</v>
      </c>
      <c r="F38" s="176" t="str">
        <f>IF('Indicator sheet_(IS)'!Q90 = "", "", 'Indicator sheet_(IS)'!Q90)</f>
        <v/>
      </c>
      <c r="G38" s="176" t="str">
        <f>IF('Indicator sheet_(IS)'!R90 = "", "", 'Indicator sheet_(IS)'!R90)</f>
        <v/>
      </c>
      <c r="H38" s="453">
        <f>Berechnung1!O103</f>
        <v>0</v>
      </c>
      <c r="I38" s="176"/>
      <c r="J38" s="176"/>
      <c r="K38" s="176"/>
    </row>
    <row r="39" spans="1:11" x14ac:dyDescent="0.45">
      <c r="A39" s="213">
        <v>25</v>
      </c>
      <c r="B39" s="210" t="str">
        <f>IF('Indicator sheet_(IS)'!O93 = "", "", 'Indicator sheet_(IS)'!O93)</f>
        <v/>
      </c>
      <c r="C39" s="210" t="str">
        <f>IF('Indicator sheet_(IS)'!O94="","",'Indicator sheet_(IS)'!O94)</f>
        <v/>
      </c>
      <c r="D39" s="321" t="str">
        <f>IF('Indicator sheet_(IS)'!O95="n.d.","n.d.",'Indicator sheet_(IS)'!O95*100)</f>
        <v>n.d.</v>
      </c>
      <c r="E39" s="210">
        <f>Berechnung1!N106</f>
        <v>1</v>
      </c>
      <c r="F39" s="452" t="str">
        <f>IF('Indicator sheet_(IS)'!Q93 = "", "", 'Indicator sheet_(IS)'!Q93)</f>
        <v/>
      </c>
      <c r="G39" s="452" t="str">
        <f>IF('Indicator sheet_(IS)'!R93 = "", "", 'Indicator sheet_(IS)'!R93)</f>
        <v/>
      </c>
      <c r="H39" s="453">
        <f>Berechnung1!O106</f>
        <v>0</v>
      </c>
      <c r="I39" s="452"/>
      <c r="J39" s="452"/>
      <c r="K39" s="452"/>
    </row>
    <row r="40" spans="1:11" x14ac:dyDescent="0.45">
      <c r="A40" s="213">
        <v>26</v>
      </c>
      <c r="B40" s="210" t="str">
        <f>IF('Indicator sheet_(IS)'!O96 = "", "", 'Indicator sheet_(IS)'!O96)</f>
        <v/>
      </c>
      <c r="C40" s="210" t="str">
        <f>IF('Indicator sheet_(IS)'!O97="","",'Indicator sheet_(IS)'!O97)</f>
        <v/>
      </c>
      <c r="D40" s="321" t="str">
        <f>IF('Indicator sheet_(IS)'!O98="n.d.","n.d.",'Indicator sheet_(IS)'!O98*100)</f>
        <v>n.d.</v>
      </c>
      <c r="E40" s="210">
        <f>Berechnung1!N109</f>
        <v>1</v>
      </c>
      <c r="F40" s="452" t="str">
        <f>IF('Indicator sheet_(IS)'!Q96 = "", "", 'Indicator sheet_(IS)'!Q96)</f>
        <v/>
      </c>
      <c r="G40" s="452" t="str">
        <f>IF('Indicator sheet_(IS)'!R96 = "", "", 'Indicator sheet_(IS)'!R96)</f>
        <v/>
      </c>
      <c r="H40" s="453">
        <f>Berechnung1!O109</f>
        <v>0</v>
      </c>
      <c r="I40" s="452"/>
      <c r="J40" s="452"/>
      <c r="K40" s="452"/>
    </row>
    <row r="41" spans="1:11" x14ac:dyDescent="0.45">
      <c r="A41" s="213">
        <v>27</v>
      </c>
      <c r="B41" s="210" t="str">
        <f>IF('Indicator sheet_(IS)'!O99 = "", "", 'Indicator sheet_(IS)'!O99)</f>
        <v/>
      </c>
      <c r="C41" s="210" t="str">
        <f>IF('Indicator sheet_(IS)'!O100="","",'Indicator sheet_(IS)'!O100)</f>
        <v/>
      </c>
      <c r="D41" s="321" t="str">
        <f>IF('Indicator sheet_(IS)'!O101="n.d.","n.d.",'Indicator sheet_(IS)'!O101*100)</f>
        <v>n.d.</v>
      </c>
      <c r="E41" s="210">
        <f>Berechnung1!N112</f>
        <v>1</v>
      </c>
      <c r="F41" s="452" t="str">
        <f>IF('Indicator sheet_(IS)'!Q99 = "", "", 'Indicator sheet_(IS)'!Q99)</f>
        <v/>
      </c>
      <c r="G41" s="452" t="str">
        <f>IF('Indicator sheet_(IS)'!R99 = "", "", 'Indicator sheet_(IS)'!R99)</f>
        <v/>
      </c>
      <c r="H41" s="453">
        <f>Berechnung1!O112</f>
        <v>0</v>
      </c>
      <c r="I41" s="452"/>
      <c r="J41" s="452"/>
      <c r="K41" s="452"/>
    </row>
    <row r="42" spans="1:11" x14ac:dyDescent="0.45">
      <c r="A42" s="213">
        <v>28</v>
      </c>
      <c r="B42" s="210" t="str">
        <f>IF('Indicator sheet_(IS)'!O102 = "", "", 'Indicator sheet_(IS)'!O102)</f>
        <v/>
      </c>
      <c r="C42" s="210">
        <f>IF('Indicator sheet_(IS)'!O103="","",'Indicator sheet_(IS)'!O103)</f>
        <v>0</v>
      </c>
      <c r="D42" s="462" t="str">
        <f>IF('Indicator sheet_(IS)'!O104="n.d.","n.d.",IF('Indicator sheet_(IS)'!O104="","n.d.",'Indicator sheet_(IS)'!O104*100))</f>
        <v>n.d.</v>
      </c>
      <c r="E42" s="210">
        <f>Berechnung1!N115</f>
        <v>1</v>
      </c>
      <c r="F42" s="452" t="str">
        <f>IF('Indicator sheet_(IS)'!Q102 = "", "", 'Indicator sheet_(IS)'!Q102)</f>
        <v/>
      </c>
      <c r="G42" s="452" t="str">
        <f>IF('Indicator sheet_(IS)'!R102 = "", "", 'Indicator sheet_(IS)'!R102)</f>
        <v/>
      </c>
      <c r="H42" s="453">
        <f>Berechnung1!O115</f>
        <v>0</v>
      </c>
      <c r="I42" s="452"/>
      <c r="J42" s="452"/>
      <c r="K42" s="452"/>
    </row>
    <row r="43" spans="1:11" x14ac:dyDescent="0.45">
      <c r="A43" s="213">
        <v>29</v>
      </c>
      <c r="B43" s="210" t="str">
        <f>IF('Indicator sheet_(IS)'!O105 = "", "", 'Indicator sheet_(IS)'!O105)</f>
        <v/>
      </c>
      <c r="C43" s="210">
        <f>IF('Indicator sheet_(IS)'!O106="","",'Indicator sheet_(IS)'!O106)</f>
        <v>0</v>
      </c>
      <c r="D43" s="321" t="str">
        <f>IF('Indicator sheet_(IS)'!O107="n.d.","n.d.",IF('Indicator sheet_(IS)'!O107="","n.d.",'Indicator sheet_(IS)'!O107*100))</f>
        <v>n.d.</v>
      </c>
      <c r="E43" s="210">
        <f>Berechnung1!N118</f>
        <v>1</v>
      </c>
      <c r="F43" s="452" t="str">
        <f>IF('Indicator sheet_(IS)'!Q105 = "", "", 'Indicator sheet_(IS)'!Q105)</f>
        <v/>
      </c>
      <c r="G43" s="452" t="str">
        <f>IF('Indicator sheet_(IS)'!R105 = "", "", 'Indicator sheet_(IS)'!R105)</f>
        <v/>
      </c>
      <c r="H43" s="453">
        <f>Berechnung1!O118</f>
        <v>0</v>
      </c>
      <c r="I43" s="452"/>
      <c r="J43" s="452"/>
      <c r="K43" s="452"/>
    </row>
  </sheetData>
  <phoneticPr fontId="75" type="noConversion"/>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3:U120"/>
  <sheetViews>
    <sheetView topLeftCell="A72" zoomScaleNormal="100" workbookViewId="0">
      <selection activeCell="M98" sqref="M98"/>
    </sheetView>
  </sheetViews>
  <sheetFormatPr baseColWidth="10" defaultColWidth="9.1328125" defaultRowHeight="13.5" x14ac:dyDescent="0.45"/>
  <cols>
    <col min="1" max="1" width="9.1328125" style="358" customWidth="1"/>
    <col min="2" max="2" width="14.86328125" style="358" customWidth="1"/>
    <col min="3" max="3" width="9.1328125" style="358" customWidth="1"/>
    <col min="4" max="4" width="13.73046875" style="358" customWidth="1"/>
    <col min="5" max="5" width="18.3984375" style="358" customWidth="1"/>
    <col min="6" max="6" width="15.3984375" style="358" customWidth="1"/>
    <col min="7" max="7" width="21.1328125" style="358" customWidth="1"/>
    <col min="8" max="9" width="20.265625" style="358" customWidth="1"/>
    <col min="10" max="10" width="14.59765625" style="358" customWidth="1"/>
    <col min="11" max="11" width="15.3984375" style="358" customWidth="1"/>
    <col min="12" max="12" width="16.265625" style="358" customWidth="1"/>
    <col min="13" max="18" width="9.1328125" style="358" customWidth="1"/>
    <col min="19" max="19" width="20.73046875" style="358" customWidth="1"/>
    <col min="20" max="20" width="24.1328125" style="358" customWidth="1"/>
    <col min="21" max="21" width="20.73046875" style="358" customWidth="1"/>
    <col min="22" max="16384" width="9.1328125" style="358"/>
  </cols>
  <sheetData>
    <row r="3" spans="2:15" s="344" customFormat="1" ht="13.9" x14ac:dyDescent="0.45">
      <c r="C3" s="343" t="s">
        <v>70</v>
      </c>
      <c r="M3" s="345"/>
      <c r="N3" s="345"/>
      <c r="O3" s="345"/>
    </row>
    <row r="4" spans="2:15" s="344" customFormat="1" ht="27" customHeight="1" x14ac:dyDescent="0.45">
      <c r="D4" s="268" t="s">
        <v>898</v>
      </c>
      <c r="I4" s="268"/>
      <c r="M4" s="345"/>
      <c r="N4" s="345"/>
      <c r="O4" s="345"/>
    </row>
    <row r="5" spans="2:15" s="344" customFormat="1" ht="20.25" x14ac:dyDescent="0.45">
      <c r="C5" s="268" t="s">
        <v>896</v>
      </c>
      <c r="D5" s="268" t="s">
        <v>903</v>
      </c>
      <c r="E5" s="268" t="s">
        <v>899</v>
      </c>
      <c r="F5" s="268" t="s">
        <v>901</v>
      </c>
      <c r="G5" s="268" t="s">
        <v>900</v>
      </c>
      <c r="H5" s="268" t="s">
        <v>904</v>
      </c>
      <c r="I5" s="268" t="s">
        <v>911</v>
      </c>
      <c r="K5" s="268" t="s">
        <v>912</v>
      </c>
      <c r="M5" s="345"/>
      <c r="N5" s="345"/>
      <c r="O5" s="345"/>
    </row>
    <row r="6" spans="2:15" s="344" customFormat="1" x14ac:dyDescent="0.45">
      <c r="C6" s="268">
        <f>COUNTIF('Indicator sheet_(IS)'!$P$12:$P$105,C5)</f>
        <v>0</v>
      </c>
      <c r="D6" s="268">
        <f>COUNTIF('Indicator sheet_(IS)'!$P$12:$P$105,D5)</f>
        <v>0</v>
      </c>
      <c r="E6" s="268">
        <f>COUNTIF('Indicator sheet_(IS)'!$P$12:$P$105,E5)</f>
        <v>0</v>
      </c>
      <c r="F6" s="268">
        <f>COUNTIF('Indicator sheet_(IS)'!$P$12:$P$105,F5)</f>
        <v>31</v>
      </c>
      <c r="G6" s="268">
        <f>COUNTIF('Indicator sheet_(IS)'!$P$12:$P$105,G5)</f>
        <v>0</v>
      </c>
      <c r="H6" s="268">
        <f>COUNTIF('Indicator sheet_(IS)'!$P$12:$P$105,H5)</f>
        <v>0</v>
      </c>
      <c r="I6" s="268">
        <f>SUM(D6:H6)</f>
        <v>31</v>
      </c>
      <c r="K6" s="268">
        <f>D6+H6</f>
        <v>0</v>
      </c>
      <c r="M6" s="345"/>
      <c r="N6" s="345"/>
      <c r="O6" s="345"/>
    </row>
    <row r="7" spans="2:15" s="344" customFormat="1" x14ac:dyDescent="0.45">
      <c r="C7" s="268"/>
      <c r="D7" s="268">
        <f>C6+D6+H6</f>
        <v>0</v>
      </c>
      <c r="E7" s="268">
        <f>E6</f>
        <v>0</v>
      </c>
      <c r="F7" s="268"/>
      <c r="G7" s="268">
        <f>F6+G6</f>
        <v>31</v>
      </c>
      <c r="H7" s="268">
        <f>H6+D6+C6</f>
        <v>0</v>
      </c>
      <c r="I7" s="268">
        <f>SUM(D7:H7)</f>
        <v>31</v>
      </c>
      <c r="K7" s="268"/>
      <c r="M7" s="345"/>
      <c r="N7" s="345"/>
      <c r="O7" s="345"/>
    </row>
    <row r="8" spans="2:15" s="344" customFormat="1" x14ac:dyDescent="0.45">
      <c r="B8" s="344" t="s">
        <v>395</v>
      </c>
      <c r="C8" s="268"/>
      <c r="D8" s="268"/>
      <c r="E8" s="268">
        <f>D7+E7</f>
        <v>0</v>
      </c>
      <c r="F8" s="268"/>
      <c r="G8" s="268">
        <f>G7</f>
        <v>31</v>
      </c>
      <c r="H8" s="268"/>
      <c r="I8" s="268">
        <f>SUM(D8:H8)</f>
        <v>31</v>
      </c>
      <c r="K8" s="268"/>
      <c r="M8" s="345"/>
      <c r="N8" s="345"/>
      <c r="O8" s="345"/>
    </row>
    <row r="9" spans="2:15" s="344" customFormat="1" x14ac:dyDescent="0.45">
      <c r="B9" s="422">
        <v>31</v>
      </c>
      <c r="C9" s="347">
        <f t="shared" ref="C9:H9" si="0">ROUND(C6/$B$9,4)</f>
        <v>0</v>
      </c>
      <c r="D9" s="347">
        <f t="shared" si="0"/>
        <v>0</v>
      </c>
      <c r="E9" s="347">
        <f t="shared" si="0"/>
        <v>0</v>
      </c>
      <c r="F9" s="347">
        <f t="shared" si="0"/>
        <v>1</v>
      </c>
      <c r="G9" s="347">
        <f t="shared" si="0"/>
        <v>0</v>
      </c>
      <c r="H9" s="347">
        <f t="shared" si="0"/>
        <v>0</v>
      </c>
      <c r="I9" s="347">
        <f>SUM(C9:H9)</f>
        <v>1</v>
      </c>
      <c r="K9" s="347">
        <f>D9+H9</f>
        <v>0</v>
      </c>
      <c r="M9" s="345"/>
      <c r="N9" s="345"/>
      <c r="O9" s="345"/>
    </row>
    <row r="10" spans="2:15" s="344" customFormat="1" x14ac:dyDescent="0.45">
      <c r="C10" s="346"/>
      <c r="D10" s="347">
        <f>ROUND((C6+D6+H6)/$B$9,4)</f>
        <v>0</v>
      </c>
      <c r="E10" s="347">
        <f>ROUND(E6/$B$9,4)</f>
        <v>0</v>
      </c>
      <c r="F10" s="347"/>
      <c r="G10" s="347">
        <f>ROUND((F6+G6)/$B$9,4)</f>
        <v>1</v>
      </c>
      <c r="H10" s="347">
        <f>ROUND((H6+D6+C6)/$B$9,4)</f>
        <v>0</v>
      </c>
      <c r="I10" s="347">
        <f>SUM(D10:G10)</f>
        <v>1</v>
      </c>
      <c r="K10" s="347"/>
      <c r="M10" s="345"/>
      <c r="N10" s="345"/>
      <c r="O10" s="345"/>
    </row>
    <row r="11" spans="2:15" s="344" customFormat="1" x14ac:dyDescent="0.45">
      <c r="D11" s="348"/>
      <c r="E11" s="347">
        <f>ROUND((C6+D6+E6+H6)/$B$9,4)</f>
        <v>0</v>
      </c>
      <c r="F11" s="348"/>
      <c r="G11" s="347">
        <f>G10</f>
        <v>1</v>
      </c>
      <c r="H11" s="347"/>
      <c r="I11" s="347">
        <f>SUM(D11:H11)</f>
        <v>1</v>
      </c>
      <c r="M11" s="345"/>
      <c r="N11" s="345"/>
      <c r="O11" s="345"/>
    </row>
    <row r="12" spans="2:15" s="344" customFormat="1" x14ac:dyDescent="0.45">
      <c r="E12" s="346"/>
      <c r="G12" s="346"/>
      <c r="H12" s="346"/>
      <c r="I12" s="346"/>
      <c r="M12" s="345"/>
      <c r="N12" s="345"/>
      <c r="O12" s="345"/>
    </row>
    <row r="13" spans="2:15" s="344" customFormat="1" x14ac:dyDescent="0.45">
      <c r="M13" s="345"/>
      <c r="N13" s="345"/>
      <c r="O13" s="345"/>
    </row>
    <row r="14" spans="2:15" s="344" customFormat="1" x14ac:dyDescent="0.45">
      <c r="M14" s="345"/>
      <c r="N14" s="345"/>
      <c r="O14" s="345"/>
    </row>
    <row r="15" spans="2:15" s="344" customFormat="1" x14ac:dyDescent="0.45">
      <c r="M15" s="345"/>
      <c r="N15" s="345"/>
      <c r="O15" s="345"/>
    </row>
    <row r="16" spans="2:15" s="344" customFormat="1" ht="13.9" x14ac:dyDescent="0.45">
      <c r="C16" s="463" t="s">
        <v>71</v>
      </c>
      <c r="D16" s="464"/>
      <c r="E16" s="464"/>
      <c r="F16" s="464"/>
      <c r="G16" s="464"/>
      <c r="H16" s="464"/>
      <c r="M16" s="345"/>
      <c r="N16" s="345"/>
      <c r="O16" s="345"/>
    </row>
    <row r="17" spans="1:15" s="344" customFormat="1" ht="20.25" x14ac:dyDescent="0.45">
      <c r="C17" s="465" t="s">
        <v>905</v>
      </c>
      <c r="D17" s="465" t="s">
        <v>906</v>
      </c>
      <c r="E17" s="465" t="s">
        <v>907</v>
      </c>
      <c r="F17" s="465" t="s">
        <v>909</v>
      </c>
      <c r="G17" s="465" t="s">
        <v>908</v>
      </c>
      <c r="H17" s="465" t="s">
        <v>910</v>
      </c>
      <c r="M17" s="345"/>
      <c r="N17" s="345"/>
      <c r="O17" s="345"/>
    </row>
    <row r="18" spans="1:15" s="344" customFormat="1" x14ac:dyDescent="0.45">
      <c r="C18" s="349"/>
      <c r="D18" s="349"/>
      <c r="E18" s="349"/>
      <c r="F18" s="349"/>
      <c r="G18" s="349"/>
      <c r="M18" s="345"/>
      <c r="N18" s="345"/>
      <c r="O18" s="345"/>
    </row>
    <row r="19" spans="1:15" s="344" customFormat="1" x14ac:dyDescent="0.45">
      <c r="C19" s="349"/>
      <c r="D19" s="349"/>
      <c r="E19" s="349"/>
      <c r="F19" s="349"/>
      <c r="G19" s="349"/>
      <c r="M19" s="345"/>
      <c r="N19" s="345"/>
      <c r="O19" s="345"/>
    </row>
    <row r="20" spans="1:15" s="344" customFormat="1" x14ac:dyDescent="0.45">
      <c r="C20" s="349"/>
      <c r="D20" s="349"/>
      <c r="E20" s="349"/>
      <c r="F20" s="349"/>
      <c r="G20" s="349"/>
      <c r="M20" s="345"/>
      <c r="N20" s="345"/>
      <c r="O20" s="345"/>
    </row>
    <row r="21" spans="1:15" s="344" customFormat="1" x14ac:dyDescent="0.45">
      <c r="B21" s="349"/>
      <c r="C21" s="349"/>
      <c r="D21" s="349"/>
      <c r="E21" s="349"/>
      <c r="F21" s="349"/>
      <c r="M21" s="345"/>
      <c r="N21" s="345"/>
      <c r="O21" s="345"/>
    </row>
    <row r="22" spans="1:15" s="344" customFormat="1" ht="15" x14ac:dyDescent="0.45">
      <c r="B22" s="349"/>
      <c r="C22" s="350" t="s">
        <v>72</v>
      </c>
      <c r="D22" s="349"/>
      <c r="E22" s="349"/>
      <c r="F22" s="349"/>
      <c r="M22" s="345"/>
      <c r="N22" s="345"/>
      <c r="O22" s="345"/>
    </row>
    <row r="23" spans="1:15" s="344" customFormat="1" x14ac:dyDescent="0.45">
      <c r="M23" s="345"/>
      <c r="N23" s="345"/>
      <c r="O23" s="345"/>
    </row>
    <row r="24" spans="1:15" s="344" customFormat="1" x14ac:dyDescent="0.45">
      <c r="C24" s="120" t="s">
        <v>73</v>
      </c>
      <c r="D24" s="120" t="s">
        <v>74</v>
      </c>
      <c r="E24" s="120" t="s">
        <v>320</v>
      </c>
      <c r="F24" s="120" t="s">
        <v>319</v>
      </c>
      <c r="G24" s="120" t="s">
        <v>75</v>
      </c>
      <c r="H24" s="120" t="s">
        <v>76</v>
      </c>
      <c r="I24" s="120"/>
      <c r="J24" s="120" t="s">
        <v>77</v>
      </c>
      <c r="K24" s="120" t="s">
        <v>78</v>
      </c>
      <c r="L24" s="120" t="s">
        <v>79</v>
      </c>
      <c r="M24" s="120" t="s">
        <v>80</v>
      </c>
      <c r="N24" s="120" t="s">
        <v>81</v>
      </c>
      <c r="O24" s="120" t="s">
        <v>82</v>
      </c>
    </row>
    <row r="25" spans="1:15" s="344" customFormat="1" x14ac:dyDescent="0.45">
      <c r="B25" s="35" t="s">
        <v>823</v>
      </c>
      <c r="C25" s="457" t="s">
        <v>1230</v>
      </c>
      <c r="D25" s="458" t="s">
        <v>83</v>
      </c>
      <c r="E25" s="461">
        <v>0</v>
      </c>
      <c r="F25" s="461">
        <v>100000000</v>
      </c>
      <c r="G25" s="461">
        <v>-100000000</v>
      </c>
      <c r="H25" s="461">
        <v>100000000</v>
      </c>
      <c r="I25" s="459"/>
      <c r="J25" s="461">
        <v>-100000000</v>
      </c>
      <c r="K25" s="461">
        <v>100000000</v>
      </c>
      <c r="L25" s="461">
        <f>'Indicator sheet_(IS)'!O12</f>
        <v>0</v>
      </c>
      <c r="M25" s="460">
        <f>IF('Indicator sheet_(IS)'!P12=Berechnung1!$H$5,5,IF('Indicator sheet_(IS)'!P12=Berechnung1!$G$5,1,IF('Indicator sheet_(IS)'!P12=Berechnung1!$F$5,1,IF('Indicator sheet_(IS)'!P12=Berechnung1!$E$5,2,IF('Indicator sheet_(IS)'!P12=Berechnung1!$D$5,3,IF('Indicator sheet_(IS)'!P12=Berechnung1!$C$5,4,""))))))</f>
        <v>1</v>
      </c>
      <c r="N25" s="460">
        <f t="shared" ref="N25" si="1">IF(M25&gt;1,M25+3,M25)</f>
        <v>1</v>
      </c>
      <c r="O25" s="460">
        <f>IF('Indicator sheet_(IS)'!R12="",0,1)</f>
        <v>0</v>
      </c>
    </row>
    <row r="26" spans="1:15" s="344" customFormat="1" x14ac:dyDescent="0.45">
      <c r="A26" s="16"/>
      <c r="C26" s="147"/>
      <c r="D26" s="94"/>
      <c r="E26" s="484"/>
      <c r="F26" s="484"/>
      <c r="G26" s="484"/>
      <c r="H26" s="484"/>
      <c r="I26" s="484"/>
      <c r="J26" s="484"/>
      <c r="K26" s="484"/>
      <c r="L26" s="484"/>
      <c r="M26" s="354"/>
      <c r="N26" s="354"/>
      <c r="O26" s="354"/>
    </row>
    <row r="27" spans="1:15" s="344" customFormat="1" x14ac:dyDescent="0.45">
      <c r="A27" s="16"/>
      <c r="C27" s="147"/>
      <c r="D27" s="94"/>
      <c r="E27" s="484"/>
      <c r="F27" s="484"/>
      <c r="G27" s="484"/>
      <c r="H27" s="484"/>
      <c r="I27" s="484"/>
      <c r="J27" s="484"/>
      <c r="K27" s="484"/>
      <c r="L27" s="484"/>
      <c r="M27" s="354"/>
      <c r="N27" s="354"/>
      <c r="O27" s="354"/>
    </row>
    <row r="28" spans="1:15" s="344" customFormat="1" x14ac:dyDescent="0.45">
      <c r="A28" s="16"/>
      <c r="C28" s="446" t="s">
        <v>1227</v>
      </c>
      <c r="D28" s="447" t="s">
        <v>83</v>
      </c>
      <c r="E28" s="448">
        <v>0</v>
      </c>
      <c r="F28" s="448">
        <v>1</v>
      </c>
      <c r="G28" s="448">
        <v>0.95</v>
      </c>
      <c r="H28" s="448">
        <v>10000</v>
      </c>
      <c r="I28" s="448"/>
      <c r="J28" s="448">
        <v>-10000</v>
      </c>
      <c r="K28" s="448">
        <v>10000</v>
      </c>
      <c r="L28" s="448" t="str">
        <f>'Indicator sheet_(IS)'!O17</f>
        <v>n.d.</v>
      </c>
      <c r="M28" s="449">
        <f>IF('Indicator sheet_(IS)'!P15=Berechnung1!$G$5,1,IF('Indicator sheet_(IS)'!P15=Berechnung1!$F$5,1,IF('Indicator sheet_(IS)'!P15=Berechnung1!$E$5,2,IF('Indicator sheet_(IS)'!P15=Berechnung1!$D$5,3,IF('Indicator sheet_(IS)'!P15=Berechnung1!$C$5,4,"")))))</f>
        <v>1</v>
      </c>
      <c r="N28" s="449">
        <f>IF(M28&gt;1,M28+3,M28)</f>
        <v>1</v>
      </c>
      <c r="O28" s="449">
        <f>IF('Indicator sheet_(IS)'!R15="",0,1)</f>
        <v>0</v>
      </c>
    </row>
    <row r="29" spans="1:15" s="344" customFormat="1" x14ac:dyDescent="0.45">
      <c r="A29" s="16"/>
      <c r="C29" s="147"/>
      <c r="D29" s="94"/>
      <c r="E29" s="351"/>
      <c r="F29" s="351"/>
      <c r="G29" s="351"/>
      <c r="H29" s="351"/>
      <c r="I29" s="351"/>
      <c r="J29" s="351"/>
      <c r="K29" s="351"/>
      <c r="L29" s="351"/>
      <c r="M29" s="351"/>
      <c r="N29" s="351"/>
      <c r="O29" s="352"/>
    </row>
    <row r="30" spans="1:15" s="344" customFormat="1" x14ac:dyDescent="0.45">
      <c r="A30" s="16"/>
      <c r="C30" s="147"/>
      <c r="D30" s="94"/>
      <c r="E30" s="351"/>
      <c r="F30" s="351"/>
      <c r="G30" s="351"/>
      <c r="H30" s="351"/>
      <c r="I30" s="351"/>
      <c r="J30" s="351"/>
      <c r="K30" s="351"/>
      <c r="L30" s="351"/>
      <c r="M30" s="351"/>
      <c r="N30" s="351"/>
      <c r="O30" s="352"/>
    </row>
    <row r="31" spans="1:15" s="344" customFormat="1" x14ac:dyDescent="0.45">
      <c r="A31" s="16"/>
      <c r="B31" s="35" t="s">
        <v>823</v>
      </c>
      <c r="C31" s="457" t="s">
        <v>1228</v>
      </c>
      <c r="D31" s="458" t="s">
        <v>83</v>
      </c>
      <c r="E31" s="459">
        <v>0</v>
      </c>
      <c r="F31" s="459">
        <v>1</v>
      </c>
      <c r="G31" s="459">
        <v>0.95</v>
      </c>
      <c r="H31" s="459">
        <v>10000</v>
      </c>
      <c r="I31" s="459"/>
      <c r="J31" s="459">
        <v>-10000</v>
      </c>
      <c r="K31" s="459">
        <v>10000</v>
      </c>
      <c r="L31" s="459" t="str">
        <f>'Indicator sheet_(IS)'!O20</f>
        <v>n.d.</v>
      </c>
      <c r="M31" s="460">
        <f>IF('Indicator sheet_(IS)'!P18=Berechnung1!$H$5,5,IF('Indicator sheet_(IS)'!P18=Berechnung1!$G$5,1,IF('Indicator sheet_(IS)'!P18=Berechnung1!$F$5,1,IF('Indicator sheet_(IS)'!P18=Berechnung1!$E$5,2,IF('Indicator sheet_(IS)'!P18=Berechnung1!$D$5,3,IF('Indicator sheet_(IS)'!P18=Berechnung1!$C$5,4,""))))))</f>
        <v>1</v>
      </c>
      <c r="N31" s="460">
        <f t="shared" ref="N31:N85" si="2">IF(M31&gt;1,M31+3,M31)</f>
        <v>1</v>
      </c>
      <c r="O31" s="460">
        <f>IF('Indicator sheet_(IS)'!R18="",0,1)</f>
        <v>0</v>
      </c>
    </row>
    <row r="32" spans="1:15" s="344" customFormat="1" x14ac:dyDescent="0.45">
      <c r="A32" s="16"/>
      <c r="C32" s="353"/>
      <c r="D32" s="353"/>
      <c r="E32" s="353"/>
      <c r="F32" s="353"/>
      <c r="G32" s="353"/>
      <c r="H32" s="353"/>
      <c r="I32" s="353"/>
      <c r="J32" s="353"/>
      <c r="K32" s="353"/>
      <c r="L32" s="353"/>
      <c r="M32" s="353"/>
      <c r="N32" s="353"/>
      <c r="O32" s="353"/>
    </row>
    <row r="33" spans="1:15" s="344" customFormat="1" x14ac:dyDescent="0.45">
      <c r="A33" s="16"/>
      <c r="C33" s="147"/>
      <c r="D33" s="94"/>
      <c r="E33" s="351"/>
      <c r="F33" s="351"/>
      <c r="G33" s="351"/>
      <c r="H33" s="351"/>
      <c r="I33" s="351"/>
      <c r="J33" s="351"/>
      <c r="K33" s="351"/>
      <c r="L33" s="351"/>
      <c r="M33" s="351"/>
      <c r="N33" s="351"/>
      <c r="O33" s="352"/>
    </row>
    <row r="34" spans="1:15" s="344" customFormat="1" x14ac:dyDescent="0.45">
      <c r="A34" s="16"/>
      <c r="C34" s="446">
        <v>3</v>
      </c>
      <c r="D34" s="447" t="s">
        <v>83</v>
      </c>
      <c r="E34" s="448">
        <v>0</v>
      </c>
      <c r="F34" s="448">
        <v>1</v>
      </c>
      <c r="G34" s="448">
        <v>0.95</v>
      </c>
      <c r="H34" s="448">
        <v>10000</v>
      </c>
      <c r="I34" s="448"/>
      <c r="J34" s="448">
        <v>-10000</v>
      </c>
      <c r="K34" s="448">
        <v>10000</v>
      </c>
      <c r="L34" s="448" t="str">
        <f>'Indicator sheet_(IS)'!O23</f>
        <v>n.d.</v>
      </c>
      <c r="M34" s="449">
        <f>IF('Indicator sheet_(IS)'!P21=Berechnung1!$G$5,1,IF('Indicator sheet_(IS)'!P21=Berechnung1!$F$5,1,IF('Indicator sheet_(IS)'!P21=Berechnung1!$E$5,2,IF('Indicator sheet_(IS)'!P21=Berechnung1!$D$5,3,IF('Indicator sheet_(IS)'!P21=Berechnung1!$C$5,4,"")))))</f>
        <v>1</v>
      </c>
      <c r="N34" s="449">
        <f t="shared" si="2"/>
        <v>1</v>
      </c>
      <c r="O34" s="449">
        <f>IF('Indicator sheet_(IS)'!R21="",0,1)</f>
        <v>0</v>
      </c>
    </row>
    <row r="35" spans="1:15" s="344" customFormat="1" x14ac:dyDescent="0.45">
      <c r="A35" s="16"/>
      <c r="C35" s="147"/>
      <c r="D35" s="94"/>
      <c r="E35" s="351"/>
      <c r="F35" s="351"/>
      <c r="G35" s="351"/>
      <c r="H35" s="351"/>
      <c r="I35" s="351"/>
      <c r="J35" s="351"/>
      <c r="K35" s="351"/>
      <c r="L35" s="351"/>
      <c r="M35" s="351"/>
      <c r="N35" s="351"/>
      <c r="O35" s="352"/>
    </row>
    <row r="36" spans="1:15" s="344" customFormat="1" x14ac:dyDescent="0.45">
      <c r="A36" s="16"/>
      <c r="C36" s="147"/>
      <c r="D36" s="94"/>
      <c r="E36" s="351"/>
      <c r="F36" s="351"/>
      <c r="G36" s="351"/>
      <c r="H36" s="351"/>
      <c r="I36" s="351"/>
      <c r="J36" s="351"/>
      <c r="K36" s="351"/>
      <c r="L36" s="351"/>
      <c r="M36" s="351"/>
      <c r="N36" s="351"/>
      <c r="O36" s="352"/>
    </row>
    <row r="37" spans="1:15" s="344" customFormat="1" x14ac:dyDescent="0.45">
      <c r="A37" s="16"/>
      <c r="C37" s="447">
        <v>4</v>
      </c>
      <c r="D37" s="447" t="s">
        <v>83</v>
      </c>
      <c r="E37" s="448">
        <v>0</v>
      </c>
      <c r="F37" s="448">
        <v>1</v>
      </c>
      <c r="G37" s="448">
        <v>0.65</v>
      </c>
      <c r="H37" s="448">
        <v>10000</v>
      </c>
      <c r="I37" s="448"/>
      <c r="J37" s="448">
        <v>-10000</v>
      </c>
      <c r="K37" s="448">
        <v>10000</v>
      </c>
      <c r="L37" s="448" t="str">
        <f>'Indicator sheet_(IS)'!O26</f>
        <v>n.d.</v>
      </c>
      <c r="M37" s="449">
        <f>IF('Indicator sheet_(IS)'!P24=Berechnung1!$G$17,1,IF('Indicator sheet_(IS)'!P24=Berechnung1!$F$17,1,IF('Indicator sheet_(IS)'!P24=Berechnung1!$E$17,2,IF('Indicator sheet_(IS)'!P24=Berechnung1!$D$17,3,IF('Indicator sheet_(IS)'!P24=Berechnung1!$C$17,4,"")))))</f>
        <v>1</v>
      </c>
      <c r="N37" s="449">
        <f t="shared" si="2"/>
        <v>1</v>
      </c>
      <c r="O37" s="449">
        <f>IF('Indicator sheet_(IS)'!R24="",0,1)</f>
        <v>0</v>
      </c>
    </row>
    <row r="38" spans="1:15" s="344" customFormat="1" x14ac:dyDescent="0.45">
      <c r="A38" s="16"/>
      <c r="C38" s="147"/>
      <c r="D38" s="94"/>
      <c r="E38" s="351"/>
      <c r="F38" s="351"/>
      <c r="G38" s="351"/>
      <c r="H38" s="351"/>
      <c r="I38" s="351"/>
      <c r="J38" s="351"/>
      <c r="K38" s="351"/>
      <c r="L38" s="351"/>
      <c r="M38" s="351"/>
      <c r="N38" s="351"/>
      <c r="O38" s="352"/>
    </row>
    <row r="39" spans="1:15" s="344" customFormat="1" x14ac:dyDescent="0.45">
      <c r="A39" s="16"/>
      <c r="C39" s="147"/>
      <c r="D39" s="94"/>
      <c r="E39" s="351"/>
      <c r="F39" s="351"/>
      <c r="G39" s="351"/>
      <c r="H39" s="351"/>
      <c r="I39" s="351"/>
      <c r="J39" s="351"/>
      <c r="K39" s="351"/>
      <c r="L39" s="351"/>
      <c r="M39" s="351"/>
      <c r="N39" s="351"/>
      <c r="O39" s="352"/>
    </row>
    <row r="40" spans="1:15" s="344" customFormat="1" x14ac:dyDescent="0.45">
      <c r="A40" s="16"/>
      <c r="C40" s="447">
        <v>5</v>
      </c>
      <c r="D40" s="447" t="s">
        <v>83</v>
      </c>
      <c r="E40" s="448">
        <v>0</v>
      </c>
      <c r="F40" s="448">
        <v>1</v>
      </c>
      <c r="G40" s="448">
        <v>-10000</v>
      </c>
      <c r="H40" s="448">
        <v>10000</v>
      </c>
      <c r="I40" s="448"/>
      <c r="J40" s="448">
        <v>0.5</v>
      </c>
      <c r="K40" s="448">
        <v>10000</v>
      </c>
      <c r="L40" s="448" t="str">
        <f>'Indicator sheet_(IS)'!O29</f>
        <v>n.d.</v>
      </c>
      <c r="M40" s="449">
        <f>IF('Indicator sheet_(IS)'!P27=Berechnung1!$G$5,1,IF('Indicator sheet_(IS)'!P27=Berechnung1!$F$5,1,IF('Indicator sheet_(IS)'!P27=Berechnung1!$E$5,2,IF('Indicator sheet_(IS)'!P27=Berechnung1!$D$5,3,IF('Indicator sheet_(IS)'!P27=Berechnung1!$C$5,4,"")))))</f>
        <v>1</v>
      </c>
      <c r="N40" s="449">
        <f t="shared" si="2"/>
        <v>1</v>
      </c>
      <c r="O40" s="449">
        <f>IF('Indicator sheet_(IS)'!R27="",0,1)</f>
        <v>0</v>
      </c>
    </row>
    <row r="41" spans="1:15" s="344" customFormat="1" x14ac:dyDescent="0.45">
      <c r="A41" s="16"/>
      <c r="C41" s="147"/>
      <c r="D41" s="94"/>
      <c r="E41" s="351"/>
      <c r="F41" s="351"/>
      <c r="G41" s="351"/>
      <c r="H41" s="351"/>
      <c r="I41" s="351"/>
      <c r="J41" s="351"/>
      <c r="K41" s="351"/>
      <c r="L41" s="351"/>
      <c r="M41" s="351"/>
      <c r="N41" s="351"/>
      <c r="O41" s="352"/>
    </row>
    <row r="42" spans="1:15" s="344" customFormat="1" x14ac:dyDescent="0.45">
      <c r="A42" s="16"/>
      <c r="C42" s="147"/>
      <c r="D42" s="94"/>
      <c r="E42" s="351"/>
      <c r="F42" s="351"/>
      <c r="G42" s="351"/>
      <c r="H42" s="351"/>
      <c r="I42" s="351"/>
      <c r="J42" s="351"/>
      <c r="K42" s="351"/>
      <c r="L42" s="351"/>
      <c r="M42" s="351"/>
      <c r="N42" s="351"/>
      <c r="O42" s="352"/>
    </row>
    <row r="43" spans="1:15" s="344" customFormat="1" x14ac:dyDescent="0.45">
      <c r="A43" s="16"/>
      <c r="C43" s="447">
        <v>6</v>
      </c>
      <c r="D43" s="447" t="s">
        <v>83</v>
      </c>
      <c r="E43" s="448">
        <v>0</v>
      </c>
      <c r="F43" s="448">
        <v>100000000</v>
      </c>
      <c r="G43" s="448">
        <v>0.05</v>
      </c>
      <c r="H43" s="448">
        <v>10000</v>
      </c>
      <c r="I43" s="448"/>
      <c r="J43" s="448">
        <v>-10000</v>
      </c>
      <c r="K43" s="448">
        <v>0.5</v>
      </c>
      <c r="L43" s="448" t="str">
        <f>'Indicator sheet_(IS)'!O32</f>
        <v>n.d.</v>
      </c>
      <c r="M43" s="449">
        <f>IF('Indicator sheet_(IS)'!P30=Berechnung1!$G$5,1,IF('Indicator sheet_(IS)'!P30=Berechnung1!$F$5,1,IF('Indicator sheet_(IS)'!P30=Berechnung1!$E$5,2,IF('Indicator sheet_(IS)'!P30=Berechnung1!$D$5,3,IF('Indicator sheet_(IS)'!P30=Berechnung1!$C$5,4,"")))))</f>
        <v>1</v>
      </c>
      <c r="N43" s="449">
        <f t="shared" si="2"/>
        <v>1</v>
      </c>
      <c r="O43" s="449">
        <f>IF('Indicator sheet_(IS)'!R30="",0,1)</f>
        <v>0</v>
      </c>
    </row>
    <row r="44" spans="1:15" s="344" customFormat="1" x14ac:dyDescent="0.45">
      <c r="A44" s="16"/>
      <c r="C44" s="147"/>
      <c r="D44" s="94"/>
      <c r="E44" s="351"/>
      <c r="F44" s="351"/>
      <c r="G44" s="351"/>
      <c r="H44" s="351"/>
      <c r="I44" s="351"/>
      <c r="J44" s="351"/>
      <c r="K44" s="351"/>
      <c r="L44" s="351"/>
      <c r="M44" s="351"/>
      <c r="N44" s="351"/>
      <c r="O44" s="352"/>
    </row>
    <row r="45" spans="1:15" s="344" customFormat="1" x14ac:dyDescent="0.45">
      <c r="A45" s="16"/>
      <c r="C45" s="147"/>
      <c r="D45" s="94"/>
      <c r="E45" s="351"/>
      <c r="F45" s="351"/>
      <c r="G45" s="351"/>
      <c r="H45" s="351"/>
      <c r="I45" s="351"/>
      <c r="J45" s="351"/>
      <c r="K45" s="351"/>
      <c r="L45" s="351"/>
      <c r="M45" s="351"/>
      <c r="N45" s="351"/>
      <c r="O45" s="352"/>
    </row>
    <row r="46" spans="1:15" s="344" customFormat="1" x14ac:dyDescent="0.45">
      <c r="A46" s="16"/>
      <c r="C46" s="447">
        <v>7</v>
      </c>
      <c r="D46" s="447" t="s">
        <v>83</v>
      </c>
      <c r="E46" s="448">
        <v>0</v>
      </c>
      <c r="F46" s="448">
        <v>1</v>
      </c>
      <c r="G46" s="448">
        <v>0.9</v>
      </c>
      <c r="H46" s="448">
        <v>10000</v>
      </c>
      <c r="I46" s="448"/>
      <c r="J46" s="448">
        <v>-10000</v>
      </c>
      <c r="K46" s="448">
        <v>10000</v>
      </c>
      <c r="L46" s="448" t="str">
        <f>'Indicator sheet_(IS)'!O35</f>
        <v>n.d.</v>
      </c>
      <c r="M46" s="450">
        <f>IF('Indicator sheet_(IS)'!P33=Berechnung1!$G$5,1,IF('Indicator sheet_(IS)'!P33=Berechnung1!$F$5,1,IF('Indicator sheet_(IS)'!P33=Berechnung1!$E$5,2,IF('Indicator sheet_(IS)'!P33=Berechnung1!$D$5,3,IF('Indicator sheet_(IS)'!P33=Berechnung1!$C$5,4,"")))))</f>
        <v>1</v>
      </c>
      <c r="N46" s="449">
        <f t="shared" si="2"/>
        <v>1</v>
      </c>
      <c r="O46" s="449">
        <f>IF('Indicator sheet_(IS)'!R33="",0,1)</f>
        <v>0</v>
      </c>
    </row>
    <row r="47" spans="1:15" s="344" customFormat="1" x14ac:dyDescent="0.45">
      <c r="A47" s="16"/>
      <c r="C47" s="147"/>
      <c r="D47" s="94"/>
      <c r="E47" s="351"/>
      <c r="F47" s="351"/>
      <c r="G47" s="351"/>
      <c r="H47" s="351"/>
      <c r="I47" s="351"/>
      <c r="J47" s="351"/>
      <c r="K47" s="351"/>
      <c r="L47" s="351"/>
      <c r="M47" s="351"/>
      <c r="N47" s="354"/>
      <c r="O47" s="354"/>
    </row>
    <row r="48" spans="1:15" s="344" customFormat="1" x14ac:dyDescent="0.45">
      <c r="A48" s="16"/>
      <c r="C48" s="147"/>
      <c r="D48" s="94"/>
      <c r="E48" s="351"/>
      <c r="F48" s="351"/>
      <c r="G48" s="351"/>
      <c r="H48" s="351"/>
      <c r="I48" s="351"/>
      <c r="J48" s="351"/>
      <c r="K48" s="351"/>
      <c r="L48" s="351"/>
      <c r="M48" s="351"/>
      <c r="N48" s="354"/>
      <c r="O48" s="354"/>
    </row>
    <row r="49" spans="1:21" s="344" customFormat="1" x14ac:dyDescent="0.45">
      <c r="A49" s="16"/>
      <c r="B49" s="35" t="s">
        <v>823</v>
      </c>
      <c r="C49" s="458">
        <v>8</v>
      </c>
      <c r="D49" s="458" t="s">
        <v>83</v>
      </c>
      <c r="E49" s="459">
        <v>0</v>
      </c>
      <c r="F49" s="459">
        <v>1</v>
      </c>
      <c r="G49" s="459">
        <v>0.9</v>
      </c>
      <c r="H49" s="459">
        <v>10000</v>
      </c>
      <c r="I49" s="459"/>
      <c r="J49" s="459">
        <v>-10000</v>
      </c>
      <c r="K49" s="459">
        <v>10000</v>
      </c>
      <c r="L49" s="459" t="str">
        <f>'Indicator sheet_(IS)'!O38</f>
        <v>n.d.</v>
      </c>
      <c r="M49" s="461">
        <f>IF('Indicator sheet_(IS)'!P36=Berechnung1!$H$5,5,IF('Indicator sheet_(IS)'!P36=Berechnung1!$G$5,1,IF('Indicator sheet_(IS)'!P36=Berechnung1!$F$5,1,IF('Indicator sheet_(IS)'!P36=Berechnung1!$E$5,2,IF('Indicator sheet_(IS)'!P36=Berechnung1!$D$5,3,IF('Indicator sheet_(IS)'!P36=Berechnung1!$C$5,4,""))))))</f>
        <v>1</v>
      </c>
      <c r="N49" s="460">
        <f t="shared" si="2"/>
        <v>1</v>
      </c>
      <c r="O49" s="460">
        <f>IF('Indicator sheet_(IS)'!R36="",0,1)</f>
        <v>0</v>
      </c>
      <c r="U49" s="355"/>
    </row>
    <row r="50" spans="1:21" s="344" customFormat="1" x14ac:dyDescent="0.45">
      <c r="A50" s="16"/>
      <c r="C50" s="147"/>
      <c r="D50" s="94"/>
      <c r="E50" s="351"/>
      <c r="F50" s="351"/>
      <c r="G50" s="351"/>
      <c r="H50" s="351"/>
      <c r="I50" s="351"/>
      <c r="J50" s="351"/>
      <c r="K50" s="351"/>
      <c r="L50" s="351"/>
      <c r="M50" s="351"/>
      <c r="N50" s="351"/>
      <c r="O50" s="352"/>
      <c r="U50" s="355"/>
    </row>
    <row r="51" spans="1:21" s="344" customFormat="1" x14ac:dyDescent="0.45">
      <c r="A51" s="16"/>
      <c r="C51" s="147"/>
      <c r="D51" s="94"/>
      <c r="E51" s="351"/>
      <c r="F51" s="351"/>
      <c r="G51" s="351"/>
      <c r="H51" s="351"/>
      <c r="I51" s="351"/>
      <c r="J51" s="351"/>
      <c r="K51" s="351"/>
      <c r="L51" s="351"/>
      <c r="M51" s="351"/>
      <c r="N51" s="351"/>
      <c r="O51" s="352"/>
      <c r="U51" s="355"/>
    </row>
    <row r="52" spans="1:21" s="344" customFormat="1" x14ac:dyDescent="0.45">
      <c r="A52" s="16"/>
      <c r="B52" s="35" t="s">
        <v>823</v>
      </c>
      <c r="C52" s="458">
        <v>9</v>
      </c>
      <c r="D52" s="458" t="s">
        <v>83</v>
      </c>
      <c r="E52" s="459">
        <v>0</v>
      </c>
      <c r="F52" s="459">
        <v>1</v>
      </c>
      <c r="G52" s="459">
        <v>0.9</v>
      </c>
      <c r="H52" s="459">
        <v>10000</v>
      </c>
      <c r="I52" s="459"/>
      <c r="J52" s="459">
        <v>-10000</v>
      </c>
      <c r="K52" s="459">
        <v>10000</v>
      </c>
      <c r="L52" s="459" t="str">
        <f>'Indicator sheet_(IS)'!O41</f>
        <v>n.d.</v>
      </c>
      <c r="M52" s="460">
        <f>IF('Indicator sheet_(IS)'!P39=Berechnung1!$H$5,5,IF('Indicator sheet_(IS)'!P39=Berechnung1!$G$5,1,IF('Indicator sheet_(IS)'!P39=Berechnung1!$F$5,1,IF('Indicator sheet_(IS)'!P39=Berechnung1!$E$5,2,IF('Indicator sheet_(IS)'!P39=Berechnung1!$D$5,3,IF('Indicator sheet_(IS)'!P39=Berechnung1!$C$5,4,""))))))</f>
        <v>1</v>
      </c>
      <c r="N52" s="460">
        <f t="shared" si="2"/>
        <v>1</v>
      </c>
      <c r="O52" s="460">
        <f>IF('Indicator sheet_(IS)'!R39="",0,1)</f>
        <v>0</v>
      </c>
      <c r="U52" s="355"/>
    </row>
    <row r="53" spans="1:21" s="344" customFormat="1" x14ac:dyDescent="0.45">
      <c r="A53" s="16"/>
      <c r="C53" s="147"/>
      <c r="D53" s="94"/>
      <c r="E53" s="351"/>
      <c r="F53" s="351"/>
      <c r="G53" s="351"/>
      <c r="H53" s="351"/>
      <c r="I53" s="351"/>
      <c r="J53" s="351"/>
      <c r="K53" s="351"/>
      <c r="L53" s="351"/>
      <c r="M53" s="351"/>
      <c r="N53" s="351"/>
      <c r="O53" s="352"/>
      <c r="U53" s="355"/>
    </row>
    <row r="54" spans="1:21" s="344" customFormat="1" x14ac:dyDescent="0.45">
      <c r="A54" s="16"/>
      <c r="C54" s="147"/>
      <c r="D54" s="94"/>
      <c r="E54" s="351"/>
      <c r="F54" s="351"/>
      <c r="G54" s="351"/>
      <c r="H54" s="351"/>
      <c r="I54" s="351"/>
      <c r="J54" s="351"/>
      <c r="K54" s="351"/>
      <c r="L54" s="351"/>
      <c r="M54" s="351"/>
      <c r="N54" s="351"/>
      <c r="O54" s="352"/>
      <c r="U54" s="355"/>
    </row>
    <row r="55" spans="1:21" s="344" customFormat="1" x14ac:dyDescent="0.45">
      <c r="A55" s="16"/>
      <c r="B55" s="35" t="s">
        <v>823</v>
      </c>
      <c r="C55" s="458" t="s">
        <v>816</v>
      </c>
      <c r="D55" s="458" t="s">
        <v>83</v>
      </c>
      <c r="E55" s="459">
        <v>0</v>
      </c>
      <c r="F55" s="459">
        <v>1</v>
      </c>
      <c r="G55" s="459">
        <v>0.5</v>
      </c>
      <c r="H55" s="459">
        <v>10000</v>
      </c>
      <c r="I55" s="459"/>
      <c r="J55" s="459">
        <v>-10000</v>
      </c>
      <c r="K55" s="459">
        <v>10000</v>
      </c>
      <c r="L55" s="459" t="str">
        <f>'Indicator sheet_(IS)'!O44</f>
        <v>n.d.</v>
      </c>
      <c r="M55" s="461">
        <f>IF('Indicator sheet_(IS)'!P42=Berechnung1!$H$5,5,IF('Indicator sheet_(IS)'!P42=Berechnung1!$G$5,1,IF('Indicator sheet_(IS)'!P42=Berechnung1!$F$5,1,IF('Indicator sheet_(IS)'!P42=Berechnung1!$E$5,2,IF('Indicator sheet_(IS)'!P42=Berechnung1!$D$5,3,IF('Indicator sheet_(IS)'!P42=Berechnung1!$C$5,4,""))))))</f>
        <v>1</v>
      </c>
      <c r="N55" s="460">
        <f t="shared" si="2"/>
        <v>1</v>
      </c>
      <c r="O55" s="460">
        <f>IF('Indicator sheet_(IS)'!R42="",0,1)</f>
        <v>0</v>
      </c>
      <c r="U55" s="355"/>
    </row>
    <row r="56" spans="1:21" s="344" customFormat="1" x14ac:dyDescent="0.45">
      <c r="A56" s="16"/>
      <c r="C56" s="147"/>
      <c r="D56" s="94"/>
      <c r="E56" s="351"/>
      <c r="F56" s="351"/>
      <c r="G56" s="351"/>
      <c r="H56" s="351"/>
      <c r="I56" s="351"/>
      <c r="J56" s="351"/>
      <c r="K56" s="351"/>
      <c r="L56" s="351"/>
      <c r="M56" s="351"/>
      <c r="N56" s="351"/>
      <c r="O56" s="352"/>
      <c r="U56" s="355"/>
    </row>
    <row r="57" spans="1:21" s="344" customFormat="1" x14ac:dyDescent="0.45">
      <c r="A57" s="16"/>
      <c r="C57" s="147"/>
      <c r="D57" s="94"/>
      <c r="E57" s="351"/>
      <c r="F57" s="351"/>
      <c r="G57" s="351"/>
      <c r="H57" s="351"/>
      <c r="I57" s="351"/>
      <c r="J57" s="351"/>
      <c r="K57" s="351"/>
      <c r="L57" s="351"/>
      <c r="M57" s="351"/>
      <c r="N57" s="351"/>
      <c r="O57" s="352"/>
      <c r="U57" s="355"/>
    </row>
    <row r="58" spans="1:21" s="344" customFormat="1" x14ac:dyDescent="0.45">
      <c r="A58" s="16"/>
      <c r="C58" s="447">
        <v>11</v>
      </c>
      <c r="D58" s="447" t="s">
        <v>83</v>
      </c>
      <c r="E58" s="448">
        <v>0</v>
      </c>
      <c r="F58" s="448">
        <v>1</v>
      </c>
      <c r="G58" s="448">
        <v>-10000</v>
      </c>
      <c r="H58" s="448">
        <v>0.01</v>
      </c>
      <c r="I58" s="448"/>
      <c r="J58" s="451">
        <v>1E-4</v>
      </c>
      <c r="K58" s="448">
        <v>10000</v>
      </c>
      <c r="L58" s="448" t="str">
        <f>'Indicator sheet_(IS)'!O47</f>
        <v>n.d.</v>
      </c>
      <c r="M58" s="449">
        <f>IF('Indicator sheet_(IS)'!P45=Berechnung1!$G$5,1,IF('Indicator sheet_(IS)'!P45=Berechnung1!$F$5,1,IF('Indicator sheet_(IS)'!P45=Berechnung1!$E$5,2,IF('Indicator sheet_(IS)'!P45=Berechnung1!$D$5,3,IF('Indicator sheet_(IS)'!P45=Berechnung1!$C$5,4,"")))))</f>
        <v>1</v>
      </c>
      <c r="N58" s="449">
        <f t="shared" si="2"/>
        <v>1</v>
      </c>
      <c r="O58" s="449">
        <f>IF('Indicator sheet_(IS)'!R45="",0,1)</f>
        <v>0</v>
      </c>
    </row>
    <row r="59" spans="1:21" s="344" customFormat="1" x14ac:dyDescent="0.45">
      <c r="A59" s="16"/>
      <c r="C59" s="147"/>
      <c r="D59" s="94"/>
      <c r="E59" s="351"/>
      <c r="F59" s="351"/>
      <c r="G59" s="351"/>
      <c r="H59" s="351"/>
      <c r="I59" s="351"/>
      <c r="J59" s="351"/>
      <c r="K59" s="351"/>
      <c r="L59" s="351"/>
      <c r="M59" s="351"/>
      <c r="N59" s="351"/>
      <c r="O59" s="352"/>
    </row>
    <row r="60" spans="1:21" s="344" customFormat="1" x14ac:dyDescent="0.45">
      <c r="A60" s="16"/>
      <c r="C60" s="147"/>
      <c r="D60" s="94"/>
      <c r="E60" s="351"/>
      <c r="F60" s="351"/>
      <c r="G60" s="351"/>
      <c r="H60" s="351"/>
      <c r="I60" s="351"/>
      <c r="J60" s="351"/>
      <c r="K60" s="351"/>
      <c r="L60" s="351"/>
      <c r="M60" s="351"/>
      <c r="N60" s="351"/>
      <c r="O60" s="352"/>
    </row>
    <row r="61" spans="1:21" s="344" customFormat="1" x14ac:dyDescent="0.45">
      <c r="A61" s="16"/>
      <c r="B61" s="35" t="s">
        <v>823</v>
      </c>
      <c r="C61" s="458">
        <v>12</v>
      </c>
      <c r="D61" s="458" t="s">
        <v>83</v>
      </c>
      <c r="E61" s="459">
        <v>0</v>
      </c>
      <c r="F61" s="459">
        <v>1</v>
      </c>
      <c r="G61" s="459">
        <v>0.9</v>
      </c>
      <c r="H61" s="459">
        <v>10000</v>
      </c>
      <c r="I61" s="459"/>
      <c r="J61" s="459">
        <v>10000</v>
      </c>
      <c r="K61" s="459">
        <v>10000</v>
      </c>
      <c r="L61" s="459" t="str">
        <f>'Indicator sheet_(IS)'!O50</f>
        <v>n.d.</v>
      </c>
      <c r="M61" s="460">
        <f>IF('Indicator sheet_(IS)'!P48=Berechnung1!$H$5,5,IF('Indicator sheet_(IS)'!P48=Berechnung1!$G$5,1,IF('Indicator sheet_(IS)'!P48=Berechnung1!$F$5,1,IF('Indicator sheet_(IS)'!P48=Berechnung1!$E$5,2,IF('Indicator sheet_(IS)'!P48=Berechnung1!$D$5,3,IF('Indicator sheet_(IS)'!P48=Berechnung1!$C$5,4,""))))))</f>
        <v>1</v>
      </c>
      <c r="N61" s="460">
        <f t="shared" si="2"/>
        <v>1</v>
      </c>
      <c r="O61" s="460">
        <f>IF('Indicator sheet_(IS)'!R48="",0,1)</f>
        <v>0</v>
      </c>
    </row>
    <row r="62" spans="1:21" s="344" customFormat="1" x14ac:dyDescent="0.45">
      <c r="A62" s="16"/>
      <c r="C62" s="147"/>
      <c r="D62" s="94"/>
      <c r="E62" s="351"/>
      <c r="F62" s="351"/>
      <c r="G62" s="351"/>
      <c r="H62" s="351"/>
      <c r="I62" s="351"/>
      <c r="J62" s="351"/>
      <c r="K62" s="351"/>
      <c r="L62" s="351"/>
      <c r="M62" s="351"/>
      <c r="N62" s="351"/>
      <c r="O62" s="352"/>
    </row>
    <row r="63" spans="1:21" s="344" customFormat="1" x14ac:dyDescent="0.45">
      <c r="A63" s="16"/>
      <c r="C63" s="147"/>
      <c r="D63" s="94"/>
      <c r="E63" s="351"/>
      <c r="F63" s="351"/>
      <c r="G63" s="351"/>
      <c r="H63" s="351"/>
      <c r="I63" s="351"/>
      <c r="J63" s="351"/>
      <c r="K63" s="351"/>
      <c r="L63" s="351"/>
      <c r="M63" s="351"/>
      <c r="N63" s="351"/>
      <c r="O63" s="352"/>
    </row>
    <row r="64" spans="1:21" s="344" customFormat="1" x14ac:dyDescent="0.45">
      <c r="A64" s="16"/>
      <c r="C64" s="447">
        <v>13</v>
      </c>
      <c r="D64" s="447">
        <v>0</v>
      </c>
      <c r="E64" s="448">
        <v>0</v>
      </c>
      <c r="F64" s="448">
        <v>1000000000000</v>
      </c>
      <c r="G64" s="450">
        <v>30</v>
      </c>
      <c r="H64" s="448">
        <v>1000000000000000</v>
      </c>
      <c r="I64" s="448"/>
      <c r="J64" s="448">
        <v>-10000</v>
      </c>
      <c r="K64" s="448">
        <v>1000000000000</v>
      </c>
      <c r="L64" s="449">
        <f>'Indicator sheet_(IS)'!O51</f>
        <v>0</v>
      </c>
      <c r="M64" s="449">
        <f>IF('Indicator sheet_(IS)'!P51=Berechnung1!$G$5,1,IF('Indicator sheet_(IS)'!P51=Berechnung1!$F$5,1,IF('Indicator sheet_(IS)'!P51=Berechnung1!$E$5,2,IF('Indicator sheet_(IS)'!P51=Berechnung1!$D$5,3,IF('Indicator sheet_(IS)'!P51=Berechnung1!$C$5,4,"")))))</f>
        <v>1</v>
      </c>
      <c r="N64" s="449">
        <f t="shared" si="2"/>
        <v>1</v>
      </c>
      <c r="O64" s="449">
        <f>IF('Indicator sheet_(IS)'!R51="",0,1)</f>
        <v>0</v>
      </c>
    </row>
    <row r="65" spans="1:15" s="344" customFormat="1" x14ac:dyDescent="0.45">
      <c r="A65" s="16"/>
      <c r="C65" s="147"/>
      <c r="D65" s="94"/>
      <c r="E65" s="351"/>
      <c r="F65" s="351"/>
      <c r="G65" s="351"/>
      <c r="H65" s="351"/>
      <c r="I65" s="351"/>
      <c r="J65" s="351"/>
      <c r="K65" s="351"/>
      <c r="L65" s="351"/>
      <c r="M65" s="351"/>
      <c r="N65" s="351"/>
      <c r="O65" s="352"/>
    </row>
    <row r="66" spans="1:15" s="344" customFormat="1" x14ac:dyDescent="0.45">
      <c r="A66" s="16"/>
      <c r="C66" s="147"/>
      <c r="D66" s="94"/>
      <c r="E66" s="351"/>
      <c r="F66" s="351"/>
      <c r="G66" s="351"/>
      <c r="H66" s="351"/>
      <c r="I66" s="351"/>
      <c r="J66" s="351"/>
      <c r="K66" s="351"/>
      <c r="L66" s="351"/>
      <c r="M66" s="351"/>
      <c r="N66" s="351"/>
      <c r="O66" s="352"/>
    </row>
    <row r="67" spans="1:15" s="344" customFormat="1" x14ac:dyDescent="0.45">
      <c r="A67" s="16"/>
      <c r="C67" s="447">
        <v>14</v>
      </c>
      <c r="D67" s="447">
        <v>0</v>
      </c>
      <c r="E67" s="448">
        <v>0</v>
      </c>
      <c r="F67" s="448">
        <v>1000000000000</v>
      </c>
      <c r="G67" s="450">
        <v>20</v>
      </c>
      <c r="H67" s="448">
        <v>1000000000000</v>
      </c>
      <c r="I67" s="448"/>
      <c r="J67" s="448">
        <v>-10000</v>
      </c>
      <c r="K67" s="448">
        <v>1000000000000</v>
      </c>
      <c r="L67" s="449">
        <f>'Indicator sheet_(IS)'!O54</f>
        <v>0</v>
      </c>
      <c r="M67" s="449">
        <f>IF('Indicator sheet_(IS)'!P54=Berechnung1!$G$5,1,IF('Indicator sheet_(IS)'!P54=Berechnung1!$F$5,1,IF('Indicator sheet_(IS)'!P54=Berechnung1!$E$5,2,IF('Indicator sheet_(IS)'!P54=Berechnung1!$D$5,3,IF('Indicator sheet_(IS)'!P54=Berechnung1!$C$5,4,"")))))</f>
        <v>1</v>
      </c>
      <c r="N67" s="449">
        <f t="shared" si="2"/>
        <v>1</v>
      </c>
      <c r="O67" s="449">
        <f>IF('Indicator sheet_(IS)'!R54="",0,1)</f>
        <v>0</v>
      </c>
    </row>
    <row r="68" spans="1:15" s="344" customFormat="1" x14ac:dyDescent="0.45">
      <c r="A68" s="16"/>
      <c r="C68" s="147"/>
      <c r="D68" s="94"/>
      <c r="E68" s="351"/>
      <c r="F68" s="351"/>
      <c r="G68" s="351"/>
      <c r="H68" s="351"/>
      <c r="I68" s="351"/>
      <c r="J68" s="351"/>
      <c r="K68" s="351"/>
      <c r="L68" s="351"/>
      <c r="M68" s="351"/>
      <c r="N68" s="351"/>
      <c r="O68" s="352"/>
    </row>
    <row r="69" spans="1:15" s="344" customFormat="1" x14ac:dyDescent="0.45">
      <c r="A69" s="16"/>
      <c r="C69" s="147"/>
      <c r="D69" s="94"/>
      <c r="E69" s="351"/>
      <c r="F69" s="351"/>
      <c r="G69" s="351"/>
      <c r="H69" s="351"/>
      <c r="I69" s="351"/>
      <c r="J69" s="351"/>
      <c r="K69" s="351"/>
      <c r="L69" s="351"/>
      <c r="M69" s="351"/>
      <c r="N69" s="351"/>
      <c r="O69" s="352"/>
    </row>
    <row r="70" spans="1:15" s="344" customFormat="1" x14ac:dyDescent="0.45">
      <c r="A70" s="16"/>
      <c r="C70" s="447">
        <v>15</v>
      </c>
      <c r="D70" s="447" t="s">
        <v>83</v>
      </c>
      <c r="E70" s="448">
        <v>0</v>
      </c>
      <c r="F70" s="448">
        <v>1</v>
      </c>
      <c r="G70" s="448">
        <v>-10000</v>
      </c>
      <c r="H70" s="448">
        <v>0.15</v>
      </c>
      <c r="I70" s="448"/>
      <c r="J70" s="451">
        <v>1E-4</v>
      </c>
      <c r="K70" s="448">
        <v>0.1</v>
      </c>
      <c r="L70" s="448" t="str">
        <f>'Indicator sheet_(IS)'!O59</f>
        <v>n.d.</v>
      </c>
      <c r="M70" s="449">
        <f>IF('Indicator sheet_(IS)'!P57=Berechnung1!$G$5,1,IF('Indicator sheet_(IS)'!P57=Berechnung1!$F$5,1,IF('Indicator sheet_(IS)'!P57=Berechnung1!$E$5,2,IF('Indicator sheet_(IS)'!P57=Berechnung1!$D$5,3,IF('Indicator sheet_(IS)'!P57=Berechnung1!$C$5,4,"")))))</f>
        <v>1</v>
      </c>
      <c r="N70" s="449">
        <f t="shared" si="2"/>
        <v>1</v>
      </c>
      <c r="O70" s="449">
        <f>IF('Indicator sheet_(IS)'!R57="",0,1)</f>
        <v>0</v>
      </c>
    </row>
    <row r="71" spans="1:15" s="344" customFormat="1" x14ac:dyDescent="0.45">
      <c r="A71" s="16"/>
      <c r="C71" s="353"/>
      <c r="D71" s="94"/>
      <c r="E71" s="351"/>
      <c r="F71" s="351"/>
      <c r="G71" s="351"/>
      <c r="H71" s="351"/>
      <c r="I71" s="351"/>
      <c r="J71" s="351"/>
      <c r="K71" s="351"/>
      <c r="L71" s="351"/>
      <c r="M71" s="351"/>
      <c r="N71" s="351"/>
      <c r="O71" s="352"/>
    </row>
    <row r="72" spans="1:15" s="344" customFormat="1" x14ac:dyDescent="0.45">
      <c r="A72" s="16"/>
      <c r="C72" s="147"/>
      <c r="D72" s="94"/>
      <c r="E72" s="351"/>
      <c r="F72" s="351"/>
      <c r="G72" s="351"/>
      <c r="H72" s="351"/>
      <c r="I72" s="351"/>
      <c r="J72" s="351"/>
      <c r="K72" s="351"/>
      <c r="L72" s="351"/>
      <c r="M72" s="351"/>
      <c r="N72" s="351"/>
      <c r="O72" s="352"/>
    </row>
    <row r="73" spans="1:15" s="344" customFormat="1" x14ac:dyDescent="0.45">
      <c r="A73" s="16"/>
      <c r="C73" s="447">
        <v>16</v>
      </c>
      <c r="D73" s="447" t="s">
        <v>83</v>
      </c>
      <c r="E73" s="448">
        <v>0</v>
      </c>
      <c r="F73" s="448">
        <v>1</v>
      </c>
      <c r="G73" s="448">
        <v>-10000</v>
      </c>
      <c r="H73" s="448">
        <v>0.15</v>
      </c>
      <c r="I73" s="448"/>
      <c r="J73" s="451">
        <v>1E-4</v>
      </c>
      <c r="K73" s="448">
        <v>0.1</v>
      </c>
      <c r="L73" s="448" t="str">
        <f>'Indicator sheet_(IS)'!O62</f>
        <v>n.d.</v>
      </c>
      <c r="M73" s="449">
        <f>IF('Indicator sheet_(IS)'!P60=Berechnung1!$G$5,1,IF('Indicator sheet_(IS)'!P60=Berechnung1!$F$5,1,IF('Indicator sheet_(IS)'!P60=Berechnung1!$E$5,2,IF('Indicator sheet_(IS)'!P60=Berechnung1!$D$5,3,IF('Indicator sheet_(IS)'!P60=Berechnung1!$C$5,4,"")))))</f>
        <v>1</v>
      </c>
      <c r="N73" s="449">
        <f t="shared" si="2"/>
        <v>1</v>
      </c>
      <c r="O73" s="449">
        <f>IF('Indicator sheet_(IS)'!R60="",0,1)</f>
        <v>0</v>
      </c>
    </row>
    <row r="74" spans="1:15" s="344" customFormat="1" x14ac:dyDescent="0.45">
      <c r="A74" s="16"/>
      <c r="C74" s="147"/>
      <c r="D74" s="94"/>
      <c r="E74" s="351"/>
      <c r="F74" s="351"/>
      <c r="G74" s="351"/>
      <c r="H74" s="351"/>
      <c r="I74" s="351"/>
      <c r="J74" s="351"/>
      <c r="K74" s="351"/>
      <c r="L74" s="351"/>
      <c r="M74" s="351"/>
      <c r="N74" s="351"/>
      <c r="O74" s="352"/>
    </row>
    <row r="75" spans="1:15" s="344" customFormat="1" x14ac:dyDescent="0.45">
      <c r="A75" s="16"/>
      <c r="C75" s="147"/>
      <c r="D75" s="94"/>
      <c r="E75" s="351"/>
      <c r="F75" s="351"/>
      <c r="G75" s="351"/>
      <c r="H75" s="351"/>
      <c r="I75" s="351"/>
      <c r="J75" s="351"/>
      <c r="K75" s="351"/>
      <c r="L75" s="351"/>
      <c r="M75" s="351"/>
      <c r="N75" s="351"/>
      <c r="O75" s="352"/>
    </row>
    <row r="76" spans="1:15" s="344" customFormat="1" x14ac:dyDescent="0.45">
      <c r="A76" s="16"/>
      <c r="C76" s="447">
        <v>17</v>
      </c>
      <c r="D76" s="447" t="s">
        <v>83</v>
      </c>
      <c r="E76" s="448">
        <v>0</v>
      </c>
      <c r="F76" s="448">
        <v>1</v>
      </c>
      <c r="G76" s="448">
        <v>-10000</v>
      </c>
      <c r="H76" s="448">
        <v>0.06</v>
      </c>
      <c r="I76" s="448"/>
      <c r="J76" s="451">
        <v>1E-4</v>
      </c>
      <c r="K76" s="448">
        <v>10000</v>
      </c>
      <c r="L76" s="448" t="str">
        <f>'Indicator sheet_(IS)'!O65</f>
        <v>n.d.</v>
      </c>
      <c r="M76" s="449">
        <f>IF('Indicator sheet_(IS)'!P63=Berechnung1!$G$5,1,IF('Indicator sheet_(IS)'!P63=Berechnung1!$F$5,1,IF('Indicator sheet_(IS)'!P63=Berechnung1!$E$5,2,IF('Indicator sheet_(IS)'!P63=Berechnung1!$D$5,3,IF('Indicator sheet_(IS)'!P63=Berechnung1!$C$5,4,"")))))</f>
        <v>1</v>
      </c>
      <c r="N76" s="449">
        <f t="shared" si="2"/>
        <v>1</v>
      </c>
      <c r="O76" s="449">
        <f>IF('Indicator sheet_(IS)'!R63="",0,1)</f>
        <v>0</v>
      </c>
    </row>
    <row r="77" spans="1:15" s="344" customFormat="1" x14ac:dyDescent="0.45">
      <c r="A77" s="16"/>
      <c r="C77" s="147"/>
      <c r="D77" s="94"/>
      <c r="E77" s="351"/>
      <c r="F77" s="351"/>
      <c r="G77" s="351"/>
      <c r="H77" s="351"/>
      <c r="I77" s="351"/>
      <c r="J77" s="351"/>
      <c r="K77" s="351"/>
      <c r="L77" s="351"/>
      <c r="M77" s="351"/>
      <c r="N77" s="351"/>
      <c r="O77" s="352"/>
    </row>
    <row r="78" spans="1:15" s="344" customFormat="1" x14ac:dyDescent="0.45">
      <c r="A78" s="16"/>
      <c r="C78" s="147"/>
      <c r="D78" s="94"/>
      <c r="E78" s="351"/>
      <c r="F78" s="351"/>
      <c r="G78" s="351"/>
      <c r="H78" s="351"/>
      <c r="I78" s="351"/>
      <c r="J78" s="351"/>
      <c r="K78" s="351"/>
      <c r="L78" s="351"/>
      <c r="M78" s="351"/>
      <c r="N78" s="351"/>
      <c r="O78" s="352"/>
    </row>
    <row r="79" spans="1:15" s="344" customFormat="1" x14ac:dyDescent="0.45">
      <c r="A79" s="16"/>
      <c r="C79" s="447">
        <v>18</v>
      </c>
      <c r="D79" s="447" t="s">
        <v>83</v>
      </c>
      <c r="E79" s="448">
        <v>0</v>
      </c>
      <c r="F79" s="448">
        <v>1</v>
      </c>
      <c r="G79" s="448">
        <v>-10000</v>
      </c>
      <c r="H79" s="448">
        <v>0.15</v>
      </c>
      <c r="I79" s="448"/>
      <c r="J79" s="451">
        <v>1E-4</v>
      </c>
      <c r="K79" s="448">
        <v>10000</v>
      </c>
      <c r="L79" s="448" t="str">
        <f>'Indicator sheet_(IS)'!O68</f>
        <v>n.d.</v>
      </c>
      <c r="M79" s="449">
        <f>IF('Indicator sheet_(IS)'!P66=Berechnung1!$G$5,1,IF('Indicator sheet_(IS)'!P66=Berechnung1!$F$5,1,IF('Indicator sheet_(IS)'!P66=Berechnung1!$E$5,2,IF('Indicator sheet_(IS)'!P66=Berechnung1!$D$5,3,IF('Indicator sheet_(IS)'!P66=Berechnung1!$C$5,4,"")))))</f>
        <v>1</v>
      </c>
      <c r="N79" s="449">
        <f t="shared" si="2"/>
        <v>1</v>
      </c>
      <c r="O79" s="449">
        <f>IF('Indicator sheet_(IS)'!R66="",0,1)</f>
        <v>0</v>
      </c>
    </row>
    <row r="80" spans="1:15" s="344" customFormat="1" x14ac:dyDescent="0.45">
      <c r="A80" s="16"/>
      <c r="C80" s="147"/>
      <c r="D80" s="94"/>
      <c r="E80" s="351"/>
      <c r="F80" s="351"/>
      <c r="G80" s="351"/>
      <c r="H80" s="351"/>
      <c r="I80" s="351"/>
      <c r="J80" s="351"/>
      <c r="K80" s="351"/>
      <c r="L80" s="351"/>
      <c r="M80" s="351"/>
      <c r="N80" s="351"/>
      <c r="O80" s="352"/>
    </row>
    <row r="81" spans="1:15" s="344" customFormat="1" x14ac:dyDescent="0.45">
      <c r="A81" s="16"/>
      <c r="C81" s="147"/>
      <c r="D81" s="94"/>
      <c r="E81" s="351"/>
      <c r="F81" s="351"/>
      <c r="G81" s="351"/>
      <c r="H81" s="351"/>
      <c r="I81" s="351"/>
      <c r="J81" s="351"/>
      <c r="K81" s="351"/>
      <c r="L81" s="351"/>
      <c r="M81" s="351"/>
      <c r="N81" s="351"/>
      <c r="O81" s="352"/>
    </row>
    <row r="82" spans="1:15" s="344" customFormat="1" x14ac:dyDescent="0.45">
      <c r="A82" s="16"/>
      <c r="C82" s="447">
        <v>19</v>
      </c>
      <c r="D82" s="447" t="s">
        <v>83</v>
      </c>
      <c r="E82" s="448">
        <v>0</v>
      </c>
      <c r="F82" s="448">
        <v>1</v>
      </c>
      <c r="G82" s="448">
        <v>-10000</v>
      </c>
      <c r="H82" s="448">
        <v>0.05</v>
      </c>
      <c r="I82" s="448"/>
      <c r="J82" s="451">
        <v>1E-4</v>
      </c>
      <c r="K82" s="448">
        <v>10000</v>
      </c>
      <c r="L82" s="448" t="str">
        <f>'Indicator sheet_(IS)'!O71</f>
        <v>n.d.</v>
      </c>
      <c r="M82" s="449">
        <f>IF('Indicator sheet_(IS)'!P69=Berechnung1!$G$5,1,IF('Indicator sheet_(IS)'!P69=Berechnung1!$F$5,1,IF('Indicator sheet_(IS)'!P69=Berechnung1!$E$5,2,IF('Indicator sheet_(IS)'!P69=Berechnung1!$D$5,3,IF('Indicator sheet_(IS)'!P69=Berechnung1!$C$5,4,"")))))</f>
        <v>1</v>
      </c>
      <c r="N82" s="449">
        <f t="shared" si="2"/>
        <v>1</v>
      </c>
      <c r="O82" s="449">
        <f>IF('Indicator sheet_(IS)'!R69="",0,1)</f>
        <v>0</v>
      </c>
    </row>
    <row r="83" spans="1:15" s="344" customFormat="1" x14ac:dyDescent="0.45">
      <c r="A83" s="16"/>
      <c r="C83" s="147"/>
      <c r="D83" s="94"/>
      <c r="E83" s="351"/>
      <c r="F83" s="351"/>
      <c r="G83" s="351"/>
      <c r="H83" s="351"/>
      <c r="I83" s="351"/>
      <c r="J83" s="351"/>
      <c r="K83" s="351"/>
      <c r="L83" s="351"/>
      <c r="M83" s="351"/>
      <c r="N83" s="351"/>
      <c r="O83" s="352"/>
    </row>
    <row r="84" spans="1:15" s="344" customFormat="1" x14ac:dyDescent="0.45">
      <c r="A84" s="16"/>
      <c r="C84" s="147"/>
      <c r="D84" s="94"/>
      <c r="E84" s="351"/>
      <c r="F84" s="351"/>
      <c r="G84" s="351"/>
      <c r="H84" s="351"/>
      <c r="I84" s="351"/>
      <c r="J84" s="351"/>
      <c r="K84" s="351"/>
      <c r="L84" s="351"/>
      <c r="M84" s="351"/>
      <c r="N84" s="351"/>
      <c r="O84" s="352"/>
    </row>
    <row r="85" spans="1:15" s="344" customFormat="1" x14ac:dyDescent="0.45">
      <c r="A85" s="16"/>
      <c r="C85" s="447">
        <v>20</v>
      </c>
      <c r="D85" s="447" t="s">
        <v>83</v>
      </c>
      <c r="E85" s="448">
        <v>0</v>
      </c>
      <c r="F85" s="448">
        <v>1</v>
      </c>
      <c r="G85" s="448">
        <v>0.9</v>
      </c>
      <c r="H85" s="448">
        <v>10000</v>
      </c>
      <c r="I85" s="448"/>
      <c r="J85" s="448">
        <v>-10000</v>
      </c>
      <c r="K85" s="448">
        <v>10000</v>
      </c>
      <c r="L85" s="448" t="str">
        <f>'Indicator sheet_(IS)'!O74</f>
        <v>n.d.</v>
      </c>
      <c r="M85" s="449">
        <f>IF('Indicator sheet_(IS)'!P72=Berechnung1!$G$5,1,IF('Indicator sheet_(IS)'!P72=Berechnung1!$F$5,1,IF('Indicator sheet_(IS)'!P72=Berechnung1!$E$5,2,IF('Indicator sheet_(IS)'!P72=Berechnung1!$D$5,3,IF('Indicator sheet_(IS)'!P72=Berechnung1!$C$5,4,"")))))</f>
        <v>1</v>
      </c>
      <c r="N85" s="449">
        <f t="shared" si="2"/>
        <v>1</v>
      </c>
      <c r="O85" s="449">
        <f>IF('Indicator sheet_(IS)'!R72="",0,1)</f>
        <v>0</v>
      </c>
    </row>
    <row r="86" spans="1:15" s="344" customFormat="1" x14ac:dyDescent="0.45">
      <c r="A86" s="16"/>
      <c r="C86" s="147"/>
      <c r="D86" s="353"/>
      <c r="E86" s="353"/>
      <c r="F86" s="353"/>
      <c r="G86" s="353"/>
      <c r="H86" s="353"/>
      <c r="I86" s="353"/>
      <c r="J86" s="353"/>
      <c r="K86" s="353"/>
      <c r="L86" s="353"/>
      <c r="M86" s="353"/>
      <c r="N86" s="353"/>
      <c r="O86" s="353"/>
    </row>
    <row r="87" spans="1:15" s="344" customFormat="1" x14ac:dyDescent="0.45">
      <c r="A87" s="16"/>
      <c r="C87" s="147"/>
      <c r="D87" s="94"/>
      <c r="E87" s="351"/>
      <c r="F87" s="351"/>
      <c r="G87" s="351"/>
      <c r="H87" s="351"/>
      <c r="I87" s="351"/>
      <c r="J87" s="351"/>
      <c r="K87" s="351"/>
      <c r="L87" s="351"/>
      <c r="M87" s="351"/>
      <c r="N87" s="351"/>
      <c r="O87" s="352"/>
    </row>
    <row r="88" spans="1:15" s="344" customFormat="1" x14ac:dyDescent="0.45">
      <c r="A88" s="16"/>
      <c r="C88" s="447">
        <v>21</v>
      </c>
      <c r="D88" s="447" t="s">
        <v>83</v>
      </c>
      <c r="E88" s="448">
        <v>0</v>
      </c>
      <c r="F88" s="448">
        <v>1</v>
      </c>
      <c r="G88" s="448">
        <v>0.9</v>
      </c>
      <c r="H88" s="448">
        <v>10000</v>
      </c>
      <c r="I88" s="448"/>
      <c r="J88" s="448">
        <v>-10000</v>
      </c>
      <c r="K88" s="448">
        <v>10000</v>
      </c>
      <c r="L88" s="448" t="str">
        <f>'Indicator sheet_(IS)'!O77</f>
        <v>n.d.</v>
      </c>
      <c r="M88" s="449">
        <f>IF('Indicator sheet_(IS)'!P75=Berechnung1!$G$5,1,IF('Indicator sheet_(IS)'!P75=Berechnung1!$F$5,1,IF('Indicator sheet_(IS)'!P75=Berechnung1!$E$5,2,IF('Indicator sheet_(IS)'!P75=Berechnung1!$D$5,3,IF('Indicator sheet_(IS)'!P75=Berechnung1!$C$5,4,"")))))</f>
        <v>1</v>
      </c>
      <c r="N88" s="449">
        <f t="shared" ref="N88:N115" si="3">IF(M88&gt;1,M88+3,M88)</f>
        <v>1</v>
      </c>
      <c r="O88" s="449">
        <f>IF('Indicator sheet_(IS)'!R75="",0,1)</f>
        <v>0</v>
      </c>
    </row>
    <row r="89" spans="1:15" s="344" customFormat="1" x14ac:dyDescent="0.45">
      <c r="A89" s="16"/>
      <c r="C89" s="147"/>
      <c r="D89" s="94"/>
      <c r="E89" s="351"/>
      <c r="F89" s="351"/>
      <c r="G89" s="351"/>
      <c r="H89" s="351"/>
      <c r="I89" s="351"/>
      <c r="J89" s="351"/>
      <c r="K89" s="351"/>
      <c r="L89" s="351"/>
      <c r="M89" s="351"/>
      <c r="N89" s="351"/>
      <c r="O89" s="352"/>
    </row>
    <row r="90" spans="1:15" s="344" customFormat="1" x14ac:dyDescent="0.45">
      <c r="A90" s="16"/>
      <c r="C90" s="147"/>
      <c r="D90" s="94"/>
      <c r="E90" s="351"/>
      <c r="F90" s="351"/>
      <c r="G90" s="351"/>
      <c r="H90" s="351"/>
      <c r="I90" s="351"/>
      <c r="J90" s="351"/>
      <c r="K90" s="351"/>
      <c r="L90" s="351"/>
      <c r="M90" s="351"/>
      <c r="N90" s="351"/>
      <c r="O90" s="352"/>
    </row>
    <row r="91" spans="1:15" s="344" customFormat="1" x14ac:dyDescent="0.45">
      <c r="A91" s="16"/>
      <c r="B91" s="35" t="s">
        <v>823</v>
      </c>
      <c r="C91" s="458" t="s">
        <v>1294</v>
      </c>
      <c r="D91" s="458" t="s">
        <v>83</v>
      </c>
      <c r="E91" s="459">
        <v>0</v>
      </c>
      <c r="F91" s="459">
        <v>1</v>
      </c>
      <c r="G91" s="459">
        <v>-10000</v>
      </c>
      <c r="H91" s="459">
        <v>10000</v>
      </c>
      <c r="I91" s="459"/>
      <c r="J91" s="459">
        <v>0.2</v>
      </c>
      <c r="K91" s="459">
        <v>10000</v>
      </c>
      <c r="L91" s="459" t="str">
        <f>'Indicator sheet_(IS)'!O80</f>
        <v>n.d.</v>
      </c>
      <c r="M91" s="460">
        <f>IF('Indicator sheet_(IS)'!P78=Berechnung1!$H$5,5,IF('Indicator sheet_(IS)'!P78=Berechnung1!$G$5,1,IF('Indicator sheet_(IS)'!P78=Berechnung1!$F$5,1,IF('Indicator sheet_(IS)'!P78=Berechnung1!$E$5,2,IF('Indicator sheet_(IS)'!P78=Berechnung1!$D$5,3,IF('Indicator sheet_(IS)'!P78=Berechnung1!$C$5,4,""))))))</f>
        <v>1</v>
      </c>
      <c r="N91" s="460">
        <f t="shared" si="3"/>
        <v>1</v>
      </c>
      <c r="O91" s="460">
        <f>IF('Indicator sheet_(IS)'!R78="",0,1)</f>
        <v>0</v>
      </c>
    </row>
    <row r="92" spans="1:15" s="344" customFormat="1" x14ac:dyDescent="0.45">
      <c r="A92" s="16"/>
      <c r="C92" s="147"/>
      <c r="D92" s="94"/>
      <c r="E92" s="351"/>
      <c r="F92" s="351"/>
      <c r="G92" s="351"/>
      <c r="H92" s="351"/>
      <c r="I92" s="351"/>
      <c r="J92" s="351"/>
      <c r="K92" s="356"/>
      <c r="L92" s="351"/>
      <c r="M92" s="351"/>
      <c r="N92" s="351"/>
      <c r="O92" s="352"/>
    </row>
    <row r="93" spans="1:15" s="344" customFormat="1" x14ac:dyDescent="0.45">
      <c r="A93" s="16"/>
      <c r="C93" s="147"/>
      <c r="D93" s="94"/>
      <c r="E93" s="351"/>
      <c r="F93" s="351"/>
      <c r="G93" s="351"/>
      <c r="H93" s="351"/>
      <c r="I93" s="351"/>
      <c r="J93" s="351"/>
      <c r="K93" s="356"/>
      <c r="L93" s="351"/>
      <c r="M93" s="351"/>
      <c r="N93" s="351"/>
      <c r="O93" s="352"/>
    </row>
    <row r="94" spans="1:15" s="344" customFormat="1" x14ac:dyDescent="0.45">
      <c r="A94" s="16"/>
      <c r="B94" s="35"/>
      <c r="C94" s="446" t="s">
        <v>1295</v>
      </c>
      <c r="D94" s="447" t="s">
        <v>83</v>
      </c>
      <c r="E94" s="449">
        <v>0</v>
      </c>
      <c r="F94" s="449">
        <v>100000000</v>
      </c>
      <c r="G94" s="449">
        <v>-100000000</v>
      </c>
      <c r="H94" s="449">
        <v>100000000</v>
      </c>
      <c r="I94" s="448"/>
      <c r="J94" s="449">
        <v>-100000000</v>
      </c>
      <c r="K94" s="449">
        <v>1000000</v>
      </c>
      <c r="L94" s="449">
        <f>'Indicator sheet_(IS)'!O81</f>
        <v>0</v>
      </c>
      <c r="M94" s="449">
        <f>IF('Indicator sheet_(IS)'!P81=Berechnung1!$H$5,5,IF('Indicator sheet_(IS)'!P81=Berechnung1!$G$5,1,IF('Indicator sheet_(IS)'!P81=Berechnung1!$F$5,1,IF('Indicator sheet_(IS)'!P81=Berechnung1!$E$5,2,IF('Indicator sheet_(IS)'!P81=Berechnung1!$D$5,3,IF('Indicator sheet_(IS)'!P81=Berechnung1!$C$5,4,""))))))</f>
        <v>1</v>
      </c>
      <c r="N94" s="449">
        <f>IF(M94&gt;1,M94+3,M94)</f>
        <v>1</v>
      </c>
      <c r="O94" s="449">
        <f>IF('Indicator sheet_(IS)'!R81="",0,1)</f>
        <v>0</v>
      </c>
    </row>
    <row r="95" spans="1:15" s="344" customFormat="1" x14ac:dyDescent="0.45">
      <c r="A95" s="16"/>
      <c r="B95" s="35"/>
      <c r="C95" s="147"/>
      <c r="D95" s="94"/>
      <c r="E95" s="351"/>
      <c r="F95" s="351"/>
      <c r="G95" s="351"/>
      <c r="H95" s="351"/>
      <c r="I95" s="351"/>
      <c r="J95" s="351"/>
      <c r="K95" s="356"/>
      <c r="L95" s="351"/>
      <c r="M95" s="351"/>
      <c r="N95" s="351"/>
      <c r="O95" s="352"/>
    </row>
    <row r="96" spans="1:15" s="344" customFormat="1" x14ac:dyDescent="0.45">
      <c r="A96" s="16"/>
      <c r="B96" s="35"/>
      <c r="C96" s="147"/>
      <c r="D96" s="94"/>
      <c r="E96" s="351"/>
      <c r="F96" s="351"/>
      <c r="G96" s="351"/>
      <c r="H96" s="351"/>
      <c r="I96" s="351"/>
      <c r="J96" s="351"/>
      <c r="K96" s="356"/>
      <c r="L96" s="351"/>
      <c r="M96" s="351"/>
      <c r="N96" s="351"/>
      <c r="O96" s="352"/>
    </row>
    <row r="97" spans="1:15" s="344" customFormat="1" x14ac:dyDescent="0.45">
      <c r="A97" s="16"/>
      <c r="B97" s="35"/>
      <c r="C97" s="446" t="s">
        <v>1296</v>
      </c>
      <c r="D97" s="447">
        <v>0</v>
      </c>
      <c r="E97" s="449">
        <v>0</v>
      </c>
      <c r="F97" s="449">
        <v>100000000</v>
      </c>
      <c r="G97" s="449">
        <v>-100000000</v>
      </c>
      <c r="H97" s="449">
        <v>100000000</v>
      </c>
      <c r="I97" s="449"/>
      <c r="J97" s="449">
        <v>-100000000</v>
      </c>
      <c r="K97" s="449">
        <v>1000000</v>
      </c>
      <c r="L97" s="449">
        <f>'Indicator sheet_(IS)'!O84</f>
        <v>0</v>
      </c>
      <c r="M97" s="449">
        <f>IF('Indicator sheet_(IS)'!P84=Berechnung1!$G$5,1,IF('Indicator sheet_(IS)'!P84=Berechnung1!$F$5,1,IF('Indicator sheet_(IS)'!P84=Berechnung1!$E$5,2,IF('Indicator sheet_(IS)'!P84=Berechnung1!$D$5,3,IF('Indicator sheet_(IS)'!P84=Berechnung1!$C$5,4,"")))))</f>
        <v>1</v>
      </c>
      <c r="N97" s="449">
        <f>IF(M97&gt;1,M97+3,M97)</f>
        <v>1</v>
      </c>
      <c r="O97" s="449">
        <f>IF('Indicator sheet_(IS)'!R84="",0,1)</f>
        <v>0</v>
      </c>
    </row>
    <row r="98" spans="1:15" s="344" customFormat="1" x14ac:dyDescent="0.45">
      <c r="A98" s="16"/>
      <c r="C98" s="147"/>
      <c r="D98" s="94"/>
      <c r="E98" s="351"/>
      <c r="F98" s="351"/>
      <c r="G98" s="351"/>
      <c r="H98" s="351"/>
      <c r="I98" s="351"/>
      <c r="J98" s="351"/>
      <c r="K98" s="356"/>
      <c r="L98" s="351"/>
      <c r="M98" s="351"/>
      <c r="N98" s="351"/>
      <c r="O98" s="352"/>
    </row>
    <row r="99" spans="1:15" s="344" customFormat="1" x14ac:dyDescent="0.45">
      <c r="A99" s="16"/>
      <c r="C99" s="147"/>
      <c r="D99" s="94"/>
      <c r="E99" s="351"/>
      <c r="F99" s="351"/>
      <c r="G99" s="351"/>
      <c r="H99" s="351"/>
      <c r="I99" s="351"/>
      <c r="J99" s="351"/>
      <c r="K99" s="356"/>
      <c r="L99" s="351"/>
      <c r="M99" s="351"/>
      <c r="N99" s="351"/>
      <c r="O99" s="352"/>
    </row>
    <row r="100" spans="1:15" s="344" customFormat="1" x14ac:dyDescent="0.45">
      <c r="A100" s="16"/>
      <c r="B100" s="35" t="s">
        <v>823</v>
      </c>
      <c r="C100" s="458">
        <v>23</v>
      </c>
      <c r="D100" s="458" t="s">
        <v>83</v>
      </c>
      <c r="E100" s="459">
        <v>0</v>
      </c>
      <c r="F100" s="459">
        <v>1</v>
      </c>
      <c r="G100" s="459">
        <v>0.7</v>
      </c>
      <c r="H100" s="459">
        <v>10000</v>
      </c>
      <c r="I100" s="459"/>
      <c r="J100" s="459">
        <v>-10000</v>
      </c>
      <c r="K100" s="459">
        <v>10000</v>
      </c>
      <c r="L100" s="459" t="str">
        <f>'Indicator sheet_(IS)'!O89</f>
        <v>n.d.</v>
      </c>
      <c r="M100" s="460">
        <f>IF('Indicator sheet_(IS)'!P87=Berechnung1!$H$5,5,IF('Indicator sheet_(IS)'!P87=Berechnung1!$G$5,1,IF('Indicator sheet_(IS)'!P87=Berechnung1!$F$5,1,IF('Indicator sheet_(IS)'!P87=Berechnung1!$E$5,2,IF('Indicator sheet_(IS)'!P87=Berechnung1!$D$5,3,IF('Indicator sheet_(IS)'!P87=Berechnung1!$C$5,4,""))))))</f>
        <v>1</v>
      </c>
      <c r="N100" s="460">
        <f t="shared" si="3"/>
        <v>1</v>
      </c>
      <c r="O100" s="460">
        <f>IF('Indicator sheet_(IS)'!R87="",0,1)</f>
        <v>0</v>
      </c>
    </row>
    <row r="101" spans="1:15" s="344" customFormat="1" x14ac:dyDescent="0.45">
      <c r="A101" s="16"/>
      <c r="C101" s="357"/>
      <c r="D101" s="94"/>
      <c r="E101" s="351"/>
      <c r="F101" s="351"/>
      <c r="G101" s="351"/>
      <c r="H101" s="351"/>
      <c r="I101" s="351"/>
      <c r="J101" s="351"/>
      <c r="K101" s="351"/>
      <c r="L101" s="351"/>
      <c r="M101" s="351"/>
      <c r="N101" s="351"/>
      <c r="O101" s="352"/>
    </row>
    <row r="102" spans="1:15" s="344" customFormat="1" x14ac:dyDescent="0.45">
      <c r="A102" s="16"/>
      <c r="C102" s="357"/>
      <c r="D102" s="94"/>
      <c r="E102" s="351"/>
      <c r="F102" s="351"/>
      <c r="G102" s="351"/>
      <c r="H102" s="351"/>
      <c r="I102" s="351"/>
      <c r="J102" s="351"/>
      <c r="K102" s="351"/>
      <c r="L102" s="351"/>
      <c r="M102" s="351"/>
      <c r="N102" s="351"/>
      <c r="O102" s="352"/>
    </row>
    <row r="103" spans="1:15" s="344" customFormat="1" x14ac:dyDescent="0.45">
      <c r="A103" s="16"/>
      <c r="B103" s="35" t="s">
        <v>823</v>
      </c>
      <c r="C103" s="457" t="s">
        <v>1297</v>
      </c>
      <c r="D103" s="458" t="s">
        <v>83</v>
      </c>
      <c r="E103" s="459">
        <v>0</v>
      </c>
      <c r="F103" s="459">
        <v>1</v>
      </c>
      <c r="G103" s="459">
        <v>-10000</v>
      </c>
      <c r="H103" s="459">
        <v>10000</v>
      </c>
      <c r="I103" s="459"/>
      <c r="J103" s="459">
        <v>0.5</v>
      </c>
      <c r="K103" s="459">
        <v>10000</v>
      </c>
      <c r="L103" s="459" t="str">
        <f>'Indicator sheet_(IS)'!O92</f>
        <v>n.d.</v>
      </c>
      <c r="M103" s="460">
        <f>IF('Indicator sheet_(IS)'!P90=Berechnung1!$H$5,5,IF('Indicator sheet_(IS)'!P90=Berechnung1!$G$5,1,IF('Indicator sheet_(IS)'!P90=Berechnung1!$F$5,1,IF('Indicator sheet_(IS)'!P90=Berechnung1!$E$5,2,IF('Indicator sheet_(IS)'!P90=Berechnung1!$D$5,3,IF('Indicator sheet_(IS)'!P90=Berechnung1!$C$5,4,""))))))</f>
        <v>1</v>
      </c>
      <c r="N103" s="460">
        <f t="shared" si="3"/>
        <v>1</v>
      </c>
      <c r="O103" s="460">
        <f>IF('Indicator sheet_(IS)'!R90="",0,1)</f>
        <v>0</v>
      </c>
    </row>
    <row r="104" spans="1:15" s="344" customFormat="1" x14ac:dyDescent="0.45">
      <c r="A104" s="16"/>
      <c r="C104" s="357"/>
      <c r="D104" s="94"/>
      <c r="E104" s="351"/>
      <c r="F104" s="351"/>
      <c r="G104" s="351"/>
      <c r="H104" s="351"/>
      <c r="I104" s="351"/>
      <c r="J104" s="351"/>
      <c r="K104" s="351"/>
      <c r="L104" s="351"/>
      <c r="M104" s="351"/>
      <c r="N104" s="351"/>
      <c r="O104" s="352"/>
    </row>
    <row r="105" spans="1:15" s="344" customFormat="1" x14ac:dyDescent="0.45">
      <c r="A105" s="16"/>
      <c r="C105" s="357"/>
      <c r="D105" s="94"/>
      <c r="E105" s="351"/>
      <c r="F105" s="351"/>
      <c r="G105" s="351"/>
      <c r="H105" s="351"/>
      <c r="I105" s="351"/>
      <c r="J105" s="351"/>
      <c r="K105" s="351"/>
      <c r="L105" s="351"/>
      <c r="M105" s="351"/>
      <c r="N105" s="351"/>
      <c r="O105" s="352"/>
    </row>
    <row r="106" spans="1:15" s="344" customFormat="1" x14ac:dyDescent="0.45">
      <c r="A106" s="16"/>
      <c r="C106" s="447">
        <v>25</v>
      </c>
      <c r="D106" s="447" t="s">
        <v>83</v>
      </c>
      <c r="E106" s="448">
        <v>0</v>
      </c>
      <c r="F106" s="448">
        <v>1</v>
      </c>
      <c r="G106" s="448">
        <v>0.85</v>
      </c>
      <c r="H106" s="448">
        <v>10000</v>
      </c>
      <c r="I106" s="448"/>
      <c r="J106" s="448">
        <v>-10000</v>
      </c>
      <c r="K106" s="448">
        <v>10000</v>
      </c>
      <c r="L106" s="448" t="str">
        <f>'Indicator sheet_(IS)'!O95</f>
        <v>n.d.</v>
      </c>
      <c r="M106" s="449">
        <f>IF('Indicator sheet_(IS)'!P93=Berechnung1!$G$5,1,IF('Indicator sheet_(IS)'!P93=Berechnung1!$F$5,1,IF('Indicator sheet_(IS)'!P93=Berechnung1!$E$5,2,IF('Indicator sheet_(IS)'!P93=Berechnung1!$D$5,3,IF('Indicator sheet_(IS)'!P93=Berechnung1!$C$5,4,"")))))</f>
        <v>1</v>
      </c>
      <c r="N106" s="449">
        <f t="shared" si="3"/>
        <v>1</v>
      </c>
      <c r="O106" s="449">
        <f>IF('Indicator sheet_(IS)'!R93="",0,1)</f>
        <v>0</v>
      </c>
    </row>
    <row r="107" spans="1:15" s="344" customFormat="1" x14ac:dyDescent="0.45">
      <c r="A107" s="16"/>
      <c r="C107" s="353"/>
      <c r="D107" s="94"/>
      <c r="E107" s="351"/>
      <c r="F107" s="351"/>
      <c r="G107" s="351"/>
      <c r="H107" s="351"/>
      <c r="I107" s="351"/>
      <c r="J107" s="351"/>
      <c r="K107" s="351"/>
      <c r="L107" s="351"/>
      <c r="M107" s="351"/>
      <c r="N107" s="351"/>
      <c r="O107" s="352"/>
    </row>
    <row r="108" spans="1:15" s="344" customFormat="1" x14ac:dyDescent="0.45">
      <c r="A108" s="16"/>
      <c r="C108" s="353"/>
      <c r="D108" s="94"/>
      <c r="E108" s="351"/>
      <c r="F108" s="351"/>
      <c r="G108" s="351"/>
      <c r="H108" s="351"/>
      <c r="I108" s="351"/>
      <c r="J108" s="351"/>
      <c r="K108" s="351"/>
      <c r="L108" s="351"/>
      <c r="M108" s="351"/>
      <c r="N108" s="351"/>
      <c r="O108" s="352"/>
    </row>
    <row r="109" spans="1:15" s="344" customFormat="1" ht="15" customHeight="1" x14ac:dyDescent="0.45">
      <c r="A109" s="16"/>
      <c r="B109" s="35"/>
      <c r="C109" s="446" t="s">
        <v>1298</v>
      </c>
      <c r="D109" s="447" t="s">
        <v>83</v>
      </c>
      <c r="E109" s="448">
        <v>0</v>
      </c>
      <c r="F109" s="448">
        <v>1</v>
      </c>
      <c r="G109" s="448">
        <v>0.95</v>
      </c>
      <c r="H109" s="448">
        <v>10000</v>
      </c>
      <c r="I109" s="448"/>
      <c r="J109" s="448">
        <v>-10000</v>
      </c>
      <c r="K109" s="448">
        <v>10000</v>
      </c>
      <c r="L109" s="448" t="str">
        <f>'Indicator sheet_(IS)'!O98</f>
        <v>n.d.</v>
      </c>
      <c r="M109" s="449">
        <f>IF('Indicator sheet_(IS)'!P96=Berechnung1!$G$5,1,IF('Indicator sheet_(IS)'!P96=Berechnung1!$F$5,1,IF('Indicator sheet_(IS)'!P96=Berechnung1!$E$5,2,IF('Indicator sheet_(IS)'!P96=Berechnung1!$D$5,3,IF('Indicator sheet_(IS)'!P96=Berechnung1!$C$5,4,"")))))</f>
        <v>1</v>
      </c>
      <c r="N109" s="449">
        <f t="shared" si="3"/>
        <v>1</v>
      </c>
      <c r="O109" s="449">
        <f>IF('Indicator sheet_(IS)'!R96="",0,1)</f>
        <v>0</v>
      </c>
    </row>
    <row r="110" spans="1:15" s="344" customFormat="1" ht="15" customHeight="1" x14ac:dyDescent="0.45">
      <c r="A110" s="16"/>
      <c r="C110" s="353"/>
      <c r="D110" s="94"/>
      <c r="E110" s="351"/>
      <c r="F110" s="351"/>
      <c r="G110" s="351"/>
      <c r="H110" s="351"/>
      <c r="I110" s="351"/>
      <c r="J110" s="351"/>
      <c r="K110" s="351"/>
      <c r="L110" s="351"/>
      <c r="M110" s="351"/>
      <c r="N110" s="351"/>
      <c r="O110" s="352"/>
    </row>
    <row r="111" spans="1:15" s="344" customFormat="1" ht="15" customHeight="1" x14ac:dyDescent="0.45">
      <c r="A111" s="16"/>
      <c r="C111" s="353"/>
      <c r="D111" s="94"/>
      <c r="E111" s="351"/>
      <c r="F111" s="351"/>
      <c r="G111" s="351"/>
      <c r="H111" s="351"/>
      <c r="I111" s="351"/>
      <c r="J111" s="351"/>
      <c r="K111" s="351"/>
      <c r="L111" s="351"/>
      <c r="M111" s="351"/>
      <c r="N111" s="351"/>
      <c r="O111" s="352"/>
    </row>
    <row r="112" spans="1:15" s="344" customFormat="1" x14ac:dyDescent="0.45">
      <c r="A112" s="16"/>
      <c r="C112" s="446" t="s">
        <v>1260</v>
      </c>
      <c r="D112" s="447" t="s">
        <v>83</v>
      </c>
      <c r="E112" s="448">
        <v>0</v>
      </c>
      <c r="F112" s="448">
        <v>1</v>
      </c>
      <c r="G112" s="448">
        <v>0.95</v>
      </c>
      <c r="H112" s="448">
        <v>10000</v>
      </c>
      <c r="I112" s="448"/>
      <c r="J112" s="448">
        <v>-10000</v>
      </c>
      <c r="K112" s="451">
        <v>10000</v>
      </c>
      <c r="L112" s="448" t="str">
        <f>'Indicator sheet_(IS)'!O101</f>
        <v>n.d.</v>
      </c>
      <c r="M112" s="449">
        <f>IF('Indicator sheet_(IS)'!P99=Berechnung1!$G$5,1,IF('Indicator sheet_(IS)'!P99=Berechnung1!$F$5,1,IF('Indicator sheet_(IS)'!P99=Berechnung1!$E$5,2,IF('Indicator sheet_(IS)'!P99=Berechnung1!$D$5,3,IF('Indicator sheet_(IS)'!P99=Berechnung1!$C$5,4,"")))))</f>
        <v>1</v>
      </c>
      <c r="N112" s="449">
        <f t="shared" si="3"/>
        <v>1</v>
      </c>
      <c r="O112" s="449">
        <f>IF('Indicator sheet_(IS)'!R99="",0,1)</f>
        <v>0</v>
      </c>
    </row>
    <row r="113" spans="1:15" s="344" customFormat="1" x14ac:dyDescent="0.45">
      <c r="A113" s="16"/>
      <c r="C113" s="353"/>
      <c r="D113" s="94"/>
      <c r="E113" s="351"/>
      <c r="F113" s="351"/>
      <c r="G113" s="351"/>
      <c r="H113" s="351"/>
      <c r="I113" s="351"/>
      <c r="J113" s="351"/>
      <c r="K113" s="351"/>
      <c r="L113" s="351"/>
      <c r="M113" s="351"/>
      <c r="N113" s="351"/>
      <c r="O113" s="352"/>
    </row>
    <row r="114" spans="1:15" x14ac:dyDescent="0.45">
      <c r="C114" s="353"/>
      <c r="D114" s="94"/>
      <c r="E114" s="351"/>
      <c r="F114" s="351"/>
      <c r="G114" s="351"/>
      <c r="H114" s="351"/>
      <c r="I114" s="351"/>
      <c r="J114" s="351"/>
      <c r="K114" s="351"/>
      <c r="L114" s="351"/>
      <c r="M114" s="351"/>
      <c r="N114" s="351"/>
      <c r="O114" s="352"/>
    </row>
    <row r="115" spans="1:15" x14ac:dyDescent="0.45">
      <c r="B115" s="35" t="s">
        <v>823</v>
      </c>
      <c r="C115" s="458">
        <v>28</v>
      </c>
      <c r="D115" s="458" t="s">
        <v>83</v>
      </c>
      <c r="E115" s="459">
        <v>0</v>
      </c>
      <c r="F115" s="459">
        <v>1</v>
      </c>
      <c r="G115" s="459">
        <v>-10000</v>
      </c>
      <c r="H115" s="459">
        <v>10000</v>
      </c>
      <c r="I115" s="459"/>
      <c r="J115" s="459">
        <v>0.7</v>
      </c>
      <c r="K115" s="459">
        <v>10000</v>
      </c>
      <c r="L115" s="459" t="str">
        <f>'Indicator sheet_(IS)'!O104</f>
        <v>n.d.</v>
      </c>
      <c r="M115" s="460">
        <f>IF('Indicator sheet_(IS)'!P102=Berechnung1!$H$5,5,IF('Indicator sheet_(IS)'!P102=Berechnung1!$G$5,1,IF('Indicator sheet_(IS)'!P102=Berechnung1!$F$5,1,IF('Indicator sheet_(IS)'!P102=Berechnung1!$E$5,2,IF('Indicator sheet_(IS)'!P102=Berechnung1!$D$5,3,IF('Indicator sheet_(IS)'!P102=Berechnung1!$C$5,4,""))))))</f>
        <v>1</v>
      </c>
      <c r="N115" s="460">
        <f t="shared" si="3"/>
        <v>1</v>
      </c>
      <c r="O115" s="460">
        <f>IF('Indicator sheet_(IS)'!R102="",0,1)</f>
        <v>0</v>
      </c>
    </row>
    <row r="116" spans="1:15" x14ac:dyDescent="0.45">
      <c r="C116" s="353"/>
      <c r="D116" s="94"/>
      <c r="E116" s="351"/>
      <c r="F116" s="351"/>
      <c r="G116" s="351"/>
      <c r="H116" s="351"/>
      <c r="I116" s="351"/>
      <c r="J116" s="351"/>
      <c r="K116" s="351"/>
      <c r="L116" s="351"/>
      <c r="M116" s="351"/>
      <c r="N116" s="351"/>
      <c r="O116" s="352"/>
    </row>
    <row r="117" spans="1:15" x14ac:dyDescent="0.45">
      <c r="C117" s="353"/>
      <c r="D117" s="94"/>
      <c r="E117" s="351"/>
      <c r="F117" s="351"/>
      <c r="G117" s="351"/>
      <c r="H117" s="351"/>
      <c r="I117" s="351"/>
      <c r="J117" s="351"/>
      <c r="K117" s="351"/>
      <c r="L117" s="351"/>
      <c r="M117" s="351"/>
      <c r="N117" s="351"/>
      <c r="O117" s="352"/>
    </row>
    <row r="118" spans="1:15" x14ac:dyDescent="0.45">
      <c r="C118" s="447">
        <v>29</v>
      </c>
      <c r="D118" s="447" t="s">
        <v>83</v>
      </c>
      <c r="E118" s="448">
        <v>0</v>
      </c>
      <c r="F118" s="448">
        <v>1</v>
      </c>
      <c r="G118" s="448">
        <v>-10000</v>
      </c>
      <c r="H118" s="448">
        <v>10000</v>
      </c>
      <c r="I118" s="448"/>
      <c r="J118" s="448">
        <v>-10000</v>
      </c>
      <c r="K118" s="448">
        <v>0.1</v>
      </c>
      <c r="L118" s="448" t="str">
        <f>'Indicator sheet_(IS)'!O107</f>
        <v>n.d.</v>
      </c>
      <c r="M118" s="449">
        <f>IF('Indicator sheet_(IS)'!P105=Berechnung1!$G$5,1,IF('Indicator sheet_(IS)'!P105=Berechnung1!$F$5,1,IF('Indicator sheet_(IS)'!P105=Berechnung1!$E$5,2,IF('Indicator sheet_(IS)'!P105=Berechnung1!$D$5,3,IF('Indicator sheet_(IS)'!P105=Berechnung1!$C$5,4,"")))))</f>
        <v>1</v>
      </c>
      <c r="N118" s="449">
        <f t="shared" ref="N118" si="4">IF(M118&gt;1,M118+3,M118)</f>
        <v>1</v>
      </c>
      <c r="O118" s="449">
        <f>IF('Indicator sheet_(IS)'!R105="",0,1)</f>
        <v>0</v>
      </c>
    </row>
    <row r="119" spans="1:15" x14ac:dyDescent="0.45">
      <c r="C119" s="487"/>
      <c r="D119" s="487"/>
      <c r="E119" s="487"/>
      <c r="F119" s="487"/>
      <c r="G119" s="487"/>
      <c r="H119" s="487"/>
      <c r="I119" s="487"/>
      <c r="J119" s="487"/>
      <c r="K119" s="487"/>
      <c r="L119" s="487"/>
      <c r="M119" s="487"/>
      <c r="N119" s="487"/>
      <c r="O119" s="487"/>
    </row>
    <row r="120" spans="1:15" x14ac:dyDescent="0.45">
      <c r="C120" s="487"/>
      <c r="D120" s="487"/>
      <c r="E120" s="487"/>
      <c r="F120" s="487"/>
      <c r="G120" s="487"/>
      <c r="H120" s="487"/>
      <c r="I120" s="487"/>
      <c r="J120" s="487"/>
      <c r="K120" s="487"/>
      <c r="L120" s="487"/>
      <c r="M120" s="487"/>
      <c r="N120" s="487"/>
      <c r="O120" s="487"/>
    </row>
  </sheetData>
  <phoneticPr fontId="75" type="noConversion"/>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Y93"/>
  <sheetViews>
    <sheetView showGridLines="0" showRuler="0" showWhiteSpace="0" zoomScaleNormal="100" zoomScaleSheetLayoutView="100" workbookViewId="0">
      <pane ySplit="1" topLeftCell="A29" activePane="bottomLeft" state="frozen"/>
      <selection pane="bottomLeft" activeCell="F4" sqref="F4"/>
    </sheetView>
  </sheetViews>
  <sheetFormatPr baseColWidth="10" defaultColWidth="9.1328125" defaultRowHeight="10.5" x14ac:dyDescent="0.45"/>
  <cols>
    <col min="1" max="1" width="13.59765625" style="273" customWidth="1"/>
    <col min="2" max="2" width="3.86328125" style="273" customWidth="1"/>
    <col min="3" max="3" width="3.59765625" style="273" customWidth="1"/>
    <col min="4" max="4" width="16.59765625" style="273" customWidth="1"/>
    <col min="5" max="5" width="6.86328125" style="273" customWidth="1"/>
    <col min="6" max="6" width="11.73046875" style="273" customWidth="1"/>
    <col min="7" max="7" width="6.86328125" style="273" customWidth="1"/>
    <col min="8" max="8" width="7.1328125" style="273" customWidth="1"/>
    <col min="9" max="9" width="7.59765625" style="273" customWidth="1"/>
    <col min="10" max="10" width="6.73046875" style="273" customWidth="1"/>
    <col min="11" max="11" width="14.1328125" style="273" customWidth="1"/>
    <col min="12" max="12" width="33.265625" style="273" customWidth="1"/>
    <col min="13" max="13" width="29.86328125" style="273" customWidth="1"/>
    <col min="14" max="14" width="12.59765625" style="273" customWidth="1"/>
    <col min="15" max="15" width="9.1328125" style="134" customWidth="1"/>
    <col min="16" max="16" width="17.73046875" style="134" customWidth="1"/>
    <col min="17" max="23" width="9.1328125" style="134" customWidth="1"/>
    <col min="24" max="24" width="31.3984375" style="187" customWidth="1"/>
    <col min="25" max="25" width="24" style="187" customWidth="1"/>
    <col min="26" max="16384" width="9.1328125" style="273"/>
  </cols>
  <sheetData>
    <row r="1" spans="1:25" ht="40.5" customHeight="1" x14ac:dyDescent="0.45">
      <c r="A1" s="272" t="s">
        <v>265</v>
      </c>
      <c r="B1" s="282" t="s">
        <v>154</v>
      </c>
      <c r="C1" s="91" t="s">
        <v>395</v>
      </c>
      <c r="D1" s="91" t="s">
        <v>86</v>
      </c>
      <c r="E1" s="274" t="s">
        <v>126</v>
      </c>
      <c r="F1" s="91" t="s">
        <v>178</v>
      </c>
      <c r="G1" s="274" t="s">
        <v>126</v>
      </c>
      <c r="H1" s="91" t="s">
        <v>100</v>
      </c>
      <c r="I1" s="91" t="s">
        <v>84</v>
      </c>
      <c r="J1" s="91" t="s">
        <v>95</v>
      </c>
      <c r="K1" s="91" t="s">
        <v>162</v>
      </c>
      <c r="L1" s="91" t="s">
        <v>110</v>
      </c>
      <c r="M1" s="91" t="s">
        <v>111</v>
      </c>
      <c r="O1" s="192" t="s">
        <v>153</v>
      </c>
    </row>
    <row r="2" spans="1:25" ht="54.95" customHeight="1" x14ac:dyDescent="0.45">
      <c r="A2" s="275" t="str">
        <f>IF('Indicator sheet_(IS)'!P12=0,"",'Indicator sheet_(IS)'!P12)</f>
        <v>Incomplete</v>
      </c>
      <c r="B2" s="454">
        <v>1</v>
      </c>
      <c r="C2" s="34">
        <f>IF($A2="I.O.","",'Indicator sheet_(IS)'!A12)</f>
        <v>1</v>
      </c>
      <c r="D2" s="121" t="str">
        <f>IF($A2="I.O.","",'Indicator sheet_(IS)'!C12)</f>
        <v>Patients with new recurrence and/or distant metastases</v>
      </c>
      <c r="E2" s="283" t="str">
        <f>IF(AND('Indicator sheet_(IS)'!J12="",$A2&lt;&gt;"I.O."),"-----",IF($A2="I.O.","",'Indicator sheet_(IS)'!J12))</f>
        <v>-----</v>
      </c>
      <c r="F2" s="309" t="str">
        <f>IF($A2="I.O.","",'Indicator sheet_(IS)'!K12)</f>
        <v>No target value</v>
      </c>
      <c r="G2" s="283" t="str">
        <f>IF(AND('Indicator sheet_(IS)'!M12="",$A2&lt;&gt;"I.O."),"-----",IF($A2="I.O.","",'Indicator sheet_(IS)'!M12))</f>
        <v>-----</v>
      </c>
      <c r="H2" s="308" t="str">
        <f>IF($A2="I.O.","",IF('Indicator sheet_(IS)'!O12="","-----",'Indicator sheet_(IS)'!O12))</f>
        <v>-----</v>
      </c>
      <c r="I2" s="308" t="str">
        <f>IF($A2="I.O.","",IF('Indicator sheet_(IS)'!O13="","-----",'Indicator sheet_(IS)'!O13))</f>
        <v>-----</v>
      </c>
      <c r="J2" s="276">
        <f>IF($A2="I.O.","",IF('Indicator sheet_(IS)'!O14="",0,'Indicator sheet_(IS)'!O14))</f>
        <v>0</v>
      </c>
      <c r="K2" s="234" t="str">
        <f>IF($A2="I.O.","",'Indicator sheet_(IS)'!P12)</f>
        <v>Incomplete</v>
      </c>
      <c r="L2" s="277" t="str">
        <f>IF(AND('Indicator sheet_(IS)'!Q12="",$A2&lt;&gt;"I.O."),"-----",IF($A2="I.O.","",'Indicator sheet_(IS)'!Q12))</f>
        <v>-----</v>
      </c>
      <c r="M2" s="277" t="str">
        <f>IF(AND('Indicator sheet_(IS)'!R12="",$A2&lt;&gt;"I.O."),"-----",IF($A2="I.O.","",'Indicator sheet_(IS)'!R12))</f>
        <v>-----</v>
      </c>
      <c r="O2" s="217" t="e">
        <f t="array" aca="1" ref="O2" ca="1">IF(ROW()-ROW($D$2:$D$34)+1&gt;ROWS($C$2:$C$34)-COUNTBLANK($C$2:$C$34),"",INDIRECT(ADDRESS(SMALL((IF($C$2:$C$34&lt;&gt;"",ROW($C$2:$C$34),ROW()+ROWS($C$2:$C$34))),ROW()-ROW($D$2:$D$34)+1),COLUMN($C$2:$C$34),4)))</f>
        <v>#REF!</v>
      </c>
      <c r="P2" s="278" t="e">
        <f t="array" aca="1" ref="P2" ca="1">IF(ROW()-ROW($E$2:$E$34)+1&gt;ROWS($D$2:$D$34)-COUNTBLANK($D$2:$D$34),"",INDIRECT(ADDRESS(SMALL((IF($D$2:$D$34&gt;"",ROW($D$2:$D$34),ROW()+ROWS($D$2:$D$34))),ROW()-ROW($E$2:$E$34)+1),COLUMN($D$2:$D$34),4)))</f>
        <v>#REF!</v>
      </c>
      <c r="Q2" s="206" t="e">
        <f t="array" aca="1" ref="Q2" ca="1">IF(ROW()-ROW($F$2:$F$34)+1&gt;ROWS($E$2:$E$34)-COUNTBLANK($E$2:$E$34),"",INDIRECT(ADDRESS(SMALL((IF($E$2:$E$34&gt;"",ROW($E$2:$E$34),ROW()+ROWS($E$2:$E$34))),ROW()-ROW($F$2:$F$34)+1),COLUMN($E$2:$E$34),4)))</f>
        <v>#REF!</v>
      </c>
      <c r="R2" s="206" t="e">
        <f t="array" aca="1" ref="R2" ca="1">IF(ROW()-ROW($G$2:$G$34)+1&gt;ROWS($F$2:$F$34)-COUNTBLANK($F$2:$F$34),"",INDIRECT(ADDRESS(SMALL((IF($F$2:$F$34&gt;"",ROW($F$2:$F$34),ROW()+ROWS($F$2:$F$34))),ROW()-ROW($G$2:$G$34)+1),COLUMN($F$2:$F$34),4)))</f>
        <v>#REF!</v>
      </c>
      <c r="S2" s="206" t="e">
        <f t="array" aca="1" ref="S2" ca="1">IF(ROW()-ROW($H$2:$H$34)+1&gt;ROWS($G$2:$G$29)-COUNTBLANK($G$2:$G$34),"",INDIRECT(ADDRESS(SMALL((IF($G$2:$G$34&lt;&gt;"",ROW($G$2:$G$34),ROW()+ROWS($G$2:$G$34))),ROW()-ROW($H$2:$H$34)+1),COLUMN($G$2:$G$34),4)))</f>
        <v>#REF!</v>
      </c>
      <c r="T2" s="307" t="e">
        <f t="array" aca="1" ref="T2" ca="1">IF(ROW()-ROW($I$2:$I$34)+1&gt;ROWS($H$2:$H$34)-COUNTBLANK($H$2:$H$34),"",INDIRECT(ADDRESS(SMALL((IF($H$2:$H$34&lt;&gt;"",ROW($H$2:$H$34),ROW()+ROWS($H$2:$H$34))),ROW()-ROW($I$2:$I$34)+1),COLUMN($H$2:$H$34),4)))</f>
        <v>#REF!</v>
      </c>
      <c r="U2" s="307" t="e">
        <f t="array" aca="1" ref="U2" ca="1">IF(ROW()-ROW($J$2:$J$34)+1&gt;ROWS($I$2:$I$34)-COUNTBLANK($I$2:$I$34),"",INDIRECT(ADDRESS(SMALL((IF($I$2:$I$34&lt;&gt;"",ROW($I$2:$I$34),ROW()+ROWS($I$2:$I$34))),ROW()-ROW($J$2:$J$34)+1),COLUMN($I$2:$I$34),4)))</f>
        <v>#REF!</v>
      </c>
      <c r="V2" s="279" t="e">
        <f t="array" aca="1" ref="V2" ca="1">IF(ROW()-ROW($K$2:$K$34)+1&gt;ROWS($J$2:$J$34)-COUNTBLANK($J$2:$J$34),"",INDIRECT(ADDRESS(SMALL((IF($J$2:$J$34&lt;&gt;"",ROW($J$2:$J$34),ROW()+ROWS($J$2:$J$34))),ROW()-ROW($K$2:$K$34)+1),COLUMN($J$2:$J$34),4)))</f>
        <v>#REF!</v>
      </c>
      <c r="W2" s="201" t="e">
        <f t="array" aca="1" ref="W2" ca="1">IF(ROW()-ROW($L$2:$L$34)+1&gt;ROWS($K$2:$K$34)-COUNTBLANK($K$2:$K$34),"",INDIRECT(ADDRESS(SMALL((IF($K$2:$K$34&lt;&gt;"",ROW($K$2:$K$34),ROW()+ROWS($K$2:$K$34))),ROW()-ROW($L$2:$L$34)+1),COLUMN($K$2:$K$34),4)))</f>
        <v>#REF!</v>
      </c>
      <c r="X2" s="278" t="e">
        <f t="array" aca="1" ref="X2" ca="1">IF(ROW()-ROW($M$2:$M$34)+1&gt;ROWS($L$2:$L$34)-COUNTBLANK($L$2:$L$34),"",INDIRECT(ADDRESS(SMALL((IF($L$2:$L$34&lt;&gt;"",ROW($L$2:$L$34),ROW()+ROWS($L$2:$L$34))),ROW()-ROW($M$2:$M$34)+1),COLUMN($L$2:$L$34),4)))</f>
        <v>#REF!</v>
      </c>
      <c r="Y2" s="278" t="e">
        <f t="array" aca="1" ref="Y2" ca="1">IF(ROW()-ROW($N$2:$N$34)+1&gt;ROWS($M$2:$M$34)-COUNTBLANK($M$2:$M$34),"",INDIRECT(ADDRESS(SMALL((IF($M$2:$M$34&lt;&gt;"",ROW($M$2:$M$34),ROW()+ROWS($M$2:$M$34))),ROW()-ROW($N$2:$N$34)+1),COLUMN($M$2:$M$34),4)))</f>
        <v>#REF!</v>
      </c>
    </row>
    <row r="3" spans="1:25" ht="54.95" customHeight="1" x14ac:dyDescent="0.45">
      <c r="A3" s="275" t="str">
        <f>IF('Indicator sheet_(IS)'!P15=0,"",'Indicator sheet_(IS)'!P15)</f>
        <v>Incomplete</v>
      </c>
      <c r="B3" s="454">
        <v>2</v>
      </c>
      <c r="C3" s="34" t="str">
        <f>IF($A3="I.O.","",'Indicator sheet_(IS)'!A15)</f>
        <v>2a</v>
      </c>
      <c r="D3" s="121" t="str">
        <f>IF($A3="I.O.","",'Indicator sheet_(IS)'!C15)</f>
        <v>Pre-therapeutic tumour board</v>
      </c>
      <c r="E3" s="283" t="str">
        <f>IF(AND('Indicator sheet_(IS)'!J15="",$A3&lt;&gt;"I.O."),"-----",IF($A3="I.O.","",'Indicator sheet_(IS)'!J15))</f>
        <v>-----</v>
      </c>
      <c r="F3" s="309" t="str">
        <f>IF($A3="I.O.","",'Indicator sheet_(IS)'!K15)</f>
        <v>≥ 95%</v>
      </c>
      <c r="G3" s="283" t="str">
        <f>IF(AND('Indicator sheet_(IS)'!M15="",$A3&lt;&gt;"I.O."),"-----",IF($A3="I.O.","",'Indicator sheet_(IS)'!M15))</f>
        <v>-----</v>
      </c>
      <c r="H3" s="308" t="str">
        <f>IF($A3="I.O.","",IF('Indicator sheet_(IS)'!O15="","-----",'Indicator sheet_(IS)'!O15))</f>
        <v>-----</v>
      </c>
      <c r="I3" s="308" t="str">
        <f>IF($A3="I.O.","",IF('Indicator sheet_(IS)'!O16="","-----",'Indicator sheet_(IS)'!O16))</f>
        <v>-----</v>
      </c>
      <c r="J3" s="276" t="str">
        <f>IF($A3="I.O.","",IF('Indicator sheet_(IS)'!O17="","-----",'Indicator sheet_(IS)'!O17))</f>
        <v>n.d.</v>
      </c>
      <c r="K3" s="234" t="str">
        <f>IF($A3="I.O.","",'Indicator sheet_(IS)'!P15)</f>
        <v>Incomplete</v>
      </c>
      <c r="L3" s="277" t="str">
        <f>IF(AND('Indicator sheet_(IS)'!Q15="",$A3&lt;&gt;"I.O."),"-----",IF($A3="I.O.","",'Indicator sheet_(IS)'!Q15))</f>
        <v>-----</v>
      </c>
      <c r="M3" s="277" t="str">
        <f>IF(AND('Indicator sheet_(IS)'!R15="",$A3&lt;&gt;"I.O."),"-----",IF($A3="I.O.","",'Indicator sheet_(IS)'!R15))</f>
        <v>-----</v>
      </c>
      <c r="O3" s="217" t="e">
        <f t="array" aca="1" ref="O3" ca="1">IF(ROW()-ROW($D$2:$D$34)+1&gt;ROWS($C$2:$C$34)-COUNTBLANK($C$2:$C$34),"",INDIRECT(ADDRESS(SMALL((IF($C$2:$C$34&lt;&gt;"",ROW($C$2:$C$34),ROW()+ROWS($C$2:$C$34))),ROW()-ROW($D$2:$D$34)+1),COLUMN($C$2:$C$34),4)))</f>
        <v>#REF!</v>
      </c>
      <c r="P3" s="278" t="e">
        <f t="array" aca="1" ref="P3" ca="1">IF(ROW()-ROW($E$2:$E$34)+1&gt;ROWS($D$2:$D$34)-COUNTBLANK($D$2:$D$34),"",INDIRECT(ADDRESS(SMALL((IF($D$2:$D$34&gt;"",ROW($D$2:$D$34),ROW()+ROWS($D$2:$D$34))),ROW()-ROW($E$2:$E$34)+1),COLUMN($D$2:$D$34),4)))</f>
        <v>#REF!</v>
      </c>
      <c r="Q3" s="206" t="e">
        <f t="array" aca="1" ref="Q3" ca="1">IF(ROW()-ROW($F$2:$F$34)+1&gt;ROWS($E$2:$E$34)-COUNTBLANK($E$2:$E$34),"",INDIRECT(ADDRESS(SMALL((IF($E$2:$E$34&gt;"",ROW($E$2:$E$34),ROW()+ROWS($E$2:$E$34))),ROW()-ROW($F$2:$F$34)+1),COLUMN($E$2:$E$34),4)))</f>
        <v>#REF!</v>
      </c>
      <c r="R3" s="206" t="e">
        <f t="array" aca="1" ref="R3" ca="1">IF(ROW()-ROW($G$2:$G$34)+1&gt;ROWS($F$2:$F$34)-COUNTBLANK($F$2:$F$34),"",INDIRECT(ADDRESS(SMALL((IF($F$2:$F$34&gt;"",ROW($F$2:$F$34),ROW()+ROWS($F$2:$F$34))),ROW()-ROW($G$2:$G$34)+1),COLUMN($F$2:$F$34),4)))</f>
        <v>#REF!</v>
      </c>
      <c r="S3" s="206" t="e">
        <f t="array" aca="1" ref="S3" ca="1">IF(ROW()-ROW($H$2:$H$34)+1&gt;ROWS($G$2:$G$29)-COUNTBLANK($G$2:$G$34),"",INDIRECT(ADDRESS(SMALL((IF($G$2:$G$34&lt;&gt;"",ROW($G$2:$G$34),ROW()+ROWS($G$2:$G$34))),ROW()-ROW($H$2:$H$34)+1),COLUMN($G$2:$G$34),4)))</f>
        <v>#REF!</v>
      </c>
      <c r="T3" s="307" t="e">
        <f t="array" aca="1" ref="T3" ca="1">IF(ROW()-ROW($I$2:$I$34)+1&gt;ROWS($H$2:$H$34)-COUNTBLANK($H$2:$H$34),"",INDIRECT(ADDRESS(SMALL((IF($H$2:$H$34&lt;&gt;"",ROW($H$2:$H$34),ROW()+ROWS($H$2:$H$34))),ROW()-ROW($I$2:$I$34)+1),COLUMN($H$2:$H$34),4)))</f>
        <v>#REF!</v>
      </c>
      <c r="U3" s="307" t="e">
        <f t="array" aca="1" ref="U3" ca="1">IF(ROW()-ROW($J$2:$J$34)+1&gt;ROWS($I$2:$I$34)-COUNTBLANK($I$2:$I$34),"",INDIRECT(ADDRESS(SMALL((IF($I$2:$I$34&lt;&gt;"",ROW($I$2:$I$34),ROW()+ROWS($I$2:$I$34))),ROW()-ROW($J$2:$J$34)+1),COLUMN($I$2:$I$34),4)))</f>
        <v>#REF!</v>
      </c>
      <c r="V3" s="279" t="e">
        <f t="array" aca="1" ref="V3" ca="1">IF(ROW()-ROW($K$2:$K$34)+1&gt;ROWS($J$2:$J$34)-COUNTBLANK($J$2:$J$34),"",INDIRECT(ADDRESS(SMALL((IF($J$2:$J$34&lt;&gt;"",ROW($J$2:$J$34),ROW()+ROWS($J$2:$J$34))),ROW()-ROW($K$2:$K$34)+1),COLUMN($J$2:$J$34),4)))</f>
        <v>#REF!</v>
      </c>
      <c r="W3" s="201" t="e">
        <f t="array" aca="1" ref="W3" ca="1">IF(ROW()-ROW($L$2:$L$34)+1&gt;ROWS($K$2:$K$34)-COUNTBLANK($K$2:$K$34),"",INDIRECT(ADDRESS(SMALL((IF($K$2:$K$34&lt;&gt;"",ROW($K$2:$K$34),ROW()+ROWS($K$2:$K$34))),ROW()-ROW($L$2:$L$34)+1),COLUMN($K$2:$K$34),4)))</f>
        <v>#REF!</v>
      </c>
      <c r="X3" s="278" t="e">
        <f t="array" aca="1" ref="X3" ca="1">IF(ROW()-ROW($M$2:$M$34)+1&gt;ROWS($L$2:$L$34)-COUNTBLANK($L$2:$L$34),"",INDIRECT(ADDRESS(SMALL((IF($L$2:$L$34&lt;&gt;"",ROW($L$2:$L$34),ROW()+ROWS($L$2:$L$34))),ROW()-ROW($M$2:$M$34)+1),COLUMN($L$2:$L$34),4)))</f>
        <v>#REF!</v>
      </c>
      <c r="Y3" s="278" t="e">
        <f t="array" aca="1" ref="Y3" ca="1">IF(ROW()-ROW($N$2:$N$34)+1&gt;ROWS($M$2:$M$34)-COUNTBLANK($M$2:$M$34),"",INDIRECT(ADDRESS(SMALL((IF($M$2:$M$34&lt;&gt;"",ROW($M$2:$M$34),ROW()+ROWS($M$2:$M$34))),ROW()-ROW($N$2:$N$34)+1),COLUMN($M$2:$M$34),4)))</f>
        <v>#REF!</v>
      </c>
    </row>
    <row r="4" spans="1:25" ht="54.95" customHeight="1" x14ac:dyDescent="0.45">
      <c r="A4" s="275" t="str">
        <f>IF('Indicator sheet_(IS)'!P18=0,"",'Indicator sheet_(IS)'!P18)</f>
        <v>Incomplete</v>
      </c>
      <c r="B4" s="454">
        <v>2</v>
      </c>
      <c r="C4" s="34" t="str">
        <f>IF($A4="I.O.","",'Indicator sheet_(IS)'!A18)</f>
        <v>2b</v>
      </c>
      <c r="D4" s="121" t="str">
        <f>IF($A4="I.O.","",'Indicator sheet_(IS)'!C18)</f>
        <v>Pre-therapeutic tumour board: recurrences/meta-chronous metastases</v>
      </c>
      <c r="E4" s="283" t="str">
        <f>IF(AND('Indicator sheet_(IS)'!J18="",$A4&lt;&gt;"I.O."),"-----",IF($A4="I.O.","",'Indicator sheet_(IS)'!J18))</f>
        <v>-----</v>
      </c>
      <c r="F4" s="309" t="str">
        <f>IF($A4="I.O.","",'Indicator sheet_(IS)'!K18)</f>
        <v>≥ 95%</v>
      </c>
      <c r="G4" s="283" t="str">
        <f>IF(AND('Indicator sheet_(IS)'!M18="",$A4&lt;&gt;"I.O."),"-----",IF($A4="I.O.","",'Indicator sheet_(IS)'!M18))</f>
        <v>-----</v>
      </c>
      <c r="H4" s="308" t="str">
        <f>IF($A4="I.O.","",IF('Indicator sheet_(IS)'!O18="","-----",'Indicator sheet_(IS)'!O18))</f>
        <v>-----</v>
      </c>
      <c r="I4" s="308">
        <f>IF($A4="I.O.","",IF('Indicator sheet_(IS)'!O19="","-----",'Indicator sheet_(IS)'!O19))</f>
        <v>0</v>
      </c>
      <c r="J4" s="276" t="str">
        <f>IF($A4="I.O.","",IF('Indicator sheet_(IS)'!O20="",0,'Indicator sheet_(IS)'!O20))</f>
        <v>n.d.</v>
      </c>
      <c r="K4" s="234" t="str">
        <f>IF($A4="I.O.","",'Indicator sheet_(IS)'!P18)</f>
        <v>Incomplete</v>
      </c>
      <c r="L4" s="277" t="str">
        <f>IF(AND('Indicator sheet_(IS)'!Q18="",$A4&lt;&gt;"I.O."),"-----",IF($A4="I.O.","",'Indicator sheet_(IS)'!Q18))</f>
        <v>-----</v>
      </c>
      <c r="M4" s="277" t="str">
        <f>IF(AND('Indicator sheet_(IS)'!R18="",$A4&lt;&gt;"I.O."),"-----",IF($A4="I.O.","",'Indicator sheet_(IS)'!R18))</f>
        <v>-----</v>
      </c>
      <c r="O4" s="217" t="e">
        <f t="array" aca="1" ref="O4" ca="1">IF(ROW()-ROW($D$2:$D$34)+1&gt;ROWS($C$2:$C$34)-COUNTBLANK($C$2:$C$34),"",INDIRECT(ADDRESS(SMALL((IF($C$2:$C$34&lt;&gt;"",ROW($C$2:$C$34),ROW()+ROWS($C$2:$C$34))),ROW()-ROW($D$2:$D$34)+1),COLUMN($C$2:$C$34),4)))</f>
        <v>#REF!</v>
      </c>
      <c r="P4" s="278" t="e">
        <f t="array" aca="1" ref="P4" ca="1">IF(ROW()-ROW($E$2:$E$34)+1&gt;ROWS($D$2:$D$34)-COUNTBLANK($D$2:$D$34),"",INDIRECT(ADDRESS(SMALL((IF($D$2:$D$34&gt;"",ROW($D$2:$D$34),ROW()+ROWS($D$2:$D$34))),ROW()-ROW($E$2:$E$34)+1),COLUMN($D$2:$D$34),4)))</f>
        <v>#REF!</v>
      </c>
      <c r="Q4" s="206" t="e">
        <f t="array" aca="1" ref="Q4" ca="1">IF(ROW()-ROW($F$2:$F$34)+1&gt;ROWS($E$2:$E$34)-COUNTBLANK($E$2:$E$34),"",INDIRECT(ADDRESS(SMALL((IF($E$2:$E$34&gt;"",ROW($E$2:$E$34),ROW()+ROWS($E$2:$E$34))),ROW()-ROW($F$2:$F$34)+1),COLUMN($E$2:$E$34),4)))</f>
        <v>#REF!</v>
      </c>
      <c r="R4" s="206" t="e">
        <f t="array" aca="1" ref="R4" ca="1">IF(ROW()-ROW($G$2:$G$34)+1&gt;ROWS($F$2:$F$34)-COUNTBLANK($F$2:$F$34),"",INDIRECT(ADDRESS(SMALL((IF($F$2:$F$34&gt;"",ROW($F$2:$F$34),ROW()+ROWS($F$2:$F$34))),ROW()-ROW($G$2:$G$34)+1),COLUMN($F$2:$F$34),4)))</f>
        <v>#REF!</v>
      </c>
      <c r="S4" s="206" t="e">
        <f t="array" aca="1" ref="S4" ca="1">IF(ROW()-ROW($H$2:$H$34)+1&gt;ROWS($G$2:$G$29)-COUNTBLANK($G$2:$G$34),"",INDIRECT(ADDRESS(SMALL((IF($G$2:$G$34&lt;&gt;"",ROW($G$2:$G$34),ROW()+ROWS($G$2:$G$34))),ROW()-ROW($H$2:$H$34)+1),COLUMN($G$2:$G$34),4)))</f>
        <v>#REF!</v>
      </c>
      <c r="T4" s="307" t="e">
        <f t="array" aca="1" ref="T4" ca="1">IF(ROW()-ROW($I$2:$I$34)+1&gt;ROWS($H$2:$H$34)-COUNTBLANK($H$2:$H$34),"",INDIRECT(ADDRESS(SMALL((IF($H$2:$H$34&lt;&gt;"",ROW($H$2:$H$34),ROW()+ROWS($H$2:$H$34))),ROW()-ROW($I$2:$I$34)+1),COLUMN($H$2:$H$34),4)))</f>
        <v>#REF!</v>
      </c>
      <c r="U4" s="307" t="e">
        <f t="array" aca="1" ref="U4" ca="1">IF(ROW()-ROW($J$2:$J$34)+1&gt;ROWS($I$2:$I$34)-COUNTBLANK($I$2:$I$34),"",INDIRECT(ADDRESS(SMALL((IF($I$2:$I$34&lt;&gt;"",ROW($I$2:$I$34),ROW()+ROWS($I$2:$I$34))),ROW()-ROW($J$2:$J$34)+1),COLUMN($I$2:$I$34),4)))</f>
        <v>#REF!</v>
      </c>
      <c r="V4" s="279" t="e">
        <f t="array" aca="1" ref="V4" ca="1">IF(ROW()-ROW($K$2:$K$34)+1&gt;ROWS($J$2:$J$34)-COUNTBLANK($J$2:$J$34),"",INDIRECT(ADDRESS(SMALL((IF($J$2:$J$34&lt;&gt;"",ROW($J$2:$J$34),ROW()+ROWS($J$2:$J$34))),ROW()-ROW($K$2:$K$34)+1),COLUMN($J$2:$J$34),4)))</f>
        <v>#REF!</v>
      </c>
      <c r="W4" s="201" t="e">
        <f t="array" aca="1" ref="W4" ca="1">IF(ROW()-ROW($L$2:$L$34)+1&gt;ROWS($K$2:$K$34)-COUNTBLANK($K$2:$K$34),"",INDIRECT(ADDRESS(SMALL((IF($K$2:$K$34&lt;&gt;"",ROW($K$2:$K$34),ROW()+ROWS($K$2:$K$34))),ROW()-ROW($L$2:$L$34)+1),COLUMN($K$2:$K$34),4)))</f>
        <v>#REF!</v>
      </c>
      <c r="X4" s="278" t="e">
        <f t="array" aca="1" ref="X4" ca="1">IF(ROW()-ROW($M$2:$M$34)+1&gt;ROWS($L$2:$L$34)-COUNTBLANK($L$2:$L$34),"",INDIRECT(ADDRESS(SMALL((IF($L$2:$L$34&lt;&gt;"",ROW($L$2:$L$34),ROW()+ROWS($L$2:$L$34))),ROW()-ROW($M$2:$M$34)+1),COLUMN($L$2:$L$34),4)))</f>
        <v>#REF!</v>
      </c>
      <c r="Y4" s="278" t="e">
        <f t="array" aca="1" ref="Y4" ca="1">IF(ROW()-ROW($N$2:$N$34)+1&gt;ROWS($M$2:$M$34)-COUNTBLANK($M$2:$M$34),"",INDIRECT(ADDRESS(SMALL((IF($M$2:$M$34&lt;&gt;"",ROW($M$2:$M$34),ROW()+ROWS($M$2:$M$34))),ROW()-ROW($N$2:$N$34)+1),COLUMN($M$2:$M$34),4)))</f>
        <v>#REF!</v>
      </c>
    </row>
    <row r="5" spans="1:25" ht="54.95" customHeight="1" x14ac:dyDescent="0.45">
      <c r="A5" s="275" t="str">
        <f>IF('Indicator sheet_(IS)'!P21=0,"",'Indicator sheet_(IS)'!P21)</f>
        <v>Incomplete</v>
      </c>
      <c r="B5" s="455">
        <v>3</v>
      </c>
      <c r="C5" s="34">
        <f>IF($A5="I.O.","",'Indicator sheet_(IS)'!A21)</f>
        <v>3</v>
      </c>
      <c r="D5" s="121" t="str">
        <f>IF($A5="I.O.","",'Indicator sheet_(IS)'!C21)</f>
        <v>Post-operative presentation of all primary-case patients</v>
      </c>
      <c r="E5" s="283" t="str">
        <f>IF(AND('Indicator sheet_(IS)'!J21="",$A5&lt;&gt;"I.O."),"-----",IF($A5="I.O.","",'Indicator sheet_(IS)'!J21))</f>
        <v>-----</v>
      </c>
      <c r="F5" s="309" t="str">
        <f>IF($A5="I.O.","",'Indicator sheet_(IS)'!K21)</f>
        <v>≥ 95%</v>
      </c>
      <c r="G5" s="283" t="str">
        <f>IF(AND('Indicator sheet_(IS)'!M21="",$A5&lt;&gt;"I.O."),"-----",IF($A5="I.O.","",'Indicator sheet_(IS)'!M21))</f>
        <v>-----</v>
      </c>
      <c r="H5" s="308" t="str">
        <f>IF($A5="I.O.","",IF('Indicator sheet_(IS)'!O21="","-----",'Indicator sheet_(IS)'!O21))</f>
        <v>-----</v>
      </c>
      <c r="I5" s="308">
        <f>IF($A5="I.O.","",IF('Indicator sheet_(IS)'!O22="","-----",'Indicator sheet_(IS)'!O22))</f>
        <v>0</v>
      </c>
      <c r="J5" s="276" t="str">
        <f>IF($A5="I.O.","",IF('Indicator sheet_(IS)'!O23="",0,'Indicator sheet_(IS)'!O23))</f>
        <v>n.d.</v>
      </c>
      <c r="K5" s="234" t="str">
        <f>IF($A5="I.O.","",'Indicator sheet_(IS)'!P21)</f>
        <v>Incomplete</v>
      </c>
      <c r="L5" s="277" t="str">
        <f>IF(AND('Indicator sheet_(IS)'!Q21="",$A5&lt;&gt;"I.O."),"-----",IF($A5="I.O.","",'Indicator sheet_(IS)'!Q21))</f>
        <v>-----</v>
      </c>
      <c r="M5" s="277" t="str">
        <f>IF(AND('Indicator sheet_(IS)'!R21="",$A5&lt;&gt;"I.O."),"-----",IF($A5="I.O.","",'Indicator sheet_(IS)'!R21))</f>
        <v>-----</v>
      </c>
      <c r="O5" s="217" t="e">
        <f t="array" aca="1" ref="O5" ca="1">IF(ROW()-ROW($D$2:$D$34)+1&gt;ROWS($C$2:$C$34)-COUNTBLANK($C$2:$C$34),"",INDIRECT(ADDRESS(SMALL((IF($C$2:$C$34&lt;&gt;"",ROW($C$2:$C$34),ROW()+ROWS($C$2:$C$34))),ROW()-ROW($D$2:$D$34)+1),COLUMN($C$2:$C$34),4)))</f>
        <v>#REF!</v>
      </c>
      <c r="P5" s="278" t="e">
        <f t="array" aca="1" ref="P5" ca="1">IF(ROW()-ROW($E$2:$E$34)+1&gt;ROWS($D$2:$D$34)-COUNTBLANK($D$2:$D$34),"",INDIRECT(ADDRESS(SMALL((IF($D$2:$D$34&gt;"",ROW($D$2:$D$34),ROW()+ROWS($D$2:$D$34))),ROW()-ROW($E$2:$E$34)+1),COLUMN($D$2:$D$34),4)))</f>
        <v>#REF!</v>
      </c>
      <c r="Q5" s="206" t="e">
        <f t="array" aca="1" ref="Q5" ca="1">IF(ROW()-ROW($F$2:$F$34)+1&gt;ROWS($E$2:$E$34)-COUNTBLANK($E$2:$E$34),"",INDIRECT(ADDRESS(SMALL((IF($E$2:$E$34&gt;"",ROW($E$2:$E$34),ROW()+ROWS($E$2:$E$34))),ROW()-ROW($F$2:$F$34)+1),COLUMN($E$2:$E$34),4)))</f>
        <v>#REF!</v>
      </c>
      <c r="R5" s="206" t="e">
        <f t="array" aca="1" ref="R5" ca="1">IF(ROW()-ROW($G$2:$G$34)+1&gt;ROWS($F$2:$F$34)-COUNTBLANK($F$2:$F$34),"",INDIRECT(ADDRESS(SMALL((IF($F$2:$F$34&gt;"",ROW($F$2:$F$34),ROW()+ROWS($F$2:$F$34))),ROW()-ROW($G$2:$G$34)+1),COLUMN($F$2:$F$34),4)))</f>
        <v>#REF!</v>
      </c>
      <c r="S5" s="206" t="e">
        <f t="array" aca="1" ref="S5" ca="1">IF(ROW()-ROW($H$2:$H$34)+1&gt;ROWS($G$2:$G$29)-COUNTBLANK($G$2:$G$34),"",INDIRECT(ADDRESS(SMALL((IF($G$2:$G$34&lt;&gt;"",ROW($G$2:$G$34),ROW()+ROWS($G$2:$G$34))),ROW()-ROW($H$2:$H$34)+1),COLUMN($G$2:$G$34),4)))</f>
        <v>#REF!</v>
      </c>
      <c r="T5" s="307" t="e">
        <f t="array" aca="1" ref="T5" ca="1">IF(ROW()-ROW($I$2:$I$34)+1&gt;ROWS($H$2:$H$34)-COUNTBLANK($H$2:$H$34),"",INDIRECT(ADDRESS(SMALL((IF($H$2:$H$34&lt;&gt;"",ROW($H$2:$H$34),ROW()+ROWS($H$2:$H$34))),ROW()-ROW($I$2:$I$34)+1),COLUMN($H$2:$H$34),4)))</f>
        <v>#REF!</v>
      </c>
      <c r="U5" s="307" t="e">
        <f t="array" aca="1" ref="U5" ca="1">IF(ROW()-ROW($J$2:$J$34)+1&gt;ROWS($I$2:$I$34)-COUNTBLANK($I$2:$I$34),"",INDIRECT(ADDRESS(SMALL((IF($I$2:$I$34&lt;&gt;"",ROW($I$2:$I$34),ROW()+ROWS($I$2:$I$34))),ROW()-ROW($J$2:$J$34)+1),COLUMN($I$2:$I$34),4)))</f>
        <v>#REF!</v>
      </c>
      <c r="V5" s="279" t="e">
        <f t="array" aca="1" ref="V5" ca="1">IF(ROW()-ROW($K$2:$K$34)+1&gt;ROWS($J$2:$J$34)-COUNTBLANK($J$2:$J$34),"",INDIRECT(ADDRESS(SMALL((IF($J$2:$J$34&lt;&gt;"",ROW($J$2:$J$34),ROW()+ROWS($J$2:$J$34))),ROW()-ROW($K$2:$K$34)+1),COLUMN($J$2:$J$34),4)))</f>
        <v>#REF!</v>
      </c>
      <c r="W5" s="201" t="e">
        <f t="array" aca="1" ref="W5" ca="1">IF(ROW()-ROW($L$2:$L$34)+1&gt;ROWS($K$2:$K$34)-COUNTBLANK($K$2:$K$34),"",INDIRECT(ADDRESS(SMALL((IF($K$2:$K$34&lt;&gt;"",ROW($K$2:$K$34),ROW()+ROWS($K$2:$K$34))),ROW()-ROW($L$2:$L$34)+1),COLUMN($K$2:$K$34),4)))</f>
        <v>#REF!</v>
      </c>
      <c r="X5" s="278" t="e">
        <f t="array" aca="1" ref="X5" ca="1">IF(ROW()-ROW($M$2:$M$34)+1&gt;ROWS($L$2:$L$34)-COUNTBLANK($L$2:$L$34),"",INDIRECT(ADDRESS(SMALL((IF($L$2:$L$34&lt;&gt;"",ROW($L$2:$L$34),ROW()+ROWS($L$2:$L$34))),ROW()-ROW($M$2:$M$34)+1),COLUMN($L$2:$L$34),4)))</f>
        <v>#REF!</v>
      </c>
      <c r="Y5" s="278" t="e">
        <f t="array" aca="1" ref="Y5" ca="1">IF(ROW()-ROW($N$2:$N$34)+1&gt;ROWS($M$2:$M$34)-COUNTBLANK($M$2:$M$34),"",INDIRECT(ADDRESS(SMALL((IF($M$2:$M$34&lt;&gt;"",ROW($M$2:$M$34),ROW()+ROWS($M$2:$M$34))),ROW()-ROW($N$2:$N$34)+1),COLUMN($M$2:$M$34),4)))</f>
        <v>#REF!</v>
      </c>
    </row>
    <row r="6" spans="1:25" ht="54.95" customHeight="1" x14ac:dyDescent="0.45">
      <c r="A6" s="275" t="str">
        <f>IF('Indicator sheet_(IS)'!P24=0,"",'Indicator sheet_(IS)'!P24)</f>
        <v>optional - incomplete</v>
      </c>
      <c r="B6" s="455">
        <v>4</v>
      </c>
      <c r="C6" s="34">
        <f>IF($A6="I.O.","",'Indicator sheet_(IS)'!A24)</f>
        <v>4</v>
      </c>
      <c r="D6" s="121" t="str">
        <f>IF($A6="I.O.","",'Indicator sheet_(IS)'!C24)</f>
        <v>Psycho-oncological distress-screeing</v>
      </c>
      <c r="E6" s="283" t="str">
        <f>IF(AND('Indicator sheet_(IS)'!J24="",$A6&lt;&gt;"I.O."),"-----",IF($A6="I.O.","",'Indicator sheet_(IS)'!J24))</f>
        <v>-----</v>
      </c>
      <c r="F6" s="309" t="str">
        <f>IF($A6="I.O.","",'Indicator sheet_(IS)'!K24)</f>
        <v>≥ 65%</v>
      </c>
      <c r="G6" s="283" t="str">
        <f>IF(AND('Indicator sheet_(IS)'!M24="",$A6&lt;&gt;"I.O."),"-----",IF($A6="I.O.","",'Indicator sheet_(IS)'!M24))</f>
        <v>-----</v>
      </c>
      <c r="H6" s="308" t="str">
        <f>IF($A6="I.O.","",IF('Indicator sheet_(IS)'!O24="","-----",'Indicator sheet_(IS)'!O24))</f>
        <v>-----</v>
      </c>
      <c r="I6" s="308">
        <f>IF($A6="I.O.","",IF('Indicator sheet_(IS)'!O25="","-----",'Indicator sheet_(IS)'!O25))</f>
        <v>0</v>
      </c>
      <c r="J6" s="276" t="str">
        <f>IF($A6="I.O.","",IF('Indicator sheet_(IS)'!O26="",0,'Indicator sheet_(IS)'!O26))</f>
        <v>n.d.</v>
      </c>
      <c r="K6" s="234" t="str">
        <f>IF($A6="I.O.","",'Indicator sheet_(IS)'!P24)</f>
        <v>optional - incomplete</v>
      </c>
      <c r="L6" s="277" t="str">
        <f>IF(AND('Indicator sheet_(IS)'!Q24="",$A6&lt;&gt;"I.O."),"-----",IF($A6="I.O.","",'Indicator sheet_(IS)'!Q24))</f>
        <v>-----</v>
      </c>
      <c r="M6" s="277" t="str">
        <f>IF(AND('Indicator sheet_(IS)'!R24="",$A6&lt;&gt;"I.O."),"-----",IF($A6="I.O.","",'Indicator sheet_(IS)'!R24))</f>
        <v>-----</v>
      </c>
      <c r="O6" s="217" t="e">
        <f t="array" aca="1" ref="O6" ca="1">IF(ROW()-ROW($D$2:$D$34)+1&gt;ROWS($C$2:$C$34)-COUNTBLANK($C$2:$C$34),"",INDIRECT(ADDRESS(SMALL((IF($C$2:$C$34&lt;&gt;"",ROW($C$2:$C$34),ROW()+ROWS($C$2:$C$34))),ROW()-ROW($D$2:$D$34)+1),COLUMN($C$2:$C$34),4)))</f>
        <v>#REF!</v>
      </c>
      <c r="P6" s="278" t="e">
        <f t="array" aca="1" ref="P6" ca="1">IF(ROW()-ROW($E$2:$E$34)+1&gt;ROWS($D$2:$D$34)-COUNTBLANK($D$2:$D$34),"",INDIRECT(ADDRESS(SMALL((IF($D$2:$D$34&gt;"",ROW($D$2:$D$34),ROW()+ROWS($D$2:$D$34))),ROW()-ROW($E$2:$E$34)+1),COLUMN($D$2:$D$34),4)))</f>
        <v>#REF!</v>
      </c>
      <c r="Q6" s="206" t="e">
        <f t="array" aca="1" ref="Q6" ca="1">IF(ROW()-ROW($F$2:$F$34)+1&gt;ROWS($E$2:$E$34)-COUNTBLANK($E$2:$E$34),"",INDIRECT(ADDRESS(SMALL((IF($E$2:$E$34&gt;"",ROW($E$2:$E$34),ROW()+ROWS($E$2:$E$34))),ROW()-ROW($F$2:$F$34)+1),COLUMN($E$2:$E$34),4)))</f>
        <v>#REF!</v>
      </c>
      <c r="R6" s="206" t="e">
        <f t="array" aca="1" ref="R6" ca="1">IF(ROW()-ROW($G$2:$G$34)+1&gt;ROWS($F$2:$F$34)-COUNTBLANK($F$2:$F$34),"",INDIRECT(ADDRESS(SMALL((IF($F$2:$F$34&gt;"",ROW($F$2:$F$34),ROW()+ROWS($F$2:$F$34))),ROW()-ROW($G$2:$G$34)+1),COLUMN($F$2:$F$34),4)))</f>
        <v>#REF!</v>
      </c>
      <c r="S6" s="206" t="e">
        <f t="array" aca="1" ref="S6" ca="1">IF(ROW()-ROW($H$2:$H$34)+1&gt;ROWS($G$2:$G$29)-COUNTBLANK($G$2:$G$34),"",INDIRECT(ADDRESS(SMALL((IF($G$2:$G$34&lt;&gt;"",ROW($G$2:$G$34),ROW()+ROWS($G$2:$G$34))),ROW()-ROW($H$2:$H$34)+1),COLUMN($G$2:$G$34),4)))</f>
        <v>#REF!</v>
      </c>
      <c r="T6" s="307" t="e">
        <f t="array" aca="1" ref="T6" ca="1">IF(ROW()-ROW($I$2:$I$34)+1&gt;ROWS($H$2:$H$34)-COUNTBLANK($H$2:$H$34),"",INDIRECT(ADDRESS(SMALL((IF($H$2:$H$34&lt;&gt;"",ROW($H$2:$H$34),ROW()+ROWS($H$2:$H$34))),ROW()-ROW($I$2:$I$34)+1),COLUMN($H$2:$H$34),4)))</f>
        <v>#REF!</v>
      </c>
      <c r="U6" s="307" t="e">
        <f t="array" aca="1" ref="U6" ca="1">IF(ROW()-ROW($J$2:$J$34)+1&gt;ROWS($I$2:$I$34)-COUNTBLANK($I$2:$I$34),"",INDIRECT(ADDRESS(SMALL((IF($I$2:$I$34&lt;&gt;"",ROW($I$2:$I$34),ROW()+ROWS($I$2:$I$34))),ROW()-ROW($J$2:$J$34)+1),COLUMN($I$2:$I$34),4)))</f>
        <v>#REF!</v>
      </c>
      <c r="V6" s="279" t="e">
        <f t="array" aca="1" ref="V6" ca="1">IF(ROW()-ROW($K$2:$K$34)+1&gt;ROWS($J$2:$J$34)-COUNTBLANK($J$2:$J$34),"",INDIRECT(ADDRESS(SMALL((IF($J$2:$J$34&lt;&gt;"",ROW($J$2:$J$34),ROW()+ROWS($J$2:$J$34))),ROW()-ROW($K$2:$K$34)+1),COLUMN($J$2:$J$34),4)))</f>
        <v>#REF!</v>
      </c>
      <c r="W6" s="201" t="e">
        <f t="array" aca="1" ref="W6" ca="1">IF(ROW()-ROW($L$2:$L$34)+1&gt;ROWS($K$2:$K$34)-COUNTBLANK($K$2:$K$34),"",INDIRECT(ADDRESS(SMALL((IF($K$2:$K$34&lt;&gt;"",ROW($K$2:$K$34),ROW()+ROWS($K$2:$K$34))),ROW()-ROW($L$2:$L$34)+1),COLUMN($K$2:$K$34),4)))</f>
        <v>#REF!</v>
      </c>
      <c r="X6" s="278" t="e">
        <f t="array" aca="1" ref="X6" ca="1">IF(ROW()-ROW($M$2:$M$34)+1&gt;ROWS($L$2:$L$34)-COUNTBLANK($L$2:$L$34),"",INDIRECT(ADDRESS(SMALL((IF($L$2:$L$34&lt;&gt;"",ROW($L$2:$L$34),ROW()+ROWS($L$2:$L$34))),ROW()-ROW($M$2:$M$34)+1),COLUMN($L$2:$L$34),4)))</f>
        <v>#REF!</v>
      </c>
      <c r="Y6" s="278" t="e">
        <f t="array" aca="1" ref="Y6" ca="1">IF(ROW()-ROW($N$2:$N$34)+1&gt;ROWS($M$2:$M$34)-COUNTBLANK($M$2:$M$34),"",INDIRECT(ADDRESS(SMALL((IF($M$2:$M$34&lt;&gt;"",ROW($M$2:$M$34),ROW()+ROWS($M$2:$M$34))),ROW()-ROW($N$2:$N$34)+1),COLUMN($M$2:$M$34),4)))</f>
        <v>#REF!</v>
      </c>
    </row>
    <row r="7" spans="1:25" ht="54.95" customHeight="1" x14ac:dyDescent="0.45">
      <c r="A7" s="275" t="str">
        <f>IF('Indicator sheet_(IS)'!P27=0,"",'Indicator sheet_(IS)'!P27)</f>
        <v>Incomplete</v>
      </c>
      <c r="B7" s="455">
        <v>5</v>
      </c>
      <c r="C7" s="34">
        <f>IF($A7="I.O.","",'Indicator sheet_(IS)'!A27)</f>
        <v>5</v>
      </c>
      <c r="D7" s="121" t="str">
        <f>IF($A7="I.O.","",'Indicator sheet_(IS)'!C27)</f>
        <v>Social services counselling</v>
      </c>
      <c r="E7" s="283" t="str">
        <f>IF(AND('Indicator sheet_(IS)'!J27="",$A7&lt;&gt;"I.O."),"-----",IF($A7="I.O.","",'Indicator sheet_(IS)'!J27))</f>
        <v>&lt; 50%</v>
      </c>
      <c r="F7" s="309" t="str">
        <f>IF($A7="I.O.","",'Indicator sheet_(IS)'!K27)</f>
        <v>No target value</v>
      </c>
      <c r="G7" s="283" t="str">
        <f>IF(AND('Indicator sheet_(IS)'!M27="",$A7&lt;&gt;"I.O."),"-----",IF($A7="I.O.","",'Indicator sheet_(IS)'!M27))</f>
        <v>-----</v>
      </c>
      <c r="H7" s="308" t="str">
        <f>IF($A7="I.O.","",IF('Indicator sheet_(IS)'!O27="","-----",'Indicator sheet_(IS)'!O27))</f>
        <v>-----</v>
      </c>
      <c r="I7" s="308">
        <f>IF($A7="I.O.","",IF('Indicator sheet_(IS)'!O28="","-----",'Indicator sheet_(IS)'!O28))</f>
        <v>0</v>
      </c>
      <c r="J7" s="276" t="str">
        <f>IF($A7="I.O.","",IF('Indicator sheet_(IS)'!O29="",0,'Indicator sheet_(IS)'!O29))</f>
        <v>n.d.</v>
      </c>
      <c r="K7" s="234" t="str">
        <f>IF($A7="I.O.","",'Indicator sheet_(IS)'!P27)</f>
        <v>Incomplete</v>
      </c>
      <c r="L7" s="277" t="str">
        <f>IF(AND('Indicator sheet_(IS)'!Q27="",$A7&lt;&gt;"I.O."),"-----",IF($A7="I.O.","",'Indicator sheet_(IS)'!Q27))</f>
        <v>-----</v>
      </c>
      <c r="M7" s="277" t="str">
        <f>IF(AND('Indicator sheet_(IS)'!R27="",$A7&lt;&gt;"I.O."),"-----",IF($A7="I.O.","",'Indicator sheet_(IS)'!R27))</f>
        <v>-----</v>
      </c>
      <c r="O7" s="217" t="e">
        <f t="array" aca="1" ref="O7" ca="1">IF(ROW()-ROW($D$2:$D$34)+1&gt;ROWS($C$2:$C$34)-COUNTBLANK($C$2:$C$34),"",INDIRECT(ADDRESS(SMALL((IF($C$2:$C$34&lt;&gt;"",ROW($C$2:$C$34),ROW()+ROWS($C$2:$C$34))),ROW()-ROW($D$2:$D$34)+1),COLUMN($C$2:$C$34),4)))</f>
        <v>#REF!</v>
      </c>
      <c r="P7" s="278" t="e">
        <f t="array" aca="1" ref="P7" ca="1">IF(ROW()-ROW($E$2:$E$34)+1&gt;ROWS($D$2:$D$34)-COUNTBLANK($D$2:$D$34),"",INDIRECT(ADDRESS(SMALL((IF($D$2:$D$34&gt;"",ROW($D$2:$D$34),ROW()+ROWS($D$2:$D$34))),ROW()-ROW($E$2:$E$34)+1),COLUMN($D$2:$D$34),4)))</f>
        <v>#REF!</v>
      </c>
      <c r="Q7" s="206" t="e">
        <f t="array" aca="1" ref="Q7" ca="1">IF(ROW()-ROW($F$2:$F$34)+1&gt;ROWS($E$2:$E$34)-COUNTBLANK($E$2:$E$34),"",INDIRECT(ADDRESS(SMALL((IF($E$2:$E$34&gt;"",ROW($E$2:$E$34),ROW()+ROWS($E$2:$E$34))),ROW()-ROW($F$2:$F$34)+1),COLUMN($E$2:$E$34),4)))</f>
        <v>#REF!</v>
      </c>
      <c r="R7" s="206" t="e">
        <f t="array" aca="1" ref="R7" ca="1">IF(ROW()-ROW($G$2:$G$34)+1&gt;ROWS($F$2:$F$34)-COUNTBLANK($F$2:$F$34),"",INDIRECT(ADDRESS(SMALL((IF($F$2:$F$34&gt;"",ROW($F$2:$F$34),ROW()+ROWS($F$2:$F$34))),ROW()-ROW($G$2:$G$34)+1),COLUMN($F$2:$F$34),4)))</f>
        <v>#REF!</v>
      </c>
      <c r="S7" s="206" t="e">
        <f t="array" aca="1" ref="S7" ca="1">IF(ROW()-ROW($H$2:$H$34)+1&gt;ROWS($G$2:$G$29)-COUNTBLANK($G$2:$G$34),"",INDIRECT(ADDRESS(SMALL((IF($G$2:$G$34&lt;&gt;"",ROW($G$2:$G$34),ROW()+ROWS($G$2:$G$34))),ROW()-ROW($H$2:$H$34)+1),COLUMN($G$2:$G$34),4)))</f>
        <v>#REF!</v>
      </c>
      <c r="T7" s="307" t="e">
        <f t="array" aca="1" ref="T7" ca="1">IF(ROW()-ROW($I$2:$I$34)+1&gt;ROWS($H$2:$H$34)-COUNTBLANK($H$2:$H$34),"",INDIRECT(ADDRESS(SMALL((IF($H$2:$H$34&lt;&gt;"",ROW($H$2:$H$34),ROW()+ROWS($H$2:$H$34))),ROW()-ROW($I$2:$I$34)+1),COLUMN($H$2:$H$34),4)))</f>
        <v>#REF!</v>
      </c>
      <c r="U7" s="307" t="e">
        <f t="array" aca="1" ref="U7" ca="1">IF(ROW()-ROW($J$2:$J$34)+1&gt;ROWS($I$2:$I$34)-COUNTBLANK($I$2:$I$34),"",INDIRECT(ADDRESS(SMALL((IF($I$2:$I$34&lt;&gt;"",ROW($I$2:$I$34),ROW()+ROWS($I$2:$I$34))),ROW()-ROW($J$2:$J$34)+1),COLUMN($I$2:$I$34),4)))</f>
        <v>#REF!</v>
      </c>
      <c r="V7" s="279" t="e">
        <f t="array" aca="1" ref="V7" ca="1">IF(ROW()-ROW($K$2:$K$34)+1&gt;ROWS($J$2:$J$34)-COUNTBLANK($J$2:$J$34),"",INDIRECT(ADDRESS(SMALL((IF($J$2:$J$34&lt;&gt;"",ROW($J$2:$J$34),ROW()+ROWS($J$2:$J$34))),ROW()-ROW($K$2:$K$34)+1),COLUMN($J$2:$J$34),4)))</f>
        <v>#REF!</v>
      </c>
      <c r="W7" s="201" t="e">
        <f t="array" aca="1" ref="W7" ca="1">IF(ROW()-ROW($L$2:$L$34)+1&gt;ROWS($K$2:$K$34)-COUNTBLANK($K$2:$K$34),"",INDIRECT(ADDRESS(SMALL((IF($K$2:$K$34&lt;&gt;"",ROW($K$2:$K$34),ROW()+ROWS($K$2:$K$34))),ROW()-ROW($L$2:$L$34)+1),COLUMN($K$2:$K$34),4)))</f>
        <v>#REF!</v>
      </c>
      <c r="X7" s="278" t="e">
        <f t="array" aca="1" ref="X7" ca="1">IF(ROW()-ROW($M$2:$M$34)+1&gt;ROWS($L$2:$L$34)-COUNTBLANK($L$2:$L$34),"",INDIRECT(ADDRESS(SMALL((IF($L$2:$L$34&lt;&gt;"",ROW($L$2:$L$34),ROW()+ROWS($L$2:$L$34))),ROW()-ROW($M$2:$M$34)+1),COLUMN($L$2:$L$34),4)))</f>
        <v>#REF!</v>
      </c>
      <c r="Y7" s="278" t="e">
        <f t="array" aca="1" ref="Y7" ca="1">IF(ROW()-ROW($N$2:$N$34)+1&gt;ROWS($M$2:$M$34)-COUNTBLANK($M$2:$M$34),"",INDIRECT(ADDRESS(SMALL((IF($M$2:$M$34&lt;&gt;"",ROW($M$2:$M$34),ROW()+ROWS($M$2:$M$34))),ROW()-ROW($N$2:$N$34)+1),COLUMN($M$2:$M$34),4)))</f>
        <v>#REF!</v>
      </c>
    </row>
    <row r="8" spans="1:25" ht="54.95" customHeight="1" x14ac:dyDescent="0.45">
      <c r="A8" s="275" t="str">
        <f>IF('Indicator sheet_(IS)'!P30=0,"",'Indicator sheet_(IS)'!P30)</f>
        <v>Incomplete</v>
      </c>
      <c r="B8" s="455">
        <v>6</v>
      </c>
      <c r="C8" s="34" t="str">
        <f>IF($A8="I.O.","",LEFT('Indicator sheet_(IS)'!A30,1))</f>
        <v>6</v>
      </c>
      <c r="D8" s="121" t="str">
        <f>IF($A8="I.O.","",'Indicator sheet_(IS)'!C30)</f>
        <v xml:space="preserve">Patients enrolled in a study </v>
      </c>
      <c r="E8" s="283" t="str">
        <f>IF(AND('Indicator sheet_(IS)'!J30="",$A8&lt;&gt;"I.O."),"-----",IF($A8="I.O.","",'Indicator sheet_(IS)'!J30))</f>
        <v>-----</v>
      </c>
      <c r="F8" s="309" t="str">
        <f>IF($A8="I.O.","",'Indicator sheet_(IS)'!K30)</f>
        <v>≥ 5%</v>
      </c>
      <c r="G8" s="283" t="str">
        <f>IF(AND('Indicator sheet_(IS)'!M30="",$A8&lt;&gt;"I.O."),"-----",IF($A8="I.O.","",'Indicator sheet_(IS)'!M30))</f>
        <v>-----</v>
      </c>
      <c r="H8" s="308" t="str">
        <f>IF($A8="I.O.","",IF('Indicator sheet_(IS)'!O30="","-----",'Indicator sheet_(IS)'!O30))</f>
        <v>-----</v>
      </c>
      <c r="I8" s="308">
        <f>IF($A8="I.O.","",IF('Indicator sheet_(IS)'!O31="","-----",'Indicator sheet_(IS)'!O31))</f>
        <v>0</v>
      </c>
      <c r="J8" s="276" t="str">
        <f>IF($A8="I.O.","",IF('Indicator sheet_(IS)'!O32="",0,'Indicator sheet_(IS)'!O32))</f>
        <v>n.d.</v>
      </c>
      <c r="K8" s="234" t="str">
        <f>IF($A8="I.O.","",'Indicator sheet_(IS)'!P30)</f>
        <v>Incomplete</v>
      </c>
      <c r="L8" s="277" t="str">
        <f>IF(AND('Indicator sheet_(IS)'!Q30="",$A8&lt;&gt;"I.O."),"-----",IF($A8="I.O.","",'Indicator sheet_(IS)'!Q30))</f>
        <v>-----</v>
      </c>
      <c r="M8" s="277" t="str">
        <f>IF(AND('Indicator sheet_(IS)'!R30="",$A8&lt;&gt;"I.O."),"-----",IF($A8="I.O.","",'Indicator sheet_(IS)'!R30))</f>
        <v>-----</v>
      </c>
      <c r="O8" s="217" t="e">
        <f t="array" aca="1" ref="O8" ca="1">IF(ROW()-ROW($D$2:$D$34)+1&gt;ROWS($C$2:$C$34)-COUNTBLANK($C$2:$C$34),"",INDIRECT(ADDRESS(SMALL((IF($C$2:$C$34&lt;&gt;"",ROW($C$2:$C$34),ROW()+ROWS($C$2:$C$34))),ROW()-ROW($D$2:$D$34)+1),COLUMN($C$2:$C$34),4)))</f>
        <v>#REF!</v>
      </c>
      <c r="P8" s="278" t="e">
        <f t="array" aca="1" ref="P8" ca="1">IF(ROW()-ROW($E$2:$E$34)+1&gt;ROWS($D$2:$D$34)-COUNTBLANK($D$2:$D$34),"",INDIRECT(ADDRESS(SMALL((IF($D$2:$D$34&gt;"",ROW($D$2:$D$34),ROW()+ROWS($D$2:$D$34))),ROW()-ROW($E$2:$E$34)+1),COLUMN($D$2:$D$34),4)))</f>
        <v>#REF!</v>
      </c>
      <c r="Q8" s="206" t="e">
        <f t="array" aca="1" ref="Q8" ca="1">IF(ROW()-ROW($F$2:$F$34)+1&gt;ROWS($E$2:$E$34)-COUNTBLANK($E$2:$E$34),"",INDIRECT(ADDRESS(SMALL((IF($E$2:$E$34&gt;"",ROW($E$2:$E$34),ROW()+ROWS($E$2:$E$34))),ROW()-ROW($F$2:$F$34)+1),COLUMN($E$2:$E$34),4)))</f>
        <v>#REF!</v>
      </c>
      <c r="R8" s="206" t="e">
        <f t="array" aca="1" ref="R8" ca="1">IF(ROW()-ROW($G$2:$G$34)+1&gt;ROWS($F$2:$F$34)-COUNTBLANK($F$2:$F$34),"",INDIRECT(ADDRESS(SMALL((IF($F$2:$F$34&gt;"",ROW($F$2:$F$34),ROW()+ROWS($F$2:$F$34))),ROW()-ROW($G$2:$G$34)+1),COLUMN($F$2:$F$34),4)))</f>
        <v>#REF!</v>
      </c>
      <c r="S8" s="206" t="e">
        <f t="array" aca="1" ref="S8" ca="1">IF(ROW()-ROW($H$2:$H$34)+1&gt;ROWS($G$2:$G$29)-COUNTBLANK($G$2:$G$34),"",INDIRECT(ADDRESS(SMALL((IF($G$2:$G$34&lt;&gt;"",ROW($G$2:$G$34),ROW()+ROWS($G$2:$G$34))),ROW()-ROW($H$2:$H$34)+1),COLUMN($G$2:$G$34),4)))</f>
        <v>#REF!</v>
      </c>
      <c r="T8" s="307" t="e">
        <f t="array" aca="1" ref="T8" ca="1">IF(ROW()-ROW($I$2:$I$34)+1&gt;ROWS($H$2:$H$34)-COUNTBLANK($H$2:$H$34),"",INDIRECT(ADDRESS(SMALL((IF($H$2:$H$34&lt;&gt;"",ROW($H$2:$H$34),ROW()+ROWS($H$2:$H$34))),ROW()-ROW($I$2:$I$34)+1),COLUMN($H$2:$H$34),4)))</f>
        <v>#REF!</v>
      </c>
      <c r="U8" s="307" t="e">
        <f t="array" aca="1" ref="U8" ca="1">IF(ROW()-ROW($J$2:$J$34)+1&gt;ROWS($I$2:$I$34)-COUNTBLANK($I$2:$I$34),"",INDIRECT(ADDRESS(SMALL((IF($I$2:$I$34&lt;&gt;"",ROW($I$2:$I$34),ROW()+ROWS($I$2:$I$34))),ROW()-ROW($J$2:$J$34)+1),COLUMN($I$2:$I$34),4)))</f>
        <v>#REF!</v>
      </c>
      <c r="V8" s="279" t="e">
        <f t="array" aca="1" ref="V8" ca="1">IF(ROW()-ROW($K$2:$K$34)+1&gt;ROWS($J$2:$J$34)-COUNTBLANK($J$2:$J$34),"",INDIRECT(ADDRESS(SMALL((IF($J$2:$J$34&lt;&gt;"",ROW($J$2:$J$34),ROW()+ROWS($J$2:$J$34))),ROW()-ROW($K$2:$K$34)+1),COLUMN($J$2:$J$34),4)))</f>
        <v>#REF!</v>
      </c>
      <c r="W8" s="201" t="e">
        <f t="array" aca="1" ref="W8" ca="1">IF(ROW()-ROW($L$2:$L$34)+1&gt;ROWS($K$2:$K$34)-COUNTBLANK($K$2:$K$34),"",INDIRECT(ADDRESS(SMALL((IF($K$2:$K$34&lt;&gt;"",ROW($K$2:$K$34),ROW()+ROWS($K$2:$K$34))),ROW()-ROW($L$2:$L$34)+1),COLUMN($K$2:$K$34),4)))</f>
        <v>#REF!</v>
      </c>
      <c r="X8" s="278" t="e">
        <f t="array" aca="1" ref="X8" ca="1">IF(ROW()-ROW($M$2:$M$34)+1&gt;ROWS($L$2:$L$34)-COUNTBLANK($L$2:$L$34),"",INDIRECT(ADDRESS(SMALL((IF($L$2:$L$34&lt;&gt;"",ROW($L$2:$L$34),ROW()+ROWS($L$2:$L$34))),ROW()-ROW($M$2:$M$34)+1),COLUMN($L$2:$L$34),4)))</f>
        <v>#REF!</v>
      </c>
      <c r="Y8" s="278" t="e">
        <f t="array" aca="1" ref="Y8" ca="1">IF(ROW()-ROW($N$2:$N$34)+1&gt;ROWS($M$2:$M$34)-COUNTBLANK($M$2:$M$34),"",INDIRECT(ADDRESS(SMALL((IF($M$2:$M$34&lt;&gt;"",ROW($M$2:$M$34),ROW()+ROWS($M$2:$M$34))),ROW()-ROW($N$2:$N$34)+1),COLUMN($M$2:$M$34),4)))</f>
        <v>#REF!</v>
      </c>
    </row>
    <row r="9" spans="1:25" ht="54.95" customHeight="1" x14ac:dyDescent="0.45">
      <c r="A9" s="275" t="str">
        <f>IF('Indicator sheet_(IS)'!P33=0,"",'Indicator sheet_(IS)'!P33)</f>
        <v>Incomplete</v>
      </c>
      <c r="B9" s="455">
        <v>7</v>
      </c>
      <c r="C9" s="34" t="str">
        <f>IF($A9="I.O.","",LEFT('Indicator sheet_(IS)'!A33,1))</f>
        <v>7</v>
      </c>
      <c r="D9" s="121" t="str">
        <f>IF($A9="I.O.","",'Indicator sheet_(IS)'!C33)</f>
        <v>Colorectal carcinoma patients with a recorded family history</v>
      </c>
      <c r="E9" s="283" t="str">
        <f>IF(AND('Indicator sheet_(IS)'!J33="",$A9&lt;&gt;"I.O."),"-----",IF($A9="I.O.","",'Indicator sheet_(IS)'!J33))</f>
        <v>-----</v>
      </c>
      <c r="F9" s="309" t="str">
        <f>IF($A9="I.O.","",'Indicator sheet_(IS)'!K33)</f>
        <v>≥ 90%</v>
      </c>
      <c r="G9" s="283" t="str">
        <f>IF(AND('Indicator sheet_(IS)'!M33="",$A9&lt;&gt;"I.O."),"-----",IF($A9="I.O.","",'Indicator sheet_(IS)'!M33))</f>
        <v>-----</v>
      </c>
      <c r="H9" s="308" t="str">
        <f>IF($A9="I.O.","",IF('Indicator sheet_(IS)'!O33="","-----",'Indicator sheet_(IS)'!O33))</f>
        <v>-----</v>
      </c>
      <c r="I9" s="308">
        <f>IF($A9="I.O.","",IF('Indicator sheet_(IS)'!O34="","-----",'Indicator sheet_(IS)'!O34))</f>
        <v>0</v>
      </c>
      <c r="J9" s="276" t="str">
        <f>IF($A9="I.O.","",IF('Indicator sheet_(IS)'!O35="","-----",'Indicator sheet_(IS)'!O35))</f>
        <v>n.d.</v>
      </c>
      <c r="K9" s="234" t="str">
        <f>IF($A9="I.O.","",'Indicator sheet_(IS)'!P33)</f>
        <v>Incomplete</v>
      </c>
      <c r="L9" s="277" t="str">
        <f>IF(AND('Indicator sheet_(IS)'!Q33="",$A9&lt;&gt;"I.O."),"-----",IF($A9="I.O.","",'Indicator sheet_(IS)'!Q33))</f>
        <v>-----</v>
      </c>
      <c r="M9" s="277" t="str">
        <f>IF(AND('Indicator sheet_(IS)'!R33="",$A9&lt;&gt;"I.O."),"-----",IF($A9="I.O.","",'Indicator sheet_(IS)'!R33))</f>
        <v>-----</v>
      </c>
      <c r="O9" s="217" t="e">
        <f t="array" aca="1" ref="O9" ca="1">IF(ROW()-ROW($D$2:$D$34)+1&gt;ROWS($C$2:$C$34)-COUNTBLANK($C$2:$C$34),"",INDIRECT(ADDRESS(SMALL((IF($C$2:$C$34&lt;&gt;"",ROW($C$2:$C$34),ROW()+ROWS($C$2:$C$34))),ROW()-ROW($D$2:$D$34)+1),COLUMN($C$2:$C$34),4)))</f>
        <v>#REF!</v>
      </c>
      <c r="P9" s="278" t="e">
        <f t="array" aca="1" ref="P9" ca="1">IF(ROW()-ROW($E$2:$E$34)+1&gt;ROWS($D$2:$D$34)-COUNTBLANK($D$2:$D$34),"",INDIRECT(ADDRESS(SMALL((IF($D$2:$D$34&gt;"",ROW($D$2:$D$34),ROW()+ROWS($D$2:$D$34))),ROW()-ROW($E$2:$E$34)+1),COLUMN($D$2:$D$34),4)))</f>
        <v>#REF!</v>
      </c>
      <c r="Q9" s="206" t="e">
        <f t="array" aca="1" ref="Q9" ca="1">IF(ROW()-ROW($F$2:$F$34)+1&gt;ROWS($E$2:$E$34)-COUNTBLANK($E$2:$E$34),"",INDIRECT(ADDRESS(SMALL((IF($E$2:$E$34&gt;"",ROW($E$2:$E$34),ROW()+ROWS($E$2:$E$34))),ROW()-ROW($F$2:$F$34)+1),COLUMN($E$2:$E$34),4)))</f>
        <v>#REF!</v>
      </c>
      <c r="R9" s="206" t="e">
        <f t="array" aca="1" ref="R9" ca="1">IF(ROW()-ROW($G$2:$G$34)+1&gt;ROWS($F$2:$F$34)-COUNTBLANK($F$2:$F$34),"",INDIRECT(ADDRESS(SMALL((IF($F$2:$F$34&gt;"",ROW($F$2:$F$34),ROW()+ROWS($F$2:$F$34))),ROW()-ROW($G$2:$G$34)+1),COLUMN($F$2:$F$34),4)))</f>
        <v>#REF!</v>
      </c>
      <c r="S9" s="206" t="e">
        <f t="array" aca="1" ref="S9" ca="1">IF(ROW()-ROW($H$2:$H$34)+1&gt;ROWS($G$2:$G$29)-COUNTBLANK($G$2:$G$34),"",INDIRECT(ADDRESS(SMALL((IF($G$2:$G$34&lt;&gt;"",ROW($G$2:$G$34),ROW()+ROWS($G$2:$G$34))),ROW()-ROW($H$2:$H$34)+1),COLUMN($G$2:$G$34),4)))</f>
        <v>#REF!</v>
      </c>
      <c r="T9" s="307" t="e">
        <f t="array" aca="1" ref="T9" ca="1">IF(ROW()-ROW($I$2:$I$34)+1&gt;ROWS($H$2:$H$34)-COUNTBLANK($H$2:$H$34),"",INDIRECT(ADDRESS(SMALL((IF($H$2:$H$34&lt;&gt;"",ROW($H$2:$H$34),ROW()+ROWS($H$2:$H$34))),ROW()-ROW($I$2:$I$34)+1),COLUMN($H$2:$H$34),4)))</f>
        <v>#REF!</v>
      </c>
      <c r="U9" s="307" t="e">
        <f t="array" aca="1" ref="U9" ca="1">IF(ROW()-ROW($J$2:$J$34)+1&gt;ROWS($I$2:$I$34)-COUNTBLANK($I$2:$I$34),"",INDIRECT(ADDRESS(SMALL((IF($I$2:$I$34&lt;&gt;"",ROW($I$2:$I$34),ROW()+ROWS($I$2:$I$34))),ROW()-ROW($J$2:$J$34)+1),COLUMN($I$2:$I$34),4)))</f>
        <v>#REF!</v>
      </c>
      <c r="V9" s="279" t="e">
        <f t="array" aca="1" ref="V9" ca="1">IF(ROW()-ROW($K$2:$K$34)+1&gt;ROWS($J$2:$J$34)-COUNTBLANK($J$2:$J$34),"",INDIRECT(ADDRESS(SMALL((IF($J$2:$J$34&lt;&gt;"",ROW($J$2:$J$34),ROW()+ROWS($J$2:$J$34))),ROW()-ROW($K$2:$K$34)+1),COLUMN($J$2:$J$34),4)))</f>
        <v>#REF!</v>
      </c>
      <c r="W9" s="201" t="e">
        <f t="array" aca="1" ref="W9" ca="1">IF(ROW()-ROW($L$2:$L$34)+1&gt;ROWS($K$2:$K$34)-COUNTBLANK($K$2:$K$34),"",INDIRECT(ADDRESS(SMALL((IF($K$2:$K$34&lt;&gt;"",ROW($K$2:$K$34),ROW()+ROWS($K$2:$K$34))),ROW()-ROW($L$2:$L$34)+1),COLUMN($K$2:$K$34),4)))</f>
        <v>#REF!</v>
      </c>
      <c r="X9" s="278" t="e">
        <f t="array" aca="1" ref="X9" ca="1">IF(ROW()-ROW($M$2:$M$34)+1&gt;ROWS($L$2:$L$34)-COUNTBLANK($L$2:$L$34),"",INDIRECT(ADDRESS(SMALL((IF($L$2:$L$34&lt;&gt;"",ROW($L$2:$L$34),ROW()+ROWS($L$2:$L$34))),ROW()-ROW($M$2:$M$34)+1),COLUMN($L$2:$L$34),4)))</f>
        <v>#REF!</v>
      </c>
      <c r="Y9" s="278" t="e">
        <f t="array" aca="1" ref="Y9" ca="1">IF(ROW()-ROW($N$2:$N$34)+1&gt;ROWS($M$2:$M$34)-COUNTBLANK($M$2:$M$34),"",INDIRECT(ADDRESS(SMALL((IF($M$2:$M$34&lt;&gt;"",ROW($M$2:$M$34),ROW()+ROWS($M$2:$M$34))),ROW()-ROW($N$2:$N$34)+1),COLUMN($M$2:$M$34),4)))</f>
        <v>#REF!</v>
      </c>
    </row>
    <row r="10" spans="1:25" ht="54.95" customHeight="1" x14ac:dyDescent="0.45">
      <c r="A10" s="275" t="str">
        <f>IF('Indicator sheet_(IS)'!P36=0,"",'Indicator sheet_(IS)'!P36)</f>
        <v>Incomplete</v>
      </c>
      <c r="B10" s="454">
        <v>8</v>
      </c>
      <c r="C10" s="34">
        <f>IF($A10="I.O.","",'Indicator sheet_(IS)'!A36)</f>
        <v>8</v>
      </c>
      <c r="D10" s="121" t="str">
        <f>IF($A10="I.O.","",'Indicator sheet_(IS)'!C36)</f>
        <v>Genetic counselling</v>
      </c>
      <c r="E10" s="283" t="str">
        <f>IF(AND('Indicator sheet_(IS)'!J36="",$A10&lt;&gt;"I.O."),"-----",IF($A10="I.O.","",'Indicator sheet_(IS)'!J36))</f>
        <v>-----</v>
      </c>
      <c r="F10" s="309" t="str">
        <f>IF($A10="I.O.","",'Indicator sheet_(IS)'!K36)</f>
        <v>≥ 90%</v>
      </c>
      <c r="G10" s="283" t="str">
        <f>IF(AND('Indicator sheet_(IS)'!M36="",$A10&lt;&gt;"I.O."),"-----",IF($A10="I.O.","",'Indicator sheet_(IS)'!M36))</f>
        <v>-----</v>
      </c>
      <c r="H10" s="308" t="str">
        <f>IF($A10="I.O.","",IF('Indicator sheet_(IS)'!O36="","-----",'Indicator sheet_(IS)'!O36))</f>
        <v>-----</v>
      </c>
      <c r="I10" s="308" t="str">
        <f>IF($A10="I.O.","",IF('Indicator sheet_(IS)'!O37="","-----",'Indicator sheet_(IS)'!O37))</f>
        <v>-----</v>
      </c>
      <c r="J10" s="276" t="str">
        <f>IF($A10="I.O.","",IF('Indicator sheet_(IS)'!O38="","-----",'Indicator sheet_(IS)'!O38))</f>
        <v>n.d.</v>
      </c>
      <c r="K10" s="234" t="str">
        <f>IF($A10="I.O.","",'Indicator sheet_(IS)'!P36)</f>
        <v>Incomplete</v>
      </c>
      <c r="L10" s="277" t="str">
        <f>IF(AND('Indicator sheet_(IS)'!Q36="",$A10&lt;&gt;"I.O."),"-----",IF($A10="I.O.","",'Indicator sheet_(IS)'!Q36))</f>
        <v>-----</v>
      </c>
      <c r="M10" s="277" t="str">
        <f>IF(AND('Indicator sheet_(IS)'!R36="",$A10&lt;&gt;"I.O."),"-----",IF($A10="I.O.","",'Indicator sheet_(IS)'!R36))</f>
        <v>-----</v>
      </c>
      <c r="O10" s="217" t="e">
        <f t="array" aca="1" ref="O10" ca="1">IF(ROW()-ROW($D$2:$D$34)+1&gt;ROWS($C$2:$C$34)-COUNTBLANK($C$2:$C$34),"",INDIRECT(ADDRESS(SMALL((IF($C$2:$C$34&lt;&gt;"",ROW($C$2:$C$34),ROW()+ROWS($C$2:$C$34))),ROW()-ROW($D$2:$D$34)+1),COLUMN($C$2:$C$34),4)))</f>
        <v>#REF!</v>
      </c>
      <c r="P10" s="278" t="e">
        <f t="array" aca="1" ref="P10" ca="1">IF(ROW()-ROW($E$2:$E$34)+1&gt;ROWS($D$2:$D$34)-COUNTBLANK($D$2:$D$34),"",INDIRECT(ADDRESS(SMALL((IF($D$2:$D$34&gt;"",ROW($D$2:$D$34),ROW()+ROWS($D$2:$D$34))),ROW()-ROW($E$2:$E$34)+1),COLUMN($D$2:$D$34),4)))</f>
        <v>#REF!</v>
      </c>
      <c r="Q10" s="206" t="e">
        <f t="array" aca="1" ref="Q10" ca="1">IF(ROW()-ROW($F$2:$F$34)+1&gt;ROWS($E$2:$E$34)-COUNTBLANK($E$2:$E$34),"",INDIRECT(ADDRESS(SMALL((IF($E$2:$E$34&gt;"",ROW($E$2:$E$34),ROW()+ROWS($E$2:$E$34))),ROW()-ROW($F$2:$F$34)+1),COLUMN($E$2:$E$34),4)))</f>
        <v>#REF!</v>
      </c>
      <c r="R10" s="206" t="e">
        <f t="array" aca="1" ref="R10" ca="1">IF(ROW()-ROW($G$2:$G$34)+1&gt;ROWS($F$2:$F$34)-COUNTBLANK($F$2:$F$34),"",INDIRECT(ADDRESS(SMALL((IF($F$2:$F$34&gt;"",ROW($F$2:$F$34),ROW()+ROWS($F$2:$F$34))),ROW()-ROW($G$2:$G$34)+1),COLUMN($F$2:$F$34),4)))</f>
        <v>#REF!</v>
      </c>
      <c r="S10" s="206" t="e">
        <f t="array" aca="1" ref="S10" ca="1">IF(ROW()-ROW($H$2:$H$34)+1&gt;ROWS($G$2:$G$29)-COUNTBLANK($G$2:$G$34),"",INDIRECT(ADDRESS(SMALL((IF($G$2:$G$34&lt;&gt;"",ROW($G$2:$G$34),ROW()+ROWS($G$2:$G$34))),ROW()-ROW($H$2:$H$34)+1),COLUMN($G$2:$G$34),4)))</f>
        <v>#REF!</v>
      </c>
      <c r="T10" s="307" t="e">
        <f t="array" aca="1" ref="T10" ca="1">IF(ROW()-ROW($I$2:$I$34)+1&gt;ROWS($H$2:$H$34)-COUNTBLANK($H$2:$H$34),"",INDIRECT(ADDRESS(SMALL((IF($H$2:$H$34&lt;&gt;"",ROW($H$2:$H$34),ROW()+ROWS($H$2:$H$34))),ROW()-ROW($I$2:$I$34)+1),COLUMN($H$2:$H$34),4)))</f>
        <v>#REF!</v>
      </c>
      <c r="U10" s="307" t="e">
        <f t="array" aca="1" ref="U10" ca="1">IF(ROW()-ROW($J$2:$J$34)+1&gt;ROWS($I$2:$I$34)-COUNTBLANK($I$2:$I$34),"",INDIRECT(ADDRESS(SMALL((IF($I$2:$I$34&lt;&gt;"",ROW($I$2:$I$34),ROW()+ROWS($I$2:$I$34))),ROW()-ROW($J$2:$J$34)+1),COLUMN($I$2:$I$34),4)))</f>
        <v>#REF!</v>
      </c>
      <c r="V10" s="279" t="e">
        <f t="array" aca="1" ref="V10" ca="1">IF(ROW()-ROW($K$2:$K$34)+1&gt;ROWS($J$2:$J$34)-COUNTBLANK($J$2:$J$34),"",INDIRECT(ADDRESS(SMALL((IF($J$2:$J$34&lt;&gt;"",ROW($J$2:$J$34),ROW()+ROWS($J$2:$J$34))),ROW()-ROW($K$2:$K$34)+1),COLUMN($J$2:$J$34),4)))</f>
        <v>#REF!</v>
      </c>
      <c r="W10" s="201" t="e">
        <f t="array" aca="1" ref="W10" ca="1">IF(ROW()-ROW($L$2:$L$34)+1&gt;ROWS($K$2:$K$34)-COUNTBLANK($K$2:$K$34),"",INDIRECT(ADDRESS(SMALL((IF($K$2:$K$34&lt;&gt;"",ROW($K$2:$K$34),ROW()+ROWS($K$2:$K$34))),ROW()-ROW($L$2:$L$34)+1),COLUMN($K$2:$K$34),4)))</f>
        <v>#REF!</v>
      </c>
      <c r="X10" s="278" t="e">
        <f t="array" aca="1" ref="X10" ca="1">IF(ROW()-ROW($M$2:$M$34)+1&gt;ROWS($L$2:$L$34)-COUNTBLANK($L$2:$L$34),"",INDIRECT(ADDRESS(SMALL((IF($L$2:$L$34&lt;&gt;"",ROW($L$2:$L$34),ROW()+ROWS($L$2:$L$34))),ROW()-ROW($M$2:$M$34)+1),COLUMN($L$2:$L$34),4)))</f>
        <v>#REF!</v>
      </c>
      <c r="Y10" s="278" t="e">
        <f t="array" aca="1" ref="Y10" ca="1">IF(ROW()-ROW($N$2:$N$34)+1&gt;ROWS($M$2:$M$34)-COUNTBLANK($M$2:$M$34),"",INDIRECT(ADDRESS(SMALL((IF($M$2:$M$34&lt;&gt;"",ROW($M$2:$M$34),ROW()+ROWS($M$2:$M$34))),ROW()-ROW($N$2:$N$34)+1),COLUMN($M$2:$M$34),4)))</f>
        <v>#REF!</v>
      </c>
    </row>
    <row r="11" spans="1:25" ht="54.95" customHeight="1" x14ac:dyDescent="0.45">
      <c r="A11" s="275" t="str">
        <f>IF('Indicator sheet_(IS)'!P39=0,"",'Indicator sheet_(IS)'!P39)</f>
        <v>Incomplete</v>
      </c>
      <c r="B11" s="455">
        <v>9</v>
      </c>
      <c r="C11" s="34">
        <f>IF($A11="I.O.","",'Indicator sheet_(IS)'!A39)</f>
        <v>9</v>
      </c>
      <c r="D11" s="121" t="str">
        <f>IF($A11="I.O.","",'Indicator sheet_(IS)'!C39)</f>
        <v>MMR assessment</v>
      </c>
      <c r="E11" s="283" t="str">
        <f>IF(AND('Indicator sheet_(IS)'!J39="",$A11&lt;&gt;"I.O."),"-----",IF($A11="I.O.","",'Indicator sheet_(IS)'!J39))</f>
        <v>-----</v>
      </c>
      <c r="F11" s="309" t="str">
        <f>IF($A11="I.O.","",'Indicator sheet_(IS)'!K39)</f>
        <v>≥ 90%</v>
      </c>
      <c r="G11" s="283" t="str">
        <f>IF(AND('Indicator sheet_(IS)'!M39="",$A11&lt;&gt;"I.O."),"-----",IF($A11="I.O.","",'Indicator sheet_(IS)'!M39))</f>
        <v>-----</v>
      </c>
      <c r="H11" s="308" t="str">
        <f>IF($A11="I.O.","",IF('Indicator sheet_(IS)'!O39="","-----",'Indicator sheet_(IS)'!O39))</f>
        <v>-----</v>
      </c>
      <c r="I11" s="308" t="str">
        <f>IF($A11="I.O.","",IF('Indicator sheet_(IS)'!O40="","-----",'Indicator sheet_(IS)'!O40))</f>
        <v>-----</v>
      </c>
      <c r="J11" s="276" t="str">
        <f>IF($A11="I.O.","",IF('Indicator sheet_(IS)'!O41="",0,'Indicator sheet_(IS)'!O41))</f>
        <v>n.d.</v>
      </c>
      <c r="K11" s="234" t="str">
        <f>IF($A11="I.O.","",'Indicator sheet_(IS)'!P39)</f>
        <v>Incomplete</v>
      </c>
      <c r="L11" s="277" t="str">
        <f>IF(AND('Indicator sheet_(IS)'!Q39="",$A11&lt;&gt;"I.O."),"-----",IF($A11="I.O.","",'Indicator sheet_(IS)'!Q39))</f>
        <v>-----</v>
      </c>
      <c r="M11" s="277" t="str">
        <f>IF(AND('Indicator sheet_(IS)'!R39="",$A11&lt;&gt;"I.O."),"-----",IF($A11="I.O.","",'Indicator sheet_(IS)'!R39))</f>
        <v>-----</v>
      </c>
      <c r="O11" s="217" t="e">
        <f t="array" aca="1" ref="O11" ca="1">IF(ROW()-ROW($D$2:$D$34)+1&gt;ROWS($C$2:$C$34)-COUNTBLANK($C$2:$C$34),"",INDIRECT(ADDRESS(SMALL((IF($C$2:$C$34&lt;&gt;"",ROW($C$2:$C$34),ROW()+ROWS($C$2:$C$34))),ROW()-ROW($D$2:$D$34)+1),COLUMN($C$2:$C$34),4)))</f>
        <v>#REF!</v>
      </c>
      <c r="P11" s="278" t="e">
        <f t="array" aca="1" ref="P11" ca="1">IF(ROW()-ROW($E$2:$E$34)+1&gt;ROWS($D$2:$D$34)-COUNTBLANK($D$2:$D$34),"",INDIRECT(ADDRESS(SMALL((IF($D$2:$D$34&gt;"",ROW($D$2:$D$34),ROW()+ROWS($D$2:$D$34))),ROW()-ROW($E$2:$E$34)+1),COLUMN($D$2:$D$34),4)))</f>
        <v>#REF!</v>
      </c>
      <c r="Q11" s="206" t="e">
        <f t="array" aca="1" ref="Q11" ca="1">IF(ROW()-ROW($F$2:$F$34)+1&gt;ROWS($E$2:$E$34)-COUNTBLANK($E$2:$E$34),"",INDIRECT(ADDRESS(SMALL((IF($E$2:$E$34&gt;"",ROW($E$2:$E$34),ROW()+ROWS($E$2:$E$34))),ROW()-ROW($F$2:$F$34)+1),COLUMN($E$2:$E$34),4)))</f>
        <v>#REF!</v>
      </c>
      <c r="R11" s="206" t="e">
        <f t="array" aca="1" ref="R11" ca="1">IF(ROW()-ROW($G$2:$G$34)+1&gt;ROWS($F$2:$F$34)-COUNTBLANK($F$2:$F$34),"",INDIRECT(ADDRESS(SMALL((IF($F$2:$F$34&gt;"",ROW($F$2:$F$34),ROW()+ROWS($F$2:$F$34))),ROW()-ROW($G$2:$G$34)+1),COLUMN($F$2:$F$34),4)))</f>
        <v>#REF!</v>
      </c>
      <c r="S11" s="206" t="e">
        <f t="array" aca="1" ref="S11" ca="1">IF(ROW()-ROW($H$2:$H$34)+1&gt;ROWS($G$2:$G$29)-COUNTBLANK($G$2:$G$34),"",INDIRECT(ADDRESS(SMALL((IF($G$2:$G$34&lt;&gt;"",ROW($G$2:$G$34),ROW()+ROWS($G$2:$G$34))),ROW()-ROW($H$2:$H$34)+1),COLUMN($G$2:$G$34),4)))</f>
        <v>#REF!</v>
      </c>
      <c r="T11" s="307" t="e">
        <f t="array" aca="1" ref="T11" ca="1">IF(ROW()-ROW($I$2:$I$34)+1&gt;ROWS($H$2:$H$34)-COUNTBLANK($H$2:$H$34),"",INDIRECT(ADDRESS(SMALL((IF($H$2:$H$34&lt;&gt;"",ROW($H$2:$H$34),ROW()+ROWS($H$2:$H$34))),ROW()-ROW($I$2:$I$34)+1),COLUMN($H$2:$H$34),4)))</f>
        <v>#REF!</v>
      </c>
      <c r="U11" s="307" t="e">
        <f t="array" aca="1" ref="U11" ca="1">IF(ROW()-ROW($J$2:$J$34)+1&gt;ROWS($I$2:$I$34)-COUNTBLANK($I$2:$I$34),"",INDIRECT(ADDRESS(SMALL((IF($I$2:$I$34&lt;&gt;"",ROW($I$2:$I$34),ROW()+ROWS($I$2:$I$34))),ROW()-ROW($J$2:$J$34)+1),COLUMN($I$2:$I$34),4)))</f>
        <v>#REF!</v>
      </c>
      <c r="V11" s="279" t="e">
        <f t="array" aca="1" ref="V11" ca="1">IF(ROW()-ROW($K$2:$K$34)+1&gt;ROWS($J$2:$J$34)-COUNTBLANK($J$2:$J$34),"",INDIRECT(ADDRESS(SMALL((IF($J$2:$J$34&lt;&gt;"",ROW($J$2:$J$34),ROW()+ROWS($J$2:$J$34))),ROW()-ROW($K$2:$K$34)+1),COLUMN($J$2:$J$34),4)))</f>
        <v>#REF!</v>
      </c>
      <c r="W11" s="201" t="e">
        <f t="array" aca="1" ref="W11" ca="1">IF(ROW()-ROW($L$2:$L$34)+1&gt;ROWS($K$2:$K$34)-COUNTBLANK($K$2:$K$34),"",INDIRECT(ADDRESS(SMALL((IF($K$2:$K$34&lt;&gt;"",ROW($K$2:$K$34),ROW()+ROWS($K$2:$K$34))),ROW()-ROW($L$2:$L$34)+1),COLUMN($K$2:$K$34),4)))</f>
        <v>#REF!</v>
      </c>
      <c r="X11" s="278" t="e">
        <f t="array" aca="1" ref="X11" ca="1">IF(ROW()-ROW($M$2:$M$34)+1&gt;ROWS($L$2:$L$34)-COUNTBLANK($L$2:$L$34),"",INDIRECT(ADDRESS(SMALL((IF($L$2:$L$34&lt;&gt;"",ROW($L$2:$L$34),ROW()+ROWS($L$2:$L$34))),ROW()-ROW($M$2:$M$34)+1),COLUMN($L$2:$L$34),4)))</f>
        <v>#REF!</v>
      </c>
      <c r="Y11" s="278" t="e">
        <f t="array" aca="1" ref="Y11" ca="1">IF(ROW()-ROW($N$2:$N$34)+1&gt;ROWS($M$2:$M$34)-COUNTBLANK($M$2:$M$34),"",INDIRECT(ADDRESS(SMALL((IF($M$2:$M$34&lt;&gt;"",ROW($M$2:$M$34),ROW()+ROWS($M$2:$M$34))),ROW()-ROW($N$2:$N$34)+1),COLUMN($M$2:$M$34),4)))</f>
        <v>#REF!</v>
      </c>
    </row>
    <row r="12" spans="1:25" ht="54.95" customHeight="1" x14ac:dyDescent="0.45">
      <c r="A12" s="275" t="str">
        <f>IF('Indicator sheet_(IS)'!P42=0,"",'Indicator sheet_(IS)'!P42)</f>
        <v>Incomplete</v>
      </c>
      <c r="B12" s="455">
        <v>10</v>
      </c>
      <c r="C12" s="34">
        <f>IF($A12="I.O.","",'Indicator sheet_(IS)'!A42)</f>
        <v>10</v>
      </c>
      <c r="D12" s="121" t="str">
        <f>IF($A12="I.O.","",'Indicator sheet_(IS)'!C42)</f>
        <v>RAS and BRAF determination at the start of first-line treatment for metastasised colorectal carcinoma</v>
      </c>
      <c r="E12" s="283" t="str">
        <f>IF(AND('Indicator sheet_(IS)'!J42="",$A12&lt;&gt;"I.O."),"-----",IF($A12="I.O.","",'Indicator sheet_(IS)'!J42))</f>
        <v>-----</v>
      </c>
      <c r="F12" s="309" t="str">
        <f>IF($A12="I.O.","",'Indicator sheet_(IS)'!K42)</f>
        <v>≥ 50%</v>
      </c>
      <c r="G12" s="283" t="str">
        <f>IF(AND('Indicator sheet_(IS)'!M42="",$A12&lt;&gt;"I.O."),"-----",IF($A12="I.O.","",'Indicator sheet_(IS)'!M42))</f>
        <v>-----</v>
      </c>
      <c r="H12" s="308" t="str">
        <f>IF($A12="I.O.","",IF('Indicator sheet_(IS)'!O42="","-----",'Indicator sheet_(IS)'!O42))</f>
        <v>-----</v>
      </c>
      <c r="I12" s="308" t="str">
        <f>IF($A12="I.O.","",IF('Indicator sheet_(IS)'!O43="","-----",'Indicator sheet_(IS)'!O43))</f>
        <v>-----</v>
      </c>
      <c r="J12" s="276" t="str">
        <f>IF($A12="I.O.","",IF('Indicator sheet_(IS)'!O44="",0,'Indicator sheet_(IS)'!O44))</f>
        <v>n.d.</v>
      </c>
      <c r="K12" s="234" t="str">
        <f>IF($A12="I.O.","",'Indicator sheet_(IS)'!P42)</f>
        <v>Incomplete</v>
      </c>
      <c r="L12" s="277" t="str">
        <f>IF(AND('Indicator sheet_(IS)'!Q42="",$A12&lt;&gt;"I.O."),"-----",IF($A12="I.O.","",'Indicator sheet_(IS)'!Q42))</f>
        <v>-----</v>
      </c>
      <c r="M12" s="277" t="str">
        <f>IF(AND('Indicator sheet_(IS)'!R42="",$A12&lt;&gt;"I.O."),"-----",IF($A12="I.O.","",'Indicator sheet_(IS)'!R42))</f>
        <v>-----</v>
      </c>
      <c r="O12" s="217" t="e">
        <f t="array" aca="1" ref="O12" ca="1">IF(ROW()-ROW($D$2:$D$34)+1&gt;ROWS($C$2:$C$34)-COUNTBLANK($C$2:$C$34),"",INDIRECT(ADDRESS(SMALL((IF($C$2:$C$34&lt;&gt;"",ROW($C$2:$C$34),ROW()+ROWS($C$2:$C$34))),ROW()-ROW($D$2:$D$34)+1),COLUMN($C$2:$C$34),4)))</f>
        <v>#REF!</v>
      </c>
      <c r="P12" s="278" t="e">
        <f t="array" aca="1" ref="P12" ca="1">IF(ROW()-ROW($E$2:$E$34)+1&gt;ROWS($D$2:$D$34)-COUNTBLANK($D$2:$D$34),"",INDIRECT(ADDRESS(SMALL((IF($D$2:$D$34&gt;"",ROW($D$2:$D$34),ROW()+ROWS($D$2:$D$34))),ROW()-ROW($E$2:$E$34)+1),COLUMN($D$2:$D$34),4)))</f>
        <v>#REF!</v>
      </c>
      <c r="Q12" s="206" t="e">
        <f t="array" aca="1" ref="Q12" ca="1">IF(ROW()-ROW($F$2:$F$34)+1&gt;ROWS($E$2:$E$34)-COUNTBLANK($E$2:$E$34),"",INDIRECT(ADDRESS(SMALL((IF($E$2:$E$34&gt;"",ROW($E$2:$E$34),ROW()+ROWS($E$2:$E$34))),ROW()-ROW($F$2:$F$34)+1),COLUMN($E$2:$E$34),4)))</f>
        <v>#REF!</v>
      </c>
      <c r="R12" s="206" t="e">
        <f t="array" aca="1" ref="R12" ca="1">IF(ROW()-ROW($G$2:$G$34)+1&gt;ROWS($F$2:$F$34)-COUNTBLANK($F$2:$F$34),"",INDIRECT(ADDRESS(SMALL((IF($F$2:$F$34&gt;"",ROW($F$2:$F$34),ROW()+ROWS($F$2:$F$34))),ROW()-ROW($G$2:$G$34)+1),COLUMN($F$2:$F$34),4)))</f>
        <v>#REF!</v>
      </c>
      <c r="S12" s="206" t="e">
        <f t="array" aca="1" ref="S12" ca="1">IF(ROW()-ROW($H$2:$H$34)+1&gt;ROWS($G$2:$G$29)-COUNTBLANK($G$2:$G$34),"",INDIRECT(ADDRESS(SMALL((IF($G$2:$G$34&lt;&gt;"",ROW($G$2:$G$34),ROW()+ROWS($G$2:$G$34))),ROW()-ROW($H$2:$H$34)+1),COLUMN($G$2:$G$34),4)))</f>
        <v>#REF!</v>
      </c>
      <c r="T12" s="307" t="e">
        <f t="array" aca="1" ref="T12" ca="1">IF(ROW()-ROW($I$2:$I$34)+1&gt;ROWS($H$2:$H$34)-COUNTBLANK($H$2:$H$34),"",INDIRECT(ADDRESS(SMALL((IF($H$2:$H$34&lt;&gt;"",ROW($H$2:$H$34),ROW()+ROWS($H$2:$H$34))),ROW()-ROW($I$2:$I$34)+1),COLUMN($H$2:$H$34),4)))</f>
        <v>#REF!</v>
      </c>
      <c r="U12" s="307" t="e">
        <f t="array" aca="1" ref="U12" ca="1">IF(ROW()-ROW($J$2:$J$34)+1&gt;ROWS($I$2:$I$34)-COUNTBLANK($I$2:$I$34),"",INDIRECT(ADDRESS(SMALL((IF($I$2:$I$34&lt;&gt;"",ROW($I$2:$I$34),ROW()+ROWS($I$2:$I$34))),ROW()-ROW($J$2:$J$34)+1),COLUMN($I$2:$I$34),4)))</f>
        <v>#REF!</v>
      </c>
      <c r="V12" s="279" t="e">
        <f t="array" aca="1" ref="V12" ca="1">IF(ROW()-ROW($K$2:$K$34)+1&gt;ROWS($J$2:$J$34)-COUNTBLANK($J$2:$J$34),"",INDIRECT(ADDRESS(SMALL((IF($J$2:$J$34&lt;&gt;"",ROW($J$2:$J$34),ROW()+ROWS($J$2:$J$34))),ROW()-ROW($K$2:$K$34)+1),COLUMN($J$2:$J$34),4)))</f>
        <v>#REF!</v>
      </c>
      <c r="W12" s="201" t="e">
        <f t="array" aca="1" ref="W12" ca="1">IF(ROW()-ROW($L$2:$L$34)+1&gt;ROWS($K$2:$K$34)-COUNTBLANK($K$2:$K$34),"",INDIRECT(ADDRESS(SMALL((IF($K$2:$K$34&lt;&gt;"",ROW($K$2:$K$34),ROW()+ROWS($K$2:$K$34))),ROW()-ROW($L$2:$L$34)+1),COLUMN($K$2:$K$34),4)))</f>
        <v>#REF!</v>
      </c>
      <c r="X12" s="278" t="e">
        <f t="array" aca="1" ref="X12" ca="1">IF(ROW()-ROW($M$2:$M$34)+1&gt;ROWS($L$2:$L$34)-COUNTBLANK($L$2:$L$34),"",INDIRECT(ADDRESS(SMALL((IF($L$2:$L$34&lt;&gt;"",ROW($L$2:$L$34),ROW()+ROWS($L$2:$L$34))),ROW()-ROW($M$2:$M$34)+1),COLUMN($L$2:$L$34),4)))</f>
        <v>#REF!</v>
      </c>
      <c r="Y12" s="278" t="e">
        <f t="array" aca="1" ref="Y12" ca="1">IF(ROW()-ROW($N$2:$N$34)+1&gt;ROWS($M$2:$M$34)-COUNTBLANK($M$2:$M$34),"",INDIRECT(ADDRESS(SMALL((IF($M$2:$M$34&lt;&gt;"",ROW($M$2:$M$34),ROW()+ROWS($M$2:$M$34))),ROW()-ROW($N$2:$N$34)+1),COLUMN($M$2:$M$34),4)))</f>
        <v>#REF!</v>
      </c>
    </row>
    <row r="13" spans="1:25" ht="54.95" customHeight="1" x14ac:dyDescent="0.45">
      <c r="A13" s="275" t="str">
        <f>IF('Indicator sheet_(IS)'!P45=0,"",'Indicator sheet_(IS)'!P45)</f>
        <v>Incomplete</v>
      </c>
      <c r="B13" s="454">
        <v>11</v>
      </c>
      <c r="C13" s="34">
        <f>IF($A13="I.O.","",'Indicator sheet_(IS)'!A45)</f>
        <v>11</v>
      </c>
      <c r="D13" s="121" t="str">
        <f>IF($A13="I.O.","",'Indicator sheet_(IS)'!C45)</f>
        <v>Complication rate therapeutic colonoscopies</v>
      </c>
      <c r="E13" s="283" t="str">
        <f>IF(AND('Indicator sheet_(IS)'!J45="",$A13&lt;&gt;"I.O."),"-----",IF($A13="I.O.","",'Indicator sheet_(IS)'!J45))</f>
        <v>&lt; 0,01%</v>
      </c>
      <c r="F13" s="309" t="str">
        <f>IF($A13="I.O.","",'Indicator sheet_(IS)'!K45)</f>
        <v>≤ 1%</v>
      </c>
      <c r="G13" s="283" t="str">
        <f>IF(AND('Indicator sheet_(IS)'!M45="",$A13&lt;&gt;"I.O."),"-----",IF($A13="I.O.","",'Indicator sheet_(IS)'!M45))</f>
        <v>-----</v>
      </c>
      <c r="H13" s="308" t="str">
        <f>IF($A13="I.O.","",IF('Indicator sheet_(IS)'!O45="","-----",'Indicator sheet_(IS)'!O45))</f>
        <v>-----</v>
      </c>
      <c r="I13" s="308" t="str">
        <f>IF($A13="I.O.","",IF('Indicator sheet_(IS)'!O46="","-----",'Indicator sheet_(IS)'!O46))</f>
        <v>-----</v>
      </c>
      <c r="J13" s="276" t="str">
        <f>IF($A13="I.O.","",IF('Indicator sheet_(IS)'!O47="","-----",'Indicator sheet_(IS)'!O47))</f>
        <v>n.d.</v>
      </c>
      <c r="K13" s="234" t="str">
        <f>IF($A13="I.O.","",'Indicator sheet_(IS)'!P45)</f>
        <v>Incomplete</v>
      </c>
      <c r="L13" s="277" t="str">
        <f>IF(AND('Indicator sheet_(IS)'!Q45="",$A13&lt;&gt;"I.O."),"-----",IF($A13="I.O.","",'Indicator sheet_(IS)'!Q45))</f>
        <v>-----</v>
      </c>
      <c r="M13" s="277" t="str">
        <f>IF(AND('Indicator sheet_(IS)'!R45="",$A13&lt;&gt;"I.O."),"-----",IF($A13="I.O.","",'Indicator sheet_(IS)'!R45))</f>
        <v>-----</v>
      </c>
      <c r="O13" s="217" t="e">
        <f t="array" aca="1" ref="O13" ca="1">IF(ROW()-ROW($D$2:$D$34)+1&gt;ROWS($C$2:$C$34)-COUNTBLANK($C$2:$C$34),"",INDIRECT(ADDRESS(SMALL((IF($C$2:$C$34&lt;&gt;"",ROW($C$2:$C$34),ROW()+ROWS($C$2:$C$34))),ROW()-ROW($D$2:$D$34)+1),COLUMN($C$2:$C$34),4)))</f>
        <v>#REF!</v>
      </c>
      <c r="P13" s="278" t="e">
        <f t="array" aca="1" ref="P13" ca="1">IF(ROW()-ROW($E$2:$E$34)+1&gt;ROWS($D$2:$D$34)-COUNTBLANK($D$2:$D$34),"",INDIRECT(ADDRESS(SMALL((IF($D$2:$D$34&gt;"",ROW($D$2:$D$34),ROW()+ROWS($D$2:$D$34))),ROW()-ROW($E$2:$E$34)+1),COLUMN($D$2:$D$34),4)))</f>
        <v>#REF!</v>
      </c>
      <c r="Q13" s="206" t="e">
        <f t="array" aca="1" ref="Q13" ca="1">IF(ROW()-ROW($F$2:$F$34)+1&gt;ROWS($E$2:$E$34)-COUNTBLANK($E$2:$E$34),"",INDIRECT(ADDRESS(SMALL((IF($E$2:$E$34&gt;"",ROW($E$2:$E$34),ROW()+ROWS($E$2:$E$34))),ROW()-ROW($F$2:$F$34)+1),COLUMN($E$2:$E$34),4)))</f>
        <v>#REF!</v>
      </c>
      <c r="R13" s="206" t="e">
        <f t="array" aca="1" ref="R13" ca="1">IF(ROW()-ROW($G$2:$G$34)+1&gt;ROWS($F$2:$F$34)-COUNTBLANK($F$2:$F$34),"",INDIRECT(ADDRESS(SMALL((IF($F$2:$F$34&gt;"",ROW($F$2:$F$34),ROW()+ROWS($F$2:$F$34))),ROW()-ROW($G$2:$G$34)+1),COLUMN($F$2:$F$34),4)))</f>
        <v>#REF!</v>
      </c>
      <c r="S13" s="206" t="e">
        <f t="array" aca="1" ref="S13" ca="1">IF(ROW()-ROW($H$2:$H$34)+1&gt;ROWS($G$2:$G$29)-COUNTBLANK($G$2:$G$34),"",INDIRECT(ADDRESS(SMALL((IF($G$2:$G$34&lt;&gt;"",ROW($G$2:$G$34),ROW()+ROWS($G$2:$G$34))),ROW()-ROW($H$2:$H$34)+1),COLUMN($G$2:$G$34),4)))</f>
        <v>#REF!</v>
      </c>
      <c r="T13" s="307" t="e">
        <f t="array" aca="1" ref="T13" ca="1">IF(ROW()-ROW($I$2:$I$34)+1&gt;ROWS($H$2:$H$34)-COUNTBLANK($H$2:$H$34),"",INDIRECT(ADDRESS(SMALL((IF($H$2:$H$34&lt;&gt;"",ROW($H$2:$H$34),ROW()+ROWS($H$2:$H$34))),ROW()-ROW($I$2:$I$34)+1),COLUMN($H$2:$H$34),4)))</f>
        <v>#REF!</v>
      </c>
      <c r="U13" s="307" t="e">
        <f t="array" aca="1" ref="U13" ca="1">IF(ROW()-ROW($J$2:$J$34)+1&gt;ROWS($I$2:$I$34)-COUNTBLANK($I$2:$I$34),"",INDIRECT(ADDRESS(SMALL((IF($I$2:$I$34&lt;&gt;"",ROW($I$2:$I$34),ROW()+ROWS($I$2:$I$34))),ROW()-ROW($J$2:$J$34)+1),COLUMN($I$2:$I$34),4)))</f>
        <v>#REF!</v>
      </c>
      <c r="V13" s="279" t="e">
        <f t="array" aca="1" ref="V13" ca="1">IF(ROW()-ROW($K$2:$K$34)+1&gt;ROWS($J$2:$J$34)-COUNTBLANK($J$2:$J$34),"",INDIRECT(ADDRESS(SMALL((IF($J$2:$J$34&lt;&gt;"",ROW($J$2:$J$34),ROW()+ROWS($J$2:$J$34))),ROW()-ROW($K$2:$K$34)+1),COLUMN($J$2:$J$34),4)))</f>
        <v>#REF!</v>
      </c>
      <c r="W13" s="201" t="e">
        <f t="array" aca="1" ref="W13" ca="1">IF(ROW()-ROW($L$2:$L$34)+1&gt;ROWS($K$2:$K$34)-COUNTBLANK($K$2:$K$34),"",INDIRECT(ADDRESS(SMALL((IF($K$2:$K$34&lt;&gt;"",ROW($K$2:$K$34),ROW()+ROWS($K$2:$K$34))),ROW()-ROW($L$2:$L$34)+1),COLUMN($K$2:$K$34),4)))</f>
        <v>#REF!</v>
      </c>
      <c r="X13" s="278" t="e">
        <f t="array" aca="1" ref="X13" ca="1">IF(ROW()-ROW($M$2:$M$34)+1&gt;ROWS($L$2:$L$34)-COUNTBLANK($L$2:$L$34),"",INDIRECT(ADDRESS(SMALL((IF($L$2:$L$34&lt;&gt;"",ROW($L$2:$L$34),ROW()+ROWS($L$2:$L$34))),ROW()-ROW($M$2:$M$34)+1),COLUMN($L$2:$L$34),4)))</f>
        <v>#REF!</v>
      </c>
      <c r="Y13" s="278" t="e">
        <f t="array" aca="1" ref="Y13" ca="1">IF(ROW()-ROW($N$2:$N$34)+1&gt;ROWS($M$2:$M$34)-COUNTBLANK($M$2:$M$34),"",INDIRECT(ADDRESS(SMALL((IF($M$2:$M$34&lt;&gt;"",ROW($M$2:$M$34),ROW()+ROWS($M$2:$M$34))),ROW()-ROW($N$2:$N$34)+1),COLUMN($M$2:$M$34),4)))</f>
        <v>#REF!</v>
      </c>
    </row>
    <row r="14" spans="1:25" ht="54.95" customHeight="1" x14ac:dyDescent="0.45">
      <c r="A14" s="275" t="e">
        <f>IF('Indicator sheet_(IS)'!#REF!=0,"",'Indicator sheet_(IS)'!#REF!)</f>
        <v>#REF!</v>
      </c>
      <c r="B14" s="454">
        <v>12</v>
      </c>
      <c r="C14" s="34" t="e">
        <f>IF($A14="I.O.","",'Indicator sheet_(IS)'!#REF!)</f>
        <v>#REF!</v>
      </c>
      <c r="D14" s="121" t="e">
        <f>IF($A14="I.O.","",'Indicator sheet_(IS)'!#REF!)</f>
        <v>#REF!</v>
      </c>
      <c r="E14" s="283" t="e">
        <f>IF(AND('Indicator sheet_(IS)'!#REF!="",$A14&lt;&gt;"I.O."),"-----",IF($A14="I.O.","",'Indicator sheet_(IS)'!#REF!))</f>
        <v>#REF!</v>
      </c>
      <c r="F14" s="309" t="e">
        <f>IF($A14="I.O.","",'Indicator sheet_(IS)'!#REF!)</f>
        <v>#REF!</v>
      </c>
      <c r="G14" s="283" t="e">
        <f>IF(AND('Indicator sheet_(IS)'!#REF!="",$A14&lt;&gt;"I.O."),"-----",IF($A14="I.O.","",'Indicator sheet_(IS)'!#REF!))</f>
        <v>#REF!</v>
      </c>
      <c r="H14" s="308" t="e">
        <f>IF($A14="I.O.","",IF('Indicator sheet_(IS)'!#REF!="","-----",'Indicator sheet_(IS)'!#REF!))</f>
        <v>#REF!</v>
      </c>
      <c r="I14" s="308" t="e">
        <f>IF($A14="I.O.","","-----")</f>
        <v>#REF!</v>
      </c>
      <c r="J14" s="276" t="e">
        <f>IF($A14="I.O.","","-----")</f>
        <v>#REF!</v>
      </c>
      <c r="K14" s="234" t="e">
        <f>IF($A14="I.O.","",'Indicator sheet_(IS)'!#REF!)</f>
        <v>#REF!</v>
      </c>
      <c r="L14" s="277" t="e">
        <f>IF(AND('Indicator sheet_(IS)'!#REF!="",$A14&lt;&gt;"I.O."),"-----",IF($A14="I.O.","",'Indicator sheet_(IS)'!#REF!))</f>
        <v>#REF!</v>
      </c>
      <c r="M14" s="277" t="e">
        <f>IF(AND('Indicator sheet_(IS)'!#REF!="",$A14&lt;&gt;"I.O."),"-----",IF($A14="I.O.","",'Indicator sheet_(IS)'!#REF!))</f>
        <v>#REF!</v>
      </c>
      <c r="O14" s="217" t="e">
        <f t="array" aca="1" ref="O14" ca="1">IF(ROW()-ROW($D$2:$D$34)+1&gt;ROWS($C$2:$C$34)-COUNTBLANK($C$2:$C$34),"",INDIRECT(ADDRESS(SMALL((IF($C$2:$C$34&lt;&gt;"",ROW($C$2:$C$34),ROW()+ROWS($C$2:$C$34))),ROW()-ROW($D$2:$D$34)+1),COLUMN($C$2:$C$34),4)))</f>
        <v>#REF!</v>
      </c>
      <c r="P14" s="278" t="e">
        <f t="array" aca="1" ref="P14" ca="1">IF(ROW()-ROW($E$2:$E$34)+1&gt;ROWS($D$2:$D$34)-COUNTBLANK($D$2:$D$34),"",INDIRECT(ADDRESS(SMALL((IF($D$2:$D$34&gt;"",ROW($D$2:$D$34),ROW()+ROWS($D$2:$D$34))),ROW()-ROW($E$2:$E$34)+1),COLUMN($D$2:$D$34),4)))</f>
        <v>#REF!</v>
      </c>
      <c r="Q14" s="206" t="e">
        <f t="array" aca="1" ref="Q14" ca="1">IF(ROW()-ROW($F$2:$F$34)+1&gt;ROWS($E$2:$E$34)-COUNTBLANK($E$2:$E$34),"",INDIRECT(ADDRESS(SMALL((IF($E$2:$E$34&gt;"",ROW($E$2:$E$34),ROW()+ROWS($E$2:$E$34))),ROW()-ROW($F$2:$F$34)+1),COLUMN($E$2:$E$34),4)))</f>
        <v>#REF!</v>
      </c>
      <c r="R14" s="206" t="e">
        <f t="array" aca="1" ref="R14" ca="1">IF(ROW()-ROW($G$2:$G$34)+1&gt;ROWS($F$2:$F$34)-COUNTBLANK($F$2:$F$34),"",INDIRECT(ADDRESS(SMALL((IF($F$2:$F$34&gt;"",ROW($F$2:$F$34),ROW()+ROWS($F$2:$F$34))),ROW()-ROW($G$2:$G$34)+1),COLUMN($F$2:$F$34),4)))</f>
        <v>#REF!</v>
      </c>
      <c r="S14" s="206" t="e">
        <f t="array" aca="1" ref="S14" ca="1">IF(ROW()-ROW($H$2:$H$34)+1&gt;ROWS($G$2:$G$29)-COUNTBLANK($G$2:$G$34),"",INDIRECT(ADDRESS(SMALL((IF($G$2:$G$34&lt;&gt;"",ROW($G$2:$G$34),ROW()+ROWS($G$2:$G$34))),ROW()-ROW($H$2:$H$34)+1),COLUMN($G$2:$G$34),4)))</f>
        <v>#REF!</v>
      </c>
      <c r="T14" s="307" t="e">
        <f t="array" aca="1" ref="T14" ca="1">IF(ROW()-ROW($I$2:$I$34)+1&gt;ROWS($H$2:$H$34)-COUNTBLANK($H$2:$H$34),"",INDIRECT(ADDRESS(SMALL((IF($H$2:$H$34&lt;&gt;"",ROW($H$2:$H$34),ROW()+ROWS($H$2:$H$34))),ROW()-ROW($I$2:$I$34)+1),COLUMN($H$2:$H$34),4)))</f>
        <v>#REF!</v>
      </c>
      <c r="U14" s="307" t="e">
        <f t="array" aca="1" ref="U14" ca="1">IF(ROW()-ROW($J$2:$J$34)+1&gt;ROWS($I$2:$I$34)-COUNTBLANK($I$2:$I$34),"",INDIRECT(ADDRESS(SMALL((IF($I$2:$I$34&lt;&gt;"",ROW($I$2:$I$34),ROW()+ROWS($I$2:$I$34))),ROW()-ROW($J$2:$J$34)+1),COLUMN($I$2:$I$34),4)))</f>
        <v>#REF!</v>
      </c>
      <c r="V14" s="279" t="e">
        <f t="array" aca="1" ref="V14" ca="1">IF(ROW()-ROW($K$2:$K$34)+1&gt;ROWS($J$2:$J$34)-COUNTBLANK($J$2:$J$34),"",INDIRECT(ADDRESS(SMALL((IF($J$2:$J$34&lt;&gt;"",ROW($J$2:$J$34),ROW()+ROWS($J$2:$J$34))),ROW()-ROW($K$2:$K$34)+1),COLUMN($J$2:$J$34),4)))</f>
        <v>#REF!</v>
      </c>
      <c r="W14" s="201" t="e">
        <f t="array" aca="1" ref="W14" ca="1">IF(ROW()-ROW($L$2:$L$34)+1&gt;ROWS($K$2:$K$34)-COUNTBLANK($K$2:$K$34),"",INDIRECT(ADDRESS(SMALL((IF($K$2:$K$34&lt;&gt;"",ROW($K$2:$K$34),ROW()+ROWS($K$2:$K$34))),ROW()-ROW($L$2:$L$34)+1),COLUMN($K$2:$K$34),4)))</f>
        <v>#REF!</v>
      </c>
      <c r="X14" s="278" t="e">
        <f t="array" aca="1" ref="X14" ca="1">IF(ROW()-ROW($M$2:$M$34)+1&gt;ROWS($L$2:$L$34)-COUNTBLANK($L$2:$L$34),"",INDIRECT(ADDRESS(SMALL((IF($L$2:$L$34&lt;&gt;"",ROW($L$2:$L$34),ROW()+ROWS($L$2:$L$34))),ROW()-ROW($M$2:$M$34)+1),COLUMN($L$2:$L$34),4)))</f>
        <v>#REF!</v>
      </c>
      <c r="Y14" s="278" t="e">
        <f t="array" aca="1" ref="Y14" ca="1">IF(ROW()-ROW($N$2:$N$34)+1&gt;ROWS($M$2:$M$34)-COUNTBLANK($M$2:$M$34),"",INDIRECT(ADDRESS(SMALL((IF($M$2:$M$34&lt;&gt;"",ROW($M$2:$M$34),ROW()+ROWS($M$2:$M$34))),ROW()-ROW($N$2:$N$34)+1),COLUMN($M$2:$M$34),4)))</f>
        <v>#REF!</v>
      </c>
    </row>
    <row r="15" spans="1:25" ht="54.95" customHeight="1" x14ac:dyDescent="0.45">
      <c r="A15" s="275" t="str">
        <f>IF('Indicator sheet_(IS)'!P48=0,"",'Indicator sheet_(IS)'!P48)</f>
        <v>Incomplete</v>
      </c>
      <c r="B15" s="454">
        <v>13</v>
      </c>
      <c r="C15" s="34">
        <f>IF($A15="I.O.","",'Indicator sheet_(IS)'!A48)</f>
        <v>12</v>
      </c>
      <c r="D15" s="121" t="str">
        <f>IF($A15="I.O.","",'Indicator sheet_(IS)'!C48)</f>
        <v>Information on distance to mesorectal fascia in the diagnostic report (RC of the lower and middle third)</v>
      </c>
      <c r="E15" s="283" t="str">
        <f>IF(AND('Indicator sheet_(IS)'!J48="",$A15&lt;&gt;"I.O."),"-----",IF($A15="I.O.","",'Indicator sheet_(IS)'!J48))</f>
        <v>-----</v>
      </c>
      <c r="F15" s="309" t="str">
        <f>IF($A15="I.O.","",'Indicator sheet_(IS)'!K48)</f>
        <v>≥ 90%</v>
      </c>
      <c r="G15" s="283" t="str">
        <f>IF(AND('Indicator sheet_(IS)'!M48="",$A15&lt;&gt;"I.O."),"-----",IF($A15="I.O.","",'Indicator sheet_(IS)'!M48))</f>
        <v>-----</v>
      </c>
      <c r="H15" s="308" t="str">
        <f>IF($A15="I.O.","",IF('Indicator sheet_(IS)'!O48="","-----",'Indicator sheet_(IS)'!O48))</f>
        <v>-----</v>
      </c>
      <c r="I15" s="308" t="str">
        <f>IF($A15="I.O.","","-----")</f>
        <v>-----</v>
      </c>
      <c r="J15" s="276" t="str">
        <f>IF($A15="I.O.","","-----")</f>
        <v>-----</v>
      </c>
      <c r="K15" s="234" t="str">
        <f>IF($A15="I.O.","",'Indicator sheet_(IS)'!P48)</f>
        <v>Incomplete</v>
      </c>
      <c r="L15" s="277" t="str">
        <f>IF(AND('Indicator sheet_(IS)'!Q48="",$A15&lt;&gt;"I.O."),"-----",IF($A15="I.O.","",'Indicator sheet_(IS)'!Q48))</f>
        <v>-----</v>
      </c>
      <c r="M15" s="277" t="str">
        <f>IF(AND('Indicator sheet_(IS)'!R48="",$A15&lt;&gt;"I.O."),"-----",IF($A15="I.O.","",'Indicator sheet_(IS)'!R48))</f>
        <v>-----</v>
      </c>
      <c r="O15" s="217" t="e">
        <f t="array" aca="1" ref="O15" ca="1">IF(ROW()-ROW($D$2:$D$34)+1&gt;ROWS($C$2:$C$34)-COUNTBLANK($C$2:$C$34),"",INDIRECT(ADDRESS(SMALL((IF($C$2:$C$34&lt;&gt;"",ROW($C$2:$C$34),ROW()+ROWS($C$2:$C$34))),ROW()-ROW($D$2:$D$34)+1),COLUMN($C$2:$C$34),4)))</f>
        <v>#REF!</v>
      </c>
      <c r="P15" s="278" t="e">
        <f t="array" aca="1" ref="P15" ca="1">IF(ROW()-ROW($E$2:$E$34)+1&gt;ROWS($D$2:$D$34)-COUNTBLANK($D$2:$D$34),"",INDIRECT(ADDRESS(SMALL((IF($D$2:$D$34&gt;"",ROW($D$2:$D$34),ROW()+ROWS($D$2:$D$34))),ROW()-ROW($E$2:$E$34)+1),COLUMN($D$2:$D$34),4)))</f>
        <v>#REF!</v>
      </c>
      <c r="Q15" s="206" t="e">
        <f t="array" aca="1" ref="Q15" ca="1">IF(ROW()-ROW($F$2:$F$34)+1&gt;ROWS($E$2:$E$34)-COUNTBLANK($E$2:$E$34),"",INDIRECT(ADDRESS(SMALL((IF($E$2:$E$34&gt;"",ROW($E$2:$E$34),ROW()+ROWS($E$2:$E$34))),ROW()-ROW($F$2:$F$34)+1),COLUMN($E$2:$E$34),4)))</f>
        <v>#REF!</v>
      </c>
      <c r="R15" s="206" t="e">
        <f t="array" aca="1" ref="R15" ca="1">IF(ROW()-ROW($G$2:$G$34)+1&gt;ROWS($F$2:$F$34)-COUNTBLANK($F$2:$F$34),"",INDIRECT(ADDRESS(SMALL((IF($F$2:$F$34&gt;"",ROW($F$2:$F$34),ROW()+ROWS($F$2:$F$34))),ROW()-ROW($G$2:$G$34)+1),COLUMN($F$2:$F$34),4)))</f>
        <v>#REF!</v>
      </c>
      <c r="S15" s="206" t="e">
        <f t="array" aca="1" ref="S15" ca="1">IF(ROW()-ROW($H$2:$H$34)+1&gt;ROWS($G$2:$G$29)-COUNTBLANK($G$2:$G$34),"",INDIRECT(ADDRESS(SMALL((IF($G$2:$G$34&lt;&gt;"",ROW($G$2:$G$34),ROW()+ROWS($G$2:$G$34))),ROW()-ROW($H$2:$H$34)+1),COLUMN($G$2:$G$34),4)))</f>
        <v>#REF!</v>
      </c>
      <c r="T15" s="307" t="e">
        <f t="array" aca="1" ref="T15" ca="1">IF(ROW()-ROW($I$2:$I$34)+1&gt;ROWS($H$2:$H$34)-COUNTBLANK($H$2:$H$34),"",INDIRECT(ADDRESS(SMALL((IF($H$2:$H$34&lt;&gt;"",ROW($H$2:$H$34),ROW()+ROWS($H$2:$H$34))),ROW()-ROW($I$2:$I$34)+1),COLUMN($H$2:$H$34),4)))</f>
        <v>#REF!</v>
      </c>
      <c r="U15" s="307" t="e">
        <f t="array" aca="1" ref="U15" ca="1">IF(ROW()-ROW($J$2:$J$34)+1&gt;ROWS($I$2:$I$34)-COUNTBLANK($I$2:$I$34),"",INDIRECT(ADDRESS(SMALL((IF($I$2:$I$34&lt;&gt;"",ROW($I$2:$I$34),ROW()+ROWS($I$2:$I$34))),ROW()-ROW($J$2:$J$34)+1),COLUMN($I$2:$I$34),4)))</f>
        <v>#REF!</v>
      </c>
      <c r="V15" s="279" t="e">
        <f t="array" aca="1" ref="V15" ca="1">IF(ROW()-ROW($K$2:$K$34)+1&gt;ROWS($J$2:$J$34)-COUNTBLANK($J$2:$J$34),"",INDIRECT(ADDRESS(SMALL((IF($J$2:$J$34&lt;&gt;"",ROW($J$2:$J$34),ROW()+ROWS($J$2:$J$34))),ROW()-ROW($K$2:$K$34)+1),COLUMN($J$2:$J$34),4)))</f>
        <v>#REF!</v>
      </c>
      <c r="W15" s="201" t="e">
        <f t="array" aca="1" ref="W15" ca="1">IF(ROW()-ROW($L$2:$L$34)+1&gt;ROWS($K$2:$K$34)-COUNTBLANK($K$2:$K$34),"",INDIRECT(ADDRESS(SMALL((IF($K$2:$K$34&lt;&gt;"",ROW($K$2:$K$34),ROW()+ROWS($K$2:$K$34))),ROW()-ROW($L$2:$L$34)+1),COLUMN($K$2:$K$34),4)))</f>
        <v>#REF!</v>
      </c>
      <c r="X15" s="278" t="e">
        <f t="array" aca="1" ref="X15" ca="1">IF(ROW()-ROW($M$2:$M$34)+1&gt;ROWS($L$2:$L$34)-COUNTBLANK($L$2:$L$34),"",INDIRECT(ADDRESS(SMALL((IF($L$2:$L$34&lt;&gt;"",ROW($L$2:$L$34),ROW()+ROWS($L$2:$L$34))),ROW()-ROW($M$2:$M$34)+1),COLUMN($L$2:$L$34),4)))</f>
        <v>#REF!</v>
      </c>
      <c r="Y15" s="278" t="e">
        <f t="array" aca="1" ref="Y15" ca="1">IF(ROW()-ROW($N$2:$N$34)+1&gt;ROWS($M$2:$M$34)-COUNTBLANK($M$2:$M$34),"",INDIRECT(ADDRESS(SMALL((IF($M$2:$M$34&lt;&gt;"",ROW($M$2:$M$34),ROW()+ROWS($M$2:$M$34))),ROW()-ROW($N$2:$N$34)+1),COLUMN($M$2:$M$34),4)))</f>
        <v>#REF!</v>
      </c>
    </row>
    <row r="16" spans="1:25" ht="54.95" customHeight="1" x14ac:dyDescent="0.45">
      <c r="A16" s="275" t="str">
        <f>IF('Indicator sheet_(IS)'!P51=0,"",'Indicator sheet_(IS)'!P51)</f>
        <v>Incomplete</v>
      </c>
      <c r="B16" s="455">
        <v>14</v>
      </c>
      <c r="C16" s="34">
        <f>IF($A16="I.O.","",'Indicator sheet_(IS)'!A51)</f>
        <v>13</v>
      </c>
      <c r="D16" s="121" t="str">
        <f>IF($A16="I.O.","",'Indicator sheet_(IS)'!C51)</f>
        <v>Surgical primary cases: colon</v>
      </c>
      <c r="E16" s="283" t="str">
        <f>IF(AND('Indicator sheet_(IS)'!J51="",$A16&lt;&gt;"I.O."),"-----",IF($A16="I.O.","",'Indicator sheet_(IS)'!J51))</f>
        <v>-----</v>
      </c>
      <c r="F16" s="309" t="str">
        <f>IF($A16="I.O.","",'Indicator sheet_(IS)'!K51)</f>
        <v>≥ 30</v>
      </c>
      <c r="G16" s="283" t="str">
        <f>IF(AND('Indicator sheet_(IS)'!M51="",$A16&lt;&gt;"I.O."),"-----",IF($A16="I.O.","",'Indicator sheet_(IS)'!M51))</f>
        <v>-----</v>
      </c>
      <c r="H16" s="308">
        <f>IF($A16="I.O.","",IF('Indicator sheet_(IS)'!O51="","-----",'Indicator sheet_(IS)'!O51))</f>
        <v>0</v>
      </c>
      <c r="I16" s="308" t="str">
        <f>IF($A16="I.O.","",IF('Indicator sheet_(IS)'!O52="","-----",'Indicator sheet_(IS)'!O52))</f>
        <v>-----</v>
      </c>
      <c r="J16" s="276">
        <f>IF($A16="I.O.","",IF('Indicator sheet_(IS)'!O53="",0,'Indicator sheet_(IS)'!O53))</f>
        <v>0</v>
      </c>
      <c r="K16" s="234" t="str">
        <f>IF($A16="I.O.","",'Indicator sheet_(IS)'!P51)</f>
        <v>Incomplete</v>
      </c>
      <c r="L16" s="277" t="str">
        <f>IF(AND('Indicator sheet_(IS)'!Q51="",$A16&lt;&gt;"I.O."),"-----",IF($A16="I.O.","",'Indicator sheet_(IS)'!Q51))</f>
        <v>-----</v>
      </c>
      <c r="M16" s="277" t="str">
        <f>IF(AND('Indicator sheet_(IS)'!R51="",$A16&lt;&gt;"I.O."),"-----",IF($A16="I.O.","",'Indicator sheet_(IS)'!R51))</f>
        <v>-----</v>
      </c>
      <c r="O16" s="217" t="e">
        <f t="array" aca="1" ref="O16" ca="1">IF(ROW()-ROW($D$2:$D$34)+1&gt;ROWS($C$2:$C$34)-COUNTBLANK($C$2:$C$34),"",INDIRECT(ADDRESS(SMALL((IF($C$2:$C$34&lt;&gt;"",ROW($C$2:$C$34),ROW()+ROWS($C$2:$C$34))),ROW()-ROW($D$2:$D$34)+1),COLUMN($C$2:$C$34),4)))</f>
        <v>#REF!</v>
      </c>
      <c r="P16" s="278" t="e">
        <f t="array" aca="1" ref="P16" ca="1">IF(ROW()-ROW($E$2:$E$34)+1&gt;ROWS($D$2:$D$34)-COUNTBLANK($D$2:$D$34),"",INDIRECT(ADDRESS(SMALL((IF($D$2:$D$34&gt;"",ROW($D$2:$D$34),ROW()+ROWS($D$2:$D$34))),ROW()-ROW($E$2:$E$34)+1),COLUMN($D$2:$D$34),4)))</f>
        <v>#REF!</v>
      </c>
      <c r="Q16" s="206" t="e">
        <f t="array" aca="1" ref="Q16" ca="1">IF(ROW()-ROW($F$2:$F$34)+1&gt;ROWS($E$2:$E$34)-COUNTBLANK($E$2:$E$34),"",INDIRECT(ADDRESS(SMALL((IF($E$2:$E$34&gt;"",ROW($E$2:$E$34),ROW()+ROWS($E$2:$E$34))),ROW()-ROW($F$2:$F$34)+1),COLUMN($E$2:$E$34),4)))</f>
        <v>#REF!</v>
      </c>
      <c r="R16" s="206" t="e">
        <f t="array" aca="1" ref="R16" ca="1">IF(ROW()-ROW($G$2:$G$34)+1&gt;ROWS($F$2:$F$34)-COUNTBLANK($F$2:$F$34),"",INDIRECT(ADDRESS(SMALL((IF($F$2:$F$34&gt;"",ROW($F$2:$F$34),ROW()+ROWS($F$2:$F$34))),ROW()-ROW($G$2:$G$34)+1),COLUMN($F$2:$F$34),4)))</f>
        <v>#REF!</v>
      </c>
      <c r="S16" s="206" t="e">
        <f t="array" aca="1" ref="S16" ca="1">IF(ROW()-ROW($H$2:$H$34)+1&gt;ROWS($G$2:$G$29)-COUNTBLANK($G$2:$G$34),"",INDIRECT(ADDRESS(SMALL((IF($G$2:$G$34&lt;&gt;"",ROW($G$2:$G$34),ROW()+ROWS($G$2:$G$34))),ROW()-ROW($H$2:$H$34)+1),COLUMN($G$2:$G$34),4)))</f>
        <v>#REF!</v>
      </c>
      <c r="T16" s="307" t="e">
        <f t="array" aca="1" ref="T16" ca="1">IF(ROW()-ROW($I$2:$I$34)+1&gt;ROWS($H$2:$H$34)-COUNTBLANK($H$2:$H$34),"",INDIRECT(ADDRESS(SMALL((IF($H$2:$H$34&lt;&gt;"",ROW($H$2:$H$34),ROW()+ROWS($H$2:$H$34))),ROW()-ROW($I$2:$I$34)+1),COLUMN($H$2:$H$34),4)))</f>
        <v>#REF!</v>
      </c>
      <c r="U16" s="307" t="e">
        <f t="array" aca="1" ref="U16" ca="1">IF(ROW()-ROW($J$2:$J$34)+1&gt;ROWS($I$2:$I$34)-COUNTBLANK($I$2:$I$34),"",INDIRECT(ADDRESS(SMALL((IF($I$2:$I$34&lt;&gt;"",ROW($I$2:$I$34),ROW()+ROWS($I$2:$I$34))),ROW()-ROW($J$2:$J$34)+1),COLUMN($I$2:$I$34),4)))</f>
        <v>#REF!</v>
      </c>
      <c r="V16" s="279" t="e">
        <f t="array" aca="1" ref="V16" ca="1">IF(ROW()-ROW($K$2:$K$34)+1&gt;ROWS($J$2:$J$34)-COUNTBLANK($J$2:$J$34),"",INDIRECT(ADDRESS(SMALL((IF($J$2:$J$34&lt;&gt;"",ROW($J$2:$J$34),ROW()+ROWS($J$2:$J$34))),ROW()-ROW($K$2:$K$34)+1),COLUMN($J$2:$J$34),4)))</f>
        <v>#REF!</v>
      </c>
      <c r="W16" s="201" t="e">
        <f t="array" aca="1" ref="W16" ca="1">IF(ROW()-ROW($L$2:$L$34)+1&gt;ROWS($K$2:$K$34)-COUNTBLANK($K$2:$K$34),"",INDIRECT(ADDRESS(SMALL((IF($K$2:$K$34&lt;&gt;"",ROW($K$2:$K$34),ROW()+ROWS($K$2:$K$34))),ROW()-ROW($L$2:$L$34)+1),COLUMN($K$2:$K$34),4)))</f>
        <v>#REF!</v>
      </c>
      <c r="X16" s="278" t="e">
        <f t="array" aca="1" ref="X16" ca="1">IF(ROW()-ROW($M$2:$M$34)+1&gt;ROWS($L$2:$L$34)-COUNTBLANK($L$2:$L$34),"",INDIRECT(ADDRESS(SMALL((IF($L$2:$L$34&lt;&gt;"",ROW($L$2:$L$34),ROW()+ROWS($L$2:$L$34))),ROW()-ROW($M$2:$M$34)+1),COLUMN($L$2:$L$34),4)))</f>
        <v>#REF!</v>
      </c>
      <c r="Y16" s="278" t="e">
        <f t="array" aca="1" ref="Y16" ca="1">IF(ROW()-ROW($N$2:$N$34)+1&gt;ROWS($M$2:$M$34)-COUNTBLANK($M$2:$M$34),"",INDIRECT(ADDRESS(SMALL((IF($M$2:$M$34&lt;&gt;"",ROW($M$2:$M$34),ROW()+ROWS($M$2:$M$34))),ROW()-ROW($N$2:$N$34)+1),COLUMN($M$2:$M$34),4)))</f>
        <v>#REF!</v>
      </c>
    </row>
    <row r="17" spans="1:25" ht="54.95" customHeight="1" x14ac:dyDescent="0.45">
      <c r="A17" s="275" t="str">
        <f>IF('Indicator sheet_(IS)'!P54=0,"",'Indicator sheet_(IS)'!P54)</f>
        <v>Incomplete</v>
      </c>
      <c r="B17" s="455">
        <v>15</v>
      </c>
      <c r="C17" s="34">
        <f>IF($A17="I.O.","",'Indicator sheet_(IS)'!A54)</f>
        <v>14</v>
      </c>
      <c r="D17" s="121" t="str">
        <f>IF($A17="I.O.","",'Indicator sheet_(IS)'!C54)</f>
        <v>Surgical primary cases: rectum</v>
      </c>
      <c r="E17" s="283" t="str">
        <f>IF(AND('Indicator sheet_(IS)'!J54="",$A17&lt;&gt;"I.O."),"-----",IF($A17="I.O.","",'Indicator sheet_(IS)'!J54))</f>
        <v>-----</v>
      </c>
      <c r="F17" s="309" t="str">
        <f>IF($A17="I.O.","",'Indicator sheet_(IS)'!K54)</f>
        <v>≥ 20</v>
      </c>
      <c r="G17" s="283" t="str">
        <f>IF(AND('Indicator sheet_(IS)'!M54="",$A17&lt;&gt;"I.O."),"-----",IF($A17="I.O.","",'Indicator sheet_(IS)'!M54))</f>
        <v>-----</v>
      </c>
      <c r="H17" s="308">
        <f>IF($A17="I.O.","",IF('Indicator sheet_(IS)'!O54="","-----",'Indicator sheet_(IS)'!O54))</f>
        <v>0</v>
      </c>
      <c r="I17" s="308" t="str">
        <f>IF($A17="I.O.","",IF('Indicator sheet_(IS)'!O55="","-----",'Indicator sheet_(IS)'!O55))</f>
        <v>-----</v>
      </c>
      <c r="J17" s="276">
        <f>IF($A17="I.O.","",IF('Indicator sheet_(IS)'!O56="",0,'Indicator sheet_(IS)'!O56))</f>
        <v>0</v>
      </c>
      <c r="K17" s="234" t="str">
        <f>IF($A17="I.O.","",'Indicator sheet_(IS)'!P54)</f>
        <v>Incomplete</v>
      </c>
      <c r="L17" s="277" t="str">
        <f>IF(AND('Indicator sheet_(IS)'!Q54="",$A17&lt;&gt;"I.O."),"-----",IF($A17="I.O.","",'Indicator sheet_(IS)'!Q54))</f>
        <v>-----</v>
      </c>
      <c r="M17" s="277" t="str">
        <f>IF(AND('Indicator sheet_(IS)'!R54="",$A17&lt;&gt;"I.O."),"-----",IF($A17="I.O.","",'Indicator sheet_(IS)'!R54))</f>
        <v>-----</v>
      </c>
      <c r="O17" s="217" t="e">
        <f t="array" aca="1" ref="O17" ca="1">IF(ROW()-ROW($D$2:$D$34)+1&gt;ROWS($C$2:$C$34)-COUNTBLANK($C$2:$C$34),"",INDIRECT(ADDRESS(SMALL((IF($C$2:$C$34&lt;&gt;"",ROW($C$2:$C$34),ROW()+ROWS($C$2:$C$34))),ROW()-ROW($D$2:$D$34)+1),COLUMN($C$2:$C$34),4)))</f>
        <v>#REF!</v>
      </c>
      <c r="P17" s="278" t="e">
        <f t="array" aca="1" ref="P17" ca="1">IF(ROW()-ROW($E$2:$E$34)+1&gt;ROWS($D$2:$D$34)-COUNTBLANK($D$2:$D$34),"",INDIRECT(ADDRESS(SMALL((IF($D$2:$D$34&gt;"",ROW($D$2:$D$34),ROW()+ROWS($D$2:$D$34))),ROW()-ROW($E$2:$E$34)+1),COLUMN($D$2:$D$34),4)))</f>
        <v>#REF!</v>
      </c>
      <c r="Q17" s="206" t="e">
        <f t="array" aca="1" ref="Q17" ca="1">IF(ROW()-ROW($F$2:$F$34)+1&gt;ROWS($E$2:$E$34)-COUNTBLANK($E$2:$E$34),"",INDIRECT(ADDRESS(SMALL((IF($E$2:$E$34&gt;"",ROW($E$2:$E$34),ROW()+ROWS($E$2:$E$34))),ROW()-ROW($F$2:$F$34)+1),COLUMN($E$2:$E$34),4)))</f>
        <v>#REF!</v>
      </c>
      <c r="R17" s="206" t="e">
        <f t="array" aca="1" ref="R17" ca="1">IF(ROW()-ROW($G$2:$G$34)+1&gt;ROWS($F$2:$F$34)-COUNTBLANK($F$2:$F$34),"",INDIRECT(ADDRESS(SMALL((IF($F$2:$F$34&gt;"",ROW($F$2:$F$34),ROW()+ROWS($F$2:$F$34))),ROW()-ROW($G$2:$G$34)+1),COLUMN($F$2:$F$34),4)))</f>
        <v>#REF!</v>
      </c>
      <c r="S17" s="206" t="e">
        <f t="array" aca="1" ref="S17" ca="1">IF(ROW()-ROW($H$2:$H$34)+1&gt;ROWS($G$2:$G$29)-COUNTBLANK($G$2:$G$34),"",INDIRECT(ADDRESS(SMALL((IF($G$2:$G$34&lt;&gt;"",ROW($G$2:$G$34),ROW()+ROWS($G$2:$G$34))),ROW()-ROW($H$2:$H$34)+1),COLUMN($G$2:$G$34),4)))</f>
        <v>#REF!</v>
      </c>
      <c r="T17" s="307" t="e">
        <f t="array" aca="1" ref="T17" ca="1">IF(ROW()-ROW($I$2:$I$34)+1&gt;ROWS($H$2:$H$34)-COUNTBLANK($H$2:$H$34),"",INDIRECT(ADDRESS(SMALL((IF($H$2:$H$34&lt;&gt;"",ROW($H$2:$H$34),ROW()+ROWS($H$2:$H$34))),ROW()-ROW($I$2:$I$34)+1),COLUMN($H$2:$H$34),4)))</f>
        <v>#REF!</v>
      </c>
      <c r="U17" s="307" t="e">
        <f t="array" aca="1" ref="U17" ca="1">IF(ROW()-ROW($J$2:$J$34)+1&gt;ROWS($I$2:$I$34)-COUNTBLANK($I$2:$I$34),"",INDIRECT(ADDRESS(SMALL((IF($I$2:$I$34&lt;&gt;"",ROW($I$2:$I$34),ROW()+ROWS($I$2:$I$34))),ROW()-ROW($J$2:$J$34)+1),COLUMN($I$2:$I$34),4)))</f>
        <v>#REF!</v>
      </c>
      <c r="V17" s="279" t="e">
        <f t="array" aca="1" ref="V17" ca="1">IF(ROW()-ROW($K$2:$K$34)+1&gt;ROWS($J$2:$J$34)-COUNTBLANK($J$2:$J$34),"",INDIRECT(ADDRESS(SMALL((IF($J$2:$J$34&lt;&gt;"",ROW($J$2:$J$34),ROW()+ROWS($J$2:$J$34))),ROW()-ROW($K$2:$K$34)+1),COLUMN($J$2:$J$34),4)))</f>
        <v>#REF!</v>
      </c>
      <c r="W17" s="201" t="e">
        <f t="array" aca="1" ref="W17" ca="1">IF(ROW()-ROW($L$2:$L$34)+1&gt;ROWS($K$2:$K$34)-COUNTBLANK($K$2:$K$34),"",INDIRECT(ADDRESS(SMALL((IF($K$2:$K$34&lt;&gt;"",ROW($K$2:$K$34),ROW()+ROWS($K$2:$K$34))),ROW()-ROW($L$2:$L$34)+1),COLUMN($K$2:$K$34),4)))</f>
        <v>#REF!</v>
      </c>
      <c r="X17" s="278" t="e">
        <f t="array" aca="1" ref="X17" ca="1">IF(ROW()-ROW($M$2:$M$34)+1&gt;ROWS($L$2:$L$34)-COUNTBLANK($L$2:$L$34),"",INDIRECT(ADDRESS(SMALL((IF($L$2:$L$34&lt;&gt;"",ROW($L$2:$L$34),ROW()+ROWS($L$2:$L$34))),ROW()-ROW($M$2:$M$34)+1),COLUMN($L$2:$L$34),4)))</f>
        <v>#REF!</v>
      </c>
      <c r="Y17" s="278" t="e">
        <f t="array" aca="1" ref="Y17" ca="1">IF(ROW()-ROW($N$2:$N$34)+1&gt;ROWS($M$2:$M$34)-COUNTBLANK($M$2:$M$34),"",INDIRECT(ADDRESS(SMALL((IF($M$2:$M$34&lt;&gt;"",ROW($M$2:$M$34),ROW()+ROWS($M$2:$M$34))),ROW()-ROW($N$2:$N$34)+1),COLUMN($M$2:$M$34),4)))</f>
        <v>#REF!</v>
      </c>
    </row>
    <row r="18" spans="1:25" ht="54.95" customHeight="1" x14ac:dyDescent="0.45">
      <c r="A18" s="275" t="str">
        <f>IF('Indicator sheet_(IS)'!P57=0,"",'Indicator sheet_(IS)'!P57)</f>
        <v>Incomplete</v>
      </c>
      <c r="B18" s="455">
        <v>16</v>
      </c>
      <c r="C18" s="34">
        <f>IF($A18="I.O.","",'Indicator sheet_(IS)'!A57)</f>
        <v>15</v>
      </c>
      <c r="D18" s="121" t="str">
        <f>IF($A18="I.O.","",'Indicator sheet_(IS)'!C57)</f>
        <v>Revision surgery: colon</v>
      </c>
      <c r="E18" s="283" t="str">
        <f>IF(AND('Indicator sheet_(IS)'!J57="",$A18&lt;&gt;"I.O."),"-----",IF($A18="I.O.","",'Indicator sheet_(IS)'!J57))</f>
        <v>&lt; 0,01%</v>
      </c>
      <c r="F18" s="309" t="str">
        <f>IF($A18="I.O.","",'Indicator sheet_(IS)'!K57)</f>
        <v>≤ 15%</v>
      </c>
      <c r="G18" s="283" t="str">
        <f>IF(AND('Indicator sheet_(IS)'!M57="",$A18&lt;&gt;"I.O."),"-----",IF($A18="I.O.","",'Indicator sheet_(IS)'!M57))</f>
        <v>&gt;10%</v>
      </c>
      <c r="H18" s="308" t="str">
        <f>IF($A18="I.O.","",IF('Indicator sheet_(IS)'!O57="","-----",'Indicator sheet_(IS)'!O57))</f>
        <v>-----</v>
      </c>
      <c r="I18" s="308">
        <f>IF($A18="I.O.","",IF('Indicator sheet_(IS)'!O58="","-----",'Indicator sheet_(IS)'!O58))</f>
        <v>0</v>
      </c>
      <c r="J18" s="276" t="str">
        <f>IF($A18="I.O.","",IF('Indicator sheet_(IS)'!O59="",0,'Indicator sheet_(IS)'!O59))</f>
        <v>n.d.</v>
      </c>
      <c r="K18" s="234" t="str">
        <f>IF($A18="I.O.","",'Indicator sheet_(IS)'!P57)</f>
        <v>Incomplete</v>
      </c>
      <c r="L18" s="277" t="str">
        <f>IF(AND('Indicator sheet_(IS)'!Q57="",$A18&lt;&gt;"I.O."),"-----",IF($A18="I.O.","",'Indicator sheet_(IS)'!Q57))</f>
        <v>-----</v>
      </c>
      <c r="M18" s="277" t="str">
        <f>IF(AND('Indicator sheet_(IS)'!R57="",$A18&lt;&gt;"I.O."),"-----",IF($A18="I.O.","",'Indicator sheet_(IS)'!R57))</f>
        <v>-----</v>
      </c>
      <c r="O18" s="217" t="e">
        <f t="array" aca="1" ref="O18" ca="1">IF(ROW()-ROW($D$2:$D$34)+1&gt;ROWS($C$2:$C$34)-COUNTBLANK($C$2:$C$34),"",INDIRECT(ADDRESS(SMALL((IF($C$2:$C$34&lt;&gt;"",ROW($C$2:$C$34),ROW()+ROWS($C$2:$C$34))),ROW()-ROW($D$2:$D$34)+1),COLUMN($C$2:$C$34),4)))</f>
        <v>#REF!</v>
      </c>
      <c r="P18" s="278" t="e">
        <f t="array" aca="1" ref="P18" ca="1">IF(ROW()-ROW($E$2:$E$34)+1&gt;ROWS($D$2:$D$34)-COUNTBLANK($D$2:$D$34),"",INDIRECT(ADDRESS(SMALL((IF($D$2:$D$34&gt;"",ROW($D$2:$D$34),ROW()+ROWS($D$2:$D$34))),ROW()-ROW($E$2:$E$34)+1),COLUMN($D$2:$D$34),4)))</f>
        <v>#REF!</v>
      </c>
      <c r="Q18" s="206" t="e">
        <f t="array" aca="1" ref="Q18" ca="1">IF(ROW()-ROW($F$2:$F$34)+1&gt;ROWS($E$2:$E$34)-COUNTBLANK($E$2:$E$34),"",INDIRECT(ADDRESS(SMALL((IF($E$2:$E$34&gt;"",ROW($E$2:$E$34),ROW()+ROWS($E$2:$E$34))),ROW()-ROW($F$2:$F$34)+1),COLUMN($E$2:$E$34),4)))</f>
        <v>#REF!</v>
      </c>
      <c r="R18" s="206" t="e">
        <f t="array" aca="1" ref="R18" ca="1">IF(ROW()-ROW($G$2:$G$34)+1&gt;ROWS($F$2:$F$34)-COUNTBLANK($F$2:$F$34),"",INDIRECT(ADDRESS(SMALL((IF($F$2:$F$34&gt;"",ROW($F$2:$F$34),ROW()+ROWS($F$2:$F$34))),ROW()-ROW($G$2:$G$34)+1),COLUMN($F$2:$F$34),4)))</f>
        <v>#REF!</v>
      </c>
      <c r="S18" s="206" t="e">
        <f t="array" aca="1" ref="S18" ca="1">IF(ROW()-ROW($H$2:$H$34)+1&gt;ROWS($G$2:$G$29)-COUNTBLANK($G$2:$G$34),"",INDIRECT(ADDRESS(SMALL((IF($G$2:$G$34&lt;&gt;"",ROW($G$2:$G$34),ROW()+ROWS($G$2:$G$34))),ROW()-ROW($H$2:$H$34)+1),COLUMN($G$2:$G$34),4)))</f>
        <v>#REF!</v>
      </c>
      <c r="T18" s="307" t="e">
        <f t="array" aca="1" ref="T18" ca="1">IF(ROW()-ROW($I$2:$I$34)+1&gt;ROWS($H$2:$H$34)-COUNTBLANK($H$2:$H$34),"",INDIRECT(ADDRESS(SMALL((IF($H$2:$H$34&lt;&gt;"",ROW($H$2:$H$34),ROW()+ROWS($H$2:$H$34))),ROW()-ROW($I$2:$I$34)+1),COLUMN($H$2:$H$34),4)))</f>
        <v>#REF!</v>
      </c>
      <c r="U18" s="307" t="e">
        <f t="array" aca="1" ref="U18" ca="1">IF(ROW()-ROW($J$2:$J$34)+1&gt;ROWS($I$2:$I$34)-COUNTBLANK($I$2:$I$34),"",INDIRECT(ADDRESS(SMALL((IF($I$2:$I$34&lt;&gt;"",ROW($I$2:$I$34),ROW()+ROWS($I$2:$I$34))),ROW()-ROW($J$2:$J$34)+1),COLUMN($I$2:$I$34),4)))</f>
        <v>#REF!</v>
      </c>
      <c r="V18" s="279" t="e">
        <f t="array" aca="1" ref="V18" ca="1">IF(ROW()-ROW($K$2:$K$34)+1&gt;ROWS($J$2:$J$34)-COUNTBLANK($J$2:$J$34),"",INDIRECT(ADDRESS(SMALL((IF($J$2:$J$34&lt;&gt;"",ROW($J$2:$J$34),ROW()+ROWS($J$2:$J$34))),ROW()-ROW($K$2:$K$34)+1),COLUMN($J$2:$J$34),4)))</f>
        <v>#REF!</v>
      </c>
      <c r="W18" s="201" t="e">
        <f t="array" aca="1" ref="W18" ca="1">IF(ROW()-ROW($L$2:$L$34)+1&gt;ROWS($K$2:$K$34)-COUNTBLANK($K$2:$K$34),"",INDIRECT(ADDRESS(SMALL((IF($K$2:$K$34&lt;&gt;"",ROW($K$2:$K$34),ROW()+ROWS($K$2:$K$34))),ROW()-ROW($L$2:$L$34)+1),COLUMN($K$2:$K$34),4)))</f>
        <v>#REF!</v>
      </c>
      <c r="X18" s="278" t="e">
        <f t="array" aca="1" ref="X18" ca="1">IF(ROW()-ROW($M$2:$M$34)+1&gt;ROWS($L$2:$L$34)-COUNTBLANK($L$2:$L$34),"",INDIRECT(ADDRESS(SMALL((IF($L$2:$L$34&lt;&gt;"",ROW($L$2:$L$34),ROW()+ROWS($L$2:$L$34))),ROW()-ROW($M$2:$M$34)+1),COLUMN($L$2:$L$34),4)))</f>
        <v>#REF!</v>
      </c>
      <c r="Y18" s="278" t="e">
        <f t="array" aca="1" ref="Y18" ca="1">IF(ROW()-ROW($N$2:$N$34)+1&gt;ROWS($M$2:$M$34)-COUNTBLANK($M$2:$M$34),"",INDIRECT(ADDRESS(SMALL((IF($M$2:$M$34&lt;&gt;"",ROW($M$2:$M$34),ROW()+ROWS($M$2:$M$34))),ROW()-ROW($N$2:$N$34)+1),COLUMN($M$2:$M$34),4)))</f>
        <v>#REF!</v>
      </c>
    </row>
    <row r="19" spans="1:25" ht="54.95" customHeight="1" x14ac:dyDescent="0.45">
      <c r="A19" s="275" t="str">
        <f>IF('Indicator sheet_(IS)'!P60=0,"",'Indicator sheet_(IS)'!P60)</f>
        <v>Incomplete</v>
      </c>
      <c r="B19" s="455">
        <v>17</v>
      </c>
      <c r="C19" s="34">
        <f>IF($A19="I.O.","",'Indicator sheet_(IS)'!A60)</f>
        <v>16</v>
      </c>
      <c r="D19" s="121" t="str">
        <f>IF($A19="I.O.","",'Indicator sheet_(IS)'!C60)</f>
        <v>Revision Surgery: rectum</v>
      </c>
      <c r="E19" s="283" t="str">
        <f>IF(AND('Indicator sheet_(IS)'!J60="",$A19&lt;&gt;"I.O."),"-----",IF($A19="I.O.","",'Indicator sheet_(IS)'!J60))</f>
        <v>&lt; 0,01%</v>
      </c>
      <c r="F19" s="309" t="str">
        <f>IF($A19="I.O.","",'Indicator sheet_(IS)'!K60)</f>
        <v>≤ 15%</v>
      </c>
      <c r="G19" s="283" t="str">
        <f>IF(AND('Indicator sheet_(IS)'!M60="",$A19&lt;&gt;"I.O."),"-----",IF($A19="I.O.","",'Indicator sheet_(IS)'!M60))</f>
        <v>&gt;10%</v>
      </c>
      <c r="H19" s="308" t="str">
        <f>IF($A19="I.O.","",IF('Indicator sheet_(IS)'!O60="","-----",'Indicator sheet_(IS)'!O60))</f>
        <v>-----</v>
      </c>
      <c r="I19" s="308">
        <f>IF($A19="I.O.","",IF('Indicator sheet_(IS)'!O61="","-----",'Indicator sheet_(IS)'!O61))</f>
        <v>0</v>
      </c>
      <c r="J19" s="276" t="str">
        <f>IF($A19="I.O.","",IF('Indicator sheet_(IS)'!O62="",0,'Indicator sheet_(IS)'!O62))</f>
        <v>n.d.</v>
      </c>
      <c r="K19" s="234" t="str">
        <f>IF($A19="I.O.","",'Indicator sheet_(IS)'!P60)</f>
        <v>Incomplete</v>
      </c>
      <c r="L19" s="277" t="str">
        <f>IF(AND('Indicator sheet_(IS)'!Q60="",$A19&lt;&gt;"I.O."),"-----",IF($A19="I.O.","",'Indicator sheet_(IS)'!Q60))</f>
        <v>-----</v>
      </c>
      <c r="M19" s="277" t="str">
        <f>IF(AND('Indicator sheet_(IS)'!R60="",$A19&lt;&gt;"I.O."),"-----",IF($A19="I.O.","",'Indicator sheet_(IS)'!R60))</f>
        <v>-----</v>
      </c>
      <c r="O19" s="217" t="e">
        <f t="array" aca="1" ref="O19" ca="1">IF(ROW()-ROW($D$2:$D$34)+1&gt;ROWS($C$2:$C$34)-COUNTBLANK($C$2:$C$34),"",INDIRECT(ADDRESS(SMALL((IF($C$2:$C$34&lt;&gt;"",ROW($C$2:$C$34),ROW()+ROWS($C$2:$C$34))),ROW()-ROW($D$2:$D$34)+1),COLUMN($C$2:$C$34),4)))</f>
        <v>#REF!</v>
      </c>
      <c r="P19" s="278" t="e">
        <f t="array" aca="1" ref="P19" ca="1">IF(ROW()-ROW($E$2:$E$34)+1&gt;ROWS($D$2:$D$34)-COUNTBLANK($D$2:$D$34),"",INDIRECT(ADDRESS(SMALL((IF($D$2:$D$34&gt;"",ROW($D$2:$D$34),ROW()+ROWS($D$2:$D$34))),ROW()-ROW($E$2:$E$34)+1),COLUMN($D$2:$D$34),4)))</f>
        <v>#REF!</v>
      </c>
      <c r="Q19" s="206" t="e">
        <f t="array" aca="1" ref="Q19" ca="1">IF(ROW()-ROW($F$2:$F$34)+1&gt;ROWS($E$2:$E$34)-COUNTBLANK($E$2:$E$34),"",INDIRECT(ADDRESS(SMALL((IF($E$2:$E$34&gt;"",ROW($E$2:$E$34),ROW()+ROWS($E$2:$E$34))),ROW()-ROW($F$2:$F$34)+1),COLUMN($E$2:$E$34),4)))</f>
        <v>#REF!</v>
      </c>
      <c r="R19" s="206" t="e">
        <f t="array" aca="1" ref="R19" ca="1">IF(ROW()-ROW($G$2:$G$34)+1&gt;ROWS($F$2:$F$34)-COUNTBLANK($F$2:$F$34),"",INDIRECT(ADDRESS(SMALL((IF($F$2:$F$34&gt;"",ROW($F$2:$F$34),ROW()+ROWS($F$2:$F$34))),ROW()-ROW($G$2:$G$34)+1),COLUMN($F$2:$F$34),4)))</f>
        <v>#REF!</v>
      </c>
      <c r="S19" s="206" t="e">
        <f t="array" aca="1" ref="S19" ca="1">IF(ROW()-ROW($H$2:$H$34)+1&gt;ROWS($G$2:$G$29)-COUNTBLANK($G$2:$G$34),"",INDIRECT(ADDRESS(SMALL((IF($G$2:$G$34&lt;&gt;"",ROW($G$2:$G$34),ROW()+ROWS($G$2:$G$34))),ROW()-ROW($H$2:$H$34)+1),COLUMN($G$2:$G$34),4)))</f>
        <v>#REF!</v>
      </c>
      <c r="T19" s="307" t="e">
        <f t="array" aca="1" ref="T19" ca="1">IF(ROW()-ROW($I$2:$I$34)+1&gt;ROWS($H$2:$H$34)-COUNTBLANK($H$2:$H$34),"",INDIRECT(ADDRESS(SMALL((IF($H$2:$H$34&lt;&gt;"",ROW($H$2:$H$34),ROW()+ROWS($H$2:$H$34))),ROW()-ROW($I$2:$I$34)+1),COLUMN($H$2:$H$34),4)))</f>
        <v>#REF!</v>
      </c>
      <c r="U19" s="307" t="e">
        <f t="array" aca="1" ref="U19" ca="1">IF(ROW()-ROW($J$2:$J$34)+1&gt;ROWS($I$2:$I$34)-COUNTBLANK($I$2:$I$34),"",INDIRECT(ADDRESS(SMALL((IF($I$2:$I$34&lt;&gt;"",ROW($I$2:$I$34),ROW()+ROWS($I$2:$I$34))),ROW()-ROW($J$2:$J$34)+1),COLUMN($I$2:$I$34),4)))</f>
        <v>#REF!</v>
      </c>
      <c r="V19" s="279" t="e">
        <f t="array" aca="1" ref="V19" ca="1">IF(ROW()-ROW($K$2:$K$34)+1&gt;ROWS($J$2:$J$34)-COUNTBLANK($J$2:$J$34),"",INDIRECT(ADDRESS(SMALL((IF($J$2:$J$34&lt;&gt;"",ROW($J$2:$J$34),ROW()+ROWS($J$2:$J$34))),ROW()-ROW($K$2:$K$34)+1),COLUMN($J$2:$J$34),4)))</f>
        <v>#REF!</v>
      </c>
      <c r="W19" s="201" t="e">
        <f t="array" aca="1" ref="W19" ca="1">IF(ROW()-ROW($L$2:$L$34)+1&gt;ROWS($K$2:$K$34)-COUNTBLANK($K$2:$K$34),"",INDIRECT(ADDRESS(SMALL((IF($K$2:$K$34&lt;&gt;"",ROW($K$2:$K$34),ROW()+ROWS($K$2:$K$34))),ROW()-ROW($L$2:$L$34)+1),COLUMN($K$2:$K$34),4)))</f>
        <v>#REF!</v>
      </c>
      <c r="X19" s="278" t="e">
        <f t="array" aca="1" ref="X19" ca="1">IF(ROW()-ROW($M$2:$M$34)+1&gt;ROWS($L$2:$L$34)-COUNTBLANK($L$2:$L$34),"",INDIRECT(ADDRESS(SMALL((IF($L$2:$L$34&lt;&gt;"",ROW($L$2:$L$34),ROW()+ROWS($L$2:$L$34))),ROW()-ROW($M$2:$M$34)+1),COLUMN($L$2:$L$34),4)))</f>
        <v>#REF!</v>
      </c>
      <c r="Y19" s="278" t="e">
        <f t="array" aca="1" ref="Y19" ca="1">IF(ROW()-ROW($N$2:$N$34)+1&gt;ROWS($M$2:$M$34)-COUNTBLANK($M$2:$M$34),"",INDIRECT(ADDRESS(SMALL((IF($M$2:$M$34&lt;&gt;"",ROW($M$2:$M$34),ROW()+ROWS($M$2:$M$34))),ROW()-ROW($N$2:$N$34)+1),COLUMN($M$2:$M$34),4)))</f>
        <v>#REF!</v>
      </c>
    </row>
    <row r="20" spans="1:25" ht="54.95" customHeight="1" x14ac:dyDescent="0.45">
      <c r="A20" s="275" t="str">
        <f>IF('Indicator sheet_(IS)'!P63=0,"",'Indicator sheet_(IS)'!P63)</f>
        <v>Incomplete</v>
      </c>
      <c r="B20" s="455">
        <v>18</v>
      </c>
      <c r="C20" s="34">
        <f>IF($A20="I.O.","",'Indicator sheet_(IS)'!A63)</f>
        <v>17</v>
      </c>
      <c r="D20" s="121" t="str">
        <f>IF($A20="I.O.","",'Indicator sheet_(IS)'!C63)</f>
        <v>Anastomotic insufficiency: colon</v>
      </c>
      <c r="E20" s="283" t="str">
        <f>IF(AND('Indicator sheet_(IS)'!J63="",$A20&lt;&gt;"I.O."),"-----",IF($A20="I.O.","",'Indicator sheet_(IS)'!J63))</f>
        <v>&lt; 0,01%</v>
      </c>
      <c r="F20" s="309" t="str">
        <f>IF($A20="I.O.","",'Indicator sheet_(IS)'!K63)</f>
        <v>≤ 6%</v>
      </c>
      <c r="G20" s="283" t="str">
        <f>IF(AND('Indicator sheet_(IS)'!M63="",$A20&lt;&gt;"I.O."),"-----",IF($A20="I.O.","",'Indicator sheet_(IS)'!M63))</f>
        <v>-----</v>
      </c>
      <c r="H20" s="308" t="str">
        <f>IF($A20="I.O.","",IF('Indicator sheet_(IS)'!O63="","-----",'Indicator sheet_(IS)'!O63))</f>
        <v>-----</v>
      </c>
      <c r="I20" s="308" t="str">
        <f>IF($A20="I.O.","",IF('Indicator sheet_(IS)'!O64="","-----",'Indicator sheet_(IS)'!O64))</f>
        <v>-----</v>
      </c>
      <c r="J20" s="276" t="str">
        <f>IF($A20="I.O.","",IF('Indicator sheet_(IS)'!O65="",0,'Indicator sheet_(IS)'!O65))</f>
        <v>n.d.</v>
      </c>
      <c r="K20" s="234" t="str">
        <f>IF($A20="I.O.","",'Indicator sheet_(IS)'!P63)</f>
        <v>Incomplete</v>
      </c>
      <c r="L20" s="277" t="str">
        <f>IF(AND('Indicator sheet_(IS)'!Q63="",$A20&lt;&gt;"I.O."),"-----",IF($A20="I.O.","",'Indicator sheet_(IS)'!Q63))</f>
        <v>-----</v>
      </c>
      <c r="M20" s="277" t="str">
        <f>IF(AND('Indicator sheet_(IS)'!R63="",$A20&lt;&gt;"I.O."),"-----",IF($A20="I.O.","",'Indicator sheet_(IS)'!R63))</f>
        <v>-----</v>
      </c>
      <c r="O20" s="217" t="e">
        <f t="array" aca="1" ref="O20" ca="1">IF(ROW()-ROW($D$2:$D$34)+1&gt;ROWS($C$2:$C$34)-COUNTBLANK($C$2:$C$34),"",INDIRECT(ADDRESS(SMALL((IF($C$2:$C$34&lt;&gt;"",ROW($C$2:$C$34),ROW()+ROWS($C$2:$C$34))),ROW()-ROW($D$2:$D$34)+1),COLUMN($C$2:$C$34),4)))</f>
        <v>#REF!</v>
      </c>
      <c r="P20" s="278" t="e">
        <f t="array" aca="1" ref="P20" ca="1">IF(ROW()-ROW($E$2:$E$34)+1&gt;ROWS($D$2:$D$34)-COUNTBLANK($D$2:$D$34),"",INDIRECT(ADDRESS(SMALL((IF($D$2:$D$34&gt;"",ROW($D$2:$D$34),ROW()+ROWS($D$2:$D$34))),ROW()-ROW($E$2:$E$34)+1),COLUMN($D$2:$D$34),4)))</f>
        <v>#REF!</v>
      </c>
      <c r="Q20" s="206" t="e">
        <f t="array" aca="1" ref="Q20" ca="1">IF(ROW()-ROW($F$2:$F$34)+1&gt;ROWS($E$2:$E$34)-COUNTBLANK($E$2:$E$34),"",INDIRECT(ADDRESS(SMALL((IF($E$2:$E$34&gt;"",ROW($E$2:$E$34),ROW()+ROWS($E$2:$E$34))),ROW()-ROW($F$2:$F$34)+1),COLUMN($E$2:$E$34),4)))</f>
        <v>#REF!</v>
      </c>
      <c r="R20" s="206" t="e">
        <f t="array" aca="1" ref="R20" ca="1">IF(ROW()-ROW($G$2:$G$34)+1&gt;ROWS($F$2:$F$34)-COUNTBLANK($F$2:$F$34),"",INDIRECT(ADDRESS(SMALL((IF($F$2:$F$34&gt;"",ROW($F$2:$F$34),ROW()+ROWS($F$2:$F$34))),ROW()-ROW($G$2:$G$34)+1),COLUMN($F$2:$F$34),4)))</f>
        <v>#REF!</v>
      </c>
      <c r="S20" s="206" t="e">
        <f t="array" aca="1" ref="S20" ca="1">IF(ROW()-ROW($H$2:$H$34)+1&gt;ROWS($G$2:$G$29)-COUNTBLANK($G$2:$G$34),"",INDIRECT(ADDRESS(SMALL((IF($G$2:$G$34&lt;&gt;"",ROW($G$2:$G$34),ROW()+ROWS($G$2:$G$34))),ROW()-ROW($H$2:$H$34)+1),COLUMN($G$2:$G$34),4)))</f>
        <v>#REF!</v>
      </c>
      <c r="T20" s="307" t="e">
        <f t="array" aca="1" ref="T20" ca="1">IF(ROW()-ROW($I$2:$I$34)+1&gt;ROWS($H$2:$H$34)-COUNTBLANK($H$2:$H$34),"",INDIRECT(ADDRESS(SMALL((IF($H$2:$H$34&lt;&gt;"",ROW($H$2:$H$34),ROW()+ROWS($H$2:$H$34))),ROW()-ROW($I$2:$I$34)+1),COLUMN($H$2:$H$34),4)))</f>
        <v>#REF!</v>
      </c>
      <c r="U20" s="307" t="e">
        <f t="array" aca="1" ref="U20" ca="1">IF(ROW()-ROW($J$2:$J$34)+1&gt;ROWS($I$2:$I$34)-COUNTBLANK($I$2:$I$34),"",INDIRECT(ADDRESS(SMALL((IF($I$2:$I$34&lt;&gt;"",ROW($I$2:$I$34),ROW()+ROWS($I$2:$I$34))),ROW()-ROW($J$2:$J$34)+1),COLUMN($I$2:$I$34),4)))</f>
        <v>#REF!</v>
      </c>
      <c r="V20" s="279" t="e">
        <f t="array" aca="1" ref="V20" ca="1">IF(ROW()-ROW($K$2:$K$34)+1&gt;ROWS($J$2:$J$34)-COUNTBLANK($J$2:$J$34),"",INDIRECT(ADDRESS(SMALL((IF($J$2:$J$34&lt;&gt;"",ROW($J$2:$J$34),ROW()+ROWS($J$2:$J$34))),ROW()-ROW($K$2:$K$34)+1),COLUMN($J$2:$J$34),4)))</f>
        <v>#REF!</v>
      </c>
      <c r="W20" s="201" t="e">
        <f t="array" aca="1" ref="W20" ca="1">IF(ROW()-ROW($L$2:$L$34)+1&gt;ROWS($K$2:$K$34)-COUNTBLANK($K$2:$K$34),"",INDIRECT(ADDRESS(SMALL((IF($K$2:$K$34&lt;&gt;"",ROW($K$2:$K$34),ROW()+ROWS($K$2:$K$34))),ROW()-ROW($L$2:$L$34)+1),COLUMN($K$2:$K$34),4)))</f>
        <v>#REF!</v>
      </c>
      <c r="X20" s="278" t="e">
        <f t="array" aca="1" ref="X20" ca="1">IF(ROW()-ROW($M$2:$M$34)+1&gt;ROWS($L$2:$L$34)-COUNTBLANK($L$2:$L$34),"",INDIRECT(ADDRESS(SMALL((IF($L$2:$L$34&lt;&gt;"",ROW($L$2:$L$34),ROW()+ROWS($L$2:$L$34))),ROW()-ROW($M$2:$M$34)+1),COLUMN($L$2:$L$34),4)))</f>
        <v>#REF!</v>
      </c>
      <c r="Y20" s="278" t="e">
        <f t="array" aca="1" ref="Y20" ca="1">IF(ROW()-ROW($N$2:$N$34)+1&gt;ROWS($M$2:$M$34)-COUNTBLANK($M$2:$M$34),"",INDIRECT(ADDRESS(SMALL((IF($M$2:$M$34&lt;&gt;"",ROW($M$2:$M$34),ROW()+ROWS($M$2:$M$34))),ROW()-ROW($N$2:$N$34)+1),COLUMN($M$2:$M$34),4)))</f>
        <v>#REF!</v>
      </c>
    </row>
    <row r="21" spans="1:25" ht="54.95" customHeight="1" x14ac:dyDescent="0.45">
      <c r="A21" s="275" t="str">
        <f>IF('Indicator sheet_(IS)'!P66=0,"",'Indicator sheet_(IS)'!P66)</f>
        <v>Incomplete</v>
      </c>
      <c r="B21" s="455">
        <v>19</v>
      </c>
      <c r="C21" s="34">
        <f>IF($A21="I.O.","",'Indicator sheet_(IS)'!A66)</f>
        <v>18</v>
      </c>
      <c r="D21" s="121" t="str">
        <f>IF($A21="I.O.","",'Indicator sheet_(IS)'!C66)</f>
        <v>Anastomotic insufficiency: rectum</v>
      </c>
      <c r="E21" s="283" t="str">
        <f>IF(AND('Indicator sheet_(IS)'!J66="",$A21&lt;&gt;"I.O."),"-----",IF($A21="I.O.","",'Indicator sheet_(IS)'!J66))</f>
        <v>&lt; 0,01%</v>
      </c>
      <c r="F21" s="309" t="str">
        <f>IF($A21="I.O.","",'Indicator sheet_(IS)'!K66)</f>
        <v>≤ 15%</v>
      </c>
      <c r="G21" s="283" t="str">
        <f>IF(AND('Indicator sheet_(IS)'!M66="",$A21&lt;&gt;"I.O."),"-----",IF($A21="I.O.","",'Indicator sheet_(IS)'!M66))</f>
        <v>-----</v>
      </c>
      <c r="H21" s="308" t="str">
        <f>IF($A21="I.O.","",IF('Indicator sheet_(IS)'!O66="","-----",'Indicator sheet_(IS)'!O66))</f>
        <v>-----</v>
      </c>
      <c r="I21" s="308" t="str">
        <f>IF($A21="I.O.","",IF('Indicator sheet_(IS)'!O67="","-----",'Indicator sheet_(IS)'!O67))</f>
        <v>-----</v>
      </c>
      <c r="J21" s="276" t="str">
        <f>IF($A21="I.O.","",IF('Indicator sheet_(IS)'!O68="",0,'Indicator sheet_(IS)'!O68))</f>
        <v>n.d.</v>
      </c>
      <c r="K21" s="234" t="str">
        <f>IF($A21="I.O.","",'Indicator sheet_(IS)'!P66)</f>
        <v>Incomplete</v>
      </c>
      <c r="L21" s="277" t="str">
        <f>IF(AND('Indicator sheet_(IS)'!Q66="",$A21&lt;&gt;"I.O."),"-----",IF($A21="I.O.","",'Indicator sheet_(IS)'!Q66))</f>
        <v>-----</v>
      </c>
      <c r="M21" s="277" t="str">
        <f>IF(AND('Indicator sheet_(IS)'!R66="",$A21&lt;&gt;"I.O."),"-----",IF($A21="I.O.","",'Indicator sheet_(IS)'!R66))</f>
        <v>-----</v>
      </c>
      <c r="O21" s="217" t="e">
        <f t="array" aca="1" ref="O21" ca="1">IF(ROW()-ROW($D$2:$D$34)+1&gt;ROWS($C$2:$C$34)-COUNTBLANK($C$2:$C$34),"",INDIRECT(ADDRESS(SMALL((IF($C$2:$C$34&lt;&gt;"",ROW($C$2:$C$34),ROW()+ROWS($C$2:$C$34))),ROW()-ROW($D$2:$D$34)+1),COLUMN($C$2:$C$34),4)))</f>
        <v>#REF!</v>
      </c>
      <c r="P21" s="278" t="e">
        <f t="array" aca="1" ref="P21" ca="1">IF(ROW()-ROW($E$2:$E$34)+1&gt;ROWS($D$2:$D$34)-COUNTBLANK($D$2:$D$34),"",INDIRECT(ADDRESS(SMALL((IF($D$2:$D$34&gt;"",ROW($D$2:$D$34),ROW()+ROWS($D$2:$D$34))),ROW()-ROW($E$2:$E$34)+1),COLUMN($D$2:$D$34),4)))</f>
        <v>#REF!</v>
      </c>
      <c r="Q21" s="206" t="e">
        <f t="array" aca="1" ref="Q21" ca="1">IF(ROW()-ROW($F$2:$F$34)+1&gt;ROWS($E$2:$E$34)-COUNTBLANK($E$2:$E$34),"",INDIRECT(ADDRESS(SMALL((IF($E$2:$E$34&gt;"",ROW($E$2:$E$34),ROW()+ROWS($E$2:$E$34))),ROW()-ROW($F$2:$F$34)+1),COLUMN($E$2:$E$34),4)))</f>
        <v>#REF!</v>
      </c>
      <c r="R21" s="206" t="e">
        <f t="array" aca="1" ref="R21" ca="1">IF(ROW()-ROW($G$2:$G$34)+1&gt;ROWS($F$2:$F$34)-COUNTBLANK($F$2:$F$34),"",INDIRECT(ADDRESS(SMALL((IF($F$2:$F$34&gt;"",ROW($F$2:$F$34),ROW()+ROWS($F$2:$F$34))),ROW()-ROW($G$2:$G$34)+1),COLUMN($F$2:$F$34),4)))</f>
        <v>#REF!</v>
      </c>
      <c r="S21" s="206" t="e">
        <f t="array" aca="1" ref="S21" ca="1">IF(ROW()-ROW($H$2:$H$34)+1&gt;ROWS($G$2:$G$29)-COUNTBLANK($G$2:$G$34),"",INDIRECT(ADDRESS(SMALL((IF($G$2:$G$34&lt;&gt;"",ROW($G$2:$G$34),ROW()+ROWS($G$2:$G$34))),ROW()-ROW($H$2:$H$34)+1),COLUMN($G$2:$G$34),4)))</f>
        <v>#REF!</v>
      </c>
      <c r="T21" s="307" t="e">
        <f t="array" aca="1" ref="T21" ca="1">IF(ROW()-ROW($I$2:$I$34)+1&gt;ROWS($H$2:$H$34)-COUNTBLANK($H$2:$H$34),"",INDIRECT(ADDRESS(SMALL((IF($H$2:$H$34&lt;&gt;"",ROW($H$2:$H$34),ROW()+ROWS($H$2:$H$34))),ROW()-ROW($I$2:$I$34)+1),COLUMN($H$2:$H$34),4)))</f>
        <v>#REF!</v>
      </c>
      <c r="U21" s="307" t="e">
        <f t="array" aca="1" ref="U21" ca="1">IF(ROW()-ROW($J$2:$J$34)+1&gt;ROWS($I$2:$I$34)-COUNTBLANK($I$2:$I$34),"",INDIRECT(ADDRESS(SMALL((IF($I$2:$I$34&lt;&gt;"",ROW($I$2:$I$34),ROW()+ROWS($I$2:$I$34))),ROW()-ROW($J$2:$J$34)+1),COLUMN($I$2:$I$34),4)))</f>
        <v>#REF!</v>
      </c>
      <c r="V21" s="279" t="e">
        <f t="array" aca="1" ref="V21" ca="1">IF(ROW()-ROW($K$2:$K$34)+1&gt;ROWS($J$2:$J$34)-COUNTBLANK($J$2:$J$34),"",INDIRECT(ADDRESS(SMALL((IF($J$2:$J$34&lt;&gt;"",ROW($J$2:$J$34),ROW()+ROWS($J$2:$J$34))),ROW()-ROW($K$2:$K$34)+1),COLUMN($J$2:$J$34),4)))</f>
        <v>#REF!</v>
      </c>
      <c r="W21" s="201" t="e">
        <f t="array" aca="1" ref="W21" ca="1">IF(ROW()-ROW($L$2:$L$34)+1&gt;ROWS($K$2:$K$34)-COUNTBLANK($K$2:$K$34),"",INDIRECT(ADDRESS(SMALL((IF($K$2:$K$34&lt;&gt;"",ROW($K$2:$K$34),ROW()+ROWS($K$2:$K$34))),ROW()-ROW($L$2:$L$34)+1),COLUMN($K$2:$K$34),4)))</f>
        <v>#REF!</v>
      </c>
      <c r="X21" s="278" t="e">
        <f t="array" aca="1" ref="X21" ca="1">IF(ROW()-ROW($M$2:$M$34)+1&gt;ROWS($L$2:$L$34)-COUNTBLANK($L$2:$L$34),"",INDIRECT(ADDRESS(SMALL((IF($L$2:$L$34&lt;&gt;"",ROW($L$2:$L$34),ROW()+ROWS($L$2:$L$34))),ROW()-ROW($M$2:$M$34)+1),COLUMN($L$2:$L$34),4)))</f>
        <v>#REF!</v>
      </c>
      <c r="Y21" s="278" t="e">
        <f t="array" aca="1" ref="Y21" ca="1">IF(ROW()-ROW($N$2:$N$34)+1&gt;ROWS($M$2:$M$34)-COUNTBLANK($M$2:$M$34),"",INDIRECT(ADDRESS(SMALL((IF($M$2:$M$34&lt;&gt;"",ROW($M$2:$M$34),ROW()+ROWS($M$2:$M$34))),ROW()-ROW($N$2:$N$34)+1),COLUMN($M$2:$M$34),4)))</f>
        <v>#REF!</v>
      </c>
    </row>
    <row r="22" spans="1:25" ht="54.95" customHeight="1" x14ac:dyDescent="0.45">
      <c r="A22" s="275" t="str">
        <f>IF('Indicator sheet_(IS)'!P69=0,"",'Indicator sheet_(IS)'!P69)</f>
        <v>Incomplete</v>
      </c>
      <c r="B22" s="454">
        <v>20</v>
      </c>
      <c r="C22" s="34">
        <f>IF($A22="I.O.","",'Indicator sheet_(IS)'!A69)</f>
        <v>19</v>
      </c>
      <c r="D22" s="121" t="str">
        <f>IF($A22="I.O.","",'Indicator sheet_(IS)'!C69)</f>
        <v>Post-operative mortality</v>
      </c>
      <c r="E22" s="283" t="str">
        <f>IF(AND('Indicator sheet_(IS)'!J69="",$A22&lt;&gt;"I.O."),"-----",IF($A22="I.O.","",'Indicator sheet_(IS)'!J69))</f>
        <v>&lt; 0,01%</v>
      </c>
      <c r="F22" s="309" t="str">
        <f>IF($A22="I.O.","",'Indicator sheet_(IS)'!K69)</f>
        <v>≤ 5%</v>
      </c>
      <c r="G22" s="283" t="str">
        <f>IF(AND('Indicator sheet_(IS)'!M69="",$A22&lt;&gt;"I.O."),"-----",IF($A22="I.O.","",'Indicator sheet_(IS)'!M69))</f>
        <v>-----</v>
      </c>
      <c r="H22" s="308" t="str">
        <f>IF($A22="I.O.","",IF('Indicator sheet_(IS)'!O69="","-----",'Indicator sheet_(IS)'!O69))</f>
        <v>-----</v>
      </c>
      <c r="I22" s="308">
        <f>IF($A22="I.O.","",IF('Indicator sheet_(IS)'!O70="","-----",'Indicator sheet_(IS)'!O70))</f>
        <v>0</v>
      </c>
      <c r="J22" s="276" t="str">
        <f>IF($A22="I.O.","",IF('Indicator sheet_(IS)'!O71="",0,'Indicator sheet_(IS)'!O71))</f>
        <v>n.d.</v>
      </c>
      <c r="K22" s="234" t="str">
        <f>IF($A22="I.O.","",'Indicator sheet_(IS)'!P69)</f>
        <v>Incomplete</v>
      </c>
      <c r="L22" s="277" t="str">
        <f>IF(AND('Indicator sheet_(IS)'!Q69="",$A22&lt;&gt;"I.O."),"-----",IF($A22="I.O.","",'Indicator sheet_(IS)'!Q69))</f>
        <v>-----</v>
      </c>
      <c r="M22" s="277" t="str">
        <f>IF(AND('Indicator sheet_(IS)'!R69="",$A22&lt;&gt;"I.O."),"-----",IF($A22="I.O.","",'Indicator sheet_(IS)'!R69))</f>
        <v>-----</v>
      </c>
      <c r="O22" s="217" t="e">
        <f t="array" aca="1" ref="O22" ca="1">IF(ROW()-ROW($D$2:$D$34)+1&gt;ROWS($C$2:$C$34)-COUNTBLANK($C$2:$C$34),"",INDIRECT(ADDRESS(SMALL((IF($C$2:$C$34&lt;&gt;"",ROW($C$2:$C$34),ROW()+ROWS($C$2:$C$34))),ROW()-ROW($D$2:$D$34)+1),COLUMN($C$2:$C$34),4)))</f>
        <v>#REF!</v>
      </c>
      <c r="P22" s="278" t="e">
        <f t="array" aca="1" ref="P22" ca="1">IF(ROW()-ROW($E$2:$E$34)+1&gt;ROWS($D$2:$D$34)-COUNTBLANK($D$2:$D$34),"",INDIRECT(ADDRESS(SMALL((IF($D$2:$D$34&gt;"",ROW($D$2:$D$34),ROW()+ROWS($D$2:$D$34))),ROW()-ROW($E$2:$E$34)+1),COLUMN($D$2:$D$34),4)))</f>
        <v>#REF!</v>
      </c>
      <c r="Q22" s="206" t="e">
        <f t="array" aca="1" ref="Q22" ca="1">IF(ROW()-ROW($F$2:$F$34)+1&gt;ROWS($E$2:$E$34)-COUNTBLANK($E$2:$E$34),"",INDIRECT(ADDRESS(SMALL((IF($E$2:$E$34&gt;"",ROW($E$2:$E$34),ROW()+ROWS($E$2:$E$34))),ROW()-ROW($F$2:$F$34)+1),COLUMN($E$2:$E$34),4)))</f>
        <v>#REF!</v>
      </c>
      <c r="R22" s="206" t="e">
        <f t="array" aca="1" ref="R22" ca="1">IF(ROW()-ROW($G$2:$G$34)+1&gt;ROWS($F$2:$F$34)-COUNTBLANK($F$2:$F$34),"",INDIRECT(ADDRESS(SMALL((IF($F$2:$F$34&gt;"",ROW($F$2:$F$34),ROW()+ROWS($F$2:$F$34))),ROW()-ROW($G$2:$G$34)+1),COLUMN($F$2:$F$34),4)))</f>
        <v>#REF!</v>
      </c>
      <c r="S22" s="206" t="e">
        <f t="array" aca="1" ref="S22" ca="1">IF(ROW()-ROW($H$2:$H$34)+1&gt;ROWS($G$2:$G$29)-COUNTBLANK($G$2:$G$34),"",INDIRECT(ADDRESS(SMALL((IF($G$2:$G$34&lt;&gt;"",ROW($G$2:$G$34),ROW()+ROWS($G$2:$G$34))),ROW()-ROW($H$2:$H$34)+1),COLUMN($G$2:$G$34),4)))</f>
        <v>#REF!</v>
      </c>
      <c r="T22" s="307" t="e">
        <f t="array" aca="1" ref="T22" ca="1">IF(ROW()-ROW($I$2:$I$34)+1&gt;ROWS($H$2:$H$34)-COUNTBLANK($H$2:$H$34),"",INDIRECT(ADDRESS(SMALL((IF($H$2:$H$34&lt;&gt;"",ROW($H$2:$H$34),ROW()+ROWS($H$2:$H$34))),ROW()-ROW($I$2:$I$34)+1),COLUMN($H$2:$H$34),4)))</f>
        <v>#REF!</v>
      </c>
      <c r="U22" s="307" t="e">
        <f t="array" aca="1" ref="U22" ca="1">IF(ROW()-ROW($J$2:$J$34)+1&gt;ROWS($I$2:$I$34)-COUNTBLANK($I$2:$I$34),"",INDIRECT(ADDRESS(SMALL((IF($I$2:$I$34&lt;&gt;"",ROW($I$2:$I$34),ROW()+ROWS($I$2:$I$34))),ROW()-ROW($J$2:$J$34)+1),COLUMN($I$2:$I$34),4)))</f>
        <v>#REF!</v>
      </c>
      <c r="V22" s="279" t="e">
        <f t="array" aca="1" ref="V22" ca="1">IF(ROW()-ROW($K$2:$K$34)+1&gt;ROWS($J$2:$J$34)-COUNTBLANK($J$2:$J$34),"",INDIRECT(ADDRESS(SMALL((IF($J$2:$J$34&lt;&gt;"",ROW($J$2:$J$34),ROW()+ROWS($J$2:$J$34))),ROW()-ROW($K$2:$K$34)+1),COLUMN($J$2:$J$34),4)))</f>
        <v>#REF!</v>
      </c>
      <c r="W22" s="201" t="e">
        <f t="array" aca="1" ref="W22" ca="1">IF(ROW()-ROW($L$2:$L$34)+1&gt;ROWS($K$2:$K$34)-COUNTBLANK($K$2:$K$34),"",INDIRECT(ADDRESS(SMALL((IF($K$2:$K$34&lt;&gt;"",ROW($K$2:$K$34),ROW()+ROWS($K$2:$K$34))),ROW()-ROW($L$2:$L$34)+1),COLUMN($K$2:$K$34),4)))</f>
        <v>#REF!</v>
      </c>
      <c r="X22" s="278" t="e">
        <f t="array" aca="1" ref="X22" ca="1">IF(ROW()-ROW($M$2:$M$34)+1&gt;ROWS($L$2:$L$34)-COUNTBLANK($L$2:$L$34),"",INDIRECT(ADDRESS(SMALL((IF($L$2:$L$34&lt;&gt;"",ROW($L$2:$L$34),ROW()+ROWS($L$2:$L$34))),ROW()-ROW($M$2:$M$34)+1),COLUMN($L$2:$L$34),4)))</f>
        <v>#REF!</v>
      </c>
      <c r="Y22" s="278" t="e">
        <f t="array" aca="1" ref="Y22" ca="1">IF(ROW()-ROW($N$2:$N$34)+1&gt;ROWS($M$2:$M$34)-COUNTBLANK($M$2:$M$34),"",INDIRECT(ADDRESS(SMALL((IF($M$2:$M$34&lt;&gt;"",ROW($M$2:$M$34),ROW()+ROWS($M$2:$M$34))),ROW()-ROW($N$2:$N$34)+1),COLUMN($M$2:$M$34),4)))</f>
        <v>#REF!</v>
      </c>
    </row>
    <row r="23" spans="1:25" ht="54.95" customHeight="1" x14ac:dyDescent="0.45">
      <c r="A23" s="275" t="str">
        <f>IF('Indicator sheet_(IS)'!P72=0,"",'Indicator sheet_(IS)'!P72)</f>
        <v>Incomplete</v>
      </c>
      <c r="B23" s="454">
        <v>21</v>
      </c>
      <c r="C23" s="34">
        <f>IF($A23="I.O.","",'Indicator sheet_(IS)'!A72)</f>
        <v>20</v>
      </c>
      <c r="D23" s="121" t="str">
        <f>IF($A23="I.O.","",'Indicator sheet_(IS)'!C72)</f>
        <v>Local R0 resections: rectum</v>
      </c>
      <c r="E23" s="283" t="str">
        <f>IF(AND('Indicator sheet_(IS)'!J72="",$A23&lt;&gt;"I.O."),"-----",IF($A23="I.O.","",'Indicator sheet_(IS)'!J72))</f>
        <v>-----</v>
      </c>
      <c r="F23" s="309" t="str">
        <f>IF($A23="I.O.","",'Indicator sheet_(IS)'!K72)</f>
        <v>≥ 90%</v>
      </c>
      <c r="G23" s="283" t="str">
        <f>IF(AND('Indicator sheet_(IS)'!M72="",$A23&lt;&gt;"I.O."),"-----",IF($A23="I.O.","",'Indicator sheet_(IS)'!M72))</f>
        <v>-----</v>
      </c>
      <c r="H23" s="308" t="str">
        <f>IF($A23="I.O.","",IF('Indicator sheet_(IS)'!O72="","-----",'Indicator sheet_(IS)'!O72))</f>
        <v>-----</v>
      </c>
      <c r="I23" s="308">
        <f>IF($A23="I.O.","",IF('Indicator sheet_(IS)'!O73="","-----",'Indicator sheet_(IS)'!O73))</f>
        <v>0</v>
      </c>
      <c r="J23" s="276" t="str">
        <f>IF($A23="I.O.","",IF('Indicator sheet_(IS)'!O74="",0,'Indicator sheet_(IS)'!O74))</f>
        <v>n.d.</v>
      </c>
      <c r="K23" s="234" t="str">
        <f>IF($A23="I.O.","",'Indicator sheet_(IS)'!P72)</f>
        <v>Incomplete</v>
      </c>
      <c r="L23" s="277" t="str">
        <f>IF(AND('Indicator sheet_(IS)'!Q72="",$A23&lt;&gt;"I.O."),"-----",IF($A23="I.O.","",'Indicator sheet_(IS)'!Q72))</f>
        <v>-----</v>
      </c>
      <c r="M23" s="277" t="str">
        <f>IF(AND('Indicator sheet_(IS)'!R72="",$A23&lt;&gt;"I.O."),"-----",IF($A23="I.O.","",'Indicator sheet_(IS)'!R72))</f>
        <v>-----</v>
      </c>
      <c r="O23" s="217" t="e">
        <f t="array" aca="1" ref="O23" ca="1">IF(ROW()-ROW($D$2:$D$34)+1&gt;ROWS($C$2:$C$34)-COUNTBLANK($C$2:$C$34),"",INDIRECT(ADDRESS(SMALL((IF($C$2:$C$34&lt;&gt;"",ROW($C$2:$C$34),ROW()+ROWS($C$2:$C$34))),ROW()-ROW($D$2:$D$34)+1),COLUMN($C$2:$C$34),4)))</f>
        <v>#REF!</v>
      </c>
      <c r="P23" s="278" t="e">
        <f t="array" aca="1" ref="P23" ca="1">IF(ROW()-ROW($E$2:$E$34)+1&gt;ROWS($D$2:$D$34)-COUNTBLANK($D$2:$D$34),"",INDIRECT(ADDRESS(SMALL((IF($D$2:$D$34&gt;"",ROW($D$2:$D$34),ROW()+ROWS($D$2:$D$34))),ROW()-ROW($E$2:$E$34)+1),COLUMN($D$2:$D$34),4)))</f>
        <v>#REF!</v>
      </c>
      <c r="Q23" s="206" t="e">
        <f t="array" aca="1" ref="Q23" ca="1">IF(ROW()-ROW($F$2:$F$34)+1&gt;ROWS($E$2:$E$34)-COUNTBLANK($E$2:$E$34),"",INDIRECT(ADDRESS(SMALL((IF($E$2:$E$34&gt;"",ROW($E$2:$E$34),ROW()+ROWS($E$2:$E$34))),ROW()-ROW($F$2:$F$34)+1),COLUMN($E$2:$E$34),4)))</f>
        <v>#REF!</v>
      </c>
      <c r="R23" s="206" t="e">
        <f t="array" aca="1" ref="R23" ca="1">IF(ROW()-ROW($G$2:$G$34)+1&gt;ROWS($F$2:$F$34)-COUNTBLANK($F$2:$F$34),"",INDIRECT(ADDRESS(SMALL((IF($F$2:$F$34&gt;"",ROW($F$2:$F$34),ROW()+ROWS($F$2:$F$34))),ROW()-ROW($G$2:$G$34)+1),COLUMN($F$2:$F$34),4)))</f>
        <v>#REF!</v>
      </c>
      <c r="S23" s="206" t="e">
        <f t="array" aca="1" ref="S23" ca="1">IF(ROW()-ROW($H$2:$H$34)+1&gt;ROWS($G$2:$G$29)-COUNTBLANK($G$2:$G$34),"",INDIRECT(ADDRESS(SMALL((IF($G$2:$G$34&lt;&gt;"",ROW($G$2:$G$34),ROW()+ROWS($G$2:$G$34))),ROW()-ROW($H$2:$H$34)+1),COLUMN($G$2:$G$34),4)))</f>
        <v>#REF!</v>
      </c>
      <c r="T23" s="307" t="e">
        <f t="array" aca="1" ref="T23" ca="1">IF(ROW()-ROW($I$2:$I$34)+1&gt;ROWS($H$2:$H$34)-COUNTBLANK($H$2:$H$34),"",INDIRECT(ADDRESS(SMALL((IF($H$2:$H$34&lt;&gt;"",ROW($H$2:$H$34),ROW()+ROWS($H$2:$H$34))),ROW()-ROW($I$2:$I$34)+1),COLUMN($H$2:$H$34),4)))</f>
        <v>#REF!</v>
      </c>
      <c r="U23" s="307" t="e">
        <f t="array" aca="1" ref="U23" ca="1">IF(ROW()-ROW($J$2:$J$34)+1&gt;ROWS($I$2:$I$34)-COUNTBLANK($I$2:$I$34),"",INDIRECT(ADDRESS(SMALL((IF($I$2:$I$34&lt;&gt;"",ROW($I$2:$I$34),ROW()+ROWS($I$2:$I$34))),ROW()-ROW($J$2:$J$34)+1),COLUMN($I$2:$I$34),4)))</f>
        <v>#REF!</v>
      </c>
      <c r="V23" s="279" t="e">
        <f t="array" aca="1" ref="V23" ca="1">IF(ROW()-ROW($K$2:$K$34)+1&gt;ROWS($J$2:$J$34)-COUNTBLANK($J$2:$J$34),"",INDIRECT(ADDRESS(SMALL((IF($J$2:$J$34&lt;&gt;"",ROW($J$2:$J$34),ROW()+ROWS($J$2:$J$34))),ROW()-ROW($K$2:$K$34)+1),COLUMN($J$2:$J$34),4)))</f>
        <v>#REF!</v>
      </c>
      <c r="W23" s="201" t="e">
        <f t="array" aca="1" ref="W23" ca="1">IF(ROW()-ROW($L$2:$L$34)+1&gt;ROWS($K$2:$K$34)-COUNTBLANK($K$2:$K$34),"",INDIRECT(ADDRESS(SMALL((IF($K$2:$K$34&lt;&gt;"",ROW($K$2:$K$34),ROW()+ROWS($K$2:$K$34))),ROW()-ROW($L$2:$L$34)+1),COLUMN($K$2:$K$34),4)))</f>
        <v>#REF!</v>
      </c>
      <c r="X23" s="278" t="e">
        <f t="array" aca="1" ref="X23" ca="1">IF(ROW()-ROW($M$2:$M$34)+1&gt;ROWS($L$2:$L$34)-COUNTBLANK($L$2:$L$34),"",INDIRECT(ADDRESS(SMALL((IF($L$2:$L$34&lt;&gt;"",ROW($L$2:$L$34),ROW()+ROWS($L$2:$L$34))),ROW()-ROW($M$2:$M$34)+1),COLUMN($L$2:$L$34),4)))</f>
        <v>#REF!</v>
      </c>
      <c r="Y23" s="278" t="e">
        <f t="array" aca="1" ref="Y23" ca="1">IF(ROW()-ROW($N$2:$N$34)+1&gt;ROWS($M$2:$M$34)-COUNTBLANK($M$2:$M$34),"",INDIRECT(ADDRESS(SMALL((IF($M$2:$M$34&lt;&gt;"",ROW($M$2:$M$34),ROW()+ROWS($M$2:$M$34))),ROW()-ROW($N$2:$N$34)+1),COLUMN($M$2:$M$34),4)))</f>
        <v>#REF!</v>
      </c>
    </row>
    <row r="24" spans="1:25" ht="54.95" customHeight="1" x14ac:dyDescent="0.45">
      <c r="A24" s="275" t="str">
        <f>IF('Indicator sheet_(IS)'!P75=0,"",'Indicator sheet_(IS)'!P75)</f>
        <v>Incomplete</v>
      </c>
      <c r="B24" s="454">
        <v>22</v>
      </c>
      <c r="C24" s="34">
        <f>IF($A24="I.O.","",'Indicator sheet_(IS)'!A75)</f>
        <v>21</v>
      </c>
      <c r="D24" s="121" t="str">
        <f>IF($A24="I.O.","",'Indicator sheet_(IS)'!C75)</f>
        <v>Marking of stoma position</v>
      </c>
      <c r="E24" s="283" t="str">
        <f>IF(AND('Indicator sheet_(IS)'!J75="",$A24&lt;&gt;"I.O."),"-----",IF($A24="I.O.","",'Indicator sheet_(IS)'!J75))</f>
        <v>-----</v>
      </c>
      <c r="F24" s="309" t="str">
        <f>IF($A24="I.O.","",'Indicator sheet_(IS)'!K75)</f>
        <v>≥ 90%</v>
      </c>
      <c r="G24" s="283" t="str">
        <f>IF(AND('Indicator sheet_(IS)'!M75="",$A24&lt;&gt;"I.O."),"-----",IF($A24="I.O.","",'Indicator sheet_(IS)'!M75))</f>
        <v>-----</v>
      </c>
      <c r="H24" s="308" t="str">
        <f>IF($A24="I.O.","",IF('Indicator sheet_(IS)'!O75="","-----",'Indicator sheet_(IS)'!O75))</f>
        <v>-----</v>
      </c>
      <c r="I24" s="308" t="str">
        <f>IF($A24="I.O.","",IF('Indicator sheet_(IS)'!O76="","-----",'Indicator sheet_(IS)'!O76))</f>
        <v>-----</v>
      </c>
      <c r="J24" s="276" t="str">
        <f>IF($A24="I.O.","",IF('Indicator sheet_(IS)'!O77="","-----",'Indicator sheet_(IS)'!O77))</f>
        <v>n.d.</v>
      </c>
      <c r="K24" s="234" t="str">
        <f>IF($A24="I.O.","",'Indicator sheet_(IS)'!P75)</f>
        <v>Incomplete</v>
      </c>
      <c r="L24" s="277" t="str">
        <f>IF(AND('Indicator sheet_(IS)'!Q75="",$A24&lt;&gt;"I.O."),"-----",IF($A24="I.O.","",'Indicator sheet_(IS)'!Q75))</f>
        <v>-----</v>
      </c>
      <c r="M24" s="277" t="str">
        <f>IF(AND('Indicator sheet_(IS)'!R78="",$A79&lt;&gt;"I.O."),"-----",IF($A24="I.O.","",'Indicator sheet_(IS)'!R75))</f>
        <v>-----</v>
      </c>
      <c r="O24" s="217" t="e">
        <f t="array" aca="1" ref="O24" ca="1">IF(ROW()-ROW($D$2:$D$34)+1&gt;ROWS($C$2:$C$34)-COUNTBLANK($C$2:$C$34),"",INDIRECT(ADDRESS(SMALL((IF($C$2:$C$34&lt;&gt;"",ROW($C$2:$C$34),ROW()+ROWS($C$2:$C$34))),ROW()-ROW($D$2:$D$34)+1),COLUMN($C$2:$C$34),4)))</f>
        <v>#REF!</v>
      </c>
      <c r="P24" s="278" t="e">
        <f t="array" aca="1" ref="P24" ca="1">IF(ROW()-ROW($E$2:$E$34)+1&gt;ROWS($D$2:$D$34)-COUNTBLANK($D$2:$D$34),"",INDIRECT(ADDRESS(SMALL((IF($D$2:$D$34&gt;"",ROW($D$2:$D$34),ROW()+ROWS($D$2:$D$34))),ROW()-ROW($E$2:$E$34)+1),COLUMN($D$2:$D$34),4)))</f>
        <v>#REF!</v>
      </c>
      <c r="Q24" s="206" t="e">
        <f t="array" aca="1" ref="Q24" ca="1">IF(ROW()-ROW($F$2:$F$34)+1&gt;ROWS($E$2:$E$34)-COUNTBLANK($E$2:$E$34),"",INDIRECT(ADDRESS(SMALL((IF($E$2:$E$34&gt;"",ROW($E$2:$E$34),ROW()+ROWS($E$2:$E$34))),ROW()-ROW($F$2:$F$34)+1),COLUMN($E$2:$E$34),4)))</f>
        <v>#REF!</v>
      </c>
      <c r="R24" s="206" t="e">
        <f t="array" aca="1" ref="R24" ca="1">IF(ROW()-ROW($G$2:$G$34)+1&gt;ROWS($F$2:$F$34)-COUNTBLANK($F$2:$F$34),"",INDIRECT(ADDRESS(SMALL((IF($F$2:$F$34&gt;"",ROW($F$2:$F$34),ROW()+ROWS($F$2:$F$34))),ROW()-ROW($G$2:$G$34)+1),COLUMN($F$2:$F$34),4)))</f>
        <v>#REF!</v>
      </c>
      <c r="S24" s="206" t="e">
        <f t="array" aca="1" ref="S24" ca="1">IF(ROW()-ROW($H$2:$H$34)+1&gt;ROWS($G$2:$G$29)-COUNTBLANK($G$2:$G$34),"",INDIRECT(ADDRESS(SMALL((IF($G$2:$G$34&lt;&gt;"",ROW($G$2:$G$34),ROW()+ROWS($G$2:$G$34))),ROW()-ROW($H$2:$H$34)+1),COLUMN($G$2:$G$34),4)))</f>
        <v>#REF!</v>
      </c>
      <c r="T24" s="307" t="e">
        <f t="array" aca="1" ref="T24" ca="1">IF(ROW()-ROW($I$2:$I$34)+1&gt;ROWS($H$2:$H$34)-COUNTBLANK($H$2:$H$34),"",INDIRECT(ADDRESS(SMALL((IF($H$2:$H$34&lt;&gt;"",ROW($H$2:$H$34),ROW()+ROWS($H$2:$H$34))),ROW()-ROW($I$2:$I$34)+1),COLUMN($H$2:$H$34),4)))</f>
        <v>#REF!</v>
      </c>
      <c r="U24" s="307" t="e">
        <f t="array" aca="1" ref="U24" ca="1">IF(ROW()-ROW($J$2:$J$34)+1&gt;ROWS($I$2:$I$34)-COUNTBLANK($I$2:$I$34),"",INDIRECT(ADDRESS(SMALL((IF($I$2:$I$34&lt;&gt;"",ROW($I$2:$I$34),ROW()+ROWS($I$2:$I$34))),ROW()-ROW($J$2:$J$34)+1),COLUMN($I$2:$I$34),4)))</f>
        <v>#REF!</v>
      </c>
      <c r="V24" s="279" t="e">
        <f t="array" aca="1" ref="V24" ca="1">IF(ROW()-ROW($K$2:$K$34)+1&gt;ROWS($J$2:$J$34)-COUNTBLANK($J$2:$J$34),"",INDIRECT(ADDRESS(SMALL((IF($J$2:$J$34&lt;&gt;"",ROW($J$2:$J$34),ROW()+ROWS($J$2:$J$34))),ROW()-ROW($K$2:$K$34)+1),COLUMN($J$2:$J$34),4)))</f>
        <v>#REF!</v>
      </c>
      <c r="W24" s="201" t="e">
        <f t="array" aca="1" ref="W24" ca="1">IF(ROW()-ROW($L$2:$L$34)+1&gt;ROWS($K$2:$K$34)-COUNTBLANK($K$2:$K$34),"",INDIRECT(ADDRESS(SMALL((IF($K$2:$K$34&lt;&gt;"",ROW($K$2:$K$34),ROW()+ROWS($K$2:$K$34))),ROW()-ROW($L$2:$L$34)+1),COLUMN($K$2:$K$34),4)))</f>
        <v>#REF!</v>
      </c>
      <c r="X24" s="278" t="e">
        <f t="array" aca="1" ref="X24" ca="1">IF(ROW()-ROW($M$2:$M$34)+1&gt;ROWS($L$2:$L$34)-COUNTBLANK($L$2:$L$34),"",INDIRECT(ADDRESS(SMALL((IF($L$2:$L$34&lt;&gt;"",ROW($L$2:$L$34),ROW()+ROWS($L$2:$L$34))),ROW()-ROW($M$2:$M$34)+1),COLUMN($L$2:$L$34),4)))</f>
        <v>#REF!</v>
      </c>
      <c r="Y24" s="278" t="e">
        <f t="array" aca="1" ref="Y24" ca="1">IF(ROW()-ROW($N$2:$N$34)+1&gt;ROWS($M$2:$M$34)-COUNTBLANK($M$2:$M$34),"",INDIRECT(ADDRESS(SMALL((IF($M$2:$M$34&lt;&gt;"",ROW($M$2:$M$34),ROW()+ROWS($M$2:$M$34))),ROW()-ROW($N$2:$N$34)+1),COLUMN($M$2:$M$34),4)))</f>
        <v>#REF!</v>
      </c>
    </row>
    <row r="25" spans="1:25" ht="54.95" customHeight="1" x14ac:dyDescent="0.45">
      <c r="A25" s="275" t="str">
        <f>IF('Indicator sheet_(IS)'!P78=0,"",'Indicator sheet_(IS)'!P78)</f>
        <v>Incomplete</v>
      </c>
      <c r="B25" s="454">
        <v>23</v>
      </c>
      <c r="C25" s="34" t="str">
        <f>IF($A25="I.O.","",'Indicator sheet_(IS)'!A78)</f>
        <v xml:space="preserve">22a
</v>
      </c>
      <c r="D25" s="121" t="str">
        <f>IF($A25="I.O.","",'Indicator sheet_(IS)'!C78)</f>
        <v>Liver metastasis resection</v>
      </c>
      <c r="E25" s="283" t="str">
        <f>IF(AND('Indicator sheet_(IS)'!J78="",$A25&lt;&gt;"I.O."),"-----",IF($A25="I.O.","",'Indicator sheet_(IS)'!J78))</f>
        <v>&lt; 20%</v>
      </c>
      <c r="F25" s="309" t="str">
        <f>IF($A25="I.O.","",'Indicator sheet_(IS)'!K78)</f>
        <v>No target value</v>
      </c>
      <c r="G25" s="283" t="str">
        <f>IF(AND('Indicator sheet_(IS)'!M78="",$A25&lt;&gt;"I.O."),"-----",IF($A25="I.O.","",'Indicator sheet_(IS)'!M78))</f>
        <v>-----</v>
      </c>
      <c r="H25" s="308" t="str">
        <f>IF($A25="I.O.","",IF('Indicator sheet_(IS)'!O78="","-----",'Indicator sheet_(IS)'!O78))</f>
        <v>-----</v>
      </c>
      <c r="I25" s="308" t="str">
        <f>IF($A25="I.O.","",IF('Indicator sheet_(IS)'!O79="","-----",'Indicator sheet_(IS)'!O79))</f>
        <v>-----</v>
      </c>
      <c r="J25" s="276" t="str">
        <f>IF($A25="I.O.","",IF('Indicator sheet_(IS)'!O80="","-----",'Indicator sheet_(IS)'!O80))</f>
        <v>n.d.</v>
      </c>
      <c r="K25" s="234" t="str">
        <f>IF($A25="I.O.","",'Indicator sheet_(IS)'!P78)</f>
        <v>Incomplete</v>
      </c>
      <c r="L25" s="277" t="str">
        <f>IF(AND('Indicator sheet_(IS)'!Q78="",$A25&lt;&gt;"I.O."),"-----",IF($A25="I.O.","",'Indicator sheet_(IS)'!Q78))</f>
        <v>-----</v>
      </c>
      <c r="M25" s="277" t="str">
        <f>IF(AND('Indicator sheet_(IS)'!R78="",$A25&lt;&gt;"I.O."),"-----",IF($A25="I.O.","",'Indicator sheet_(IS)'!R78))</f>
        <v>-----</v>
      </c>
      <c r="O25" s="217" t="e">
        <f t="array" aca="1" ref="O25" ca="1">IF(ROW()-ROW($D$2:$D$34)+1&gt;ROWS($C$2:$C$34)-COUNTBLANK($C$2:$C$34),"",INDIRECT(ADDRESS(SMALL((IF($C$2:$C$34&lt;&gt;"",ROW($C$2:$C$34),ROW()+ROWS($C$2:$C$34))),ROW()-ROW($D$2:$D$34)+1),COLUMN($C$2:$C$34),4)))</f>
        <v>#REF!</v>
      </c>
      <c r="P25" s="278" t="e">
        <f t="array" aca="1" ref="P25" ca="1">IF(ROW()-ROW($E$2:$E$34)+1&gt;ROWS($D$2:$D$34)-COUNTBLANK($D$2:$D$34),"",INDIRECT(ADDRESS(SMALL((IF($D$2:$D$34&gt;"",ROW($D$2:$D$34),ROW()+ROWS($D$2:$D$34))),ROW()-ROW($E$2:$E$34)+1),COLUMN($D$2:$D$34),4)))</f>
        <v>#REF!</v>
      </c>
      <c r="Q25" s="206" t="e">
        <f t="array" aca="1" ref="Q25" ca="1">IF(ROW()-ROW($F$2:$F$34)+1&gt;ROWS($E$2:$E$34)-COUNTBLANK($E$2:$E$34),"",INDIRECT(ADDRESS(SMALL((IF($E$2:$E$34&gt;"",ROW($E$2:$E$34),ROW()+ROWS($E$2:$E$34))),ROW()-ROW($F$2:$F$34)+1),COLUMN($E$2:$E$34),4)))</f>
        <v>#REF!</v>
      </c>
      <c r="R25" s="206" t="e">
        <f t="array" aca="1" ref="R25" ca="1">IF(ROW()-ROW($G$2:$G$34)+1&gt;ROWS($F$2:$F$34)-COUNTBLANK($F$2:$F$34),"",INDIRECT(ADDRESS(SMALL((IF($F$2:$F$34&gt;"",ROW($F$2:$F$34),ROW()+ROWS($F$2:$F$34))),ROW()-ROW($G$2:$G$34)+1),COLUMN($F$2:$F$34),4)))</f>
        <v>#REF!</v>
      </c>
      <c r="S25" s="206" t="e">
        <f t="array" aca="1" ref="S25" ca="1">IF(ROW()-ROW($H$2:$H$34)+1&gt;ROWS($G$2:$G$29)-COUNTBLANK($G$2:$G$34),"",INDIRECT(ADDRESS(SMALL((IF($G$2:$G$34&lt;&gt;"",ROW($G$2:$G$34),ROW()+ROWS($G$2:$G$34))),ROW()-ROW($H$2:$H$34)+1),COLUMN($G$2:$G$34),4)))</f>
        <v>#REF!</v>
      </c>
      <c r="T25" s="307" t="e">
        <f t="array" aca="1" ref="T25" ca="1">IF(ROW()-ROW($I$2:$I$34)+1&gt;ROWS($H$2:$H$34)-COUNTBLANK($H$2:$H$34),"",INDIRECT(ADDRESS(SMALL((IF($H$2:$H$34&lt;&gt;"",ROW($H$2:$H$34),ROW()+ROWS($H$2:$H$34))),ROW()-ROW($I$2:$I$34)+1),COLUMN($H$2:$H$34),4)))</f>
        <v>#REF!</v>
      </c>
      <c r="U25" s="307" t="e">
        <f t="array" aca="1" ref="U25" ca="1">IF(ROW()-ROW($J$2:$J$34)+1&gt;ROWS($I$2:$I$34)-COUNTBLANK($I$2:$I$34),"",INDIRECT(ADDRESS(SMALL((IF($I$2:$I$34&lt;&gt;"",ROW($I$2:$I$34),ROW()+ROWS($I$2:$I$34))),ROW()-ROW($J$2:$J$34)+1),COLUMN($I$2:$I$34),4)))</f>
        <v>#REF!</v>
      </c>
      <c r="V25" s="279" t="e">
        <f t="array" aca="1" ref="V25" ca="1">IF(ROW()-ROW($K$2:$K$34)+1&gt;ROWS($J$2:$J$34)-COUNTBLANK($J$2:$J$34),"",INDIRECT(ADDRESS(SMALL((IF($J$2:$J$34&lt;&gt;"",ROW($J$2:$J$34),ROW()+ROWS($J$2:$J$34))),ROW()-ROW($K$2:$K$34)+1),COLUMN($J$2:$J$34),4)))</f>
        <v>#REF!</v>
      </c>
      <c r="W25" s="201" t="e">
        <f t="array" aca="1" ref="W25" ca="1">IF(ROW()-ROW($L$2:$L$34)+1&gt;ROWS($K$2:$K$34)-COUNTBLANK($K$2:$K$34),"",INDIRECT(ADDRESS(SMALL((IF($K$2:$K$34&lt;&gt;"",ROW($K$2:$K$34),ROW()+ROWS($K$2:$K$34))),ROW()-ROW($L$2:$L$34)+1),COLUMN($K$2:$K$34),4)))</f>
        <v>#REF!</v>
      </c>
      <c r="X25" s="278" t="e">
        <f t="array" aca="1" ref="X25" ca="1">IF(ROW()-ROW($M$2:$M$34)+1&gt;ROWS($L$2:$L$34)-COUNTBLANK($L$2:$L$34),"",INDIRECT(ADDRESS(SMALL((IF($L$2:$L$34&lt;&gt;"",ROW($L$2:$L$34),ROW()+ROWS($L$2:$L$34))),ROW()-ROW($M$2:$M$34)+1),COLUMN($L$2:$L$34),4)))</f>
        <v>#REF!</v>
      </c>
      <c r="Y25" s="278" t="e">
        <f t="array" aca="1" ref="Y25" ca="1">IF(ROW()-ROW($N$2:$N$34)+1&gt;ROWS($M$2:$M$34)-COUNTBLANK($M$2:$M$34),"",INDIRECT(ADDRESS(SMALL((IF($M$2:$M$34&lt;&gt;"",ROW($M$2:$M$34),ROW()+ROWS($M$2:$M$34))),ROW()-ROW($N$2:$N$34)+1),COLUMN($M$2:$M$34),4)))</f>
        <v>#REF!</v>
      </c>
    </row>
    <row r="26" spans="1:25" ht="54.95" customHeight="1" x14ac:dyDescent="0.45">
      <c r="A26" s="275" t="str">
        <f>IF('Indicator sheet_(IS)'!P81=0,"",'Indicator sheet_(IS)'!P81)</f>
        <v>Incomplete</v>
      </c>
      <c r="B26" s="455">
        <v>23</v>
      </c>
      <c r="C26" s="34" t="str">
        <f>IF($A26="I.O.","",'Indicator sheet_(IS)'!A81)</f>
        <v xml:space="preserve">22b
</v>
      </c>
      <c r="D26" s="121" t="str">
        <f>IF($A26="I.O.","",'Indicator sheet_(IS)'!C81)</f>
        <v>Liver metastasis resection at the surgical site of the Colorectal Cancer Centre</v>
      </c>
      <c r="E26" s="283" t="str">
        <f>IF(AND('Indicator sheet_(IS)'!J81="",$A26&lt;&gt;"I.O."),"-----",IF($A26="I.O.","",'Indicator sheet_(IS)'!J81))</f>
        <v>-----</v>
      </c>
      <c r="F26" s="309" t="str">
        <f>IF($A26="I.O.","",'Indicator sheet_(IS)'!K81)</f>
        <v>No target value</v>
      </c>
      <c r="G26" s="283" t="str">
        <f>IF(AND('Indicator sheet_(IS)'!M81="",$A26&lt;&gt;"I.O."),"-----",IF($A26="I.O.","",'Indicator sheet_(IS)'!M81))</f>
        <v>-----</v>
      </c>
      <c r="H26" s="308" t="str">
        <f>IF($A26="I.O.","",IF('Indicator sheet_(IS)'!O81="","-----",'Indicator sheet_(IS)'!O81))</f>
        <v>-----</v>
      </c>
      <c r="I26" s="308" t="str">
        <f>IF($A26="I.O.","",IF('Indicator sheet_(IS)'!O82="","-----",'Indicator sheet_(IS)'!O82))</f>
        <v>-----</v>
      </c>
      <c r="J26" s="276">
        <f>IF($A26="I.O.","",IF('Indicator sheet_(IS)'!O83="",0,'Indicator sheet_(IS)'!O83))</f>
        <v>0</v>
      </c>
      <c r="K26" s="234" t="str">
        <f>IF($A26="I.O.","",'Indicator sheet_(IS)'!P81)</f>
        <v>Incomplete</v>
      </c>
      <c r="L26" s="277" t="str">
        <f>IF(AND('Indicator sheet_(IS)'!Q81="",$A26&lt;&gt;"I.O."),"-----",IF($A26="I.O.","",'Indicator sheet_(IS)'!Q81))</f>
        <v>-----</v>
      </c>
      <c r="M26" s="277" t="str">
        <f>IF(AND('Indicator sheet_(IS)'!R81="",$A26&lt;&gt;"I.O."),"-----",IF($A26="I.O.","",'Indicator sheet_(IS)'!R81))</f>
        <v>-----</v>
      </c>
      <c r="O26" s="217" t="e">
        <f t="array" aca="1" ref="O26" ca="1">IF(ROW()-ROW($D$2:$D$34)+1&gt;ROWS($C$2:$C$34)-COUNTBLANK($C$2:$C$34),"",INDIRECT(ADDRESS(SMALL((IF($C$2:$C$34&lt;&gt;"",ROW($C$2:$C$34),ROW()+ROWS($C$2:$C$34))),ROW()-ROW($D$2:$D$34)+1),COLUMN($C$2:$C$34),4)))</f>
        <v>#REF!</v>
      </c>
      <c r="P26" s="278" t="e">
        <f t="array" aca="1" ref="P26" ca="1">IF(ROW()-ROW($E$2:$E$34)+1&gt;ROWS($D$2:$D$34)-COUNTBLANK($D$2:$D$34),"",INDIRECT(ADDRESS(SMALL((IF($D$2:$D$34&gt;"",ROW($D$2:$D$34),ROW()+ROWS($D$2:$D$34))),ROW()-ROW($E$2:$E$34)+1),COLUMN($D$2:$D$34),4)))</f>
        <v>#REF!</v>
      </c>
      <c r="Q26" s="206" t="e">
        <f t="array" aca="1" ref="Q26" ca="1">IF(ROW()-ROW($F$2:$F$34)+1&gt;ROWS($E$2:$E$34)-COUNTBLANK($E$2:$E$34),"",INDIRECT(ADDRESS(SMALL((IF($E$2:$E$34&gt;"",ROW($E$2:$E$34),ROW()+ROWS($E$2:$E$34))),ROW()-ROW($F$2:$F$34)+1),COLUMN($E$2:$E$34),4)))</f>
        <v>#REF!</v>
      </c>
      <c r="R26" s="206" t="e">
        <f t="array" aca="1" ref="R26" ca="1">IF(ROW()-ROW($G$2:$G$34)+1&gt;ROWS($F$2:$F$34)-COUNTBLANK($F$2:$F$34),"",INDIRECT(ADDRESS(SMALL((IF($F$2:$F$34&gt;"",ROW($F$2:$F$34),ROW()+ROWS($F$2:$F$34))),ROW()-ROW($G$2:$G$34)+1),COLUMN($F$2:$F$34),4)))</f>
        <v>#REF!</v>
      </c>
      <c r="S26" s="206" t="e">
        <f t="array" aca="1" ref="S26" ca="1">IF(ROW()-ROW($H$2:$H$34)+1&gt;ROWS($G$2:$G$29)-COUNTBLANK($G$2:$G$34),"",INDIRECT(ADDRESS(SMALL((IF($G$2:$G$34&lt;&gt;"",ROW($G$2:$G$34),ROW()+ROWS($G$2:$G$34))),ROW()-ROW($H$2:$H$34)+1),COLUMN($G$2:$G$34),4)))</f>
        <v>#REF!</v>
      </c>
      <c r="T26" s="307" t="e">
        <f t="array" aca="1" ref="T26" ca="1">IF(ROW()-ROW($I$2:$I$34)+1&gt;ROWS($H$2:$H$34)-COUNTBLANK($H$2:$H$34),"",INDIRECT(ADDRESS(SMALL((IF($H$2:$H$34&lt;&gt;"",ROW($H$2:$H$34),ROW()+ROWS($H$2:$H$34))),ROW()-ROW($I$2:$I$34)+1),COLUMN($H$2:$H$34),4)))</f>
        <v>#REF!</v>
      </c>
      <c r="U26" s="307" t="e">
        <f t="array" aca="1" ref="U26" ca="1">IF(ROW()-ROW($J$2:$J$34)+1&gt;ROWS($I$2:$I$34)-COUNTBLANK($I$2:$I$34),"",INDIRECT(ADDRESS(SMALL((IF($I$2:$I$34&lt;&gt;"",ROW($I$2:$I$34),ROW()+ROWS($I$2:$I$34))),ROW()-ROW($J$2:$J$34)+1),COLUMN($I$2:$I$34),4)))</f>
        <v>#REF!</v>
      </c>
      <c r="V26" s="279" t="e">
        <f t="array" aca="1" ref="V26" ca="1">IF(ROW()-ROW($K$2:$K$34)+1&gt;ROWS($J$2:$J$34)-COUNTBLANK($J$2:$J$34),"",INDIRECT(ADDRESS(SMALL((IF($J$2:$J$34&lt;&gt;"",ROW($J$2:$J$34),ROW()+ROWS($J$2:$J$34))),ROW()-ROW($K$2:$K$34)+1),COLUMN($J$2:$J$34),4)))</f>
        <v>#REF!</v>
      </c>
      <c r="W26" s="201" t="e">
        <f t="array" aca="1" ref="W26" ca="1">IF(ROW()-ROW($L$2:$L$34)+1&gt;ROWS($K$2:$K$34)-COUNTBLANK($K$2:$K$34),"",INDIRECT(ADDRESS(SMALL((IF($K$2:$K$34&lt;&gt;"",ROW($K$2:$K$34),ROW()+ROWS($K$2:$K$34))),ROW()-ROW($L$2:$L$34)+1),COLUMN($K$2:$K$34),4)))</f>
        <v>#REF!</v>
      </c>
      <c r="X26" s="278" t="e">
        <f t="array" aca="1" ref="X26" ca="1">IF(ROW()-ROW($M$2:$M$34)+1&gt;ROWS($L$2:$L$34)-COUNTBLANK($L$2:$L$34),"",INDIRECT(ADDRESS(SMALL((IF($L$2:$L$34&lt;&gt;"",ROW($L$2:$L$34),ROW()+ROWS($L$2:$L$34))),ROW()-ROW($M$2:$M$34)+1),COLUMN($L$2:$L$34),4)))</f>
        <v>#REF!</v>
      </c>
      <c r="Y26" s="278" t="e">
        <f t="array" aca="1" ref="Y26" ca="1">IF(ROW()-ROW($N$2:$N$34)+1&gt;ROWS($M$2:$M$34)-COUNTBLANK($M$2:$M$34),"",INDIRECT(ADDRESS(SMALL((IF($M$2:$M$34&lt;&gt;"",ROW($M$2:$M$34),ROW()+ROWS($M$2:$M$34))),ROW()-ROW($N$2:$N$34)+1),COLUMN($M$2:$M$34),4)))</f>
        <v>#REF!</v>
      </c>
    </row>
    <row r="27" spans="1:25" ht="54.95" customHeight="1" x14ac:dyDescent="0.45">
      <c r="A27" s="275" t="str">
        <f>IF('Indicator sheet_(IS)'!P84=0,"",'Indicator sheet_(IS)'!P84)</f>
        <v>Incomplete</v>
      </c>
      <c r="B27" s="455">
        <v>23</v>
      </c>
      <c r="C27" s="34" t="str">
        <f>IF($A27="I.O.","",'Indicator sheet_(IS)'!A84)</f>
        <v xml:space="preserve">22c
</v>
      </c>
      <c r="D27" s="121" t="str">
        <f>IF($A27="I.O.","",'Indicator sheet_(IS)'!C84)</f>
        <v>Liver metastasis resection outside the surgical site of the Colorectal Cancer Centre</v>
      </c>
      <c r="E27" s="283" t="str">
        <f>IF(AND('Indicator sheet_(IS)'!J84="",$A27&lt;&gt;"I.O."),"-----",IF($A27="I.O.","",'Indicator sheet_(IS)'!J84))</f>
        <v>-----</v>
      </c>
      <c r="F27" s="309" t="str">
        <f>IF($A27="I.O.","",'Indicator sheet_(IS)'!K84)</f>
        <v>No target value</v>
      </c>
      <c r="G27" s="283" t="str">
        <f>IF(AND('Indicator sheet_(IS)'!M84="",$A27&lt;&gt;"I.O."),"-----",IF($A27="I.O.","",'Indicator sheet_(IS)'!M84))</f>
        <v>-----</v>
      </c>
      <c r="H27" s="308">
        <f>IF($A27="I.O.","",IF('Indicator sheet_(IS)'!O84="","-----",'Indicator sheet_(IS)'!O84))</f>
        <v>0</v>
      </c>
      <c r="I27" s="308" t="str">
        <f>IF($A27="I.O.","",IF('Indicator sheet_(IS)'!O85="","-----",'Indicator sheet_(IS)'!O85))</f>
        <v>-----</v>
      </c>
      <c r="J27" s="276">
        <f>IF($A27="I.O.","",IF('Indicator sheet_(IS)'!O86="",0,'Indicator sheet_(IS)'!O86))</f>
        <v>0</v>
      </c>
      <c r="K27" s="234" t="str">
        <f>IF($A27="I.O.","",'Indicator sheet_(IS)'!P84)</f>
        <v>Incomplete</v>
      </c>
      <c r="L27" s="277" t="str">
        <f>IF(AND('Indicator sheet_(IS)'!Q84="",$A27&lt;&gt;"I.O."),"-----",IF($A27="I.O.","",'Indicator sheet_(IS)'!Q84))</f>
        <v>-----</v>
      </c>
      <c r="M27" s="277" t="str">
        <f>IF(AND('Indicator sheet_(IS)'!R84="",$A27&lt;&gt;"I.O."),"-----",IF($A27="I.O.","",'Indicator sheet_(IS)'!R84))</f>
        <v>-----</v>
      </c>
      <c r="O27" s="217" t="e">
        <f t="array" aca="1" ref="O27" ca="1">IF(ROW()-ROW($D$2:$D$34)+1&gt;ROWS($C$2:$C$34)-COUNTBLANK($C$2:$C$34),"",INDIRECT(ADDRESS(SMALL((IF($C$2:$C$34&lt;&gt;"",ROW($C$2:$C$34),ROW()+ROWS($C$2:$C$34))),ROW()-ROW($D$2:$D$34)+1),COLUMN($C$2:$C$34),4)))</f>
        <v>#REF!</v>
      </c>
      <c r="P27" s="278" t="e">
        <f t="array" aca="1" ref="P27" ca="1">IF(ROW()-ROW($E$2:$E$34)+1&gt;ROWS($D$2:$D$34)-COUNTBLANK($D$2:$D$34),"",INDIRECT(ADDRESS(SMALL((IF($D$2:$D$34&gt;"",ROW($D$2:$D$34),ROW()+ROWS($D$2:$D$34))),ROW()-ROW($E$2:$E$34)+1),COLUMN($D$2:$D$34),4)))</f>
        <v>#REF!</v>
      </c>
      <c r="Q27" s="206" t="e">
        <f t="array" aca="1" ref="Q27" ca="1">IF(ROW()-ROW($F$2:$F$34)+1&gt;ROWS($E$2:$E$34)-COUNTBLANK($E$2:$E$34),"",INDIRECT(ADDRESS(SMALL((IF($E$2:$E$34&gt;"",ROW($E$2:$E$34),ROW()+ROWS($E$2:$E$34))),ROW()-ROW($F$2:$F$34)+1),COLUMN($E$2:$E$34),4)))</f>
        <v>#REF!</v>
      </c>
      <c r="R27" s="206" t="e">
        <f t="array" aca="1" ref="R27" ca="1">IF(ROW()-ROW($G$2:$G$34)+1&gt;ROWS($F$2:$F$34)-COUNTBLANK($F$2:$F$34),"",INDIRECT(ADDRESS(SMALL((IF($F$2:$F$34&gt;"",ROW($F$2:$F$34),ROW()+ROWS($F$2:$F$34))),ROW()-ROW($G$2:$G$34)+1),COLUMN($F$2:$F$34),4)))</f>
        <v>#REF!</v>
      </c>
      <c r="S27" s="206" t="e">
        <f t="array" aca="1" ref="S27" ca="1">IF(ROW()-ROW($H$2:$H$34)+1&gt;ROWS($G$2:$G$29)-COUNTBLANK($G$2:$G$34),"",INDIRECT(ADDRESS(SMALL((IF($G$2:$G$34&lt;&gt;"",ROW($G$2:$G$34),ROW()+ROWS($G$2:$G$34))),ROW()-ROW($H$2:$H$34)+1),COLUMN($G$2:$G$34),4)))</f>
        <v>#REF!</v>
      </c>
      <c r="T27" s="307" t="e">
        <f t="array" aca="1" ref="T27" ca="1">IF(ROW()-ROW($I$2:$I$34)+1&gt;ROWS($H$2:$H$34)-COUNTBLANK($H$2:$H$34),"",INDIRECT(ADDRESS(SMALL((IF($H$2:$H$34&lt;&gt;"",ROW($H$2:$H$34),ROW()+ROWS($H$2:$H$34))),ROW()-ROW($I$2:$I$34)+1),COLUMN($H$2:$H$34),4)))</f>
        <v>#REF!</v>
      </c>
      <c r="U27" s="307" t="e">
        <f t="array" aca="1" ref="U27" ca="1">IF(ROW()-ROW($J$2:$J$34)+1&gt;ROWS($I$2:$I$34)-COUNTBLANK($I$2:$I$34),"",INDIRECT(ADDRESS(SMALL((IF($I$2:$I$34&lt;&gt;"",ROW($I$2:$I$34),ROW()+ROWS($I$2:$I$34))),ROW()-ROW($J$2:$J$34)+1),COLUMN($I$2:$I$34),4)))</f>
        <v>#REF!</v>
      </c>
      <c r="V27" s="279" t="e">
        <f t="array" aca="1" ref="V27" ca="1">IF(ROW()-ROW($K$2:$K$34)+1&gt;ROWS($J$2:$J$34)-COUNTBLANK($J$2:$J$34),"",INDIRECT(ADDRESS(SMALL((IF($J$2:$J$34&lt;&gt;"",ROW($J$2:$J$34),ROW()+ROWS($J$2:$J$34))),ROW()-ROW($K$2:$K$34)+1),COLUMN($J$2:$J$34),4)))</f>
        <v>#REF!</v>
      </c>
      <c r="W27" s="201" t="e">
        <f t="array" aca="1" ref="W27" ca="1">IF(ROW()-ROW($L$2:$L$34)+1&gt;ROWS($K$2:$K$34)-COUNTBLANK($K$2:$K$34),"",INDIRECT(ADDRESS(SMALL((IF($K$2:$K$34&lt;&gt;"",ROW($K$2:$K$34),ROW()+ROWS($K$2:$K$34))),ROW()-ROW($L$2:$L$34)+1),COLUMN($K$2:$K$34),4)))</f>
        <v>#REF!</v>
      </c>
      <c r="X27" s="278" t="e">
        <f t="array" aca="1" ref="X27" ca="1">IF(ROW()-ROW($M$2:$M$34)+1&gt;ROWS($L$2:$L$34)-COUNTBLANK($L$2:$L$34),"",INDIRECT(ADDRESS(SMALL((IF($L$2:$L$34&lt;&gt;"",ROW($L$2:$L$34),ROW()+ROWS($L$2:$L$34))),ROW()-ROW($M$2:$M$34)+1),COLUMN($L$2:$L$34),4)))</f>
        <v>#REF!</v>
      </c>
      <c r="Y27" s="278" t="e">
        <f t="array" aca="1" ref="Y27" ca="1">IF(ROW()-ROW($N$2:$N$34)+1&gt;ROWS($M$2:$M$34)-COUNTBLANK($M$2:$M$34),"",INDIRECT(ADDRESS(SMALL((IF($M$2:$M$34&lt;&gt;"",ROW($M$2:$M$34),ROW()+ROWS($M$2:$M$34))),ROW()-ROW($N$2:$N$34)+1),COLUMN($M$2:$M$34),4)))</f>
        <v>#REF!</v>
      </c>
    </row>
    <row r="28" spans="1:25" ht="54.95" customHeight="1" x14ac:dyDescent="0.45">
      <c r="A28" s="275" t="str">
        <f>IF('Indicator sheet_(IS)'!P87=0,"",'Indicator sheet_(IS)'!P87)</f>
        <v>Incomplete</v>
      </c>
      <c r="B28" s="455">
        <v>24</v>
      </c>
      <c r="C28" s="391">
        <f>IF($A28="I.O.","",'Indicator sheet_(IS)'!A87)</f>
        <v>23</v>
      </c>
      <c r="D28" s="121" t="str">
        <f>IF($A28="I.O.","",'Indicator sheet_(IS)'!C87)</f>
        <v>Adjuvant chemotherapies: colon (UICC stage III)</v>
      </c>
      <c r="E28" s="283" t="str">
        <f>IF(AND('Indicator sheet_(IS)'!J87="",$A28&lt;&gt;"I.O."),"-----",IF($A28="I.O.","",'Indicator sheet_(IS)'!J87))</f>
        <v>-----</v>
      </c>
      <c r="F28" s="309" t="str">
        <f>IF($A28="I.O.","",'Indicator sheet_(IS)'!K87)</f>
        <v>≥ 70%</v>
      </c>
      <c r="G28" s="283" t="str">
        <f>IF(AND('Indicator sheet_(IS)'!M87="",$A28&lt;&gt;"I.O."),"-----",IF($A28="I.O.","",'Indicator sheet_(IS)'!M87))</f>
        <v>-----</v>
      </c>
      <c r="H28" s="308" t="str">
        <f>IF($A28="I.O.","",IF('Indicator sheet_(IS)'!O87="","-----",'Indicator sheet_(IS)'!O87))</f>
        <v>-----</v>
      </c>
      <c r="I28" s="308" t="str">
        <f>IF($A28="I.O.","",IF('Indicator sheet_(IS)'!O88="","-----",'Indicator sheet_(IS)'!O88))</f>
        <v>-----</v>
      </c>
      <c r="J28" s="276" t="str">
        <f>IF($A28="I.O.","",IF('Indicator sheet_(IS)'!O89="",0,'Indicator sheet_(IS)'!O89))</f>
        <v>n.d.</v>
      </c>
      <c r="K28" s="234" t="str">
        <f>IF($A28="I.O.","",'Indicator sheet_(IS)'!P87)</f>
        <v>Incomplete</v>
      </c>
      <c r="L28" s="277" t="str">
        <f>IF(AND('Indicator sheet_(IS)'!Q87="",$A28&lt;&gt;"I.O."),"-----",IF($A28="I.O.","",'Indicator sheet_(IS)'!Q87))</f>
        <v>-----</v>
      </c>
      <c r="M28" s="277" t="str">
        <f>IF(AND('Indicator sheet_(IS)'!R87="",$A28&lt;&gt;"I.O."),"-----",IF($A28="I.O.","",'Indicator sheet_(IS)'!R87))</f>
        <v>-----</v>
      </c>
      <c r="O28" s="217" t="e">
        <f t="array" aca="1" ref="O28" ca="1">IF(ROW()-ROW($D$2:$D$34)+1&gt;ROWS($C$2:$C$34)-COUNTBLANK($C$2:$C$34),"",INDIRECT(ADDRESS(SMALL((IF($C$2:$C$34&lt;&gt;"",ROW($C$2:$C$34),ROW()+ROWS($C$2:$C$34))),ROW()-ROW($D$2:$D$34)+1),COLUMN($C$2:$C$34),4)))</f>
        <v>#REF!</v>
      </c>
      <c r="P28" s="278" t="e">
        <f t="array" aca="1" ref="P28" ca="1">IF(ROW()-ROW($E$2:$E$34)+1&gt;ROWS($D$2:$D$34)-COUNTBLANK($D$2:$D$34),"",INDIRECT(ADDRESS(SMALL((IF($D$2:$D$34&gt;"",ROW($D$2:$D$34),ROW()+ROWS($D$2:$D$34))),ROW()-ROW($E$2:$E$34)+1),COLUMN($D$2:$D$34),4)))</f>
        <v>#REF!</v>
      </c>
      <c r="Q28" s="206" t="e">
        <f t="array" aca="1" ref="Q28" ca="1">IF(ROW()-ROW($F$2:$F$34)+1&gt;ROWS($E$2:$E$34)-COUNTBLANK($E$2:$E$34),"",INDIRECT(ADDRESS(SMALL((IF($E$2:$E$34&gt;"",ROW($E$2:$E$34),ROW()+ROWS($E$2:$E$34))),ROW()-ROW($F$2:$F$34)+1),COLUMN($E$2:$E$34),4)))</f>
        <v>#REF!</v>
      </c>
      <c r="R28" s="206" t="e">
        <f t="array" aca="1" ref="R28" ca="1">IF(ROW()-ROW($G$2:$G$34)+1&gt;ROWS($F$2:$F$34)-COUNTBLANK($F$2:$F$34),"",INDIRECT(ADDRESS(SMALL((IF($F$2:$F$34&gt;"",ROW($F$2:$F$34),ROW()+ROWS($F$2:$F$34))),ROW()-ROW($G$2:$G$34)+1),COLUMN($F$2:$F$34),4)))</f>
        <v>#REF!</v>
      </c>
      <c r="S28" s="206" t="e">
        <f t="array" aca="1" ref="S28" ca="1">IF(ROW()-ROW($H$2:$H$34)+1&gt;ROWS($G$2:$G$29)-COUNTBLANK($G$2:$G$34),"",INDIRECT(ADDRESS(SMALL((IF($G$2:$G$34&lt;&gt;"",ROW($G$2:$G$34),ROW()+ROWS($G$2:$G$34))),ROW()-ROW($H$2:$H$34)+1),COLUMN($G$2:$G$34),4)))</f>
        <v>#REF!</v>
      </c>
      <c r="T28" s="307" t="e">
        <f t="array" aca="1" ref="T28" ca="1">IF(ROW()-ROW($I$2:$I$34)+1&gt;ROWS($H$2:$H$34)-COUNTBLANK($H$2:$H$34),"",INDIRECT(ADDRESS(SMALL((IF($H$2:$H$34&lt;&gt;"",ROW($H$2:$H$34),ROW()+ROWS($H$2:$H$34))),ROW()-ROW($I$2:$I$34)+1),COLUMN($H$2:$H$34),4)))</f>
        <v>#REF!</v>
      </c>
      <c r="U28" s="307" t="e">
        <f t="array" aca="1" ref="U28" ca="1">IF(ROW()-ROW($J$2:$J$34)+1&gt;ROWS($I$2:$I$34)-COUNTBLANK($I$2:$I$34),"",INDIRECT(ADDRESS(SMALL((IF($I$2:$I$34&lt;&gt;"",ROW($I$2:$I$34),ROW()+ROWS($I$2:$I$34))),ROW()-ROW($J$2:$J$34)+1),COLUMN($I$2:$I$34),4)))</f>
        <v>#REF!</v>
      </c>
      <c r="V28" s="279" t="e">
        <f t="array" aca="1" ref="V28" ca="1">IF(ROW()-ROW($K$2:$K$34)+1&gt;ROWS($J$2:$J$34)-COUNTBLANK($J$2:$J$34),"",INDIRECT(ADDRESS(SMALL((IF($J$2:$J$34&lt;&gt;"",ROW($J$2:$J$34),ROW()+ROWS($J$2:$J$34))),ROW()-ROW($K$2:$K$34)+1),COLUMN($J$2:$J$34),4)))</f>
        <v>#REF!</v>
      </c>
      <c r="W28" s="201" t="e">
        <f t="array" aca="1" ref="W28" ca="1">IF(ROW()-ROW($L$2:$L$34)+1&gt;ROWS($K$2:$K$34)-COUNTBLANK($K$2:$K$34),"",INDIRECT(ADDRESS(SMALL((IF($K$2:$K$34&lt;&gt;"",ROW($K$2:$K$34),ROW()+ROWS($K$2:$K$34))),ROW()-ROW($L$2:$L$34)+1),COLUMN($K$2:$K$34),4)))</f>
        <v>#REF!</v>
      </c>
      <c r="X28" s="278" t="e">
        <f t="array" aca="1" ref="X28" ca="1">IF(ROW()-ROW($M$2:$M$34)+1&gt;ROWS($L$2:$L$34)-COUNTBLANK($L$2:$L$34),"",INDIRECT(ADDRESS(SMALL((IF($L$2:$L$34&lt;&gt;"",ROW($L$2:$L$34),ROW()+ROWS($L$2:$L$34))),ROW()-ROW($M$2:$M$34)+1),COLUMN($L$2:$L$34),4)))</f>
        <v>#REF!</v>
      </c>
      <c r="Y28" s="278" t="e">
        <f t="array" aca="1" ref="Y28" ca="1">IF(ROW()-ROW($N$2:$N$34)+1&gt;ROWS($M$2:$M$34)-COUNTBLANK($M$2:$M$34),"",INDIRECT(ADDRESS(SMALL((IF($M$2:$M$34&lt;&gt;"",ROW($M$2:$M$34),ROW()+ROWS($M$2:$M$34))),ROW()-ROW($N$2:$N$34)+1),COLUMN($M$2:$M$34),4)))</f>
        <v>#REF!</v>
      </c>
    </row>
    <row r="29" spans="1:25" ht="54.6" customHeight="1" x14ac:dyDescent="0.45">
      <c r="A29" s="275" t="str">
        <f>IF('Indicator sheet_(IS)'!P90=0,"",'Indicator sheet_(IS)'!P90)</f>
        <v>Incomplete</v>
      </c>
      <c r="B29" s="456">
        <v>25</v>
      </c>
      <c r="C29" s="391">
        <f>IF($A29="I.O.","",'Indicator sheet_(IS)'!A90)</f>
        <v>24</v>
      </c>
      <c r="D29" s="121" t="str">
        <f>IF($A29="I.O.","",'Indicator sheet_(IS)'!C90)</f>
        <v>Combination chemotherapy for metastasised colorectal carcinoma with systemic first-line treatment</v>
      </c>
      <c r="E29" s="283" t="str">
        <f>IF(AND('Indicator sheet_(IS)'!J90="",$A29&lt;&gt;"I.O."),"-----",IF($A29="I.O.","",'Indicator sheet_(IS)'!J90))</f>
        <v>&lt; 50%</v>
      </c>
      <c r="F29" s="309" t="str">
        <f>IF($A29="I.O.","",'Indicator sheet_(IS)'!K90)</f>
        <v>No target value</v>
      </c>
      <c r="G29" s="283" t="str">
        <f>IF(AND('Indicator sheet_(IS)'!M90="",$A29&lt;&gt;"I.O."),"-----",IF($A29="I.O.","",'Indicator sheet_(IS)'!M90))</f>
        <v>-----</v>
      </c>
      <c r="H29" s="308" t="str">
        <f>IF($A29="I.O.","",IF('Indicator sheet_(IS)'!O90="","-----",'Indicator sheet_(IS)'!O90))</f>
        <v>-----</v>
      </c>
      <c r="I29" s="308" t="str">
        <f>IF($A29="I.O.","",IF('Indicator sheet_(IS)'!O91="","-----",'Indicator sheet_(IS)'!O91))</f>
        <v>-----</v>
      </c>
      <c r="J29" s="276" t="str">
        <f>IF($A29="I.O.","",IF('Indicator sheet_(IS)'!O92="",0,'Indicator sheet_(IS)'!O92))</f>
        <v>n.d.</v>
      </c>
      <c r="K29" s="234" t="str">
        <f>IF($A29="I.O.","",'Indicator sheet_(IS)'!P90)</f>
        <v>Incomplete</v>
      </c>
      <c r="L29" s="277" t="str">
        <f>IF(AND('Indicator sheet_(IS)'!Q90="",$A29&lt;&gt;"I.O."),"-----",IF($A29="I.O.","",'Indicator sheet_(IS)'!Q90))</f>
        <v>-----</v>
      </c>
      <c r="M29" s="277" t="str">
        <f>IF(AND('Indicator sheet_(IS)'!R90="",$A29&lt;&gt;"I.O."),"-----",IF($A29="I.O.","",'Indicator sheet_(IS)'!R90))</f>
        <v>-----</v>
      </c>
      <c r="O29" s="217" t="e">
        <f t="array" aca="1" ref="O29" ca="1">IF(ROW()-ROW($D$2:$D$34)+1&gt;ROWS($C$2:$C$34)-COUNTBLANK($C$2:$C$34),"",INDIRECT(ADDRESS(SMALL((IF($C$2:$C$34&lt;&gt;"",ROW($C$2:$C$34),ROW()+ROWS($C$2:$C$34))),ROW()-ROW($D$2:$D$34)+1),COLUMN($C$2:$C$34),4)))</f>
        <v>#REF!</v>
      </c>
      <c r="P29" s="278" t="e">
        <f t="array" aca="1" ref="P29" ca="1">IF(ROW()-ROW($E$2:$E$34)+1&gt;ROWS($D$2:$D$34)-COUNTBLANK($D$2:$D$34),"",INDIRECT(ADDRESS(SMALL((IF($D$2:$D$34&gt;"",ROW($D$2:$D$34),ROW()+ROWS($D$2:$D$34))),ROW()-ROW($E$2:$E$34)+1),COLUMN($D$2:$D$34),4)))</f>
        <v>#REF!</v>
      </c>
      <c r="Q29" s="206" t="e">
        <f t="array" aca="1" ref="Q29" ca="1">IF(ROW()-ROW($F$2:$F$34)+1&gt;ROWS($E$2:$E$34)-COUNTBLANK($E$2:$E$34),"",INDIRECT(ADDRESS(SMALL((IF($E$2:$E$34&gt;"",ROW($E$2:$E$34),ROW()+ROWS($E$2:$E$34))),ROW()-ROW($F$2:$F$34)+1),COLUMN($E$2:$E$34),4)))</f>
        <v>#REF!</v>
      </c>
      <c r="R29" s="206" t="e">
        <f t="array" aca="1" ref="R29" ca="1">IF(ROW()-ROW($G$2:$G$34)+1&gt;ROWS($F$2:$F$34)-COUNTBLANK($F$2:$F$34),"",INDIRECT(ADDRESS(SMALL((IF($F$2:$F$34&gt;"",ROW($F$2:$F$34),ROW()+ROWS($F$2:$F$34))),ROW()-ROW($G$2:$G$34)+1),COLUMN($F$2:$F$34),4)))</f>
        <v>#REF!</v>
      </c>
      <c r="S29" s="206" t="e">
        <f t="array" aca="1" ref="S29" ca="1">IF(ROW()-ROW($H$2:$H$34)+1&gt;ROWS($G$2:$G$29)-COUNTBLANK($G$2:$G$34),"",INDIRECT(ADDRESS(SMALL((IF($G$2:$G$34&lt;&gt;"",ROW($G$2:$G$34),ROW()+ROWS($G$2:$G$34))),ROW()-ROW($H$2:$H$34)+1),COLUMN($G$2:$G$34),4)))</f>
        <v>#REF!</v>
      </c>
      <c r="T29" s="307" t="e">
        <f t="array" aca="1" ref="T29" ca="1">IF(ROW()-ROW($I$2:$I$34)+1&gt;ROWS($H$2:$H$34)-COUNTBLANK($H$2:$H$34),"",INDIRECT(ADDRESS(SMALL((IF($H$2:$H$34&lt;&gt;"",ROW($H$2:$H$34),ROW()+ROWS($H$2:$H$34))),ROW()-ROW($I$2:$I$34)+1),COLUMN($H$2:$H$34),4)))</f>
        <v>#REF!</v>
      </c>
      <c r="U29" s="307" t="e">
        <f t="array" aca="1" ref="U29" ca="1">IF(ROW()-ROW($J$2:$J$34)+1&gt;ROWS($I$2:$I$34)-COUNTBLANK($I$2:$I$34),"",INDIRECT(ADDRESS(SMALL((IF($I$2:$I$34&lt;&gt;"",ROW($I$2:$I$34),ROW()+ROWS($I$2:$I$34))),ROW()-ROW($J$2:$J$34)+1),COLUMN($I$2:$I$34),4)))</f>
        <v>#REF!</v>
      </c>
      <c r="V29" s="279" t="e">
        <f t="array" aca="1" ref="V29" ca="1">IF(ROW()-ROW($K$2:$K$34)+1&gt;ROWS($J$2:$J$34)-COUNTBLANK($J$2:$J$34),"",INDIRECT(ADDRESS(SMALL((IF($J$2:$J$34&lt;&gt;"",ROW($J$2:$J$34),ROW()+ROWS($J$2:$J$34))),ROW()-ROW($K$2:$K$34)+1),COLUMN($J$2:$J$34),4)))</f>
        <v>#REF!</v>
      </c>
      <c r="W29" s="201" t="e">
        <f t="array" aca="1" ref="W29" ca="1">IF(ROW()-ROW($L$2:$L$34)+1&gt;ROWS($K$2:$K$34)-COUNTBLANK($K$2:$K$34),"",INDIRECT(ADDRESS(SMALL((IF($K$2:$K$34&lt;&gt;"",ROW($K$2:$K$34),ROW()+ROWS($K$2:$K$34))),ROW()-ROW($L$2:$L$34)+1),COLUMN($K$2:$K$34),4)))</f>
        <v>#REF!</v>
      </c>
      <c r="X29" s="278" t="e">
        <f t="array" aca="1" ref="X29" ca="1">IF(ROW()-ROW($M$2:$M$34)+1&gt;ROWS($L$2:$L$34)-COUNTBLANK($L$2:$L$34),"",INDIRECT(ADDRESS(SMALL((IF($L$2:$L$34&lt;&gt;"",ROW($L$2:$L$34),ROW()+ROWS($L$2:$L$34))),ROW()-ROW($M$2:$M$34)+1),COLUMN($L$2:$L$34),4)))</f>
        <v>#REF!</v>
      </c>
      <c r="Y29" s="278" t="e">
        <f t="array" aca="1" ref="Y29" ca="1">IF(ROW()-ROW($N$2:$N$34)+1&gt;ROWS($M$2:$M$34)-COUNTBLANK($M$2:$M$34),"",INDIRECT(ADDRESS(SMALL((IF($M$2:$M$34&lt;&gt;"",ROW($M$2:$M$34),ROW()+ROWS($M$2:$M$34))),ROW()-ROW($N$2:$N$34)+1),COLUMN($M$2:$M$34),4)))</f>
        <v>#REF!</v>
      </c>
    </row>
    <row r="30" spans="1:25" ht="54.6" customHeight="1" x14ac:dyDescent="0.45">
      <c r="A30" s="275" t="str">
        <f>IF('Indicator sheet_(IS)'!P93=0,"",'Indicator sheet_(IS)'!P93)</f>
        <v>Incomplete</v>
      </c>
      <c r="B30" s="273">
        <v>26</v>
      </c>
      <c r="C30" s="391">
        <f>IF($A30="I.O.","",'Indicator sheet_(IS)'!A93)</f>
        <v>25</v>
      </c>
      <c r="D30" s="121" t="str">
        <f>IF($A30="I.O.","",'Indicator sheet_(IS)'!C93)</f>
        <v>Quality of the TME rectum specimen (information from pathology)</v>
      </c>
      <c r="E30" s="283" t="str">
        <f>IF(AND('Indicator sheet_(IS)'!J93="",$A30&lt;&gt;"I.O."),"-----",IF($A30="I.O.","",'Indicator sheet_(IS)'!J93))</f>
        <v>-----</v>
      </c>
      <c r="F30" s="309" t="str">
        <f>IF($A30="I.O.","",'Indicator sheet_(IS)'!K93)</f>
        <v>≥ 85%</v>
      </c>
      <c r="G30" s="283" t="str">
        <f>IF(AND('Indicator sheet_(IS)'!M93="",$A30&lt;&gt;"I.O."),"-----",IF($A30="I.O.","",'Indicator sheet_(IS)'!M93))</f>
        <v>-----</v>
      </c>
      <c r="H30" s="308" t="str">
        <f>IF($A30="I.O.","",IF('Indicator sheet_(IS)'!O93="","-----",'Indicator sheet_(IS)'!O93))</f>
        <v>-----</v>
      </c>
      <c r="I30" s="308" t="str">
        <f>IF($A30="I.O.","",IF('Indicator sheet_(IS)'!O94="","-----",'Indicator sheet_(IS)'!O94))</f>
        <v>-----</v>
      </c>
      <c r="J30" s="276" t="str">
        <f>IF($A30="I.O.","",IF('Indicator sheet_(IS)'!O95="",0,'Indicator sheet_(IS)'!O95))</f>
        <v>n.d.</v>
      </c>
      <c r="K30" s="234" t="str">
        <f>IF($A30="I.O.","",'Indicator sheet_(IS)'!P93)</f>
        <v>Incomplete</v>
      </c>
      <c r="L30" s="277" t="str">
        <f>IF(AND('Indicator sheet_(IS)'!Q93="",$A30&lt;&gt;"I.O."),"-----",IF($A30="I.O.","",'Indicator sheet_(IS)'!Q93))</f>
        <v>-----</v>
      </c>
      <c r="M30" s="277" t="str">
        <f>IF(AND('Indicator sheet_(IS)'!R93="",$A30&lt;&gt;"I.O."),"-----",IF($A30="I.O.","",'Indicator sheet_(IS)'!R93))</f>
        <v>-----</v>
      </c>
      <c r="O30" s="217" t="e">
        <f t="array" aca="1" ref="O30" ca="1">IF(ROW()-ROW($D$2:$D$34)+1&gt;ROWS($C$2:$C$34)-COUNTBLANK($C$2:$C$34),"",INDIRECT(ADDRESS(SMALL((IF($C$2:$C$34&lt;&gt;"",ROW($C$2:$C$34),ROW()+ROWS($C$2:$C$34))),ROW()-ROW($D$2:$D$34)+1),COLUMN($C$2:$C$34),4)))</f>
        <v>#REF!</v>
      </c>
      <c r="P30" s="278" t="e">
        <f t="array" aca="1" ref="P30" ca="1">IF(ROW()-ROW($E$2:$E$34)+1&gt;ROWS($D$2:$D$34)-COUNTBLANK($D$2:$D$34),"",INDIRECT(ADDRESS(SMALL((IF($D$2:$D$34&gt;"",ROW($D$2:$D$34),ROW()+ROWS($D$2:$D$34))),ROW()-ROW($E$2:$E$34)+1),COLUMN($D$2:$D$34),4)))</f>
        <v>#REF!</v>
      </c>
      <c r="Q30" s="206" t="e">
        <f t="array" aca="1" ref="Q30" ca="1">IF(ROW()-ROW($F$2:$F$34)+1&gt;ROWS($E$2:$E$34)-COUNTBLANK($E$2:$E$34),"",INDIRECT(ADDRESS(SMALL((IF($E$2:$E$34&gt;"",ROW($E$2:$E$34),ROW()+ROWS($E$2:$E$34))),ROW()-ROW($F$2:$F$34)+1),COLUMN($E$2:$E$34),4)))</f>
        <v>#REF!</v>
      </c>
      <c r="R30" s="206" t="e">
        <f t="array" aca="1" ref="R30" ca="1">IF(ROW()-ROW($G$2:$G$34)+1&gt;ROWS($F$2:$F$34)-COUNTBLANK($F$2:$F$34),"",INDIRECT(ADDRESS(SMALL((IF($F$2:$F$34&gt;"",ROW($F$2:$F$34),ROW()+ROWS($F$2:$F$34))),ROW()-ROW($G$2:$G$34)+1),COLUMN($F$2:$F$34),4)))</f>
        <v>#REF!</v>
      </c>
      <c r="S30" s="206" t="str">
        <f t="array" aca="1" ref="S30" ca="1">IF(ROW()-ROW($H$2:$H$34)+1&gt;ROWS($G$2:$G$29)-COUNTBLANK($G$2:$G$34),"",INDIRECT(ADDRESS(SMALL((IF($G$2:$G$34&lt;&gt;"",ROW($G$2:$G$34),ROW()+ROWS($G$2:$G$34))),ROW()-ROW($H$2:$H$34)+1),COLUMN($G$2:$G$34),4)))</f>
        <v/>
      </c>
      <c r="T30" s="307" t="e">
        <f t="array" aca="1" ref="T30" ca="1">IF(ROW()-ROW($I$2:$I$34)+1&gt;ROWS($H$2:$H$34)-COUNTBLANK($H$2:$H$34),"",INDIRECT(ADDRESS(SMALL((IF($H$2:$H$34&lt;&gt;"",ROW($H$2:$H$34),ROW()+ROWS($H$2:$H$34))),ROW()-ROW($I$2:$I$34)+1),COLUMN($H$2:$H$34),4)))</f>
        <v>#REF!</v>
      </c>
      <c r="U30" s="307" t="e">
        <f t="array" aca="1" ref="U30" ca="1">IF(ROW()-ROW($J$2:$J$34)+1&gt;ROWS($I$2:$I$34)-COUNTBLANK($I$2:$I$34),"",INDIRECT(ADDRESS(SMALL((IF($I$2:$I$34&lt;&gt;"",ROW($I$2:$I$34),ROW()+ROWS($I$2:$I$34))),ROW()-ROW($J$2:$J$34)+1),COLUMN($I$2:$I$34),4)))</f>
        <v>#REF!</v>
      </c>
      <c r="V30" s="279" t="e">
        <f t="array" aca="1" ref="V30" ca="1">IF(ROW()-ROW($K$2:$K$34)+1&gt;ROWS($J$2:$J$34)-COUNTBLANK($J$2:$J$34),"",INDIRECT(ADDRESS(SMALL((IF($J$2:$J$34&lt;&gt;"",ROW($J$2:$J$34),ROW()+ROWS($J$2:$J$34))),ROW()-ROW($K$2:$K$34)+1),COLUMN($J$2:$J$34),4)))</f>
        <v>#REF!</v>
      </c>
      <c r="W30" s="201" t="e">
        <f t="array" aca="1" ref="W30" ca="1">IF(ROW()-ROW($L$2:$L$34)+1&gt;ROWS($K$2:$K$34)-COUNTBLANK($K$2:$K$34),"",INDIRECT(ADDRESS(SMALL((IF($K$2:$K$34&lt;&gt;"",ROW($K$2:$K$34),ROW()+ROWS($K$2:$K$34))),ROW()-ROW($L$2:$L$34)+1),COLUMN($K$2:$K$34),4)))</f>
        <v>#REF!</v>
      </c>
      <c r="X30" s="278" t="e">
        <f t="array" aca="1" ref="X30" ca="1">IF(ROW()-ROW($M$2:$M$34)+1&gt;ROWS($L$2:$L$34)-COUNTBLANK($L$2:$L$34),"",INDIRECT(ADDRESS(SMALL((IF($L$2:$L$34&lt;&gt;"",ROW($L$2:$L$34),ROW()+ROWS($L$2:$L$34))),ROW()-ROW($M$2:$M$34)+1),COLUMN($L$2:$L$34),4)))</f>
        <v>#REF!</v>
      </c>
      <c r="Y30" s="278" t="e">
        <f t="array" aca="1" ref="Y30" ca="1">IF(ROW()-ROW($N$2:$N$34)+1&gt;ROWS($M$2:$M$34)-COUNTBLANK($M$2:$M$34),"",INDIRECT(ADDRESS(SMALL((IF($M$2:$M$34&lt;&gt;"",ROW($M$2:$M$34),ROW()+ROWS($M$2:$M$34))),ROW()-ROW($N$2:$N$34)+1),COLUMN($M$2:$M$34),4)))</f>
        <v>#REF!</v>
      </c>
    </row>
    <row r="31" spans="1:25" ht="54.6" customHeight="1" x14ac:dyDescent="0.45">
      <c r="A31" s="275" t="str">
        <f>IF('Indicator sheet_(IS)'!P96=0,"",'Indicator sheet_(IS)'!P96)</f>
        <v>Incomplete</v>
      </c>
      <c r="B31" s="273">
        <v>27</v>
      </c>
      <c r="C31" s="391">
        <f>IF($A31="I.O.","",'Indicator sheet_(IS)'!A96)</f>
        <v>26</v>
      </c>
      <c r="D31" s="121" t="str">
        <f>IF($A31="I.O.","",'Indicator sheet_(IS)'!C96)</f>
        <v>Diagnostic report after surgical resection of colorectal carcinoma</v>
      </c>
      <c r="E31" s="283" t="str">
        <f>IF(AND('Indicator sheet_(IS)'!J96="",$A31&lt;&gt;"I.O."),"-----",IF($A31="I.O.","",'Indicator sheet_(IS)'!J96))</f>
        <v>-----</v>
      </c>
      <c r="F31" s="309" t="str">
        <f>IF($A31="I.O.","",'Indicator sheet_(IS)'!K96)</f>
        <v>≥ 95%</v>
      </c>
      <c r="G31" s="283" t="str">
        <f>IF(AND('Indicator sheet_(IS)'!M93="",$A31&lt;&gt;"I.O."),"-----",IF($A31="I.O.","",'Indicator sheet_(IS)'!M93))</f>
        <v>-----</v>
      </c>
      <c r="H31" s="308" t="str">
        <f>IF($A31="I.O.","",IF('Indicator sheet_(IS)'!O96="","-----",'Indicator sheet_(IS)'!O96))</f>
        <v>-----</v>
      </c>
      <c r="I31" s="308" t="str">
        <f>IF($A31="I.O.","",IF('Indicator sheet_(IS)'!O97="","-----",'Indicator sheet_(IS)'!O97))</f>
        <v>-----</v>
      </c>
      <c r="J31" s="276" t="str">
        <f>IF($A31="I.O.","",IF('Indicator sheet_(IS)'!O98="",0,'Indicator sheet_(IS)'!O98))</f>
        <v>n.d.</v>
      </c>
      <c r="K31" s="234" t="str">
        <f>IF($A31="I.O.","",'Indicator sheet_(IS)'!P96)</f>
        <v>Incomplete</v>
      </c>
      <c r="L31" s="277" t="str">
        <f>IF(AND('Indicator sheet_(IS)'!Q96="",$A31&lt;&gt;"I.O."),"-----",IF($A31="I.O.","",'Indicator sheet_(IS)'!Q96))</f>
        <v>-----</v>
      </c>
      <c r="M31" s="277" t="str">
        <f>IF(AND('Indicator sheet_(IS)'!R96="",$A31&lt;&gt;"I.O."),"-----",IF($A31="I.O.","",'Indicator sheet_(IS)'!R96))</f>
        <v>-----</v>
      </c>
      <c r="O31" s="217" t="e">
        <f t="array" aca="1" ref="O31" ca="1">IF(ROW()-ROW($D$2:$D$34)+1&gt;ROWS($C$2:$C$34)-COUNTBLANK($C$2:$C$34),"",INDIRECT(ADDRESS(SMALL((IF($C$2:$C$34&lt;&gt;"",ROW($C$2:$C$34),ROW()+ROWS($C$2:$C$34))),ROW()-ROW($D$2:$D$34)+1),COLUMN($C$2:$C$34),4)))</f>
        <v>#REF!</v>
      </c>
      <c r="P31" s="278" t="e">
        <f t="array" aca="1" ref="P31" ca="1">IF(ROW()-ROW($E$2:$E$34)+1&gt;ROWS($D$2:$D$34)-COUNTBLANK($D$2:$D$34),"",INDIRECT(ADDRESS(SMALL((IF($D$2:$D$34&gt;"",ROW($D$2:$D$34),ROW()+ROWS($D$2:$D$34))),ROW()-ROW($E$2:$E$34)+1),COLUMN($D$2:$D$34),4)))</f>
        <v>#REF!</v>
      </c>
      <c r="Q31" s="206" t="e">
        <f t="array" aca="1" ref="Q31" ca="1">IF(ROW()-ROW($F$2:$F$34)+1&gt;ROWS($E$2:$E$34)-COUNTBLANK($E$2:$E$34),"",INDIRECT(ADDRESS(SMALL((IF($E$2:$E$34&gt;"",ROW($E$2:$E$34),ROW()+ROWS($E$2:$E$34))),ROW()-ROW($F$2:$F$34)+1),COLUMN($E$2:$E$34),4)))</f>
        <v>#REF!</v>
      </c>
      <c r="R31" s="206" t="e">
        <f t="array" aca="1" ref="R31" ca="1">IF(ROW()-ROW($G$2:$G$34)+1&gt;ROWS($F$2:$F$34)-COUNTBLANK($F$2:$F$34),"",INDIRECT(ADDRESS(SMALL((IF($F$2:$F$34&gt;"",ROW($F$2:$F$34),ROW()+ROWS($F$2:$F$34))),ROW()-ROW($G$2:$G$34)+1),COLUMN($F$2:$F$34),4)))</f>
        <v>#REF!</v>
      </c>
      <c r="S31" s="206" t="str">
        <f t="array" aca="1" ref="S31" ca="1">IF(ROW()-ROW($H$2:$H$34)+1&gt;ROWS($G$2:$G$29)-COUNTBLANK($G$2:$G$34),"",INDIRECT(ADDRESS(SMALL((IF($G$2:$G$34&lt;&gt;"",ROW($G$2:$G$34),ROW()+ROWS($G$2:$G$34))),ROW()-ROW($H$2:$H$34)+1),COLUMN($G$2:$G$34),4)))</f>
        <v/>
      </c>
      <c r="T31" s="307" t="e">
        <f t="array" aca="1" ref="T31" ca="1">IF(ROW()-ROW($I$2:$I$34)+1&gt;ROWS($H$2:$H$34)-COUNTBLANK($H$2:$H$34),"",INDIRECT(ADDRESS(SMALL((IF($H$2:$H$34&lt;&gt;"",ROW($H$2:$H$34),ROW()+ROWS($H$2:$H$34))),ROW()-ROW($I$2:$I$34)+1),COLUMN($H$2:$H$34),4)))</f>
        <v>#REF!</v>
      </c>
      <c r="U31" s="307" t="e">
        <f t="array" aca="1" ref="U31" ca="1">IF(ROW()-ROW($J$2:$J$34)+1&gt;ROWS($I$2:$I$34)-COUNTBLANK($I$2:$I$34),"",INDIRECT(ADDRESS(SMALL((IF($I$2:$I$34&lt;&gt;"",ROW($I$2:$I$34),ROW()+ROWS($I$2:$I$34))),ROW()-ROW($J$2:$J$34)+1),COLUMN($I$2:$I$34),4)))</f>
        <v>#REF!</v>
      </c>
      <c r="V31" s="279" t="e">
        <f t="array" aca="1" ref="V31" ca="1">IF(ROW()-ROW($K$2:$K$34)+1&gt;ROWS($J$2:$J$34)-COUNTBLANK($J$2:$J$34),"",INDIRECT(ADDRESS(SMALL((IF($J$2:$J$34&lt;&gt;"",ROW($J$2:$J$34),ROW()+ROWS($J$2:$J$34))),ROW()-ROW($K$2:$K$34)+1),COLUMN($J$2:$J$34),4)))</f>
        <v>#REF!</v>
      </c>
      <c r="W31" s="201" t="e">
        <f t="array" aca="1" ref="W31" ca="1">IF(ROW()-ROW($L$2:$L$34)+1&gt;ROWS($K$2:$K$34)-COUNTBLANK($K$2:$K$34),"",INDIRECT(ADDRESS(SMALL((IF($K$2:$K$34&lt;&gt;"",ROW($K$2:$K$34),ROW()+ROWS($K$2:$K$34))),ROW()-ROW($L$2:$L$34)+1),COLUMN($K$2:$K$34),4)))</f>
        <v>#REF!</v>
      </c>
      <c r="X31" s="278" t="e">
        <f t="array" aca="1" ref="X31" ca="1">IF(ROW()-ROW($M$2:$M$34)+1&gt;ROWS($L$2:$L$34)-COUNTBLANK($L$2:$L$34),"",INDIRECT(ADDRESS(SMALL((IF($L$2:$L$34&lt;&gt;"",ROW($L$2:$L$34),ROW()+ROWS($L$2:$L$34))),ROW()-ROW($M$2:$M$34)+1),COLUMN($L$2:$L$34),4)))</f>
        <v>#REF!</v>
      </c>
      <c r="Y31" s="278" t="e">
        <f t="array" aca="1" ref="Y31" ca="1">IF(ROW()-ROW($N$2:$N$34)+1&gt;ROWS($M$2:$M$34)-COUNTBLANK($M$2:$M$34),"",INDIRECT(ADDRESS(SMALL((IF($M$2:$M$34&lt;&gt;"",ROW($M$2:$M$34),ROW()+ROWS($M$2:$M$34))),ROW()-ROW($N$2:$N$34)+1),COLUMN($M$2:$M$34),4)))</f>
        <v>#REF!</v>
      </c>
    </row>
    <row r="32" spans="1:25" ht="54.6" customHeight="1" x14ac:dyDescent="0.45">
      <c r="A32" s="275" t="str">
        <f>IF('Indicator sheet_(IS)'!P99=0,"",'Indicator sheet_(IS)'!P99)</f>
        <v>Incomplete</v>
      </c>
      <c r="B32" s="273">
        <v>28</v>
      </c>
      <c r="C32" s="391">
        <f>IF($A32="I.O.","",'Indicator sheet_(IS)'!A99)</f>
        <v>27</v>
      </c>
      <c r="D32" s="121" t="str">
        <f>IF($A32="I.O.","",'Indicator sheet_(IS)'!C99)</f>
        <v>Lymph node examination</v>
      </c>
      <c r="E32" s="283" t="str">
        <f>IF(AND('Indicator sheet_(IS)'!J99="",$A32&lt;&gt;"I.O."),"-----",IF($A32="I.O.","",'Indicator sheet_(IS)'!J99))</f>
        <v>-----</v>
      </c>
      <c r="F32" s="309" t="str">
        <f>IF($A32="I.O.","",'Indicator sheet_(IS)'!K99)</f>
        <v xml:space="preserve">≥ 95% </v>
      </c>
      <c r="G32" s="283" t="str">
        <f>IF(AND('Indicator sheet_(IS)'!M96="",$A32&lt;&gt;"I.O."),"-----",IF($A32="I.O.","",'Indicator sheet_(IS)'!M96))</f>
        <v>-----</v>
      </c>
      <c r="H32" s="308" t="str">
        <f>IF($A32="I.O.","",IF('Indicator sheet_(IS)'!O99="","-----",'Indicator sheet_(IS)'!O99))</f>
        <v>-----</v>
      </c>
      <c r="I32" s="308" t="str">
        <f>IF($A32="I.O.","",IF('Indicator sheet_(IS)'!O100="","-----",'Indicator sheet_(IS)'!O100))</f>
        <v>-----</v>
      </c>
      <c r="J32" s="276" t="str">
        <f>IF($A32="I.O.","",IF('Indicator sheet_(IS)'!O101="",0,'Indicator sheet_(IS)'!O101))</f>
        <v>n.d.</v>
      </c>
      <c r="K32" s="234" t="str">
        <f>IF($A32="I.O.","",'Indicator sheet_(IS)'!P99)</f>
        <v>Incomplete</v>
      </c>
      <c r="L32" s="277" t="str">
        <f>IF(AND('Indicator sheet_(IS)'!Q99="",$A32&lt;&gt;"I.O."),"-----",IF($A32="I.O.","",'Indicator sheet_(IS)'!Q99))</f>
        <v>-----</v>
      </c>
      <c r="M32" s="277" t="str">
        <f>IF(AND('Indicator sheet_(IS)'!R99="",$A32&lt;&gt;"I.O."),"-----",IF($A32="I.O.","",'Indicator sheet_(IS)'!R99))</f>
        <v>-----</v>
      </c>
      <c r="O32" s="217" t="e">
        <f t="array" aca="1" ref="O32" ca="1">IF(ROW()-ROW($D$2:$D$34)+1&gt;ROWS($C$2:$C$34)-COUNTBLANK($C$2:$C$34),"",INDIRECT(ADDRESS(SMALL((IF($C$2:$C$34&lt;&gt;"",ROW($C$2:$C$34),ROW()+ROWS($C$2:$C$34))),ROW()-ROW($D$2:$D$34)+1),COLUMN($C$2:$C$34),4)))</f>
        <v>#REF!</v>
      </c>
      <c r="P32" s="278" t="e">
        <f t="array" aca="1" ref="P32" ca="1">IF(ROW()-ROW($E$2:$E$34)+1&gt;ROWS($D$2:$D$34)-COUNTBLANK($D$2:$D$34),"",INDIRECT(ADDRESS(SMALL((IF($D$2:$D$34&gt;"",ROW($D$2:$D$34),ROW()+ROWS($D$2:$D$34))),ROW()-ROW($E$2:$E$34)+1),COLUMN($D$2:$D$34),4)))</f>
        <v>#REF!</v>
      </c>
      <c r="Q32" s="206" t="e">
        <f t="array" aca="1" ref="Q32" ca="1">IF(ROW()-ROW($F$2:$F$34)+1&gt;ROWS($E$2:$E$34)-COUNTBLANK($E$2:$E$34),"",INDIRECT(ADDRESS(SMALL((IF($E$2:$E$34&gt;"",ROW($E$2:$E$34),ROW()+ROWS($E$2:$E$34))),ROW()-ROW($F$2:$F$34)+1),COLUMN($E$2:$E$34),4)))</f>
        <v>#REF!</v>
      </c>
      <c r="R32" s="206" t="e">
        <f t="array" aca="1" ref="R32" ca="1">IF(ROW()-ROW($G$2:$G$34)+1&gt;ROWS($F$2:$F$34)-COUNTBLANK($F$2:$F$34),"",INDIRECT(ADDRESS(SMALL((IF($F$2:$F$34&gt;"",ROW($F$2:$F$34),ROW()+ROWS($F$2:$F$34))),ROW()-ROW($G$2:$G$34)+1),COLUMN($F$2:$F$34),4)))</f>
        <v>#REF!</v>
      </c>
      <c r="S32" s="206" t="str">
        <f t="array" aca="1" ref="S32" ca="1">IF(ROW()-ROW($H$2:$H$34)+1&gt;ROWS($G$2:$G$29)-COUNTBLANK($G$2:$G$34),"",INDIRECT(ADDRESS(SMALL((IF($G$2:$G$34&lt;&gt;"",ROW($G$2:$G$34),ROW()+ROWS($G$2:$G$34))),ROW()-ROW($H$2:$H$34)+1),COLUMN($G$2:$G$34),4)))</f>
        <v/>
      </c>
      <c r="T32" s="307" t="e">
        <f t="array" aca="1" ref="T32" ca="1">IF(ROW()-ROW($I$2:$I$34)+1&gt;ROWS($H$2:$H$34)-COUNTBLANK($H$2:$H$34),"",INDIRECT(ADDRESS(SMALL((IF($H$2:$H$34&lt;&gt;"",ROW($H$2:$H$34),ROW()+ROWS($H$2:$H$34))),ROW()-ROW($I$2:$I$34)+1),COLUMN($H$2:$H$34),4)))</f>
        <v>#REF!</v>
      </c>
      <c r="U32" s="307" t="e">
        <f t="array" aca="1" ref="U32" ca="1">IF(ROW()-ROW($J$2:$J$34)+1&gt;ROWS($I$2:$I$34)-COUNTBLANK($I$2:$I$34),"",INDIRECT(ADDRESS(SMALL((IF($I$2:$I$34&lt;&gt;"",ROW($I$2:$I$34),ROW()+ROWS($I$2:$I$34))),ROW()-ROW($J$2:$J$34)+1),COLUMN($I$2:$I$34),4)))</f>
        <v>#REF!</v>
      </c>
      <c r="V32" s="279" t="e">
        <f t="array" aca="1" ref="V32" ca="1">IF(ROW()-ROW($K$2:$K$34)+1&gt;ROWS($J$2:$J$34)-COUNTBLANK($J$2:$J$34),"",INDIRECT(ADDRESS(SMALL((IF($J$2:$J$34&lt;&gt;"",ROW($J$2:$J$34),ROW()+ROWS($J$2:$J$34))),ROW()-ROW($K$2:$K$34)+1),COLUMN($J$2:$J$34),4)))</f>
        <v>#REF!</v>
      </c>
      <c r="W32" s="201" t="e">
        <f t="array" aca="1" ref="W32" ca="1">IF(ROW()-ROW($L$2:$L$34)+1&gt;ROWS($K$2:$K$34)-COUNTBLANK($K$2:$K$34),"",INDIRECT(ADDRESS(SMALL((IF($K$2:$K$34&lt;&gt;"",ROW($K$2:$K$34),ROW()+ROWS($K$2:$K$34))),ROW()-ROW($L$2:$L$34)+1),COLUMN($K$2:$K$34),4)))</f>
        <v>#REF!</v>
      </c>
      <c r="X32" s="278" t="e">
        <f t="array" aca="1" ref="X32" ca="1">IF(ROW()-ROW($M$2:$M$34)+1&gt;ROWS($L$2:$L$34)-COUNTBLANK($L$2:$L$34),"",INDIRECT(ADDRESS(SMALL((IF($L$2:$L$34&lt;&gt;"",ROW($L$2:$L$34),ROW()+ROWS($L$2:$L$34))),ROW()-ROW($M$2:$M$34)+1),COLUMN($L$2:$L$34),4)))</f>
        <v>#REF!</v>
      </c>
      <c r="Y32" s="278" t="e">
        <f t="array" aca="1" ref="Y32" ca="1">IF(ROW()-ROW($N$2:$N$34)+1&gt;ROWS($M$2:$M$34)-COUNTBLANK($M$2:$M$34),"",INDIRECT(ADDRESS(SMALL((IF($M$2:$M$34&lt;&gt;"",ROW($M$2:$M$34),ROW()+ROWS($M$2:$M$34))),ROW()-ROW($N$2:$N$34)+1),COLUMN($M$2:$M$34),4)))</f>
        <v>#REF!</v>
      </c>
    </row>
    <row r="33" spans="1:25" ht="54.6" customHeight="1" x14ac:dyDescent="0.45">
      <c r="A33" s="275" t="str">
        <f>IF('Indicator sheet_(IS)'!P102=0,"",'Indicator sheet_(IS)'!P102)</f>
        <v>Incomplete</v>
      </c>
      <c r="B33" s="273">
        <v>29</v>
      </c>
      <c r="C33" s="391">
        <f>IF($A33="I.O.","",'Indicator sheet_(IS)'!A102)</f>
        <v>28</v>
      </c>
      <c r="D33" s="121" t="str">
        <f>IF($A33="I.O.","",'Indicator sheet_(IS)'!C102)</f>
        <v>Start of adjuvant chemotherapy</v>
      </c>
      <c r="E33" s="283" t="str">
        <f>IF(AND('Indicator sheet_(IS)'!J102="",$A33&lt;&gt;"I.O."),"-----",IF($A33="I.O.","",'Indicator sheet_(IS)'!J102))</f>
        <v>&lt; 70%</v>
      </c>
      <c r="F33" s="309" t="str">
        <f>IF($A33="I.O.","",'Indicator sheet_(IS)'!K102)</f>
        <v>No target value</v>
      </c>
      <c r="G33" s="283" t="str">
        <f>IF(AND('Indicator sheet_(IS)'!M102="",$A33&lt;&gt;"I.O."),"-----",IF($A33="I.O.","",'Indicator sheet_(IS)'!M102))</f>
        <v>-----</v>
      </c>
      <c r="H33" s="308" t="str">
        <f>IF($A33="I.O.","",IF('Indicator sheet_(IS)'!O102="","-----",'Indicator sheet_(IS)'!O102))</f>
        <v>-----</v>
      </c>
      <c r="I33" s="308">
        <f>IF($A33="I.O.","",IF('Indicator sheet_(IS)'!O103="","-----",'Indicator sheet_(IS)'!O103))</f>
        <v>0</v>
      </c>
      <c r="J33" s="276" t="str">
        <f>IF($A33="I.O.","",IF('Indicator sheet_(IS)'!O104="",0,'Indicator sheet_(IS)'!O104))</f>
        <v>n.d.</v>
      </c>
      <c r="K33" s="234" t="str">
        <f>IF($A33="I.O.","",'Indicator sheet_(IS)'!P102)</f>
        <v>Incomplete</v>
      </c>
      <c r="L33" s="277" t="str">
        <f>IF(AND('Indicator sheet_(IS)'!Q102="",$A33&lt;&gt;"I.O."),"-----",IF($A33="I.O.","",'Indicator sheet_(IS)'!Q102))</f>
        <v>-----</v>
      </c>
      <c r="M33" s="277" t="str">
        <f>IF(AND('Indicator sheet_(IS)'!R102="",$A34&lt;&gt;"I.O."),"-----",IF($A34="I.O.","",'Indicator sheet_(IS)'!R102))</f>
        <v>-----</v>
      </c>
      <c r="O33" s="217" t="e">
        <f t="array" aca="1" ref="O33" ca="1">IF(ROW()-ROW($D$2:$D$34)+1&gt;ROWS($C$2:$C$34)-COUNTBLANK($C$2:$C$34),"",INDIRECT(ADDRESS(SMALL((IF($C$2:$C$34&lt;&gt;"",ROW($C$2:$C$34),ROW()+ROWS($C$2:$C$34))),ROW()-ROW($D$2:$D$34)+1),COLUMN($C$2:$C$34),4)))</f>
        <v>#REF!</v>
      </c>
      <c r="P33" s="278" t="e">
        <f t="array" aca="1" ref="P33" ca="1">IF(ROW()-ROW($E$2:$E$34)+1&gt;ROWS($D$2:$D$34)-COUNTBLANK($D$2:$D$34),"",INDIRECT(ADDRESS(SMALL((IF($D$2:$D$34&gt;"",ROW($D$2:$D$34),ROW()+ROWS($D$2:$D$34))),ROW()-ROW($E$2:$E$34)+1),COLUMN($D$2:$D$34),4)))</f>
        <v>#REF!</v>
      </c>
      <c r="Q33" s="206" t="e">
        <f t="array" aca="1" ref="Q33" ca="1">IF(ROW()-ROW($F$2:$F$34)+1&gt;ROWS($E$2:$E$34)-COUNTBLANK($E$2:$E$34),"",INDIRECT(ADDRESS(SMALL((IF($E$2:$E$34&gt;"",ROW($E$2:$E$34),ROW()+ROWS($E$2:$E$34))),ROW()-ROW($F$2:$F$34)+1),COLUMN($E$2:$E$34),4)))</f>
        <v>#REF!</v>
      </c>
      <c r="R33" s="206" t="e">
        <f t="array" aca="1" ref="R33" ca="1">IF(ROW()-ROW($G$2:$G$34)+1&gt;ROWS($F$2:$F$34)-COUNTBLANK($F$2:$F$34),"",INDIRECT(ADDRESS(SMALL((IF($F$2:$F$34&gt;"",ROW($F$2:$F$34),ROW()+ROWS($F$2:$F$34))),ROW()-ROW($G$2:$G$34)+1),COLUMN($F$2:$F$34),4)))</f>
        <v>#REF!</v>
      </c>
      <c r="S33" s="206" t="str">
        <f t="array" aca="1" ref="S33" ca="1">IF(ROW()-ROW($H$2:$H$34)+1&gt;ROWS($G$2:$G$29)-COUNTBLANK($G$2:$G$34),"",INDIRECT(ADDRESS(SMALL((IF($G$2:$G$34&lt;&gt;"",ROW($G$2:$G$34),ROW()+ROWS($G$2:$G$34))),ROW()-ROW($H$2:$H$34)+1),COLUMN($G$2:$G$34),4)))</f>
        <v/>
      </c>
      <c r="T33" s="307" t="e">
        <f t="array" aca="1" ref="T33" ca="1">IF(ROW()-ROW($I$2:$I$34)+1&gt;ROWS($H$2:$H$34)-COUNTBLANK($H$2:$H$34),"",INDIRECT(ADDRESS(SMALL((IF($H$2:$H$34&lt;&gt;"",ROW($H$2:$H$34),ROW()+ROWS($H$2:$H$34))),ROW()-ROW($I$2:$I$34)+1),COLUMN($H$2:$H$34),4)))</f>
        <v>#REF!</v>
      </c>
      <c r="U33" s="307" t="e">
        <f t="array" aca="1" ref="U33" ca="1">IF(ROW()-ROW($J$2:$J$34)+1&gt;ROWS($I$2:$I$34)-COUNTBLANK($I$2:$I$34),"",INDIRECT(ADDRESS(SMALL((IF($I$2:$I$34&lt;&gt;"",ROW($I$2:$I$34),ROW()+ROWS($I$2:$I$34))),ROW()-ROW($J$2:$J$34)+1),COLUMN($I$2:$I$34),4)))</f>
        <v>#REF!</v>
      </c>
      <c r="V33" s="279" t="e">
        <f t="array" aca="1" ref="V33" ca="1">IF(ROW()-ROW($K$2:$K$34)+1&gt;ROWS($J$2:$J$34)-COUNTBLANK($J$2:$J$34),"",INDIRECT(ADDRESS(SMALL((IF($J$2:$J$34&lt;&gt;"",ROW($J$2:$J$34),ROW()+ROWS($J$2:$J$34))),ROW()-ROW($K$2:$K$34)+1),COLUMN($J$2:$J$34),4)))</f>
        <v>#REF!</v>
      </c>
      <c r="W33" s="201" t="e">
        <f t="array" aca="1" ref="W33" ca="1">IF(ROW()-ROW($L$2:$L$34)+1&gt;ROWS($K$2:$K$34)-COUNTBLANK($K$2:$K$34),"",INDIRECT(ADDRESS(SMALL((IF($K$2:$K$34&lt;&gt;"",ROW($K$2:$K$34),ROW()+ROWS($K$2:$K$34))),ROW()-ROW($L$2:$L$34)+1),COLUMN($K$2:$K$34),4)))</f>
        <v>#REF!</v>
      </c>
      <c r="X33" s="278" t="e">
        <f t="array" aca="1" ref="X33" ca="1">IF(ROW()-ROW($M$2:$M$34)+1&gt;ROWS($L$2:$L$34)-COUNTBLANK($L$2:$L$34),"",INDIRECT(ADDRESS(SMALL((IF($L$2:$L$34&lt;&gt;"",ROW($L$2:$L$34),ROW()+ROWS($L$2:$L$34))),ROW()-ROW($M$2:$M$34)+1),COLUMN($L$2:$L$34),4)))</f>
        <v>#REF!</v>
      </c>
      <c r="Y33" s="278" t="e">
        <f t="array" aca="1" ref="Y33" ca="1">IF(ROW()-ROW($N$2:$N$34)+1&gt;ROWS($M$2:$M$34)-COUNTBLANK($M$2:$M$34),"",INDIRECT(ADDRESS(SMALL((IF($M$2:$M$34&lt;&gt;"",ROW($M$2:$M$34),ROW()+ROWS($M$2:$M$34))),ROW()-ROW($N$2:$N$34)+1),COLUMN($M$2:$M$34),4)))</f>
        <v>#REF!</v>
      </c>
    </row>
    <row r="34" spans="1:25" ht="54.6" customHeight="1" x14ac:dyDescent="0.45">
      <c r="A34" s="275" t="str">
        <f>IF('Indicator sheet_(IS)'!P105=0,"",'Indicator sheet_(IS)'!P105)</f>
        <v>Incomplete</v>
      </c>
      <c r="B34" s="273">
        <v>30</v>
      </c>
      <c r="C34" s="391" t="str">
        <f>IF($A34="I.O.","",'Indicator sheet_(IS)'!A105)</f>
        <v xml:space="preserve">29
</v>
      </c>
      <c r="D34" s="121" t="str">
        <f>IF($A34="I.O.","",'Indicator sheet_(IS)'!C105)</f>
        <v>MTL22 Indicator (mortality, transfer, postoperative hospital stay)</v>
      </c>
      <c r="E34" s="283" t="str">
        <f>IF(AND('Indicator sheet_(IS)'!J105="",$A34&lt;&gt;"I.O."),"-----",IF($A34="I.O.","",'Indicator sheet_(IS)'!J105))</f>
        <v>-----</v>
      </c>
      <c r="F34" s="309" t="str">
        <f>IF($A34="I.O.","",'Indicator sheet_(IS)'!K105)</f>
        <v>No target value</v>
      </c>
      <c r="G34" s="283" t="str">
        <f>IF(AND('Indicator sheet_(IS)'!M105="",$A34&lt;&gt;"I.O."),"-----",IF($A34="I.O.","",'Indicator sheet_(IS)'!M105))</f>
        <v>&gt; 10%</v>
      </c>
      <c r="H34" s="308" t="str">
        <f>IF($A34="I.O.","",IF('Indicator sheet_(IS)'!O105="","-----",'Indicator sheet_(IS)'!O105))</f>
        <v>-----</v>
      </c>
      <c r="I34" s="308">
        <f>IF($A34="I.O.","",IF('Indicator sheet_(IS)'!O106="","-----",'Indicator sheet_(IS)'!O106))</f>
        <v>0</v>
      </c>
      <c r="J34" s="276" t="str">
        <f>IF($A34="I.O.","",IF('Indicator sheet_(IS)'!O107="",0,'Indicator sheet_(IS)'!O107))</f>
        <v>n.d.</v>
      </c>
      <c r="K34" s="234" t="str">
        <f>IF($A34="I.O.","",'Indicator sheet_(IS)'!P105)</f>
        <v>Incomplete</v>
      </c>
      <c r="L34" s="277" t="str">
        <f>IF(AND('Indicator sheet_(IS)'!Q105="",$A34&lt;&gt;"I.O."),"-----",IF($A34="I.O.","",'Indicator sheet_(IS)'!Q105))</f>
        <v>-----</v>
      </c>
      <c r="M34" s="277" t="str">
        <f>IF(AND('Indicator sheet_(IS)'!R105="",$A34&lt;&gt;"I.O."),"-----",IF($A34="I.O.","",'Indicator sheet_(IS)'!R105))</f>
        <v>-----</v>
      </c>
      <c r="O34" s="217" t="e">
        <f t="array" aca="1" ref="O34" ca="1">IF(ROW()-ROW($D$2:$D$34)+1&gt;ROWS($C$2:$C$34)-COUNTBLANK($C$2:$C$34),"",INDIRECT(ADDRESS(SMALL((IF($C$2:$C$34&lt;&gt;"",ROW($C$2:$C$34),ROW()+ROWS($C$2:$C$34))),ROW()-ROW($D$2:$D$34)+1),COLUMN($C$2:$C$34),4)))</f>
        <v>#REF!</v>
      </c>
      <c r="P34" s="278" t="e">
        <f t="array" aca="1" ref="P34" ca="1">IF(ROW()-ROW($E$2:$E$34)+1&gt;ROWS($D$2:$D$34)-COUNTBLANK($D$2:$D$34),"",INDIRECT(ADDRESS(SMALL((IF($D$2:$D$34&gt;"",ROW($D$2:$D$34),ROW()+ROWS($D$2:$D$34))),ROW()-ROW($E$2:$E$34)+1),COLUMN($D$2:$D$34),4)))</f>
        <v>#REF!</v>
      </c>
      <c r="Q34" s="206" t="e">
        <f t="array" aca="1" ref="Q34" ca="1">IF(ROW()-ROW($F$2:$F$34)+1&gt;ROWS($E$2:$E$34)-COUNTBLANK($E$2:$E$34),"",INDIRECT(ADDRESS(SMALL((IF($E$2:$E$34&gt;"",ROW($E$2:$E$34),ROW()+ROWS($E$2:$E$34))),ROW()-ROW($F$2:$F$34)+1),COLUMN($E$2:$E$34),4)))</f>
        <v>#REF!</v>
      </c>
      <c r="R34" s="206" t="e">
        <f t="array" aca="1" ref="R34" ca="1">IF(ROW()-ROW($G$2:$G$34)+1&gt;ROWS($F$2:$F$34)-COUNTBLANK($F$2:$F$34),"",INDIRECT(ADDRESS(SMALL((IF($F$2:$F$34&gt;"",ROW($F$2:$F$34),ROW()+ROWS($F$2:$F$34))),ROW()-ROW($G$2:$G$34)+1),COLUMN($F$2:$F$34),4)))</f>
        <v>#REF!</v>
      </c>
      <c r="S34" s="206" t="str">
        <f t="array" aca="1" ref="S34" ca="1">IF(ROW()-ROW($H$2:$H$34)+1&gt;ROWS($G$2:$G$29)-COUNTBLANK($G$2:$G$34),"",INDIRECT(ADDRESS(SMALL((IF($G$2:$G$34&lt;&gt;"",ROW($G$2:$G$34),ROW()+ROWS($G$2:$G$34))),ROW()-ROW($H$2:$H$34)+1),COLUMN($G$2:$G$34),4)))</f>
        <v/>
      </c>
      <c r="T34" s="307" t="e">
        <f t="array" aca="1" ref="T34" ca="1">IF(ROW()-ROW($I$2:$I$34)+1&gt;ROWS($H$2:$H$34)-COUNTBLANK($H$2:$H$34),"",INDIRECT(ADDRESS(SMALL((IF($H$2:$H$34&lt;&gt;"",ROW($H$2:$H$34),ROW()+ROWS($H$2:$H$34))),ROW()-ROW($I$2:$I$34)+1),COLUMN($H$2:$H$34),4)))</f>
        <v>#REF!</v>
      </c>
      <c r="U34" s="307" t="e">
        <f t="array" aca="1" ref="U34" ca="1">IF(ROW()-ROW($J$2:$J$34)+1&gt;ROWS($I$2:$I$34)-COUNTBLANK($I$2:$I$34),"",INDIRECT(ADDRESS(SMALL((IF($I$2:$I$34&lt;&gt;"",ROW($I$2:$I$34),ROW()+ROWS($I$2:$I$34))),ROW()-ROW($J$2:$J$34)+1),COLUMN($I$2:$I$34),4)))</f>
        <v>#REF!</v>
      </c>
      <c r="V34" s="279" t="e">
        <f t="array" aca="1" ref="V34" ca="1">IF(ROW()-ROW($K$2:$K$34)+1&gt;ROWS($J$2:$J$34)-COUNTBLANK($J$2:$J$34),"",INDIRECT(ADDRESS(SMALL((IF($J$2:$J$34&lt;&gt;"",ROW($J$2:$J$34),ROW()+ROWS($J$2:$J$34))),ROW()-ROW($K$2:$K$34)+1),COLUMN($J$2:$J$34),4)))</f>
        <v>#REF!</v>
      </c>
      <c r="W34" s="201" t="e">
        <f t="array" aca="1" ref="W34" ca="1">IF(ROW()-ROW($L$2:$L$34)+1&gt;ROWS($K$2:$K$34)-COUNTBLANK($K$2:$K$34),"",INDIRECT(ADDRESS(SMALL((IF($K$2:$K$34&lt;&gt;"",ROW($K$2:$K$34),ROW()+ROWS($K$2:$K$34))),ROW()-ROW($L$2:$L$34)+1),COLUMN($K$2:$K$34),4)))</f>
        <v>#REF!</v>
      </c>
      <c r="X34" s="278" t="e">
        <f t="array" aca="1" ref="X34" ca="1">IF(ROW()-ROW($M$2:$M$34)+1&gt;ROWS($L$2:$L$34)-COUNTBLANK($L$2:$L$34),"",INDIRECT(ADDRESS(SMALL((IF($L$2:$L$34&lt;&gt;"",ROW($L$2:$L$34),ROW()+ROWS($L$2:$L$34))),ROW()-ROW($M$2:$M$34)+1),COLUMN($L$2:$L$34),4)))</f>
        <v>#REF!</v>
      </c>
      <c r="Y34" s="278" t="e">
        <f t="array" aca="1" ref="Y34" ca="1">IF(ROW()-ROW($N$2:$N$34)+1&gt;ROWS($M$2:$M$34)-COUNTBLANK($M$2:$M$34),"",INDIRECT(ADDRESS(SMALL((IF($M$2:$M$34&lt;&gt;"",ROW($M$2:$M$34),ROW()+ROWS($M$2:$M$34))),ROW()-ROW($N$2:$N$34)+1),COLUMN($M$2:$M$34),4)))</f>
        <v>#REF!</v>
      </c>
    </row>
    <row r="35" spans="1:25" x14ac:dyDescent="0.45">
      <c r="V35" s="187"/>
      <c r="W35" s="187"/>
      <c r="X35" s="273"/>
      <c r="Y35" s="273"/>
    </row>
    <row r="36" spans="1:25" x14ac:dyDescent="0.45">
      <c r="V36" s="187"/>
      <c r="W36" s="187"/>
      <c r="X36" s="273"/>
      <c r="Y36" s="273"/>
    </row>
    <row r="37" spans="1:25" x14ac:dyDescent="0.45">
      <c r="V37" s="187"/>
      <c r="W37" s="187"/>
      <c r="X37" s="273"/>
      <c r="Y37" s="273"/>
    </row>
    <row r="38" spans="1:25" x14ac:dyDescent="0.45">
      <c r="V38" s="187"/>
      <c r="W38" s="187"/>
      <c r="X38" s="273"/>
      <c r="Y38" s="273"/>
    </row>
    <row r="39" spans="1:25" x14ac:dyDescent="0.45">
      <c r="V39" s="187"/>
      <c r="W39" s="187"/>
      <c r="X39" s="273"/>
      <c r="Y39" s="273"/>
    </row>
    <row r="40" spans="1:25" x14ac:dyDescent="0.45">
      <c r="V40" s="187"/>
      <c r="W40" s="187"/>
      <c r="X40" s="273"/>
      <c r="Y40" s="273"/>
    </row>
    <row r="41" spans="1:25" x14ac:dyDescent="0.45">
      <c r="V41" s="187"/>
      <c r="W41" s="187"/>
      <c r="X41" s="273"/>
      <c r="Y41" s="273"/>
    </row>
    <row r="42" spans="1:25" x14ac:dyDescent="0.45">
      <c r="V42" s="187"/>
      <c r="W42" s="187"/>
      <c r="X42" s="273"/>
      <c r="Y42" s="273"/>
    </row>
    <row r="43" spans="1:25" x14ac:dyDescent="0.45">
      <c r="V43" s="187"/>
      <c r="W43" s="187"/>
      <c r="X43" s="273"/>
      <c r="Y43" s="273"/>
    </row>
    <row r="44" spans="1:25" x14ac:dyDescent="0.45">
      <c r="V44" s="187"/>
      <c r="W44" s="187"/>
      <c r="X44" s="273"/>
      <c r="Y44" s="273"/>
    </row>
    <row r="45" spans="1:25" x14ac:dyDescent="0.45">
      <c r="V45" s="187"/>
      <c r="W45" s="187"/>
      <c r="X45" s="273"/>
      <c r="Y45" s="273"/>
    </row>
    <row r="46" spans="1:25" x14ac:dyDescent="0.45">
      <c r="V46" s="187"/>
      <c r="W46" s="187"/>
      <c r="X46" s="273"/>
      <c r="Y46" s="273"/>
    </row>
    <row r="47" spans="1:25" x14ac:dyDescent="0.45">
      <c r="V47" s="187"/>
      <c r="W47" s="187"/>
      <c r="X47" s="273"/>
      <c r="Y47" s="273"/>
    </row>
    <row r="48" spans="1:25" x14ac:dyDescent="0.45">
      <c r="V48" s="187"/>
      <c r="W48" s="187"/>
      <c r="X48" s="273"/>
      <c r="Y48" s="273"/>
    </row>
    <row r="49" spans="22:25" x14ac:dyDescent="0.45">
      <c r="V49" s="187"/>
      <c r="W49" s="187"/>
      <c r="X49" s="273"/>
      <c r="Y49" s="273"/>
    </row>
    <row r="50" spans="22:25" x14ac:dyDescent="0.45">
      <c r="V50" s="187"/>
      <c r="W50" s="187"/>
      <c r="X50" s="273"/>
      <c r="Y50" s="273"/>
    </row>
    <row r="51" spans="22:25" x14ac:dyDescent="0.45">
      <c r="V51" s="187"/>
      <c r="W51" s="187"/>
      <c r="X51" s="273"/>
      <c r="Y51" s="273"/>
    </row>
    <row r="52" spans="22:25" x14ac:dyDescent="0.45">
      <c r="V52" s="187"/>
      <c r="W52" s="187"/>
      <c r="X52" s="273"/>
      <c r="Y52" s="273"/>
    </row>
    <row r="53" spans="22:25" x14ac:dyDescent="0.45">
      <c r="V53" s="187"/>
      <c r="W53" s="187"/>
      <c r="X53" s="273"/>
      <c r="Y53" s="273"/>
    </row>
    <row r="54" spans="22:25" x14ac:dyDescent="0.45">
      <c r="V54" s="187"/>
      <c r="W54" s="187"/>
      <c r="X54" s="273"/>
      <c r="Y54" s="273"/>
    </row>
    <row r="55" spans="22:25" x14ac:dyDescent="0.45">
      <c r="V55" s="187"/>
      <c r="W55" s="187"/>
      <c r="X55" s="273"/>
      <c r="Y55" s="273"/>
    </row>
    <row r="56" spans="22:25" x14ac:dyDescent="0.45">
      <c r="V56" s="187"/>
      <c r="W56" s="187"/>
      <c r="X56" s="273"/>
      <c r="Y56" s="273"/>
    </row>
    <row r="57" spans="22:25" x14ac:dyDescent="0.45">
      <c r="V57" s="187"/>
      <c r="W57" s="187"/>
      <c r="X57" s="273"/>
      <c r="Y57" s="273"/>
    </row>
    <row r="58" spans="22:25" x14ac:dyDescent="0.45">
      <c r="V58" s="187"/>
      <c r="W58" s="187"/>
      <c r="X58" s="273"/>
      <c r="Y58" s="273"/>
    </row>
    <row r="59" spans="22:25" x14ac:dyDescent="0.45">
      <c r="V59" s="187"/>
      <c r="W59" s="187"/>
      <c r="X59" s="273"/>
      <c r="Y59" s="273"/>
    </row>
    <row r="60" spans="22:25" x14ac:dyDescent="0.45">
      <c r="V60" s="187"/>
      <c r="W60" s="187"/>
      <c r="X60" s="273"/>
      <c r="Y60" s="273"/>
    </row>
    <row r="61" spans="22:25" x14ac:dyDescent="0.45">
      <c r="V61" s="187"/>
      <c r="W61" s="187"/>
      <c r="X61" s="273"/>
      <c r="Y61" s="273"/>
    </row>
    <row r="62" spans="22:25" x14ac:dyDescent="0.45">
      <c r="V62" s="187"/>
      <c r="W62" s="187"/>
      <c r="X62" s="273"/>
      <c r="Y62" s="273"/>
    </row>
    <row r="63" spans="22:25" x14ac:dyDescent="0.45">
      <c r="V63" s="187"/>
      <c r="W63" s="187"/>
      <c r="X63" s="273"/>
      <c r="Y63" s="273"/>
    </row>
    <row r="64" spans="22:25" x14ac:dyDescent="0.45">
      <c r="V64" s="187"/>
      <c r="W64" s="187"/>
      <c r="X64" s="273"/>
      <c r="Y64" s="273"/>
    </row>
    <row r="65" spans="22:25" x14ac:dyDescent="0.45">
      <c r="V65" s="187"/>
      <c r="W65" s="187"/>
      <c r="X65" s="273"/>
      <c r="Y65" s="273"/>
    </row>
    <row r="66" spans="22:25" x14ac:dyDescent="0.45">
      <c r="V66" s="187"/>
      <c r="W66" s="187"/>
      <c r="X66" s="273"/>
      <c r="Y66" s="273"/>
    </row>
    <row r="67" spans="22:25" x14ac:dyDescent="0.45">
      <c r="V67" s="187"/>
      <c r="W67" s="187"/>
      <c r="X67" s="273"/>
      <c r="Y67" s="273"/>
    </row>
    <row r="68" spans="22:25" x14ac:dyDescent="0.45">
      <c r="V68" s="187"/>
      <c r="W68" s="187"/>
      <c r="X68" s="273"/>
      <c r="Y68" s="273"/>
    </row>
    <row r="69" spans="22:25" x14ac:dyDescent="0.45">
      <c r="V69" s="187"/>
      <c r="W69" s="187"/>
      <c r="X69" s="273"/>
      <c r="Y69" s="273"/>
    </row>
    <row r="70" spans="22:25" x14ac:dyDescent="0.45">
      <c r="V70" s="187"/>
      <c r="W70" s="187"/>
      <c r="X70" s="273"/>
      <c r="Y70" s="273"/>
    </row>
    <row r="71" spans="22:25" x14ac:dyDescent="0.45">
      <c r="V71" s="187"/>
      <c r="W71" s="187"/>
      <c r="X71" s="273"/>
      <c r="Y71" s="273"/>
    </row>
    <row r="72" spans="22:25" x14ac:dyDescent="0.45">
      <c r="V72" s="187"/>
      <c r="W72" s="187"/>
      <c r="X72" s="273"/>
      <c r="Y72" s="273"/>
    </row>
    <row r="73" spans="22:25" x14ac:dyDescent="0.45">
      <c r="V73" s="187"/>
      <c r="W73" s="187"/>
      <c r="X73" s="273"/>
      <c r="Y73" s="273"/>
    </row>
    <row r="74" spans="22:25" x14ac:dyDescent="0.45">
      <c r="V74" s="187"/>
      <c r="W74" s="187"/>
      <c r="X74" s="273"/>
      <c r="Y74" s="273"/>
    </row>
    <row r="75" spans="22:25" x14ac:dyDescent="0.45">
      <c r="V75" s="187"/>
      <c r="W75" s="187"/>
      <c r="X75" s="273"/>
      <c r="Y75" s="273"/>
    </row>
    <row r="76" spans="22:25" x14ac:dyDescent="0.45">
      <c r="V76" s="187"/>
      <c r="W76" s="187"/>
      <c r="X76" s="273"/>
      <c r="Y76" s="273"/>
    </row>
    <row r="77" spans="22:25" x14ac:dyDescent="0.45">
      <c r="V77" s="187"/>
      <c r="W77" s="187"/>
      <c r="X77" s="273"/>
      <c r="Y77" s="273"/>
    </row>
    <row r="78" spans="22:25" x14ac:dyDescent="0.45">
      <c r="V78" s="187"/>
      <c r="W78" s="187"/>
      <c r="X78" s="273"/>
      <c r="Y78" s="273"/>
    </row>
    <row r="79" spans="22:25" x14ac:dyDescent="0.45">
      <c r="V79" s="187"/>
      <c r="W79" s="187"/>
      <c r="X79" s="273"/>
      <c r="Y79" s="273"/>
    </row>
    <row r="80" spans="22:25" x14ac:dyDescent="0.45">
      <c r="V80" s="187"/>
      <c r="W80" s="187"/>
      <c r="X80" s="273"/>
      <c r="Y80" s="273"/>
    </row>
    <row r="81" spans="22:25" x14ac:dyDescent="0.45">
      <c r="V81" s="187"/>
      <c r="W81" s="187"/>
      <c r="X81" s="273"/>
      <c r="Y81" s="273"/>
    </row>
    <row r="82" spans="22:25" x14ac:dyDescent="0.45">
      <c r="V82" s="187"/>
      <c r="W82" s="187"/>
      <c r="X82" s="273"/>
      <c r="Y82" s="273"/>
    </row>
    <row r="83" spans="22:25" x14ac:dyDescent="0.45">
      <c r="V83" s="187"/>
      <c r="W83" s="187"/>
      <c r="X83" s="273"/>
      <c r="Y83" s="273"/>
    </row>
    <row r="84" spans="22:25" x14ac:dyDescent="0.45">
      <c r="V84" s="187"/>
      <c r="W84" s="187"/>
      <c r="X84" s="273"/>
      <c r="Y84" s="273"/>
    </row>
    <row r="85" spans="22:25" x14ac:dyDescent="0.45">
      <c r="V85" s="187"/>
      <c r="W85" s="187"/>
      <c r="X85" s="273"/>
      <c r="Y85" s="273"/>
    </row>
    <row r="86" spans="22:25" x14ac:dyDescent="0.45">
      <c r="V86" s="187"/>
      <c r="W86" s="187"/>
      <c r="X86" s="273"/>
      <c r="Y86" s="273"/>
    </row>
    <row r="87" spans="22:25" x14ac:dyDescent="0.45">
      <c r="V87" s="187"/>
      <c r="W87" s="187"/>
      <c r="X87" s="273"/>
      <c r="Y87" s="273"/>
    </row>
    <row r="88" spans="22:25" x14ac:dyDescent="0.45">
      <c r="V88" s="187"/>
      <c r="W88" s="187"/>
      <c r="X88" s="273"/>
      <c r="Y88" s="273"/>
    </row>
    <row r="89" spans="22:25" x14ac:dyDescent="0.45">
      <c r="V89" s="187"/>
      <c r="W89" s="187"/>
      <c r="X89" s="273"/>
      <c r="Y89" s="273"/>
    </row>
    <row r="90" spans="22:25" x14ac:dyDescent="0.45">
      <c r="V90" s="187"/>
      <c r="W90" s="187"/>
      <c r="X90" s="273"/>
      <c r="Y90" s="273"/>
    </row>
    <row r="91" spans="22:25" x14ac:dyDescent="0.45">
      <c r="V91" s="187"/>
      <c r="W91" s="187"/>
      <c r="X91" s="273"/>
      <c r="Y91" s="273"/>
    </row>
    <row r="92" spans="22:25" x14ac:dyDescent="0.45">
      <c r="V92" s="187"/>
      <c r="W92" s="187"/>
      <c r="X92" s="273"/>
      <c r="Y92" s="273"/>
    </row>
    <row r="93" spans="22:25" x14ac:dyDescent="0.45">
      <c r="V93" s="187"/>
      <c r="W93" s="187"/>
      <c r="X93" s="273"/>
      <c r="Y93" s="273"/>
    </row>
  </sheetData>
  <sheetProtection formatColumns="0" formatRows="0" selectLockedCells="1" sort="0"/>
  <phoneticPr fontId="75" type="noConversion"/>
  <conditionalFormatting sqref="K2:K29">
    <cfRule type="cellIs" dxfId="238" priority="6" operator="equal">
      <formula>"Ausnahme (Plausibilität unklar)"</formula>
    </cfRule>
    <cfRule type="cellIs" dxfId="237" priority="128" stopIfTrue="1" operator="equal">
      <formula>"Sollvorgabe nicht erfüllt"</formula>
    </cfRule>
    <cfRule type="cellIs" dxfId="236" priority="129" stopIfTrue="1" operator="equal">
      <formula>"I.O. (Plausibilität unklar)"</formula>
    </cfRule>
    <cfRule type="expression" dxfId="235" priority="130" stopIfTrue="1">
      <formula>OR(K2="Unvollständig",K2="Inkorrekt")</formula>
    </cfRule>
    <cfRule type="cellIs" dxfId="234" priority="131" stopIfTrue="1" operator="equal">
      <formula>"I.O."</formula>
    </cfRule>
  </conditionalFormatting>
  <conditionalFormatting sqref="K30:K34">
    <cfRule type="cellIs" dxfId="233" priority="1" operator="equal">
      <formula>"Ausnahme (Plausibilität unklar)"</formula>
    </cfRule>
    <cfRule type="cellIs" dxfId="232" priority="2" stopIfTrue="1" operator="equal">
      <formula>"Sollvorgabe nicht erfüllt"</formula>
    </cfRule>
    <cfRule type="cellIs" dxfId="231" priority="3" stopIfTrue="1" operator="equal">
      <formula>"I.O. (Plausibilität unklar)"</formula>
    </cfRule>
    <cfRule type="expression" dxfId="230" priority="4" stopIfTrue="1">
      <formula>OR(K30="Unvollständig",K30="Inkorrekt")</formula>
    </cfRule>
    <cfRule type="cellIs" dxfId="229" priority="5" stopIfTrue="1" operator="equal">
      <formula>"I.O."</formula>
    </cfRule>
  </conditionalFormatting>
  <dataValidations count="1">
    <dataValidation allowBlank="1" showInputMessage="1" showErrorMessage="1" promptTitle="Hinweis" prompt="Übertrag erfolgt _x000a_automatisch aus _x000a_Kennzahlenbogen" sqref="L1:M29" xr:uid="{00000000-0002-0000-07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M41"/>
  <sheetViews>
    <sheetView showGridLines="0" showRuler="0" showWhiteSpace="0" topLeftCell="A2" zoomScaleNormal="100" zoomScaleSheetLayoutView="100" workbookViewId="0">
      <selection activeCell="R14" sqref="R14"/>
    </sheetView>
  </sheetViews>
  <sheetFormatPr baseColWidth="10" defaultColWidth="9.1328125" defaultRowHeight="14.25" x14ac:dyDescent="0.45"/>
  <cols>
    <col min="1" max="1" width="4.1328125" customWidth="1"/>
    <col min="2" max="2" width="17" customWidth="1"/>
    <col min="3" max="3" width="6.59765625" customWidth="1"/>
    <col min="4" max="4" width="8.86328125" customWidth="1"/>
    <col min="5" max="5" width="6.86328125" customWidth="1"/>
    <col min="6" max="6" width="6.265625" customWidth="1"/>
    <col min="7" max="7" width="6.3984375" customWidth="1"/>
    <col min="8" max="8" width="7" customWidth="1"/>
    <col min="9" max="9" width="10" customWidth="1"/>
    <col min="10" max="11" width="31.265625" customWidth="1"/>
    <col min="12" max="12" width="5.265625" customWidth="1"/>
    <col min="13" max="13" width="14.59765625" style="76" hidden="1" customWidth="1"/>
  </cols>
  <sheetData>
    <row r="1" spans="1:13" s="8" customFormat="1" ht="25.5" hidden="1" customHeight="1" x14ac:dyDescent="0.35">
      <c r="A1" s="11"/>
      <c r="B1" s="8" t="e">
        <f ca="1">IF(M11=TRUE,"A1:K18",CONCATENATE("A1:K",MATCH(0,A:A,-1)))</f>
        <v>#REF!</v>
      </c>
      <c r="M1" s="16"/>
    </row>
    <row r="2" spans="1:13" s="8" customFormat="1" ht="21" customHeight="1" x14ac:dyDescent="0.35">
      <c r="A2" s="26" t="s">
        <v>812</v>
      </c>
      <c r="M2" s="16"/>
    </row>
    <row r="3" spans="1:13" s="8" customFormat="1" ht="16.899999999999999" x14ac:dyDescent="0.5">
      <c r="A3" s="22" t="s">
        <v>109</v>
      </c>
      <c r="K3" s="23"/>
      <c r="M3" s="16"/>
    </row>
    <row r="4" spans="1:13" s="8" customFormat="1" ht="13.9" x14ac:dyDescent="0.4">
      <c r="K4" s="23"/>
      <c r="M4" s="16"/>
    </row>
    <row r="5" spans="1:13" s="8" customFormat="1" ht="9" customHeight="1" x14ac:dyDescent="0.4">
      <c r="C5" s="15"/>
      <c r="D5" s="15"/>
      <c r="E5" s="15"/>
      <c r="F5" s="15"/>
      <c r="G5" s="15"/>
      <c r="H5" s="15"/>
      <c r="I5" s="15"/>
      <c r="J5" s="15"/>
      <c r="K5" s="23"/>
      <c r="M5" s="16"/>
    </row>
    <row r="6" spans="1:13" s="26" customFormat="1" ht="15" customHeight="1" x14ac:dyDescent="0.45">
      <c r="B6" s="29" t="s">
        <v>359</v>
      </c>
      <c r="C6" s="670" t="str">
        <f>IF('Basic data'!B8=0,"",'Basic data'!B8)</f>
        <v/>
      </c>
      <c r="D6" s="673"/>
      <c r="E6" s="673"/>
      <c r="F6" s="673"/>
      <c r="G6" s="673"/>
      <c r="H6" s="673"/>
      <c r="I6" s="673"/>
      <c r="J6" s="674"/>
      <c r="K6" s="23"/>
      <c r="M6" s="280"/>
    </row>
    <row r="7" spans="1:13" s="26" customFormat="1" ht="6.95" customHeight="1" x14ac:dyDescent="0.4">
      <c r="B7" s="10"/>
      <c r="C7" s="15"/>
      <c r="D7" s="15"/>
      <c r="E7" s="15"/>
      <c r="F7" s="15"/>
      <c r="G7" s="15"/>
      <c r="H7" s="15"/>
      <c r="I7" s="15"/>
      <c r="J7" s="15"/>
      <c r="K7" s="23"/>
      <c r="M7" s="280"/>
    </row>
    <row r="8" spans="1:13" s="26" customFormat="1" ht="15" customHeight="1" x14ac:dyDescent="0.45">
      <c r="B8" s="29" t="s">
        <v>308</v>
      </c>
      <c r="C8" s="670" t="str">
        <f>IF('Basic data'!B6=0,"",'Basic data'!B6)</f>
        <v>Not listed</v>
      </c>
      <c r="D8" s="762"/>
      <c r="E8" s="674"/>
      <c r="F8" s="23"/>
      <c r="H8" s="9" t="s">
        <v>306</v>
      </c>
      <c r="J8" s="37" t="str">
        <f>IF('Basic data'!G12=0,"",'Basic data'!G12)</f>
        <v/>
      </c>
      <c r="K8" s="23"/>
      <c r="M8" s="280"/>
    </row>
    <row r="9" spans="1:13" s="8" customFormat="1" ht="10.5" customHeight="1" x14ac:dyDescent="0.4">
      <c r="K9" s="23"/>
      <c r="M9" s="16"/>
    </row>
    <row r="10" spans="1:13" s="8" customFormat="1" ht="13.5" customHeight="1" x14ac:dyDescent="0.4">
      <c r="B10" s="327" t="e">
        <f ca="1">IF(M11=TRUE,"Kein Datendefizit vorhanden","")</f>
        <v>#REF!</v>
      </c>
      <c r="K10" s="23"/>
      <c r="M10" s="281" t="s">
        <v>152</v>
      </c>
    </row>
    <row r="11" spans="1:13" s="8" customFormat="1" ht="15.75" customHeight="1" x14ac:dyDescent="0.4">
      <c r="B11" s="270" t="e">
        <f ca="1">IF($M$11=TRUE,"","Übertragung erfolgt automatisch aus Kennzahlenbogen (Ist-Werte, Begründungen und Aktionen)")</f>
        <v>#REF!</v>
      </c>
      <c r="K11" s="23"/>
      <c r="M11" s="281" t="e">
        <f t="array" aca="1" ref="M11" ca="1">A14:K41=""</f>
        <v>#REF!</v>
      </c>
    </row>
    <row r="12" spans="1:13" ht="15.75" customHeight="1" x14ac:dyDescent="0.45">
      <c r="A12" s="763" t="e">
        <f ca="1">IF($M$11=TRUE,"","KN")</f>
        <v>#REF!</v>
      </c>
      <c r="B12" s="765" t="e">
        <f ca="1">IF($M$11=TRUE,"","Kennzahlendefinition")</f>
        <v>#REF!</v>
      </c>
      <c r="C12" s="763" t="e">
        <f ca="1">IF($M$11=TRUE,"","Vorgaben Datenqualität")</f>
        <v>#REF!</v>
      </c>
      <c r="D12" s="767"/>
      <c r="E12" s="767"/>
      <c r="F12" s="763" t="e">
        <f ca="1">IF($M$11=TRUE,"","Ist-Werte")</f>
        <v>#REF!</v>
      </c>
      <c r="G12" s="767"/>
      <c r="H12" s="767"/>
      <c r="I12" s="763" t="e">
        <f ca="1">IF($M$11=TRUE,"","Daten-qualität")</f>
        <v>#REF!</v>
      </c>
      <c r="J12" s="763" t="e">
        <f ca="1">IF($M$11=TRUE,"","Verifizierung Zentrum")</f>
        <v>#REF!</v>
      </c>
      <c r="K12" s="763"/>
    </row>
    <row r="13" spans="1:13" ht="21" customHeight="1" x14ac:dyDescent="0.45">
      <c r="A13" s="764"/>
      <c r="B13" s="766"/>
      <c r="C13" s="207" t="e">
        <f ca="1">IF($M$11=TRUE,"","Plausi unklar")</f>
        <v>#REF!</v>
      </c>
      <c r="D13" s="207" t="e">
        <f ca="1">IF($M$11=TRUE,"","Sollvorgabe")</f>
        <v>#REF!</v>
      </c>
      <c r="E13" s="207" t="e">
        <f ca="1">IF($M$11=TRUE,"","Plausi unklar")</f>
        <v>#REF!</v>
      </c>
      <c r="F13" s="207" t="e">
        <f ca="1">IF($M$11=TRUE,"","Zähler / Anzahl")</f>
        <v>#REF!</v>
      </c>
      <c r="G13" s="265" t="e">
        <f ca="1">IF($M$11=TRUE,"","Nenner")</f>
        <v>#REF!</v>
      </c>
      <c r="H13" s="265" t="e">
        <f ca="1">IF($M$11=TRUE,"","Quote")</f>
        <v>#REF!</v>
      </c>
      <c r="I13" s="764"/>
      <c r="J13" s="265" t="e">
        <f ca="1">IF($M$11=TRUE,"","Begründung / Ursache")</f>
        <v>#REF!</v>
      </c>
      <c r="K13" s="265" t="e">
        <f ca="1">IF($M$11=TRUE,"","Eingeleitete / geplante Aktionen")</f>
        <v>#REF!</v>
      </c>
    </row>
    <row r="14" spans="1:13" ht="170.1" customHeight="1" x14ac:dyDescent="0.45">
      <c r="A14" s="265" t="e">
        <f ca="1">'Hilfstabelle DatendefKB'!O2</f>
        <v>#REF!</v>
      </c>
      <c r="B14" s="266" t="e">
        <f ca="1">'Hilfstabelle DatendefKB'!P2</f>
        <v>#REF!</v>
      </c>
      <c r="C14" s="306" t="e">
        <f ca="1">'Hilfstabelle DatendefKB'!Q2</f>
        <v>#REF!</v>
      </c>
      <c r="D14" s="306" t="e">
        <f ca="1">'Hilfstabelle DatendefKB'!R2</f>
        <v>#REF!</v>
      </c>
      <c r="E14" s="306" t="e">
        <f ca="1">'Hilfstabelle DatendefKB'!S2</f>
        <v>#REF!</v>
      </c>
      <c r="F14" s="271" t="e">
        <f ca="1">'Hilfstabelle DatendefKB'!T2</f>
        <v>#REF!</v>
      </c>
      <c r="G14" s="267" t="e">
        <f ca="1">'Hilfstabelle DatendefKB'!U2</f>
        <v>#REF!</v>
      </c>
      <c r="H14" s="305" t="e">
        <f ca="1">'Hilfstabelle DatendefKB'!V2</f>
        <v>#REF!</v>
      </c>
      <c r="I14" s="268" t="e">
        <f ca="1">'Hilfstabelle DatendefKB'!W2</f>
        <v>#REF!</v>
      </c>
      <c r="J14" s="269" t="e">
        <f ca="1">'Hilfstabelle DatendefKB'!X2</f>
        <v>#REF!</v>
      </c>
      <c r="K14" s="269" t="e">
        <f ca="1">'Hilfstabelle DatendefKB'!Y2</f>
        <v>#REF!</v>
      </c>
    </row>
    <row r="15" spans="1:13" ht="170.1" customHeight="1" x14ac:dyDescent="0.45">
      <c r="A15" s="265" t="e">
        <f ca="1">'Hilfstabelle DatendefKB'!O3</f>
        <v>#REF!</v>
      </c>
      <c r="B15" s="266" t="e">
        <f ca="1">'Hilfstabelle DatendefKB'!P3</f>
        <v>#REF!</v>
      </c>
      <c r="C15" s="306" t="e">
        <f ca="1">'Hilfstabelle DatendefKB'!Q3</f>
        <v>#REF!</v>
      </c>
      <c r="D15" s="306" t="e">
        <f ca="1">'Hilfstabelle DatendefKB'!R3</f>
        <v>#REF!</v>
      </c>
      <c r="E15" s="306" t="e">
        <f ca="1">'Hilfstabelle DatendefKB'!S3</f>
        <v>#REF!</v>
      </c>
      <c r="F15" s="271" t="e">
        <f ca="1">'Hilfstabelle DatendefKB'!T3</f>
        <v>#REF!</v>
      </c>
      <c r="G15" s="267" t="e">
        <f ca="1">'Hilfstabelle DatendefKB'!U3</f>
        <v>#REF!</v>
      </c>
      <c r="H15" s="305" t="e">
        <f ca="1">'Hilfstabelle DatendefKB'!V3</f>
        <v>#REF!</v>
      </c>
      <c r="I15" s="268" t="e">
        <f ca="1">'Hilfstabelle DatendefKB'!W3</f>
        <v>#REF!</v>
      </c>
      <c r="J15" s="269" t="e">
        <f ca="1">'Hilfstabelle DatendefKB'!X3</f>
        <v>#REF!</v>
      </c>
      <c r="K15" s="269" t="e">
        <f ca="1">'Hilfstabelle DatendefKB'!Y3</f>
        <v>#REF!</v>
      </c>
    </row>
    <row r="16" spans="1:13" ht="170.1" customHeight="1" x14ac:dyDescent="0.45">
      <c r="A16" s="265" t="e">
        <f ca="1">'Hilfstabelle DatendefKB'!$O4</f>
        <v>#REF!</v>
      </c>
      <c r="B16" s="266" t="e">
        <f ca="1">'Hilfstabelle DatendefKB'!P4</f>
        <v>#REF!</v>
      </c>
      <c r="C16" s="306" t="e">
        <f ca="1">'Hilfstabelle DatendefKB'!Q4</f>
        <v>#REF!</v>
      </c>
      <c r="D16" s="306" t="e">
        <f ca="1">'Hilfstabelle DatendefKB'!R4</f>
        <v>#REF!</v>
      </c>
      <c r="E16" s="306" t="e">
        <f ca="1">'Hilfstabelle DatendefKB'!S4</f>
        <v>#REF!</v>
      </c>
      <c r="F16" s="271" t="e">
        <f ca="1">'Hilfstabelle DatendefKB'!T4</f>
        <v>#REF!</v>
      </c>
      <c r="G16" s="267" t="e">
        <f ca="1">'Hilfstabelle DatendefKB'!U4</f>
        <v>#REF!</v>
      </c>
      <c r="H16" s="305" t="e">
        <f ca="1">'Hilfstabelle DatendefKB'!V4</f>
        <v>#REF!</v>
      </c>
      <c r="I16" s="268" t="e">
        <f ca="1">'Hilfstabelle DatendefKB'!W4</f>
        <v>#REF!</v>
      </c>
      <c r="J16" s="269" t="e">
        <f ca="1">'Hilfstabelle DatendefKB'!X4</f>
        <v>#REF!</v>
      </c>
      <c r="K16" s="269" t="e">
        <f ca="1">'Hilfstabelle DatendefKB'!Y4</f>
        <v>#REF!</v>
      </c>
      <c r="M16" s="16"/>
    </row>
    <row r="17" spans="1:11" ht="170.1" customHeight="1" x14ac:dyDescent="0.45">
      <c r="A17" s="265" t="e">
        <f ca="1">'Hilfstabelle DatendefKB'!$O5</f>
        <v>#REF!</v>
      </c>
      <c r="B17" s="266" t="e">
        <f ca="1">'Hilfstabelle DatendefKB'!P5</f>
        <v>#REF!</v>
      </c>
      <c r="C17" s="306" t="e">
        <f ca="1">'Hilfstabelle DatendefKB'!Q5</f>
        <v>#REF!</v>
      </c>
      <c r="D17" s="306" t="e">
        <f ca="1">'Hilfstabelle DatendefKB'!R5</f>
        <v>#REF!</v>
      </c>
      <c r="E17" s="306" t="e">
        <f ca="1">'Hilfstabelle DatendefKB'!S5</f>
        <v>#REF!</v>
      </c>
      <c r="F17" s="271" t="e">
        <f ca="1">'Hilfstabelle DatendefKB'!T5</f>
        <v>#REF!</v>
      </c>
      <c r="G17" s="267" t="e">
        <f ca="1">'Hilfstabelle DatendefKB'!U5</f>
        <v>#REF!</v>
      </c>
      <c r="H17" s="305" t="e">
        <f ca="1">'Hilfstabelle DatendefKB'!V5</f>
        <v>#REF!</v>
      </c>
      <c r="I17" s="268" t="e">
        <f ca="1">'Hilfstabelle DatendefKB'!W5</f>
        <v>#REF!</v>
      </c>
      <c r="J17" s="269" t="e">
        <f ca="1">'Hilfstabelle DatendefKB'!X5</f>
        <v>#REF!</v>
      </c>
      <c r="K17" s="269" t="e">
        <f ca="1">'Hilfstabelle DatendefKB'!Y5</f>
        <v>#REF!</v>
      </c>
    </row>
    <row r="18" spans="1:11" ht="170.1" customHeight="1" x14ac:dyDescent="0.45">
      <c r="A18" s="265" t="e">
        <f ca="1">'Hilfstabelle DatendefKB'!$O6</f>
        <v>#REF!</v>
      </c>
      <c r="B18" s="266" t="e">
        <f ca="1">'Hilfstabelle DatendefKB'!P6</f>
        <v>#REF!</v>
      </c>
      <c r="C18" s="306" t="e">
        <f ca="1">'Hilfstabelle DatendefKB'!Q6</f>
        <v>#REF!</v>
      </c>
      <c r="D18" s="306" t="e">
        <f ca="1">'Hilfstabelle DatendefKB'!R6</f>
        <v>#REF!</v>
      </c>
      <c r="E18" s="306" t="e">
        <f ca="1">'Hilfstabelle DatendefKB'!S6</f>
        <v>#REF!</v>
      </c>
      <c r="F18" s="271" t="e">
        <f ca="1">'Hilfstabelle DatendefKB'!T6</f>
        <v>#REF!</v>
      </c>
      <c r="G18" s="267" t="e">
        <f ca="1">'Hilfstabelle DatendefKB'!U6</f>
        <v>#REF!</v>
      </c>
      <c r="H18" s="305" t="e">
        <f ca="1">'Hilfstabelle DatendefKB'!V6</f>
        <v>#REF!</v>
      </c>
      <c r="I18" s="268" t="e">
        <f ca="1">'Hilfstabelle DatendefKB'!W6</f>
        <v>#REF!</v>
      </c>
      <c r="J18" s="269" t="e">
        <f ca="1">'Hilfstabelle DatendefKB'!X6</f>
        <v>#REF!</v>
      </c>
      <c r="K18" s="269" t="e">
        <f ca="1">'Hilfstabelle DatendefKB'!Y6</f>
        <v>#REF!</v>
      </c>
    </row>
    <row r="19" spans="1:11" ht="170.1" customHeight="1" x14ac:dyDescent="0.45">
      <c r="A19" s="265" t="e">
        <f ca="1">'Hilfstabelle DatendefKB'!$O7</f>
        <v>#REF!</v>
      </c>
      <c r="B19" s="266" t="e">
        <f ca="1">'Hilfstabelle DatendefKB'!P7</f>
        <v>#REF!</v>
      </c>
      <c r="C19" s="306" t="e">
        <f ca="1">'Hilfstabelle DatendefKB'!Q7</f>
        <v>#REF!</v>
      </c>
      <c r="D19" s="306" t="e">
        <f ca="1">'Hilfstabelle DatendefKB'!R7</f>
        <v>#REF!</v>
      </c>
      <c r="E19" s="306" t="e">
        <f ca="1">'Hilfstabelle DatendefKB'!S7</f>
        <v>#REF!</v>
      </c>
      <c r="F19" s="271" t="e">
        <f ca="1">'Hilfstabelle DatendefKB'!T7</f>
        <v>#REF!</v>
      </c>
      <c r="G19" s="267" t="e">
        <f ca="1">'Hilfstabelle DatendefKB'!U7</f>
        <v>#REF!</v>
      </c>
      <c r="H19" s="305" t="e">
        <f ca="1">'Hilfstabelle DatendefKB'!V7</f>
        <v>#REF!</v>
      </c>
      <c r="I19" s="268" t="e">
        <f ca="1">'Hilfstabelle DatendefKB'!W7</f>
        <v>#REF!</v>
      </c>
      <c r="J19" s="269" t="e">
        <f ca="1">'Hilfstabelle DatendefKB'!X7</f>
        <v>#REF!</v>
      </c>
      <c r="K19" s="269" t="e">
        <f ca="1">'Hilfstabelle DatendefKB'!Y7</f>
        <v>#REF!</v>
      </c>
    </row>
    <row r="20" spans="1:11" ht="170.1" customHeight="1" x14ac:dyDescent="0.45">
      <c r="A20" s="265" t="e">
        <f ca="1">'Hilfstabelle DatendefKB'!$O8</f>
        <v>#REF!</v>
      </c>
      <c r="B20" s="266" t="e">
        <f ca="1">'Hilfstabelle DatendefKB'!P8</f>
        <v>#REF!</v>
      </c>
      <c r="C20" s="306" t="e">
        <f ca="1">'Hilfstabelle DatendefKB'!Q8</f>
        <v>#REF!</v>
      </c>
      <c r="D20" s="306" t="e">
        <f ca="1">'Hilfstabelle DatendefKB'!R8</f>
        <v>#REF!</v>
      </c>
      <c r="E20" s="306" t="e">
        <f ca="1">'Hilfstabelle DatendefKB'!S8</f>
        <v>#REF!</v>
      </c>
      <c r="F20" s="271" t="e">
        <f ca="1">'Hilfstabelle DatendefKB'!T8</f>
        <v>#REF!</v>
      </c>
      <c r="G20" s="267" t="e">
        <f ca="1">'Hilfstabelle DatendefKB'!U8</f>
        <v>#REF!</v>
      </c>
      <c r="H20" s="305" t="e">
        <f ca="1">'Hilfstabelle DatendefKB'!V8</f>
        <v>#REF!</v>
      </c>
      <c r="I20" s="268" t="e">
        <f ca="1">'Hilfstabelle DatendefKB'!W8</f>
        <v>#REF!</v>
      </c>
      <c r="J20" s="269" t="e">
        <f ca="1">'Hilfstabelle DatendefKB'!X8</f>
        <v>#REF!</v>
      </c>
      <c r="K20" s="269" t="e">
        <f ca="1">'Hilfstabelle DatendefKB'!Y8</f>
        <v>#REF!</v>
      </c>
    </row>
    <row r="21" spans="1:11" ht="170.1" customHeight="1" x14ac:dyDescent="0.45">
      <c r="A21" s="265" t="e">
        <f ca="1">'Hilfstabelle DatendefKB'!$O9</f>
        <v>#REF!</v>
      </c>
      <c r="B21" s="266" t="e">
        <f ca="1">'Hilfstabelle DatendefKB'!P9</f>
        <v>#REF!</v>
      </c>
      <c r="C21" s="306" t="e">
        <f ca="1">'Hilfstabelle DatendefKB'!Q9</f>
        <v>#REF!</v>
      </c>
      <c r="D21" s="306" t="e">
        <f ca="1">'Hilfstabelle DatendefKB'!R9</f>
        <v>#REF!</v>
      </c>
      <c r="E21" s="306" t="e">
        <f ca="1">'Hilfstabelle DatendefKB'!S9</f>
        <v>#REF!</v>
      </c>
      <c r="F21" s="271" t="e">
        <f ca="1">'Hilfstabelle DatendefKB'!T9</f>
        <v>#REF!</v>
      </c>
      <c r="G21" s="267" t="e">
        <f ca="1">'Hilfstabelle DatendefKB'!U9</f>
        <v>#REF!</v>
      </c>
      <c r="H21" s="305" t="e">
        <f ca="1">'Hilfstabelle DatendefKB'!V9</f>
        <v>#REF!</v>
      </c>
      <c r="I21" s="268" t="e">
        <f ca="1">'Hilfstabelle DatendefKB'!W9</f>
        <v>#REF!</v>
      </c>
      <c r="J21" s="269" t="e">
        <f ca="1">'Hilfstabelle DatendefKB'!X9</f>
        <v>#REF!</v>
      </c>
      <c r="K21" s="269" t="e">
        <f ca="1">'Hilfstabelle DatendefKB'!Y9</f>
        <v>#REF!</v>
      </c>
    </row>
    <row r="22" spans="1:11" ht="170.1" customHeight="1" x14ac:dyDescent="0.45">
      <c r="A22" s="265" t="e">
        <f ca="1">'Hilfstabelle DatendefKB'!$O10</f>
        <v>#REF!</v>
      </c>
      <c r="B22" s="266" t="e">
        <f ca="1">'Hilfstabelle DatendefKB'!P10</f>
        <v>#REF!</v>
      </c>
      <c r="C22" s="306" t="e">
        <f ca="1">'Hilfstabelle DatendefKB'!Q10</f>
        <v>#REF!</v>
      </c>
      <c r="D22" s="306" t="e">
        <f ca="1">'Hilfstabelle DatendefKB'!R10</f>
        <v>#REF!</v>
      </c>
      <c r="E22" s="306" t="e">
        <f ca="1">'Hilfstabelle DatendefKB'!S10</f>
        <v>#REF!</v>
      </c>
      <c r="F22" s="271" t="e">
        <f ca="1">'Hilfstabelle DatendefKB'!T10</f>
        <v>#REF!</v>
      </c>
      <c r="G22" s="267" t="e">
        <f ca="1">'Hilfstabelle DatendefKB'!U10</f>
        <v>#REF!</v>
      </c>
      <c r="H22" s="305" t="e">
        <f ca="1">'Hilfstabelle DatendefKB'!V10</f>
        <v>#REF!</v>
      </c>
      <c r="I22" s="268" t="e">
        <f ca="1">'Hilfstabelle DatendefKB'!W10</f>
        <v>#REF!</v>
      </c>
      <c r="J22" s="269" t="e">
        <f ca="1">'Hilfstabelle DatendefKB'!X10</f>
        <v>#REF!</v>
      </c>
      <c r="K22" s="269" t="e">
        <f ca="1">'Hilfstabelle DatendefKB'!Y10</f>
        <v>#REF!</v>
      </c>
    </row>
    <row r="23" spans="1:11" ht="170.1" customHeight="1" x14ac:dyDescent="0.45">
      <c r="A23" s="265" t="e">
        <f ca="1">'Hilfstabelle DatendefKB'!$O11</f>
        <v>#REF!</v>
      </c>
      <c r="B23" s="266" t="e">
        <f ca="1">'Hilfstabelle DatendefKB'!P11</f>
        <v>#REF!</v>
      </c>
      <c r="C23" s="306" t="e">
        <f ca="1">'Hilfstabelle DatendefKB'!Q11</f>
        <v>#REF!</v>
      </c>
      <c r="D23" s="306" t="e">
        <f ca="1">'Hilfstabelle DatendefKB'!R11</f>
        <v>#REF!</v>
      </c>
      <c r="E23" s="306" t="e">
        <f ca="1">'Hilfstabelle DatendefKB'!S11</f>
        <v>#REF!</v>
      </c>
      <c r="F23" s="271" t="e">
        <f ca="1">'Hilfstabelle DatendefKB'!T11</f>
        <v>#REF!</v>
      </c>
      <c r="G23" s="267" t="e">
        <f ca="1">'Hilfstabelle DatendefKB'!U11</f>
        <v>#REF!</v>
      </c>
      <c r="H23" s="305" t="e">
        <f ca="1">'Hilfstabelle DatendefKB'!V11</f>
        <v>#REF!</v>
      </c>
      <c r="I23" s="268" t="e">
        <f ca="1">'Hilfstabelle DatendefKB'!W11</f>
        <v>#REF!</v>
      </c>
      <c r="J23" s="269" t="e">
        <f ca="1">'Hilfstabelle DatendefKB'!X11</f>
        <v>#REF!</v>
      </c>
      <c r="K23" s="269" t="e">
        <f ca="1">'Hilfstabelle DatendefKB'!Y11</f>
        <v>#REF!</v>
      </c>
    </row>
    <row r="24" spans="1:11" ht="170.1" customHeight="1" x14ac:dyDescent="0.45">
      <c r="A24" s="265" t="e">
        <f ca="1">'Hilfstabelle DatendefKB'!$O12</f>
        <v>#REF!</v>
      </c>
      <c r="B24" s="266" t="e">
        <f ca="1">'Hilfstabelle DatendefKB'!P12</f>
        <v>#REF!</v>
      </c>
      <c r="C24" s="306" t="e">
        <f ca="1">'Hilfstabelle DatendefKB'!Q12</f>
        <v>#REF!</v>
      </c>
      <c r="D24" s="306" t="e">
        <f ca="1">'Hilfstabelle DatendefKB'!R12</f>
        <v>#REF!</v>
      </c>
      <c r="E24" s="306" t="e">
        <f ca="1">'Hilfstabelle DatendefKB'!S12</f>
        <v>#REF!</v>
      </c>
      <c r="F24" s="271" t="e">
        <f ca="1">'Hilfstabelle DatendefKB'!T12</f>
        <v>#REF!</v>
      </c>
      <c r="G24" s="267" t="e">
        <f ca="1">'Hilfstabelle DatendefKB'!U12</f>
        <v>#REF!</v>
      </c>
      <c r="H24" s="305" t="e">
        <f ca="1">'Hilfstabelle DatendefKB'!V12</f>
        <v>#REF!</v>
      </c>
      <c r="I24" s="268" t="e">
        <f ca="1">'Hilfstabelle DatendefKB'!W12</f>
        <v>#REF!</v>
      </c>
      <c r="J24" s="269" t="e">
        <f ca="1">'Hilfstabelle DatendefKB'!X12</f>
        <v>#REF!</v>
      </c>
      <c r="K24" s="269" t="e">
        <f ca="1">'Hilfstabelle DatendefKB'!Y12</f>
        <v>#REF!</v>
      </c>
    </row>
    <row r="25" spans="1:11" ht="170.1" customHeight="1" x14ac:dyDescent="0.45">
      <c r="A25" s="265" t="e">
        <f ca="1">'Hilfstabelle DatendefKB'!$O13</f>
        <v>#REF!</v>
      </c>
      <c r="B25" s="266" t="e">
        <f ca="1">'Hilfstabelle DatendefKB'!P13</f>
        <v>#REF!</v>
      </c>
      <c r="C25" s="306" t="e">
        <f ca="1">'Hilfstabelle DatendefKB'!Q13</f>
        <v>#REF!</v>
      </c>
      <c r="D25" s="306" t="e">
        <f ca="1">'Hilfstabelle DatendefKB'!R13</f>
        <v>#REF!</v>
      </c>
      <c r="E25" s="306" t="e">
        <f ca="1">'Hilfstabelle DatendefKB'!S13</f>
        <v>#REF!</v>
      </c>
      <c r="F25" s="271" t="e">
        <f ca="1">'Hilfstabelle DatendefKB'!T13</f>
        <v>#REF!</v>
      </c>
      <c r="G25" s="267" t="e">
        <f ca="1">'Hilfstabelle DatendefKB'!U13</f>
        <v>#REF!</v>
      </c>
      <c r="H25" s="305" t="e">
        <f ca="1">'Hilfstabelle DatendefKB'!V13</f>
        <v>#REF!</v>
      </c>
      <c r="I25" s="268" t="e">
        <f ca="1">'Hilfstabelle DatendefKB'!W13</f>
        <v>#REF!</v>
      </c>
      <c r="J25" s="269" t="e">
        <f ca="1">'Hilfstabelle DatendefKB'!X13</f>
        <v>#REF!</v>
      </c>
      <c r="K25" s="269" t="e">
        <f ca="1">'Hilfstabelle DatendefKB'!Y13</f>
        <v>#REF!</v>
      </c>
    </row>
    <row r="26" spans="1:11" ht="170.1" customHeight="1" x14ac:dyDescent="0.45">
      <c r="A26" s="265" t="e">
        <f ca="1">'Hilfstabelle DatendefKB'!$O14</f>
        <v>#REF!</v>
      </c>
      <c r="B26" s="266" t="e">
        <f ca="1">'Hilfstabelle DatendefKB'!P14</f>
        <v>#REF!</v>
      </c>
      <c r="C26" s="306" t="e">
        <f ca="1">'Hilfstabelle DatendefKB'!Q14</f>
        <v>#REF!</v>
      </c>
      <c r="D26" s="306" t="e">
        <f ca="1">'Hilfstabelle DatendefKB'!R14</f>
        <v>#REF!</v>
      </c>
      <c r="E26" s="306" t="e">
        <f ca="1">'Hilfstabelle DatendefKB'!S14</f>
        <v>#REF!</v>
      </c>
      <c r="F26" s="271" t="e">
        <f ca="1">'Hilfstabelle DatendefKB'!T14</f>
        <v>#REF!</v>
      </c>
      <c r="G26" s="267" t="e">
        <f ca="1">'Hilfstabelle DatendefKB'!U14</f>
        <v>#REF!</v>
      </c>
      <c r="H26" s="305" t="e">
        <f ca="1">'Hilfstabelle DatendefKB'!V14</f>
        <v>#REF!</v>
      </c>
      <c r="I26" s="268" t="e">
        <f ca="1">'Hilfstabelle DatendefKB'!W14</f>
        <v>#REF!</v>
      </c>
      <c r="J26" s="269" t="e">
        <f ca="1">'Hilfstabelle DatendefKB'!X14</f>
        <v>#REF!</v>
      </c>
      <c r="K26" s="269" t="e">
        <f ca="1">'Hilfstabelle DatendefKB'!Y14</f>
        <v>#REF!</v>
      </c>
    </row>
    <row r="27" spans="1:11" ht="170.1" customHeight="1" x14ac:dyDescent="0.45">
      <c r="A27" s="265" t="e">
        <f ca="1">'Hilfstabelle DatendefKB'!$O15</f>
        <v>#REF!</v>
      </c>
      <c r="B27" s="266" t="e">
        <f ca="1">'Hilfstabelle DatendefKB'!P15</f>
        <v>#REF!</v>
      </c>
      <c r="C27" s="306" t="e">
        <f ca="1">'Hilfstabelle DatendefKB'!Q15</f>
        <v>#REF!</v>
      </c>
      <c r="D27" s="306" t="e">
        <f ca="1">'Hilfstabelle DatendefKB'!R15</f>
        <v>#REF!</v>
      </c>
      <c r="E27" s="306" t="e">
        <f ca="1">'Hilfstabelle DatendefKB'!S15</f>
        <v>#REF!</v>
      </c>
      <c r="F27" s="271" t="e">
        <f ca="1">'Hilfstabelle DatendefKB'!T15</f>
        <v>#REF!</v>
      </c>
      <c r="G27" s="267" t="e">
        <f ca="1">'Hilfstabelle DatendefKB'!U15</f>
        <v>#REF!</v>
      </c>
      <c r="H27" s="305" t="e">
        <f ca="1">'Hilfstabelle DatendefKB'!V15</f>
        <v>#REF!</v>
      </c>
      <c r="I27" s="268" t="e">
        <f ca="1">'Hilfstabelle DatendefKB'!W15</f>
        <v>#REF!</v>
      </c>
      <c r="J27" s="269" t="e">
        <f ca="1">'Hilfstabelle DatendefKB'!X15</f>
        <v>#REF!</v>
      </c>
      <c r="K27" s="269" t="e">
        <f ca="1">'Hilfstabelle DatendefKB'!Y15</f>
        <v>#REF!</v>
      </c>
    </row>
    <row r="28" spans="1:11" ht="170.1" customHeight="1" x14ac:dyDescent="0.45">
      <c r="A28" s="265" t="e">
        <f ca="1">'Hilfstabelle DatendefKB'!$O16</f>
        <v>#REF!</v>
      </c>
      <c r="B28" s="266" t="e">
        <f ca="1">'Hilfstabelle DatendefKB'!P16</f>
        <v>#REF!</v>
      </c>
      <c r="C28" s="306" t="e">
        <f ca="1">'Hilfstabelle DatendefKB'!Q16</f>
        <v>#REF!</v>
      </c>
      <c r="D28" s="306" t="e">
        <f ca="1">'Hilfstabelle DatendefKB'!R16</f>
        <v>#REF!</v>
      </c>
      <c r="E28" s="306" t="e">
        <f ca="1">'Hilfstabelle DatendefKB'!S16</f>
        <v>#REF!</v>
      </c>
      <c r="F28" s="271" t="e">
        <f ca="1">'Hilfstabelle DatendefKB'!T16</f>
        <v>#REF!</v>
      </c>
      <c r="G28" s="267" t="e">
        <f ca="1">'Hilfstabelle DatendefKB'!U16</f>
        <v>#REF!</v>
      </c>
      <c r="H28" s="305" t="e">
        <f ca="1">'Hilfstabelle DatendefKB'!V16</f>
        <v>#REF!</v>
      </c>
      <c r="I28" s="268" t="e">
        <f ca="1">'Hilfstabelle DatendefKB'!W16</f>
        <v>#REF!</v>
      </c>
      <c r="J28" s="269" t="e">
        <f ca="1">'Hilfstabelle DatendefKB'!X16</f>
        <v>#REF!</v>
      </c>
      <c r="K28" s="269" t="e">
        <f ca="1">'Hilfstabelle DatendefKB'!Y16</f>
        <v>#REF!</v>
      </c>
    </row>
    <row r="29" spans="1:11" ht="170.1" customHeight="1" x14ac:dyDescent="0.45">
      <c r="A29" s="265" t="e">
        <f ca="1">'Hilfstabelle DatendefKB'!$O17</f>
        <v>#REF!</v>
      </c>
      <c r="B29" s="266" t="e">
        <f ca="1">'Hilfstabelle DatendefKB'!P17</f>
        <v>#REF!</v>
      </c>
      <c r="C29" s="306" t="e">
        <f ca="1">'Hilfstabelle DatendefKB'!Q17</f>
        <v>#REF!</v>
      </c>
      <c r="D29" s="306" t="e">
        <f ca="1">'Hilfstabelle DatendefKB'!R17</f>
        <v>#REF!</v>
      </c>
      <c r="E29" s="306" t="e">
        <f ca="1">'Hilfstabelle DatendefKB'!S17</f>
        <v>#REF!</v>
      </c>
      <c r="F29" s="271" t="e">
        <f ca="1">'Hilfstabelle DatendefKB'!T17</f>
        <v>#REF!</v>
      </c>
      <c r="G29" s="267" t="e">
        <f ca="1">'Hilfstabelle DatendefKB'!U17</f>
        <v>#REF!</v>
      </c>
      <c r="H29" s="305" t="e">
        <f ca="1">'Hilfstabelle DatendefKB'!V17</f>
        <v>#REF!</v>
      </c>
      <c r="I29" s="268" t="e">
        <f ca="1">'Hilfstabelle DatendefKB'!W17</f>
        <v>#REF!</v>
      </c>
      <c r="J29" s="269" t="e">
        <f ca="1">'Hilfstabelle DatendefKB'!X17</f>
        <v>#REF!</v>
      </c>
      <c r="K29" s="269" t="e">
        <f ca="1">'Hilfstabelle DatendefKB'!Y17</f>
        <v>#REF!</v>
      </c>
    </row>
    <row r="30" spans="1:11" ht="170.1" customHeight="1" x14ac:dyDescent="0.45">
      <c r="A30" s="265" t="e">
        <f ca="1">'Hilfstabelle DatendefKB'!$O18</f>
        <v>#REF!</v>
      </c>
      <c r="B30" s="266" t="e">
        <f ca="1">'Hilfstabelle DatendefKB'!P18</f>
        <v>#REF!</v>
      </c>
      <c r="C30" s="306" t="e">
        <f ca="1">'Hilfstabelle DatendefKB'!Q18</f>
        <v>#REF!</v>
      </c>
      <c r="D30" s="306" t="e">
        <f ca="1">'Hilfstabelle DatendefKB'!R18</f>
        <v>#REF!</v>
      </c>
      <c r="E30" s="306" t="e">
        <f ca="1">'Hilfstabelle DatendefKB'!S18</f>
        <v>#REF!</v>
      </c>
      <c r="F30" s="271" t="e">
        <f ca="1">'Hilfstabelle DatendefKB'!T18</f>
        <v>#REF!</v>
      </c>
      <c r="G30" s="267" t="e">
        <f ca="1">'Hilfstabelle DatendefKB'!U18</f>
        <v>#REF!</v>
      </c>
      <c r="H30" s="305" t="e">
        <f ca="1">'Hilfstabelle DatendefKB'!V18</f>
        <v>#REF!</v>
      </c>
      <c r="I30" s="268" t="e">
        <f ca="1">'Hilfstabelle DatendefKB'!W18</f>
        <v>#REF!</v>
      </c>
      <c r="J30" s="269" t="e">
        <f ca="1">'Hilfstabelle DatendefKB'!X18</f>
        <v>#REF!</v>
      </c>
      <c r="K30" s="269" t="e">
        <f ca="1">'Hilfstabelle DatendefKB'!Y18</f>
        <v>#REF!</v>
      </c>
    </row>
    <row r="31" spans="1:11" ht="170.1" customHeight="1" x14ac:dyDescent="0.45">
      <c r="A31" s="265" t="e">
        <f ca="1">'Hilfstabelle DatendefKB'!$O19</f>
        <v>#REF!</v>
      </c>
      <c r="B31" s="266" t="e">
        <f ca="1">'Hilfstabelle DatendefKB'!P19</f>
        <v>#REF!</v>
      </c>
      <c r="C31" s="306" t="e">
        <f ca="1">'Hilfstabelle DatendefKB'!Q19</f>
        <v>#REF!</v>
      </c>
      <c r="D31" s="306" t="e">
        <f ca="1">'Hilfstabelle DatendefKB'!R19</f>
        <v>#REF!</v>
      </c>
      <c r="E31" s="306" t="e">
        <f ca="1">'Hilfstabelle DatendefKB'!S19</f>
        <v>#REF!</v>
      </c>
      <c r="F31" s="271" t="e">
        <f ca="1">'Hilfstabelle DatendefKB'!T19</f>
        <v>#REF!</v>
      </c>
      <c r="G31" s="267" t="e">
        <f ca="1">'Hilfstabelle DatendefKB'!U19</f>
        <v>#REF!</v>
      </c>
      <c r="H31" s="305" t="e">
        <f ca="1">'Hilfstabelle DatendefKB'!V19</f>
        <v>#REF!</v>
      </c>
      <c r="I31" s="268" t="e">
        <f ca="1">'Hilfstabelle DatendefKB'!W19</f>
        <v>#REF!</v>
      </c>
      <c r="J31" s="269" t="e">
        <f ca="1">'Hilfstabelle DatendefKB'!X19</f>
        <v>#REF!</v>
      </c>
      <c r="K31" s="269" t="e">
        <f ca="1">'Hilfstabelle DatendefKB'!Y19</f>
        <v>#REF!</v>
      </c>
    </row>
    <row r="32" spans="1:11" ht="170.1" customHeight="1" x14ac:dyDescent="0.45">
      <c r="A32" s="265" t="e">
        <f ca="1">'Hilfstabelle DatendefKB'!$O20</f>
        <v>#REF!</v>
      </c>
      <c r="B32" s="266" t="e">
        <f ca="1">'Hilfstabelle DatendefKB'!P20</f>
        <v>#REF!</v>
      </c>
      <c r="C32" s="306" t="e">
        <f ca="1">'Hilfstabelle DatendefKB'!Q20</f>
        <v>#REF!</v>
      </c>
      <c r="D32" s="306" t="e">
        <f ca="1">'Hilfstabelle DatendefKB'!R20</f>
        <v>#REF!</v>
      </c>
      <c r="E32" s="306" t="e">
        <f ca="1">'Hilfstabelle DatendefKB'!S20</f>
        <v>#REF!</v>
      </c>
      <c r="F32" s="271" t="e">
        <f ca="1">'Hilfstabelle DatendefKB'!T20</f>
        <v>#REF!</v>
      </c>
      <c r="G32" s="267" t="e">
        <f ca="1">'Hilfstabelle DatendefKB'!U20</f>
        <v>#REF!</v>
      </c>
      <c r="H32" s="305" t="e">
        <f ca="1">'Hilfstabelle DatendefKB'!V20</f>
        <v>#REF!</v>
      </c>
      <c r="I32" s="268" t="e">
        <f ca="1">'Hilfstabelle DatendefKB'!W20</f>
        <v>#REF!</v>
      </c>
      <c r="J32" s="269" t="e">
        <f ca="1">'Hilfstabelle DatendefKB'!X20</f>
        <v>#REF!</v>
      </c>
      <c r="K32" s="269" t="e">
        <f ca="1">'Hilfstabelle DatendefKB'!Y20</f>
        <v>#REF!</v>
      </c>
    </row>
    <row r="33" spans="1:11" ht="170.1" customHeight="1" x14ac:dyDescent="0.45">
      <c r="A33" s="265" t="e">
        <f ca="1">'Hilfstabelle DatendefKB'!$O21</f>
        <v>#REF!</v>
      </c>
      <c r="B33" s="266" t="e">
        <f ca="1">'Hilfstabelle DatendefKB'!P21</f>
        <v>#REF!</v>
      </c>
      <c r="C33" s="306" t="e">
        <f ca="1">'Hilfstabelle DatendefKB'!Q21</f>
        <v>#REF!</v>
      </c>
      <c r="D33" s="306" t="e">
        <f ca="1">'Hilfstabelle DatendefKB'!R21</f>
        <v>#REF!</v>
      </c>
      <c r="E33" s="306" t="e">
        <f ca="1">'Hilfstabelle DatendefKB'!S21</f>
        <v>#REF!</v>
      </c>
      <c r="F33" s="271" t="e">
        <f ca="1">'Hilfstabelle DatendefKB'!T21</f>
        <v>#REF!</v>
      </c>
      <c r="G33" s="267" t="e">
        <f ca="1">'Hilfstabelle DatendefKB'!U21</f>
        <v>#REF!</v>
      </c>
      <c r="H33" s="305" t="e">
        <f ca="1">'Hilfstabelle DatendefKB'!V21</f>
        <v>#REF!</v>
      </c>
      <c r="I33" s="268" t="e">
        <f ca="1">'Hilfstabelle DatendefKB'!W21</f>
        <v>#REF!</v>
      </c>
      <c r="J33" s="269" t="e">
        <f ca="1">'Hilfstabelle DatendefKB'!X21</f>
        <v>#REF!</v>
      </c>
      <c r="K33" s="269" t="e">
        <f ca="1">'Hilfstabelle DatendefKB'!Y21</f>
        <v>#REF!</v>
      </c>
    </row>
    <row r="34" spans="1:11" ht="170.1" customHeight="1" x14ac:dyDescent="0.45">
      <c r="A34" s="265" t="e">
        <f ca="1">'Hilfstabelle DatendefKB'!$O22</f>
        <v>#REF!</v>
      </c>
      <c r="B34" s="266" t="e">
        <f ca="1">'Hilfstabelle DatendefKB'!P22</f>
        <v>#REF!</v>
      </c>
      <c r="C34" s="306" t="e">
        <f ca="1">'Hilfstabelle DatendefKB'!Q22</f>
        <v>#REF!</v>
      </c>
      <c r="D34" s="306" t="e">
        <f ca="1">'Hilfstabelle DatendefKB'!R22</f>
        <v>#REF!</v>
      </c>
      <c r="E34" s="306" t="e">
        <f ca="1">'Hilfstabelle DatendefKB'!S22</f>
        <v>#REF!</v>
      </c>
      <c r="F34" s="271" t="e">
        <f ca="1">'Hilfstabelle DatendefKB'!T22</f>
        <v>#REF!</v>
      </c>
      <c r="G34" s="267" t="e">
        <f ca="1">'Hilfstabelle DatendefKB'!U22</f>
        <v>#REF!</v>
      </c>
      <c r="H34" s="305" t="e">
        <f ca="1">'Hilfstabelle DatendefKB'!V22</f>
        <v>#REF!</v>
      </c>
      <c r="I34" s="268" t="e">
        <f ca="1">'Hilfstabelle DatendefKB'!W22</f>
        <v>#REF!</v>
      </c>
      <c r="J34" s="269" t="e">
        <f ca="1">'Hilfstabelle DatendefKB'!X22</f>
        <v>#REF!</v>
      </c>
      <c r="K34" s="269" t="e">
        <f ca="1">'Hilfstabelle DatendefKB'!Y22</f>
        <v>#REF!</v>
      </c>
    </row>
    <row r="35" spans="1:11" ht="170.1" customHeight="1" x14ac:dyDescent="0.45">
      <c r="A35" s="265" t="e">
        <f ca="1">'Hilfstabelle DatendefKB'!$O23</f>
        <v>#REF!</v>
      </c>
      <c r="B35" s="266" t="e">
        <f ca="1">'Hilfstabelle DatendefKB'!P23</f>
        <v>#REF!</v>
      </c>
      <c r="C35" s="306" t="e">
        <f ca="1">'Hilfstabelle DatendefKB'!Q23</f>
        <v>#REF!</v>
      </c>
      <c r="D35" s="306" t="e">
        <f ca="1">'Hilfstabelle DatendefKB'!R23</f>
        <v>#REF!</v>
      </c>
      <c r="E35" s="306" t="e">
        <f ca="1">'Hilfstabelle DatendefKB'!S23</f>
        <v>#REF!</v>
      </c>
      <c r="F35" s="271" t="e">
        <f ca="1">'Hilfstabelle DatendefKB'!T23</f>
        <v>#REF!</v>
      </c>
      <c r="G35" s="267" t="e">
        <f ca="1">'Hilfstabelle DatendefKB'!U23</f>
        <v>#REF!</v>
      </c>
      <c r="H35" s="305" t="e">
        <f ca="1">'Hilfstabelle DatendefKB'!V23</f>
        <v>#REF!</v>
      </c>
      <c r="I35" s="268" t="e">
        <f ca="1">'Hilfstabelle DatendefKB'!W23</f>
        <v>#REF!</v>
      </c>
      <c r="J35" s="269" t="e">
        <f ca="1">'Hilfstabelle DatendefKB'!X23</f>
        <v>#REF!</v>
      </c>
      <c r="K35" s="269" t="e">
        <f ca="1">'Hilfstabelle DatendefKB'!Y23</f>
        <v>#REF!</v>
      </c>
    </row>
    <row r="36" spans="1:11" ht="170.1" customHeight="1" x14ac:dyDescent="0.45">
      <c r="A36" s="265" t="e">
        <f ca="1">'Hilfstabelle DatendefKB'!$O24</f>
        <v>#REF!</v>
      </c>
      <c r="B36" s="266" t="e">
        <f ca="1">'Hilfstabelle DatendefKB'!P24</f>
        <v>#REF!</v>
      </c>
      <c r="C36" s="306" t="e">
        <f ca="1">'Hilfstabelle DatendefKB'!Q24</f>
        <v>#REF!</v>
      </c>
      <c r="D36" s="306" t="e">
        <f ca="1">'Hilfstabelle DatendefKB'!R24</f>
        <v>#REF!</v>
      </c>
      <c r="E36" s="306" t="e">
        <f ca="1">'Hilfstabelle DatendefKB'!S24</f>
        <v>#REF!</v>
      </c>
      <c r="F36" s="271" t="e">
        <f ca="1">'Hilfstabelle DatendefKB'!T24</f>
        <v>#REF!</v>
      </c>
      <c r="G36" s="267" t="e">
        <f ca="1">'Hilfstabelle DatendefKB'!U24</f>
        <v>#REF!</v>
      </c>
      <c r="H36" s="305" t="e">
        <f ca="1">'Hilfstabelle DatendefKB'!V24</f>
        <v>#REF!</v>
      </c>
      <c r="I36" s="467" t="e">
        <f ca="1">'Hilfstabelle DatendefKB'!W24</f>
        <v>#REF!</v>
      </c>
      <c r="J36" s="269" t="e">
        <f ca="1">'Hilfstabelle DatendefKB'!X24</f>
        <v>#REF!</v>
      </c>
      <c r="K36" s="269" t="e">
        <f ca="1">'Hilfstabelle DatendefKB'!Y24</f>
        <v>#REF!</v>
      </c>
    </row>
    <row r="37" spans="1:11" ht="170.1" customHeight="1" x14ac:dyDescent="0.45">
      <c r="A37" s="265" t="e">
        <f ca="1">'Hilfstabelle DatendefKB'!$O25</f>
        <v>#REF!</v>
      </c>
      <c r="B37" s="266" t="e">
        <f ca="1">'Hilfstabelle DatendefKB'!P25</f>
        <v>#REF!</v>
      </c>
      <c r="C37" s="306" t="e">
        <f ca="1">'Hilfstabelle DatendefKB'!Q25</f>
        <v>#REF!</v>
      </c>
      <c r="D37" s="306" t="e">
        <f ca="1">'Hilfstabelle DatendefKB'!R25</f>
        <v>#REF!</v>
      </c>
      <c r="E37" s="306" t="e">
        <f ca="1">'Hilfstabelle DatendefKB'!S25</f>
        <v>#REF!</v>
      </c>
      <c r="F37" s="271" t="e">
        <f ca="1">'Hilfstabelle DatendefKB'!T25</f>
        <v>#REF!</v>
      </c>
      <c r="G37" s="267" t="e">
        <f ca="1">'Hilfstabelle DatendefKB'!U25</f>
        <v>#REF!</v>
      </c>
      <c r="H37" s="305" t="e">
        <f ca="1">'Hilfstabelle DatendefKB'!V25</f>
        <v>#REF!</v>
      </c>
      <c r="I37" s="268" t="e">
        <f ca="1">'Hilfstabelle DatendefKB'!W25</f>
        <v>#REF!</v>
      </c>
      <c r="J37" s="269" t="e">
        <f ca="1">'Hilfstabelle DatendefKB'!X25</f>
        <v>#REF!</v>
      </c>
      <c r="K37" s="269" t="e">
        <f ca="1">'Hilfstabelle DatendefKB'!Y25</f>
        <v>#REF!</v>
      </c>
    </row>
    <row r="38" spans="1:11" ht="170.1" customHeight="1" x14ac:dyDescent="0.45">
      <c r="A38" s="265" t="e">
        <f ca="1">'Hilfstabelle DatendefKB'!$O26</f>
        <v>#REF!</v>
      </c>
      <c r="B38" s="266" t="e">
        <f ca="1">'Hilfstabelle DatendefKB'!P26</f>
        <v>#REF!</v>
      </c>
      <c r="C38" s="306" t="e">
        <f ca="1">'Hilfstabelle DatendefKB'!Q26</f>
        <v>#REF!</v>
      </c>
      <c r="D38" s="306" t="e">
        <f ca="1">'Hilfstabelle DatendefKB'!R26</f>
        <v>#REF!</v>
      </c>
      <c r="E38" s="306" t="e">
        <f ca="1">'Hilfstabelle DatendefKB'!S26</f>
        <v>#REF!</v>
      </c>
      <c r="F38" s="271" t="e">
        <f ca="1">'Hilfstabelle DatendefKB'!T26</f>
        <v>#REF!</v>
      </c>
      <c r="G38" s="267" t="e">
        <f ca="1">'Hilfstabelle DatendefKB'!U26</f>
        <v>#REF!</v>
      </c>
      <c r="H38" s="305" t="e">
        <f ca="1">'Hilfstabelle DatendefKB'!V26</f>
        <v>#REF!</v>
      </c>
      <c r="I38" s="268" t="e">
        <f ca="1">'Hilfstabelle DatendefKB'!W26</f>
        <v>#REF!</v>
      </c>
      <c r="J38" s="269" t="e">
        <f ca="1">'Hilfstabelle DatendefKB'!X26</f>
        <v>#REF!</v>
      </c>
      <c r="K38" s="269" t="e">
        <f ca="1">'Hilfstabelle DatendefKB'!Y26</f>
        <v>#REF!</v>
      </c>
    </row>
    <row r="39" spans="1:11" ht="170.1" customHeight="1" x14ac:dyDescent="0.45">
      <c r="A39" s="265" t="e">
        <f ca="1">'Hilfstabelle DatendefKB'!$O27</f>
        <v>#REF!</v>
      </c>
      <c r="B39" s="266" t="e">
        <f ca="1">'Hilfstabelle DatendefKB'!P27</f>
        <v>#REF!</v>
      </c>
      <c r="C39" s="306" t="e">
        <f ca="1">'Hilfstabelle DatendefKB'!Q27</f>
        <v>#REF!</v>
      </c>
      <c r="D39" s="306" t="e">
        <f ca="1">'Hilfstabelle DatendefKB'!R27</f>
        <v>#REF!</v>
      </c>
      <c r="E39" s="306" t="e">
        <f ca="1">'Hilfstabelle DatendefKB'!S27</f>
        <v>#REF!</v>
      </c>
      <c r="F39" s="271" t="e">
        <f ca="1">'Hilfstabelle DatendefKB'!T27</f>
        <v>#REF!</v>
      </c>
      <c r="G39" s="267" t="e">
        <f ca="1">'Hilfstabelle DatendefKB'!U27</f>
        <v>#REF!</v>
      </c>
      <c r="H39" s="305" t="e">
        <f ca="1">'Hilfstabelle DatendefKB'!V27</f>
        <v>#REF!</v>
      </c>
      <c r="I39" s="268" t="e">
        <f ca="1">'Hilfstabelle DatendefKB'!W27</f>
        <v>#REF!</v>
      </c>
      <c r="J39" s="269" t="e">
        <f ca="1">'Hilfstabelle DatendefKB'!X27</f>
        <v>#REF!</v>
      </c>
      <c r="K39" s="269" t="e">
        <f ca="1">'Hilfstabelle DatendefKB'!Y27</f>
        <v>#REF!</v>
      </c>
    </row>
    <row r="40" spans="1:11" ht="170.1" customHeight="1" x14ac:dyDescent="0.45">
      <c r="A40" s="265" t="e">
        <f ca="1">'Hilfstabelle DatendefKB'!$O28</f>
        <v>#REF!</v>
      </c>
      <c r="B40" s="266" t="e">
        <f ca="1">'Hilfstabelle DatendefKB'!P28</f>
        <v>#REF!</v>
      </c>
      <c r="C40" s="306" t="e">
        <f ca="1">'Hilfstabelle DatendefKB'!Q28</f>
        <v>#REF!</v>
      </c>
      <c r="D40" s="306" t="e">
        <f ca="1">'Hilfstabelle DatendefKB'!R28</f>
        <v>#REF!</v>
      </c>
      <c r="E40" s="306" t="e">
        <f ca="1">'Hilfstabelle DatendefKB'!S28</f>
        <v>#REF!</v>
      </c>
      <c r="F40" s="271" t="e">
        <f ca="1">'Hilfstabelle DatendefKB'!T28</f>
        <v>#REF!</v>
      </c>
      <c r="G40" s="267" t="e">
        <f ca="1">'Hilfstabelle DatendefKB'!U28</f>
        <v>#REF!</v>
      </c>
      <c r="H40" s="305" t="e">
        <f ca="1">'Hilfstabelle DatendefKB'!V28</f>
        <v>#REF!</v>
      </c>
      <c r="I40" s="268" t="e">
        <f ca="1">'Hilfstabelle DatendefKB'!W28</f>
        <v>#REF!</v>
      </c>
      <c r="J40" s="269" t="e">
        <f ca="1">'Hilfstabelle DatendefKB'!X28</f>
        <v>#REF!</v>
      </c>
      <c r="K40" s="269" t="e">
        <f ca="1">'Hilfstabelle DatendefKB'!Y28</f>
        <v>#REF!</v>
      </c>
    </row>
    <row r="41" spans="1:11" ht="169.5" customHeight="1" x14ac:dyDescent="0.45">
      <c r="A41" s="265" t="e">
        <f ca="1">'Hilfstabelle DatendefKB'!$O29</f>
        <v>#REF!</v>
      </c>
      <c r="B41" s="266" t="e">
        <f ca="1">'Hilfstabelle DatendefKB'!P29</f>
        <v>#REF!</v>
      </c>
      <c r="C41" s="306" t="e">
        <f ca="1">'Hilfstabelle DatendefKB'!Q29</f>
        <v>#REF!</v>
      </c>
      <c r="D41" s="306" t="e">
        <f ca="1">'Hilfstabelle DatendefKB'!R29</f>
        <v>#REF!</v>
      </c>
      <c r="E41" s="306" t="e">
        <f ca="1">'Hilfstabelle DatendefKB'!S29</f>
        <v>#REF!</v>
      </c>
      <c r="F41" s="271" t="e">
        <f ca="1">'Hilfstabelle DatendefKB'!T29</f>
        <v>#REF!</v>
      </c>
      <c r="G41" s="267" t="e">
        <f ca="1">'Hilfstabelle DatendefKB'!U29</f>
        <v>#REF!</v>
      </c>
      <c r="H41" s="305" t="e">
        <f ca="1">'Hilfstabelle DatendefKB'!V29</f>
        <v>#REF!</v>
      </c>
      <c r="I41" s="268" t="e">
        <f ca="1">'Hilfstabelle DatendefKB'!W29</f>
        <v>#REF!</v>
      </c>
      <c r="J41" s="269" t="e">
        <f ca="1">'Hilfstabelle DatendefKB'!X29</f>
        <v>#REF!</v>
      </c>
      <c r="K41" s="269" t="e">
        <f ca="1">'Hilfstabelle DatendefKB'!Y29</f>
        <v>#REF!</v>
      </c>
    </row>
  </sheetData>
  <sheetProtection selectLockedCells="1"/>
  <mergeCells count="8">
    <mergeCell ref="C6:J6"/>
    <mergeCell ref="C8:E8"/>
    <mergeCell ref="A12:A13"/>
    <mergeCell ref="B12:B13"/>
    <mergeCell ref="C12:E12"/>
    <mergeCell ref="F12:H12"/>
    <mergeCell ref="I12:I13"/>
    <mergeCell ref="J12:K12"/>
  </mergeCells>
  <phoneticPr fontId="75" type="noConversion"/>
  <conditionalFormatting sqref="I14:I41">
    <cfRule type="expression" dxfId="228" priority="4">
      <formula>AND($I14&lt;&gt;"",$I14="Ausnahme (Plausibilität unklar)")</formula>
    </cfRule>
    <cfRule type="expression" dxfId="227" priority="5" stopIfTrue="1">
      <formula>AND($I14&lt;&gt;"",$I14="Sollvorgabe nicht erfüllt")</formula>
    </cfRule>
    <cfRule type="expression" dxfId="226" priority="6" stopIfTrue="1">
      <formula>AND($I14&lt;&gt;"",$I14="I.O. (Plausibilität unklar)")</formula>
    </cfRule>
    <cfRule type="expression" dxfId="225" priority="7" stopIfTrue="1">
      <formula>OR(AND($I14&lt;&gt;"",$I14="Unvollständig"),AND($I14&lt;&gt;"",$I14="Inkorrekt"),AND($I14&lt;&gt;"",$I14="optional - Inkorrekt"))</formula>
    </cfRule>
    <cfRule type="expression" dxfId="224" priority="169" stopIfTrue="1">
      <formula>AND($I14&lt;&gt;"",$I14="optional - Sollvorgabe nicht erfüllt")</formula>
    </cfRule>
    <cfRule type="expression" dxfId="223" priority="170" stopIfTrue="1">
      <formula>AND($I14&lt;&gt;"",$I14="optional - I.O. (Plausibilität unklar)")</formula>
    </cfRule>
    <cfRule type="expression" dxfId="222" priority="174" stopIfTrue="1">
      <formula>AND($I14&lt;&gt;"",$I14="optional - unvollständig")</formula>
    </cfRule>
  </conditionalFormatting>
  <conditionalFormatting sqref="A14:H41 J14:K41">
    <cfRule type="notContainsBlanks" dxfId="221" priority="178" stopIfTrue="1">
      <formula>LEN(TRIM(A14))&gt;0</formula>
    </cfRule>
  </conditionalFormatting>
  <conditionalFormatting sqref="A12:A13">
    <cfRule type="expression" dxfId="220" priority="21" stopIfTrue="1">
      <formula>$A12&lt;&gt;""</formula>
    </cfRule>
  </conditionalFormatting>
  <conditionalFormatting sqref="B12:B13">
    <cfRule type="expression" dxfId="219" priority="20" stopIfTrue="1">
      <formula>B12&lt;&gt;""</formula>
    </cfRule>
  </conditionalFormatting>
  <conditionalFormatting sqref="C12:E12">
    <cfRule type="expression" dxfId="218" priority="19" stopIfTrue="1">
      <formula>C12&lt;&gt;""</formula>
    </cfRule>
  </conditionalFormatting>
  <conditionalFormatting sqref="C13">
    <cfRule type="expression" dxfId="217" priority="18" stopIfTrue="1">
      <formula>C13&lt;&gt;""</formula>
    </cfRule>
  </conditionalFormatting>
  <conditionalFormatting sqref="D13">
    <cfRule type="expression" dxfId="216" priority="17" stopIfTrue="1">
      <formula>D13&lt;&gt;""</formula>
    </cfRule>
  </conditionalFormatting>
  <conditionalFormatting sqref="E13">
    <cfRule type="expression" dxfId="215" priority="16" stopIfTrue="1">
      <formula>E13&lt;&gt;""</formula>
    </cfRule>
  </conditionalFormatting>
  <conditionalFormatting sqref="F13">
    <cfRule type="expression" dxfId="214" priority="15" stopIfTrue="1">
      <formula>F13&lt;&gt;""</formula>
    </cfRule>
  </conditionalFormatting>
  <conditionalFormatting sqref="F12:H12">
    <cfRule type="expression" dxfId="213" priority="14" stopIfTrue="1">
      <formula>F12&lt;&gt;""</formula>
    </cfRule>
  </conditionalFormatting>
  <conditionalFormatting sqref="G13">
    <cfRule type="expression" dxfId="212" priority="13" stopIfTrue="1">
      <formula>G13&lt;&gt;""</formula>
    </cfRule>
  </conditionalFormatting>
  <conditionalFormatting sqref="H13">
    <cfRule type="expression" dxfId="211" priority="12" stopIfTrue="1">
      <formula>H13&lt;&gt;""</formula>
    </cfRule>
  </conditionalFormatting>
  <conditionalFormatting sqref="I12:I13">
    <cfRule type="expression" dxfId="210" priority="11" stopIfTrue="1">
      <formula>I12&lt;&gt;""</formula>
    </cfRule>
  </conditionalFormatting>
  <conditionalFormatting sqref="J13">
    <cfRule type="expression" dxfId="209" priority="10" stopIfTrue="1">
      <formula>J13&lt;&gt;""</formula>
    </cfRule>
  </conditionalFormatting>
  <conditionalFormatting sqref="K13">
    <cfRule type="expression" dxfId="208" priority="9" stopIfTrue="1">
      <formula>K13&lt;&gt;""</formula>
    </cfRule>
  </conditionalFormatting>
  <conditionalFormatting sqref="J12:K12">
    <cfRule type="expression" dxfId="207" priority="8" stopIfTrue="1">
      <formula>J12&lt;&gt;""</formula>
    </cfRule>
  </conditionalFormatting>
  <conditionalFormatting sqref="I25">
    <cfRule type="expression" dxfId="206" priority="3">
      <formula>AND($I25&lt;&gt;"",$I$25="Ausnahme (Plausibilität unklar)")</formula>
    </cfRule>
  </conditionalFormatting>
  <conditionalFormatting sqref="I36">
    <cfRule type="expression" dxfId="205" priority="2">
      <formula>AND($I36&lt;&gt;"",$I36="Ausnahme (Plausibilität unklar)")</formula>
    </cfRule>
  </conditionalFormatting>
  <conditionalFormatting sqref="I37">
    <cfRule type="expression" dxfId="204" priority="1">
      <formula>AND($I37&lt;&gt;"",$I37="Ausnahme (Plausibilität unklar)")</formula>
    </cfRule>
  </conditionalFormatting>
  <dataValidations count="1">
    <dataValidation allowBlank="1" showInputMessage="1" showErrorMessage="1" promptTitle="Hinweis" prompt="Übertrag erfolgt _x000a_automatisch aus _x000a_Kennzahlenbogen" sqref="J13:K13" xr:uid="{00000000-0002-0000-0800-000000000000}"/>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1" manualBreakCount="1">
    <brk id="35" max="10" man="1"/>
  </rowBreaks>
  <ignoredErrors>
    <ignoredError sqref="D1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N69"/>
  <sheetViews>
    <sheetView showGridLines="0" showRuler="0" zoomScaleNormal="100" zoomScaleSheetLayoutView="100" workbookViewId="0">
      <selection activeCell="L12" sqref="L12"/>
    </sheetView>
  </sheetViews>
  <sheetFormatPr baseColWidth="10" defaultColWidth="9.1328125" defaultRowHeight="14.25" x14ac:dyDescent="0.45"/>
  <cols>
    <col min="1" max="1" width="4" style="393" customWidth="1"/>
    <col min="2" max="2" width="4.3984375" style="393" customWidth="1"/>
    <col min="3" max="3" width="15.73046875" style="393" customWidth="1"/>
    <col min="4" max="4" width="23.59765625" style="393" customWidth="1"/>
    <col min="5" max="5" width="24" style="393" customWidth="1"/>
    <col min="6" max="6" width="9.59765625" style="393" customWidth="1"/>
    <col min="7" max="7" width="9.265625" style="393" customWidth="1"/>
    <col min="8" max="11" width="6.73046875" style="393" customWidth="1"/>
    <col min="12" max="14" width="9.1328125" style="393"/>
    <col min="15" max="15" width="2.73046875" style="393" customWidth="1"/>
    <col min="16" max="16384" width="9.1328125" style="393"/>
  </cols>
  <sheetData>
    <row r="1" spans="1:14" ht="9.9499999999999993" customHeight="1" x14ac:dyDescent="0.45">
      <c r="A1" s="392"/>
      <c r="B1" s="392"/>
      <c r="C1" s="392"/>
      <c r="D1" s="392"/>
      <c r="E1" s="392"/>
      <c r="F1" s="392"/>
      <c r="G1" s="392"/>
      <c r="H1" s="392"/>
      <c r="I1" s="392"/>
      <c r="J1" s="392"/>
      <c r="K1" s="392"/>
    </row>
    <row r="2" spans="1:14" s="392" customFormat="1" ht="12.95" customHeight="1" x14ac:dyDescent="0.35">
      <c r="A2" s="26" t="str">
        <f>'Basic data'!A2</f>
        <v>Anlage EB M1.1 (Auditjahr 2023 / Kennzahlenjahr 2022)</v>
      </c>
    </row>
    <row r="3" spans="1:14" ht="16.899999999999999" x14ac:dyDescent="0.5">
      <c r="A3" s="22" t="s">
        <v>822</v>
      </c>
      <c r="B3" s="392"/>
      <c r="C3" s="392"/>
      <c r="D3" s="392"/>
      <c r="E3" s="392"/>
      <c r="F3" s="392"/>
      <c r="G3" s="392"/>
      <c r="H3" s="392"/>
      <c r="I3" s="392"/>
      <c r="J3" s="394"/>
      <c r="K3" s="392"/>
    </row>
    <row r="4" spans="1:14" x14ac:dyDescent="0.45">
      <c r="A4" s="392"/>
      <c r="B4" s="392"/>
      <c r="C4" s="392"/>
      <c r="D4" s="392"/>
      <c r="E4" s="392"/>
      <c r="F4" s="392"/>
      <c r="G4" s="392"/>
      <c r="H4" s="392"/>
      <c r="I4" s="392"/>
      <c r="J4" s="394"/>
      <c r="K4" s="392"/>
    </row>
    <row r="5" spans="1:14" ht="90.75" customHeight="1" x14ac:dyDescent="0.45">
      <c r="A5" s="768" t="s">
        <v>864</v>
      </c>
      <c r="B5" s="769"/>
      <c r="C5" s="769"/>
      <c r="D5" s="769"/>
      <c r="E5" s="769"/>
      <c r="F5" s="769"/>
      <c r="G5" s="769"/>
      <c r="H5" s="769"/>
      <c r="I5" s="769"/>
      <c r="J5" s="769"/>
      <c r="K5" s="769"/>
    </row>
    <row r="6" spans="1:14" ht="11.25" customHeight="1" thickBot="1" x14ac:dyDescent="0.5">
      <c r="A6" s="392"/>
      <c r="B6" s="392"/>
      <c r="C6" s="392"/>
      <c r="D6" s="392"/>
      <c r="E6" s="392"/>
      <c r="F6" s="392"/>
      <c r="G6" s="392"/>
      <c r="H6" s="392"/>
      <c r="I6" s="392"/>
      <c r="J6" s="394"/>
      <c r="K6" s="392"/>
    </row>
    <row r="7" spans="1:14" s="395" customFormat="1" ht="9.75" customHeight="1" thickBot="1" x14ac:dyDescent="0.5">
      <c r="A7" s="770" t="s">
        <v>395</v>
      </c>
      <c r="B7" s="770" t="s">
        <v>85</v>
      </c>
      <c r="C7" s="770" t="s">
        <v>86</v>
      </c>
      <c r="D7" s="770" t="s">
        <v>87</v>
      </c>
      <c r="E7" s="771" t="s">
        <v>88</v>
      </c>
      <c r="F7" s="774" t="s">
        <v>462</v>
      </c>
      <c r="G7" s="775"/>
      <c r="H7" s="780" t="s">
        <v>87</v>
      </c>
      <c r="I7" s="780" t="s">
        <v>84</v>
      </c>
      <c r="J7" s="780" t="s">
        <v>87</v>
      </c>
      <c r="K7" s="780" t="s">
        <v>84</v>
      </c>
    </row>
    <row r="8" spans="1:14" s="395" customFormat="1" ht="12.75" customHeight="1" thickBot="1" x14ac:dyDescent="0.5">
      <c r="A8" s="770"/>
      <c r="B8" s="770"/>
      <c r="C8" s="770"/>
      <c r="D8" s="770"/>
      <c r="E8" s="772"/>
      <c r="F8" s="776"/>
      <c r="G8" s="777"/>
      <c r="H8" s="781"/>
      <c r="I8" s="781"/>
      <c r="J8" s="781"/>
      <c r="K8" s="781"/>
    </row>
    <row r="9" spans="1:14" s="395" customFormat="1" ht="15.75" customHeight="1" thickBot="1" x14ac:dyDescent="0.5">
      <c r="A9" s="770"/>
      <c r="B9" s="770"/>
      <c r="C9" s="770"/>
      <c r="D9" s="770"/>
      <c r="E9" s="773"/>
      <c r="F9" s="778"/>
      <c r="G9" s="779"/>
      <c r="H9" s="782" t="s">
        <v>463</v>
      </c>
      <c r="I9" s="783"/>
      <c r="J9" s="782" t="s">
        <v>464</v>
      </c>
      <c r="K9" s="783"/>
    </row>
    <row r="10" spans="1:14" ht="37.5" customHeight="1" thickBot="1" x14ac:dyDescent="0.5">
      <c r="A10" s="784">
        <v>19</v>
      </c>
      <c r="B10" s="787" t="s">
        <v>824</v>
      </c>
      <c r="C10" s="396" t="s">
        <v>164</v>
      </c>
      <c r="D10" s="415" t="s">
        <v>91</v>
      </c>
      <c r="E10" s="418" t="s">
        <v>465</v>
      </c>
      <c r="F10" s="788" t="s">
        <v>825</v>
      </c>
      <c r="G10" s="789"/>
      <c r="H10" s="427"/>
      <c r="I10" s="427"/>
      <c r="J10" s="427"/>
      <c r="K10" s="427"/>
    </row>
    <row r="11" spans="1:14" ht="15.95" customHeight="1" thickBot="1" x14ac:dyDescent="0.5">
      <c r="A11" s="785"/>
      <c r="B11" s="785"/>
      <c r="C11" s="790"/>
      <c r="D11" s="791"/>
      <c r="F11" s="796" t="s">
        <v>466</v>
      </c>
      <c r="G11" s="425" t="s">
        <v>701</v>
      </c>
      <c r="H11" s="424"/>
      <c r="I11" s="424"/>
      <c r="J11" s="424"/>
      <c r="K11" s="424"/>
      <c r="N11" s="440"/>
    </row>
    <row r="12" spans="1:14" ht="15.95" customHeight="1" thickBot="1" x14ac:dyDescent="0.5">
      <c r="A12" s="785"/>
      <c r="B12" s="785"/>
      <c r="C12" s="792"/>
      <c r="D12" s="793"/>
      <c r="F12" s="797"/>
      <c r="G12" s="426" t="s">
        <v>467</v>
      </c>
      <c r="H12" s="424"/>
      <c r="I12" s="424"/>
      <c r="J12" s="424"/>
      <c r="K12" s="424"/>
      <c r="N12" s="440"/>
    </row>
    <row r="13" spans="1:14" ht="15.95" customHeight="1" thickBot="1" x14ac:dyDescent="0.5">
      <c r="A13" s="785"/>
      <c r="B13" s="785"/>
      <c r="C13" s="792"/>
      <c r="D13" s="793"/>
      <c r="F13" s="798"/>
      <c r="G13" s="397" t="s">
        <v>468</v>
      </c>
      <c r="H13" s="424"/>
      <c r="I13" s="424"/>
      <c r="J13" s="424"/>
      <c r="K13" s="424"/>
      <c r="N13" s="440"/>
    </row>
    <row r="14" spans="1:14" ht="15.95" customHeight="1" thickBot="1" x14ac:dyDescent="0.5">
      <c r="A14" s="785"/>
      <c r="B14" s="785"/>
      <c r="C14" s="792"/>
      <c r="D14" s="793"/>
      <c r="F14" s="799" t="s">
        <v>469</v>
      </c>
      <c r="G14" s="397" t="s">
        <v>185</v>
      </c>
      <c r="H14" s="424"/>
      <c r="I14" s="424"/>
      <c r="J14" s="424"/>
      <c r="K14" s="424"/>
      <c r="N14" s="440"/>
    </row>
    <row r="15" spans="1:14" ht="15.95" customHeight="1" thickBot="1" x14ac:dyDescent="0.5">
      <c r="A15" s="785"/>
      <c r="B15" s="785"/>
      <c r="C15" s="792"/>
      <c r="D15" s="793"/>
      <c r="F15" s="800"/>
      <c r="G15" s="397" t="s">
        <v>470</v>
      </c>
      <c r="H15" s="424"/>
      <c r="I15" s="424"/>
      <c r="J15" s="424"/>
      <c r="K15" s="424"/>
      <c r="N15" s="440"/>
    </row>
    <row r="16" spans="1:14" ht="15.95" customHeight="1" thickBot="1" x14ac:dyDescent="0.5">
      <c r="A16" s="785"/>
      <c r="B16" s="785"/>
      <c r="C16" s="792"/>
      <c r="D16" s="793"/>
      <c r="F16" s="800"/>
      <c r="G16" s="397" t="s">
        <v>471</v>
      </c>
      <c r="H16" s="424"/>
      <c r="I16" s="424"/>
      <c r="J16" s="424"/>
      <c r="K16" s="424"/>
      <c r="N16" s="440"/>
    </row>
    <row r="17" spans="1:14" ht="15.95" customHeight="1" thickBot="1" x14ac:dyDescent="0.5">
      <c r="A17" s="785"/>
      <c r="B17" s="785"/>
      <c r="C17" s="792"/>
      <c r="D17" s="793"/>
      <c r="F17" s="801"/>
      <c r="G17" s="397" t="s">
        <v>472</v>
      </c>
      <c r="H17" s="424"/>
      <c r="I17" s="424"/>
      <c r="J17" s="424"/>
      <c r="K17" s="424"/>
      <c r="N17" s="440"/>
    </row>
    <row r="18" spans="1:14" ht="15.95" customHeight="1" thickBot="1" x14ac:dyDescent="0.5">
      <c r="A18" s="785"/>
      <c r="B18" s="785"/>
      <c r="C18" s="792"/>
      <c r="D18" s="793"/>
      <c r="F18" s="799" t="s">
        <v>473</v>
      </c>
      <c r="G18" s="397" t="s">
        <v>474</v>
      </c>
      <c r="H18" s="424"/>
      <c r="I18" s="424"/>
      <c r="J18" s="424"/>
      <c r="K18" s="424"/>
      <c r="N18" s="440"/>
    </row>
    <row r="19" spans="1:14" ht="15.95" customHeight="1" thickBot="1" x14ac:dyDescent="0.5">
      <c r="A19" s="785"/>
      <c r="B19" s="785"/>
      <c r="C19" s="792"/>
      <c r="D19" s="793"/>
      <c r="F19" s="800"/>
      <c r="G19" s="397" t="s">
        <v>475</v>
      </c>
      <c r="H19" s="424"/>
      <c r="I19" s="424"/>
      <c r="J19" s="424"/>
      <c r="K19" s="424"/>
      <c r="N19" s="440"/>
    </row>
    <row r="20" spans="1:14" ht="15.95" customHeight="1" thickBot="1" x14ac:dyDescent="0.5">
      <c r="A20" s="785"/>
      <c r="B20" s="785"/>
      <c r="C20" s="792"/>
      <c r="D20" s="793"/>
      <c r="F20" s="801"/>
      <c r="G20" s="398" t="s">
        <v>476</v>
      </c>
      <c r="H20" s="424"/>
      <c r="I20" s="424"/>
      <c r="J20" s="424"/>
      <c r="K20" s="424"/>
      <c r="N20" s="440"/>
    </row>
    <row r="21" spans="1:14" ht="35.1" customHeight="1" thickBot="1" x14ac:dyDescent="0.5">
      <c r="A21" s="786"/>
      <c r="B21" s="786"/>
      <c r="C21" s="794"/>
      <c r="D21" s="795"/>
      <c r="E21" s="399"/>
      <c r="F21" s="802" t="s">
        <v>810</v>
      </c>
      <c r="G21" s="803"/>
      <c r="H21" s="424"/>
      <c r="I21" s="424"/>
      <c r="J21" s="424"/>
      <c r="K21" s="424"/>
      <c r="N21" s="440"/>
    </row>
    <row r="22" spans="1:14" ht="72" customHeight="1" thickBot="1" x14ac:dyDescent="0.5">
      <c r="A22" s="784">
        <v>20</v>
      </c>
      <c r="B22" s="787" t="s">
        <v>826</v>
      </c>
      <c r="C22" s="396" t="s">
        <v>165</v>
      </c>
      <c r="D22" s="415" t="s">
        <v>477</v>
      </c>
      <c r="E22" s="418" t="s">
        <v>441</v>
      </c>
      <c r="F22" s="788" t="s">
        <v>825</v>
      </c>
      <c r="G22" s="789"/>
      <c r="H22" s="423"/>
      <c r="I22" s="423"/>
      <c r="J22" s="423"/>
      <c r="K22" s="423"/>
      <c r="N22" s="440"/>
    </row>
    <row r="23" spans="1:14" ht="14.65" thickBot="1" x14ac:dyDescent="0.5">
      <c r="A23" s="785"/>
      <c r="B23" s="785"/>
      <c r="C23" s="790"/>
      <c r="D23" s="791"/>
      <c r="F23" s="797" t="s">
        <v>466</v>
      </c>
      <c r="G23" s="425" t="s">
        <v>701</v>
      </c>
      <c r="H23" s="424"/>
      <c r="I23" s="424"/>
      <c r="J23" s="424"/>
      <c r="K23" s="424"/>
      <c r="N23" s="440"/>
    </row>
    <row r="24" spans="1:14" ht="14.65" thickBot="1" x14ac:dyDescent="0.5">
      <c r="A24" s="785"/>
      <c r="B24" s="785"/>
      <c r="C24" s="792"/>
      <c r="D24" s="793"/>
      <c r="F24" s="797"/>
      <c r="G24" s="397" t="s">
        <v>467</v>
      </c>
      <c r="H24" s="424"/>
      <c r="I24" s="424"/>
      <c r="J24" s="424"/>
      <c r="K24" s="424"/>
      <c r="N24" s="440"/>
    </row>
    <row r="25" spans="1:14" ht="14.65" thickBot="1" x14ac:dyDescent="0.5">
      <c r="A25" s="785"/>
      <c r="B25" s="785"/>
      <c r="C25" s="792"/>
      <c r="D25" s="793"/>
      <c r="F25" s="798"/>
      <c r="G25" s="397" t="s">
        <v>468</v>
      </c>
      <c r="H25" s="424"/>
      <c r="I25" s="424"/>
      <c r="J25" s="424"/>
      <c r="K25" s="424"/>
      <c r="N25" s="440"/>
    </row>
    <row r="26" spans="1:14" ht="14.65" thickBot="1" x14ac:dyDescent="0.5">
      <c r="A26" s="785"/>
      <c r="B26" s="785"/>
      <c r="C26" s="792"/>
      <c r="D26" s="793"/>
      <c r="F26" s="799" t="s">
        <v>469</v>
      </c>
      <c r="G26" s="397" t="s">
        <v>185</v>
      </c>
      <c r="H26" s="424"/>
      <c r="I26" s="424"/>
      <c r="J26" s="424"/>
      <c r="K26" s="424"/>
      <c r="N26" s="440"/>
    </row>
    <row r="27" spans="1:14" ht="14.65" thickBot="1" x14ac:dyDescent="0.5">
      <c r="A27" s="785"/>
      <c r="B27" s="785"/>
      <c r="C27" s="792"/>
      <c r="D27" s="793"/>
      <c r="F27" s="800"/>
      <c r="G27" s="397" t="s">
        <v>470</v>
      </c>
      <c r="H27" s="424"/>
      <c r="I27" s="424"/>
      <c r="J27" s="424"/>
      <c r="K27" s="424"/>
      <c r="N27" s="440"/>
    </row>
    <row r="28" spans="1:14" ht="14.65" thickBot="1" x14ac:dyDescent="0.5">
      <c r="A28" s="785"/>
      <c r="B28" s="785"/>
      <c r="C28" s="792"/>
      <c r="D28" s="793"/>
      <c r="F28" s="800"/>
      <c r="G28" s="397" t="s">
        <v>471</v>
      </c>
      <c r="H28" s="424"/>
      <c r="I28" s="424"/>
      <c r="J28" s="424"/>
      <c r="K28" s="424"/>
      <c r="N28" s="440"/>
    </row>
    <row r="29" spans="1:14" ht="14.65" thickBot="1" x14ac:dyDescent="0.5">
      <c r="A29" s="785"/>
      <c r="B29" s="785"/>
      <c r="C29" s="792"/>
      <c r="D29" s="793"/>
      <c r="F29" s="801"/>
      <c r="G29" s="397" t="s">
        <v>472</v>
      </c>
      <c r="H29" s="424"/>
      <c r="I29" s="424"/>
      <c r="J29" s="424"/>
      <c r="K29" s="424"/>
      <c r="N29" s="440"/>
    </row>
    <row r="30" spans="1:14" ht="14.65" thickBot="1" x14ac:dyDescent="0.5">
      <c r="A30" s="785"/>
      <c r="B30" s="785"/>
      <c r="C30" s="792"/>
      <c r="D30" s="793"/>
      <c r="F30" s="799" t="s">
        <v>473</v>
      </c>
      <c r="G30" s="397" t="s">
        <v>474</v>
      </c>
      <c r="H30" s="424"/>
      <c r="I30" s="424"/>
      <c r="J30" s="424"/>
      <c r="K30" s="424"/>
      <c r="N30" s="440"/>
    </row>
    <row r="31" spans="1:14" ht="14.65" thickBot="1" x14ac:dyDescent="0.5">
      <c r="A31" s="785"/>
      <c r="B31" s="785"/>
      <c r="C31" s="792"/>
      <c r="D31" s="793"/>
      <c r="F31" s="797"/>
      <c r="G31" s="397" t="s">
        <v>475</v>
      </c>
      <c r="H31" s="424"/>
      <c r="I31" s="424"/>
      <c r="J31" s="424"/>
      <c r="K31" s="424"/>
      <c r="N31" s="440"/>
    </row>
    <row r="32" spans="1:14" ht="14.65" thickBot="1" x14ac:dyDescent="0.5">
      <c r="A32" s="785"/>
      <c r="B32" s="785"/>
      <c r="C32" s="792"/>
      <c r="D32" s="793"/>
      <c r="F32" s="798"/>
      <c r="G32" s="398" t="s">
        <v>476</v>
      </c>
      <c r="H32" s="424"/>
      <c r="I32" s="424"/>
      <c r="J32" s="424"/>
      <c r="K32" s="424"/>
      <c r="N32" s="440"/>
    </row>
    <row r="33" spans="1:14" ht="35.1" customHeight="1" thickBot="1" x14ac:dyDescent="0.5">
      <c r="A33" s="414"/>
      <c r="B33" s="414"/>
      <c r="C33" s="420"/>
      <c r="D33" s="421"/>
      <c r="E33" s="399"/>
      <c r="F33" s="802" t="s">
        <v>810</v>
      </c>
      <c r="G33" s="803"/>
      <c r="H33" s="424"/>
      <c r="I33" s="424"/>
      <c r="J33" s="424"/>
      <c r="K33" s="424"/>
      <c r="N33" s="440"/>
    </row>
    <row r="34" spans="1:14" ht="34.5" customHeight="1" thickBot="1" x14ac:dyDescent="0.5">
      <c r="A34" s="784">
        <v>21</v>
      </c>
      <c r="B34" s="804"/>
      <c r="C34" s="396" t="s">
        <v>478</v>
      </c>
      <c r="D34" s="415" t="s">
        <v>412</v>
      </c>
      <c r="E34" s="418" t="s">
        <v>442</v>
      </c>
      <c r="F34" s="788" t="s">
        <v>825</v>
      </c>
      <c r="G34" s="789"/>
      <c r="H34" s="423"/>
      <c r="I34" s="423"/>
      <c r="J34" s="423"/>
      <c r="K34" s="423"/>
      <c r="N34" s="440"/>
    </row>
    <row r="35" spans="1:14" ht="14.65" thickBot="1" x14ac:dyDescent="0.5">
      <c r="A35" s="785"/>
      <c r="B35" s="805"/>
      <c r="C35" s="790"/>
      <c r="D35" s="791"/>
      <c r="F35" s="797" t="s">
        <v>466</v>
      </c>
      <c r="G35" s="425" t="s">
        <v>701</v>
      </c>
      <c r="H35" s="424"/>
      <c r="I35" s="424"/>
      <c r="J35" s="424"/>
      <c r="K35" s="424"/>
      <c r="N35" s="440"/>
    </row>
    <row r="36" spans="1:14" ht="14.65" thickBot="1" x14ac:dyDescent="0.5">
      <c r="A36" s="785"/>
      <c r="B36" s="805"/>
      <c r="C36" s="792"/>
      <c r="D36" s="793"/>
      <c r="F36" s="797"/>
      <c r="G36" s="397" t="s">
        <v>467</v>
      </c>
      <c r="H36" s="424"/>
      <c r="I36" s="424"/>
      <c r="J36" s="424"/>
      <c r="K36" s="424"/>
      <c r="N36" s="440"/>
    </row>
    <row r="37" spans="1:14" ht="14.65" thickBot="1" x14ac:dyDescent="0.5">
      <c r="A37" s="785"/>
      <c r="B37" s="805"/>
      <c r="C37" s="792"/>
      <c r="D37" s="793"/>
      <c r="F37" s="798"/>
      <c r="G37" s="397" t="s">
        <v>468</v>
      </c>
      <c r="H37" s="424"/>
      <c r="I37" s="424"/>
      <c r="J37" s="424"/>
      <c r="K37" s="424"/>
      <c r="N37" s="440"/>
    </row>
    <row r="38" spans="1:14" ht="14.65" thickBot="1" x14ac:dyDescent="0.5">
      <c r="A38" s="785"/>
      <c r="B38" s="805"/>
      <c r="C38" s="792"/>
      <c r="D38" s="793"/>
      <c r="F38" s="799" t="s">
        <v>469</v>
      </c>
      <c r="G38" s="397" t="s">
        <v>185</v>
      </c>
      <c r="H38" s="424"/>
      <c r="I38" s="424"/>
      <c r="J38" s="424"/>
      <c r="K38" s="424"/>
      <c r="N38" s="440"/>
    </row>
    <row r="39" spans="1:14" ht="14.65" thickBot="1" x14ac:dyDescent="0.5">
      <c r="A39" s="785"/>
      <c r="B39" s="805"/>
      <c r="C39" s="792"/>
      <c r="D39" s="793"/>
      <c r="F39" s="800"/>
      <c r="G39" s="397" t="s">
        <v>470</v>
      </c>
      <c r="H39" s="424"/>
      <c r="I39" s="424"/>
      <c r="J39" s="424"/>
      <c r="K39" s="424"/>
      <c r="N39" s="440"/>
    </row>
    <row r="40" spans="1:14" ht="14.65" thickBot="1" x14ac:dyDescent="0.5">
      <c r="A40" s="785"/>
      <c r="B40" s="805"/>
      <c r="C40" s="792"/>
      <c r="D40" s="793"/>
      <c r="F40" s="800"/>
      <c r="G40" s="397" t="s">
        <v>471</v>
      </c>
      <c r="H40" s="424"/>
      <c r="I40" s="424"/>
      <c r="J40" s="424"/>
      <c r="K40" s="424"/>
      <c r="N40" s="440"/>
    </row>
    <row r="41" spans="1:14" ht="14.65" thickBot="1" x14ac:dyDescent="0.5">
      <c r="A41" s="785"/>
      <c r="B41" s="805"/>
      <c r="C41" s="792"/>
      <c r="D41" s="793"/>
      <c r="F41" s="801"/>
      <c r="G41" s="397" t="s">
        <v>472</v>
      </c>
      <c r="H41" s="424"/>
      <c r="I41" s="424"/>
      <c r="J41" s="424"/>
      <c r="K41" s="424"/>
      <c r="N41" s="440"/>
    </row>
    <row r="42" spans="1:14" ht="14.65" thickBot="1" x14ac:dyDescent="0.5">
      <c r="A42" s="785"/>
      <c r="B42" s="805"/>
      <c r="C42" s="792"/>
      <c r="D42" s="793"/>
      <c r="F42" s="799" t="s">
        <v>473</v>
      </c>
      <c r="G42" s="397" t="s">
        <v>474</v>
      </c>
      <c r="H42" s="424"/>
      <c r="I42" s="424"/>
      <c r="J42" s="424"/>
      <c r="K42" s="424"/>
      <c r="N42" s="440"/>
    </row>
    <row r="43" spans="1:14" ht="14.65" thickBot="1" x14ac:dyDescent="0.5">
      <c r="A43" s="785"/>
      <c r="B43" s="805"/>
      <c r="C43" s="792"/>
      <c r="D43" s="793"/>
      <c r="F43" s="797"/>
      <c r="G43" s="397" t="s">
        <v>475</v>
      </c>
      <c r="H43" s="424"/>
      <c r="I43" s="424"/>
      <c r="J43" s="424"/>
      <c r="K43" s="424"/>
      <c r="N43" s="440"/>
    </row>
    <row r="44" spans="1:14" ht="14.65" thickBot="1" x14ac:dyDescent="0.5">
      <c r="A44" s="785"/>
      <c r="B44" s="805"/>
      <c r="C44" s="792"/>
      <c r="D44" s="793"/>
      <c r="F44" s="797"/>
      <c r="G44" s="397" t="s">
        <v>476</v>
      </c>
      <c r="H44" s="424"/>
      <c r="I44" s="424"/>
      <c r="J44" s="424"/>
      <c r="K44" s="424"/>
      <c r="N44" s="440"/>
    </row>
    <row r="45" spans="1:14" ht="35.1" customHeight="1" thickBot="1" x14ac:dyDescent="0.5">
      <c r="A45" s="414"/>
      <c r="B45" s="413"/>
      <c r="C45" s="420"/>
      <c r="D45" s="421"/>
      <c r="E45" s="399"/>
      <c r="F45" s="802" t="s">
        <v>810</v>
      </c>
      <c r="G45" s="803"/>
      <c r="H45" s="424"/>
      <c r="I45" s="424"/>
      <c r="J45" s="424"/>
      <c r="K45" s="424"/>
      <c r="N45" s="440"/>
    </row>
    <row r="46" spans="1:14" ht="45.75" customHeight="1" thickBot="1" x14ac:dyDescent="0.5">
      <c r="A46" s="804" t="s">
        <v>479</v>
      </c>
      <c r="B46" s="804"/>
      <c r="C46" s="396" t="s">
        <v>480</v>
      </c>
      <c r="D46" s="415" t="s">
        <v>410</v>
      </c>
      <c r="E46" s="418" t="s">
        <v>481</v>
      </c>
      <c r="F46" s="788" t="s">
        <v>825</v>
      </c>
      <c r="G46" s="789"/>
      <c r="H46" s="423"/>
      <c r="I46" s="423"/>
      <c r="J46" s="423"/>
      <c r="K46" s="423"/>
      <c r="N46" s="440"/>
    </row>
    <row r="47" spans="1:14" ht="14.65" thickBot="1" x14ac:dyDescent="0.5">
      <c r="A47" s="805"/>
      <c r="B47" s="805"/>
      <c r="C47" s="806" t="s">
        <v>482</v>
      </c>
      <c r="D47" s="807"/>
      <c r="E47" s="808"/>
      <c r="F47" s="797" t="s">
        <v>466</v>
      </c>
      <c r="G47" s="425" t="s">
        <v>701</v>
      </c>
      <c r="H47" s="424"/>
      <c r="I47" s="424"/>
      <c r="J47" s="424"/>
      <c r="K47" s="424"/>
      <c r="N47" s="440"/>
    </row>
    <row r="48" spans="1:14" ht="14.65" thickBot="1" x14ac:dyDescent="0.5">
      <c r="A48" s="805"/>
      <c r="B48" s="805"/>
      <c r="C48" s="809"/>
      <c r="D48" s="810"/>
      <c r="E48" s="811"/>
      <c r="F48" s="797"/>
      <c r="G48" s="397" t="s">
        <v>467</v>
      </c>
      <c r="H48" s="424"/>
      <c r="I48" s="424"/>
      <c r="J48" s="424"/>
      <c r="K48" s="424"/>
      <c r="N48" s="440"/>
    </row>
    <row r="49" spans="1:14" ht="14.65" thickBot="1" x14ac:dyDescent="0.5">
      <c r="A49" s="805"/>
      <c r="B49" s="805"/>
      <c r="C49" s="809"/>
      <c r="D49" s="810"/>
      <c r="E49" s="811"/>
      <c r="F49" s="798"/>
      <c r="G49" s="397" t="s">
        <v>468</v>
      </c>
      <c r="H49" s="424"/>
      <c r="I49" s="424"/>
      <c r="J49" s="424"/>
      <c r="K49" s="424"/>
      <c r="N49" s="440"/>
    </row>
    <row r="50" spans="1:14" ht="14.65" thickBot="1" x14ac:dyDescent="0.5">
      <c r="A50" s="805"/>
      <c r="B50" s="805"/>
      <c r="C50" s="809"/>
      <c r="D50" s="810"/>
      <c r="E50" s="811"/>
      <c r="F50" s="799" t="s">
        <v>469</v>
      </c>
      <c r="G50" s="397" t="s">
        <v>185</v>
      </c>
      <c r="H50" s="424"/>
      <c r="I50" s="424"/>
      <c r="J50" s="424"/>
      <c r="K50" s="424"/>
      <c r="N50" s="440"/>
    </row>
    <row r="51" spans="1:14" ht="14.65" thickBot="1" x14ac:dyDescent="0.5">
      <c r="A51" s="805"/>
      <c r="B51" s="805"/>
      <c r="C51" s="809"/>
      <c r="D51" s="810"/>
      <c r="E51" s="811"/>
      <c r="F51" s="800"/>
      <c r="G51" s="397" t="s">
        <v>470</v>
      </c>
      <c r="H51" s="424"/>
      <c r="I51" s="424"/>
      <c r="J51" s="424"/>
      <c r="K51" s="424"/>
      <c r="N51" s="440"/>
    </row>
    <row r="52" spans="1:14" ht="14.65" thickBot="1" x14ac:dyDescent="0.5">
      <c r="A52" s="805"/>
      <c r="B52" s="805"/>
      <c r="C52" s="809"/>
      <c r="D52" s="810"/>
      <c r="E52" s="811"/>
      <c r="F52" s="800"/>
      <c r="G52" s="397" t="s">
        <v>471</v>
      </c>
      <c r="H52" s="424"/>
      <c r="I52" s="424"/>
      <c r="J52" s="424"/>
      <c r="K52" s="424"/>
      <c r="N52" s="440"/>
    </row>
    <row r="53" spans="1:14" ht="14.65" thickBot="1" x14ac:dyDescent="0.5">
      <c r="A53" s="805"/>
      <c r="B53" s="805"/>
      <c r="C53" s="809"/>
      <c r="D53" s="810"/>
      <c r="E53" s="811"/>
      <c r="F53" s="801"/>
      <c r="G53" s="397" t="s">
        <v>472</v>
      </c>
      <c r="H53" s="424"/>
      <c r="I53" s="424"/>
      <c r="J53" s="424"/>
      <c r="K53" s="424"/>
      <c r="N53" s="440"/>
    </row>
    <row r="54" spans="1:14" ht="14.65" thickBot="1" x14ac:dyDescent="0.5">
      <c r="A54" s="805"/>
      <c r="B54" s="805"/>
      <c r="C54" s="809"/>
      <c r="D54" s="810"/>
      <c r="E54" s="811"/>
      <c r="F54" s="799" t="s">
        <v>473</v>
      </c>
      <c r="G54" s="397" t="s">
        <v>474</v>
      </c>
      <c r="H54" s="424"/>
      <c r="I54" s="424"/>
      <c r="J54" s="424"/>
      <c r="K54" s="424"/>
      <c r="N54" s="440"/>
    </row>
    <row r="55" spans="1:14" ht="14.65" thickBot="1" x14ac:dyDescent="0.5">
      <c r="A55" s="805"/>
      <c r="B55" s="805"/>
      <c r="C55" s="809"/>
      <c r="D55" s="810"/>
      <c r="E55" s="811"/>
      <c r="F55" s="797"/>
      <c r="G55" s="397" t="s">
        <v>475</v>
      </c>
      <c r="H55" s="424"/>
      <c r="I55" s="424"/>
      <c r="J55" s="424"/>
      <c r="K55" s="424"/>
      <c r="N55" s="440"/>
    </row>
    <row r="56" spans="1:14" ht="14.65" thickBot="1" x14ac:dyDescent="0.5">
      <c r="A56" s="805"/>
      <c r="B56" s="805"/>
      <c r="C56" s="809"/>
      <c r="D56" s="810"/>
      <c r="E56" s="811"/>
      <c r="F56" s="797"/>
      <c r="G56" s="397" t="s">
        <v>476</v>
      </c>
      <c r="H56" s="424"/>
      <c r="I56" s="424"/>
      <c r="J56" s="424"/>
      <c r="K56" s="424"/>
      <c r="N56" s="440"/>
    </row>
    <row r="57" spans="1:14" ht="35.1" customHeight="1" thickBot="1" x14ac:dyDescent="0.5">
      <c r="A57" s="412"/>
      <c r="B57" s="412"/>
      <c r="C57" s="419"/>
      <c r="D57" s="416"/>
      <c r="E57" s="417"/>
      <c r="F57" s="812" t="s">
        <v>810</v>
      </c>
      <c r="G57" s="813"/>
      <c r="H57" s="424"/>
      <c r="I57" s="424"/>
      <c r="J57" s="424"/>
      <c r="K57" s="424"/>
      <c r="N57" s="440"/>
    </row>
    <row r="58" spans="1:14" ht="34.5" customHeight="1" thickBot="1" x14ac:dyDescent="0.5">
      <c r="A58" s="804" t="s">
        <v>483</v>
      </c>
      <c r="B58" s="804"/>
      <c r="C58" s="400" t="s">
        <v>484</v>
      </c>
      <c r="D58" s="401" t="s">
        <v>411</v>
      </c>
      <c r="E58" s="402" t="s">
        <v>481</v>
      </c>
      <c r="F58" s="815" t="s">
        <v>825</v>
      </c>
      <c r="G58" s="816"/>
      <c r="H58" s="423"/>
      <c r="I58" s="423"/>
      <c r="J58" s="423"/>
      <c r="K58" s="423"/>
      <c r="N58" s="440"/>
    </row>
    <row r="59" spans="1:14" ht="14.65" thickBot="1" x14ac:dyDescent="0.5">
      <c r="A59" s="805"/>
      <c r="B59" s="805"/>
      <c r="C59" s="807" t="s">
        <v>482</v>
      </c>
      <c r="D59" s="807"/>
      <c r="E59" s="808"/>
      <c r="F59" s="797" t="s">
        <v>466</v>
      </c>
      <c r="G59" s="425" t="s">
        <v>701</v>
      </c>
      <c r="H59" s="424"/>
      <c r="I59" s="424"/>
      <c r="J59" s="424"/>
      <c r="K59" s="424"/>
      <c r="N59" s="440"/>
    </row>
    <row r="60" spans="1:14" ht="14.65" thickBot="1" x14ac:dyDescent="0.5">
      <c r="A60" s="805"/>
      <c r="B60" s="805"/>
      <c r="C60" s="810"/>
      <c r="D60" s="810"/>
      <c r="E60" s="811"/>
      <c r="F60" s="797"/>
      <c r="G60" s="397" t="s">
        <v>467</v>
      </c>
      <c r="H60" s="424"/>
      <c r="I60" s="424"/>
      <c r="J60" s="424"/>
      <c r="K60" s="424"/>
      <c r="N60" s="440"/>
    </row>
    <row r="61" spans="1:14" ht="14.65" thickBot="1" x14ac:dyDescent="0.5">
      <c r="A61" s="805"/>
      <c r="B61" s="805"/>
      <c r="C61" s="810"/>
      <c r="D61" s="810"/>
      <c r="E61" s="811"/>
      <c r="F61" s="798"/>
      <c r="G61" s="397" t="s">
        <v>468</v>
      </c>
      <c r="H61" s="424"/>
      <c r="I61" s="424"/>
      <c r="J61" s="424"/>
      <c r="K61" s="424"/>
      <c r="N61" s="440"/>
    </row>
    <row r="62" spans="1:14" ht="14.65" thickBot="1" x14ac:dyDescent="0.5">
      <c r="A62" s="805"/>
      <c r="B62" s="805"/>
      <c r="C62" s="810"/>
      <c r="D62" s="810"/>
      <c r="E62" s="811"/>
      <c r="F62" s="799" t="s">
        <v>469</v>
      </c>
      <c r="G62" s="397" t="s">
        <v>185</v>
      </c>
      <c r="H62" s="424"/>
      <c r="I62" s="424"/>
      <c r="J62" s="424"/>
      <c r="K62" s="424"/>
      <c r="N62" s="440"/>
    </row>
    <row r="63" spans="1:14" ht="14.65" thickBot="1" x14ac:dyDescent="0.5">
      <c r="A63" s="805"/>
      <c r="B63" s="805"/>
      <c r="C63" s="810"/>
      <c r="D63" s="810"/>
      <c r="E63" s="811"/>
      <c r="F63" s="800"/>
      <c r="G63" s="397" t="s">
        <v>470</v>
      </c>
      <c r="H63" s="424"/>
      <c r="I63" s="424"/>
      <c r="J63" s="424"/>
      <c r="K63" s="424"/>
      <c r="N63" s="440"/>
    </row>
    <row r="64" spans="1:14" ht="14.65" thickBot="1" x14ac:dyDescent="0.5">
      <c r="A64" s="805"/>
      <c r="B64" s="805"/>
      <c r="C64" s="810"/>
      <c r="D64" s="810"/>
      <c r="E64" s="811"/>
      <c r="F64" s="800"/>
      <c r="G64" s="397" t="s">
        <v>471</v>
      </c>
      <c r="H64" s="424"/>
      <c r="I64" s="424"/>
      <c r="J64" s="424"/>
      <c r="K64" s="424"/>
      <c r="N64" s="440"/>
    </row>
    <row r="65" spans="1:14" ht="14.65" thickBot="1" x14ac:dyDescent="0.5">
      <c r="A65" s="805"/>
      <c r="B65" s="805"/>
      <c r="C65" s="810"/>
      <c r="D65" s="810"/>
      <c r="E65" s="811"/>
      <c r="F65" s="801"/>
      <c r="G65" s="397" t="s">
        <v>472</v>
      </c>
      <c r="H65" s="424"/>
      <c r="I65" s="424"/>
      <c r="J65" s="424"/>
      <c r="K65" s="424"/>
      <c r="N65" s="440"/>
    </row>
    <row r="66" spans="1:14" ht="14.65" thickBot="1" x14ac:dyDescent="0.5">
      <c r="A66" s="805"/>
      <c r="B66" s="805"/>
      <c r="C66" s="810"/>
      <c r="D66" s="810"/>
      <c r="E66" s="811"/>
      <c r="F66" s="799" t="s">
        <v>473</v>
      </c>
      <c r="G66" s="397" t="s">
        <v>474</v>
      </c>
      <c r="H66" s="424"/>
      <c r="I66" s="424"/>
      <c r="J66" s="424"/>
      <c r="K66" s="424"/>
      <c r="N66" s="440"/>
    </row>
    <row r="67" spans="1:14" ht="14.65" thickBot="1" x14ac:dyDescent="0.5">
      <c r="A67" s="805"/>
      <c r="B67" s="805"/>
      <c r="C67" s="810"/>
      <c r="D67" s="810"/>
      <c r="E67" s="811"/>
      <c r="F67" s="797"/>
      <c r="G67" s="397" t="s">
        <v>475</v>
      </c>
      <c r="H67" s="424"/>
      <c r="I67" s="424"/>
      <c r="J67" s="424"/>
      <c r="K67" s="424"/>
      <c r="N67" s="440"/>
    </row>
    <row r="68" spans="1:14" ht="14.65" thickBot="1" x14ac:dyDescent="0.5">
      <c r="A68" s="805"/>
      <c r="B68" s="805"/>
      <c r="C68" s="810"/>
      <c r="D68" s="810"/>
      <c r="E68" s="811"/>
      <c r="F68" s="798"/>
      <c r="G68" s="398" t="s">
        <v>476</v>
      </c>
      <c r="H68" s="424"/>
      <c r="I68" s="424"/>
      <c r="J68" s="424"/>
      <c r="K68" s="424"/>
      <c r="N68" s="440"/>
    </row>
    <row r="69" spans="1:14" ht="35.1" customHeight="1" thickBot="1" x14ac:dyDescent="0.5">
      <c r="A69" s="814"/>
      <c r="B69" s="814"/>
      <c r="C69" s="817"/>
      <c r="D69" s="817"/>
      <c r="E69" s="818"/>
      <c r="F69" s="802" t="s">
        <v>810</v>
      </c>
      <c r="G69" s="803"/>
      <c r="H69" s="424"/>
      <c r="I69" s="424"/>
      <c r="J69" s="424"/>
      <c r="K69" s="424"/>
      <c r="N69" s="440"/>
    </row>
  </sheetData>
  <sheetProtection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203" priority="11">
      <formula>LEN(TRIM(H11))=0</formula>
    </cfRule>
  </conditionalFormatting>
  <conditionalFormatting sqref="H23:K33">
    <cfRule type="expression" dxfId="202" priority="10">
      <formula>LEN(TRIM(H23))=0</formula>
    </cfRule>
  </conditionalFormatting>
  <conditionalFormatting sqref="H35:K45">
    <cfRule type="expression" dxfId="201" priority="3">
      <formula>LEN(TRIM(H35))=0</formula>
    </cfRule>
  </conditionalFormatting>
  <conditionalFormatting sqref="H47:K57">
    <cfRule type="expression" dxfId="200" priority="2">
      <formula>LEN(TRIM(H47))=0</formula>
    </cfRule>
  </conditionalFormatting>
  <conditionalFormatting sqref="H59:K69">
    <cfRule type="expression" dxfId="199" priority="1">
      <formula>LEN(TRIM(H59))=0</formula>
    </cfRule>
  </conditionalFormatting>
  <dataValidations count="1">
    <dataValidation errorStyle="information" allowBlank="1" showInputMessage="1" showErrorMessage="1" errorTitle="Kennzahl" promptTitle="Kennzahl" sqref="A7 B7:B8" xr:uid="{00000000-0002-0000-09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D181"/>
  <sheetViews>
    <sheetView workbookViewId="0">
      <selection activeCell="H112" sqref="H112"/>
    </sheetView>
  </sheetViews>
  <sheetFormatPr baseColWidth="10" defaultColWidth="9.1328125" defaultRowHeight="14.25" x14ac:dyDescent="0.45"/>
  <cols>
    <col min="1" max="1" width="9" style="436" customWidth="1"/>
    <col min="2" max="2" width="82.3984375" style="430" customWidth="1"/>
    <col min="3" max="3" width="12.59765625" style="437" customWidth="1"/>
    <col min="4" max="4" width="12.86328125" style="437" customWidth="1"/>
    <col min="5" max="16384" width="9.1328125" style="430"/>
  </cols>
  <sheetData>
    <row r="1" spans="1:4" x14ac:dyDescent="0.45">
      <c r="A1" s="428" t="s">
        <v>93</v>
      </c>
      <c r="B1" s="429" t="s">
        <v>86</v>
      </c>
      <c r="C1" s="429" t="s">
        <v>94</v>
      </c>
      <c r="D1" s="429" t="s">
        <v>84</v>
      </c>
    </row>
    <row r="2" spans="1:4" x14ac:dyDescent="0.45">
      <c r="A2" s="431" t="s">
        <v>605</v>
      </c>
      <c r="B2" s="432" t="s">
        <v>485</v>
      </c>
      <c r="C2" s="433" t="str">
        <f>IF('Kennzahlenbogen plus'!H10 = "", "",'Kennzahlenbogen plus'!H10)</f>
        <v/>
      </c>
      <c r="D2" s="433" t="str">
        <f>IF('Kennzahlenbogen plus'!I10 = "", "",'Kennzahlenbogen plus'!I10)</f>
        <v/>
      </c>
    </row>
    <row r="3" spans="1:4" x14ac:dyDescent="0.45">
      <c r="A3" s="431" t="s">
        <v>653</v>
      </c>
      <c r="B3" s="432" t="s">
        <v>486</v>
      </c>
      <c r="C3" s="433" t="str">
        <f>IF('Kennzahlenbogen plus'!J10 = "", "",'Kennzahlenbogen plus'!J10)</f>
        <v/>
      </c>
      <c r="D3" s="433" t="str">
        <f>IF('Kennzahlenbogen plus'!K10 = "", "",'Kennzahlenbogen plus'!K10)</f>
        <v/>
      </c>
    </row>
    <row r="4" spans="1:4" x14ac:dyDescent="0.45">
      <c r="A4" s="431" t="s">
        <v>703</v>
      </c>
      <c r="B4" s="432" t="s">
        <v>702</v>
      </c>
      <c r="C4" s="438" t="str">
        <f>IF(AND('Kennzahlenbogen plus'!H10 = "",'Kennzahlenbogen plus'!J10 = ""),"",SUM('Kennzahlenbogen plus'!H10,'Kennzahlenbogen plus'!J10))</f>
        <v/>
      </c>
      <c r="D4" s="438" t="str">
        <f>IF(AND('Kennzahlenbogen plus'!I10 = "",'Kennzahlenbogen plus'!K10 = ""),"",SUM('Kennzahlenbogen plus'!I10,'Kennzahlenbogen plus'!K10))</f>
        <v/>
      </c>
    </row>
    <row r="5" spans="1:4" x14ac:dyDescent="0.45">
      <c r="A5" s="431" t="s">
        <v>606</v>
      </c>
      <c r="B5" s="432" t="s">
        <v>487</v>
      </c>
      <c r="C5" s="434" t="str">
        <f>IF('Kennzahlenbogen plus'!H11 = "", "",'Kennzahlenbogen plus'!H11)</f>
        <v/>
      </c>
      <c r="D5" s="434" t="str">
        <f>IF('Kennzahlenbogen plus'!I11 = "", "",'Kennzahlenbogen plus'!I11)</f>
        <v/>
      </c>
    </row>
    <row r="6" spans="1:4" x14ac:dyDescent="0.45">
      <c r="A6" s="431" t="s">
        <v>654</v>
      </c>
      <c r="B6" s="432" t="s">
        <v>546</v>
      </c>
      <c r="C6" s="434" t="str">
        <f>IF('Kennzahlenbogen plus'!J11 = "", "",'Kennzahlenbogen plus'!J11)</f>
        <v/>
      </c>
      <c r="D6" s="434" t="str">
        <f>IF('Kennzahlenbogen plus'!K11 = "", "",'Kennzahlenbogen plus'!K11)</f>
        <v/>
      </c>
    </row>
    <row r="7" spans="1:4" x14ac:dyDescent="0.45">
      <c r="A7" s="431" t="s">
        <v>704</v>
      </c>
      <c r="B7" s="432" t="s">
        <v>751</v>
      </c>
      <c r="C7" s="439" t="str">
        <f>IF(AND('Kennzahlenbogen plus'!H11 = "",'Kennzahlenbogen plus'!J11 = ""),"",SUM('Kennzahlenbogen plus'!H11,'Kennzahlenbogen plus'!J11))</f>
        <v/>
      </c>
      <c r="D7" s="439" t="str">
        <f>IF(AND('Kennzahlenbogen plus'!I11 = "",'Kennzahlenbogen plus'!K11 = ""),"",SUM('Kennzahlenbogen plus'!I11,'Kennzahlenbogen plus'!K11))</f>
        <v/>
      </c>
    </row>
    <row r="8" spans="1:4" x14ac:dyDescent="0.45">
      <c r="A8" s="431" t="s">
        <v>607</v>
      </c>
      <c r="B8" s="432" t="s">
        <v>488</v>
      </c>
      <c r="C8" s="434" t="str">
        <f>IF('Kennzahlenbogen plus'!H12 = "", "",'Kennzahlenbogen plus'!H12)</f>
        <v/>
      </c>
      <c r="D8" s="434" t="str">
        <f>IF('Kennzahlenbogen plus'!I12 = "", "",'Kennzahlenbogen plus'!I12)</f>
        <v/>
      </c>
    </row>
    <row r="9" spans="1:4" x14ac:dyDescent="0.45">
      <c r="A9" s="431" t="s">
        <v>655</v>
      </c>
      <c r="B9" s="432" t="s">
        <v>547</v>
      </c>
      <c r="C9" s="434" t="str">
        <f>IF('Kennzahlenbogen plus'!J12 = "", "",'Kennzahlenbogen plus'!J12)</f>
        <v/>
      </c>
      <c r="D9" s="434" t="str">
        <f>IF('Kennzahlenbogen plus'!K12 = "", "",'Kennzahlenbogen plus'!K12)</f>
        <v/>
      </c>
    </row>
    <row r="10" spans="1:4" x14ac:dyDescent="0.45">
      <c r="A10" s="431" t="s">
        <v>705</v>
      </c>
      <c r="B10" s="432" t="s">
        <v>752</v>
      </c>
      <c r="C10" s="439" t="str">
        <f>IF(AND('Kennzahlenbogen plus'!H12 = "",'Kennzahlenbogen plus'!J12 = ""),"",SUM('Kennzahlenbogen plus'!H12,'Kennzahlenbogen plus'!J12))</f>
        <v/>
      </c>
      <c r="D10" s="439" t="str">
        <f>IF(AND('Kennzahlenbogen plus'!I12 = "",'Kennzahlenbogen plus'!K12 = ""),"",SUM('Kennzahlenbogen plus'!I12,'Kennzahlenbogen plus'!K12))</f>
        <v/>
      </c>
    </row>
    <row r="11" spans="1:4" x14ac:dyDescent="0.45">
      <c r="A11" s="431" t="s">
        <v>608</v>
      </c>
      <c r="B11" s="432" t="s">
        <v>489</v>
      </c>
      <c r="C11" s="434" t="str">
        <f>IF('Kennzahlenbogen plus'!H13 = "", "",'Kennzahlenbogen plus'!H13)</f>
        <v/>
      </c>
      <c r="D11" s="434" t="str">
        <f>IF('Kennzahlenbogen plus'!I13 = "", "",'Kennzahlenbogen plus'!I13)</f>
        <v/>
      </c>
    </row>
    <row r="12" spans="1:4" x14ac:dyDescent="0.45">
      <c r="A12" s="431" t="s">
        <v>656</v>
      </c>
      <c r="B12" s="432" t="s">
        <v>548</v>
      </c>
      <c r="C12" s="434" t="str">
        <f>IF('Kennzahlenbogen plus'!J13 = "", "",'Kennzahlenbogen plus'!J13)</f>
        <v/>
      </c>
      <c r="D12" s="434" t="str">
        <f>IF('Kennzahlenbogen plus'!K13 = "", "",'Kennzahlenbogen plus'!K13)</f>
        <v/>
      </c>
    </row>
    <row r="13" spans="1:4" x14ac:dyDescent="0.45">
      <c r="A13" s="431" t="s">
        <v>706</v>
      </c>
      <c r="B13" s="432" t="s">
        <v>753</v>
      </c>
      <c r="C13" s="439" t="str">
        <f>IF(AND('Kennzahlenbogen plus'!H13 = "",'Kennzahlenbogen plus'!J13 = ""),"",SUM('Kennzahlenbogen plus'!H13,'Kennzahlenbogen plus'!J13))</f>
        <v/>
      </c>
      <c r="D13" s="439" t="str">
        <f>IF(AND('Kennzahlenbogen plus'!I13 = "",'Kennzahlenbogen plus'!K13 = ""),"",SUM('Kennzahlenbogen plus'!I13,'Kennzahlenbogen plus'!K13))</f>
        <v/>
      </c>
    </row>
    <row r="14" spans="1:4" x14ac:dyDescent="0.45">
      <c r="A14" s="431" t="s">
        <v>609</v>
      </c>
      <c r="B14" s="432" t="s">
        <v>490</v>
      </c>
      <c r="C14" s="434" t="str">
        <f>IF('Kennzahlenbogen plus'!H14 = "", "",'Kennzahlenbogen plus'!H14)</f>
        <v/>
      </c>
      <c r="D14" s="434" t="str">
        <f>IF('Kennzahlenbogen plus'!I14 = "", "",'Kennzahlenbogen plus'!I14)</f>
        <v/>
      </c>
    </row>
    <row r="15" spans="1:4" x14ac:dyDescent="0.45">
      <c r="A15" s="431" t="s">
        <v>657</v>
      </c>
      <c r="B15" s="432" t="s">
        <v>549</v>
      </c>
      <c r="C15" s="434" t="str">
        <f>IF('Kennzahlenbogen plus'!J14 = "", "",'Kennzahlenbogen plus'!J14)</f>
        <v/>
      </c>
      <c r="D15" s="434" t="str">
        <f>IF('Kennzahlenbogen plus'!K14 = "", "",'Kennzahlenbogen plus'!K14)</f>
        <v/>
      </c>
    </row>
    <row r="16" spans="1:4" x14ac:dyDescent="0.45">
      <c r="A16" s="431" t="s">
        <v>707</v>
      </c>
      <c r="B16" s="432" t="s">
        <v>754</v>
      </c>
      <c r="C16" s="439" t="str">
        <f>IF(AND('Kennzahlenbogen plus'!H14 = "",'Kennzahlenbogen plus'!J14 = ""),"",SUM('Kennzahlenbogen plus'!H14,'Kennzahlenbogen plus'!J14))</f>
        <v/>
      </c>
      <c r="D16" s="439" t="str">
        <f>IF(AND('Kennzahlenbogen plus'!I14 = "",'Kennzahlenbogen plus'!K14 = ""),"",SUM('Kennzahlenbogen plus'!I14,'Kennzahlenbogen plus'!K14))</f>
        <v/>
      </c>
    </row>
    <row r="17" spans="1:4" x14ac:dyDescent="0.45">
      <c r="A17" s="431" t="s">
        <v>610</v>
      </c>
      <c r="B17" s="432" t="s">
        <v>491</v>
      </c>
      <c r="C17" s="434" t="str">
        <f>IF('Kennzahlenbogen plus'!H15 = "", "",'Kennzahlenbogen plus'!H15)</f>
        <v/>
      </c>
      <c r="D17" s="434" t="str">
        <f>IF('Kennzahlenbogen plus'!I15 = "", "",'Kennzahlenbogen plus'!I15)</f>
        <v/>
      </c>
    </row>
    <row r="18" spans="1:4" x14ac:dyDescent="0.45">
      <c r="A18" s="431" t="s">
        <v>658</v>
      </c>
      <c r="B18" s="432" t="s">
        <v>550</v>
      </c>
      <c r="C18" s="434" t="str">
        <f>IF('Kennzahlenbogen plus'!J15 = "", "",'Kennzahlenbogen plus'!J15)</f>
        <v/>
      </c>
      <c r="D18" s="434" t="str">
        <f>IF('Kennzahlenbogen plus'!K15 = "", "",'Kennzahlenbogen plus'!K15)</f>
        <v/>
      </c>
    </row>
    <row r="19" spans="1:4" x14ac:dyDescent="0.45">
      <c r="A19" s="431" t="s">
        <v>708</v>
      </c>
      <c r="B19" s="432" t="s">
        <v>755</v>
      </c>
      <c r="C19" s="439" t="str">
        <f>IF(AND('Kennzahlenbogen plus'!H15 = "",'Kennzahlenbogen plus'!J15 = ""),"",SUM('Kennzahlenbogen plus'!H15,'Kennzahlenbogen plus'!J15))</f>
        <v/>
      </c>
      <c r="D19" s="439" t="str">
        <f>IF(AND('Kennzahlenbogen plus'!I15 = "",'Kennzahlenbogen plus'!K15 = ""),"",SUM('Kennzahlenbogen plus'!I15,'Kennzahlenbogen plus'!K15))</f>
        <v/>
      </c>
    </row>
    <row r="20" spans="1:4" x14ac:dyDescent="0.45">
      <c r="A20" s="431" t="s">
        <v>611</v>
      </c>
      <c r="B20" s="432" t="s">
        <v>492</v>
      </c>
      <c r="C20" s="434" t="str">
        <f>IF('Kennzahlenbogen plus'!H16 = "", "",'Kennzahlenbogen plus'!H16)</f>
        <v/>
      </c>
      <c r="D20" s="434" t="str">
        <f>IF('Kennzahlenbogen plus'!I16 = "", "",'Kennzahlenbogen plus'!I16)</f>
        <v/>
      </c>
    </row>
    <row r="21" spans="1:4" x14ac:dyDescent="0.45">
      <c r="A21" s="431" t="s">
        <v>659</v>
      </c>
      <c r="B21" s="432" t="s">
        <v>551</v>
      </c>
      <c r="C21" s="434" t="str">
        <f>IF('Kennzahlenbogen plus'!J16 = "", "",'Kennzahlenbogen plus'!J16)</f>
        <v/>
      </c>
      <c r="D21" s="434" t="str">
        <f>IF('Kennzahlenbogen plus'!K16 = "", "",'Kennzahlenbogen plus'!K16)</f>
        <v/>
      </c>
    </row>
    <row r="22" spans="1:4" x14ac:dyDescent="0.45">
      <c r="A22" s="431" t="s">
        <v>709</v>
      </c>
      <c r="B22" s="432" t="s">
        <v>756</v>
      </c>
      <c r="C22" s="439" t="str">
        <f>IF(AND('Kennzahlenbogen plus'!H16 = "",'Kennzahlenbogen plus'!J16 = ""),"",SUM('Kennzahlenbogen plus'!H16,'Kennzahlenbogen plus'!J16))</f>
        <v/>
      </c>
      <c r="D22" s="439" t="str">
        <f>IF(AND('Kennzahlenbogen plus'!I16 = "",'Kennzahlenbogen plus'!K16 = ""),"",SUM('Kennzahlenbogen plus'!I16,'Kennzahlenbogen plus'!K16))</f>
        <v/>
      </c>
    </row>
    <row r="23" spans="1:4" x14ac:dyDescent="0.45">
      <c r="A23" s="431" t="s">
        <v>612</v>
      </c>
      <c r="B23" s="432" t="s">
        <v>493</v>
      </c>
      <c r="C23" s="434" t="str">
        <f>IF('Kennzahlenbogen plus'!H17 = "", "",'Kennzahlenbogen plus'!H17)</f>
        <v/>
      </c>
      <c r="D23" s="434" t="str">
        <f>IF('Kennzahlenbogen plus'!I17 = "", "",'Kennzahlenbogen plus'!I17)</f>
        <v/>
      </c>
    </row>
    <row r="24" spans="1:4" x14ac:dyDescent="0.45">
      <c r="A24" s="431" t="s">
        <v>660</v>
      </c>
      <c r="B24" s="432" t="s">
        <v>552</v>
      </c>
      <c r="C24" s="434" t="str">
        <f>IF('Kennzahlenbogen plus'!J17 = "", "",'Kennzahlenbogen plus'!J17)</f>
        <v/>
      </c>
      <c r="D24" s="434" t="str">
        <f>IF('Kennzahlenbogen plus'!K17 = "", "",'Kennzahlenbogen plus'!K17)</f>
        <v/>
      </c>
    </row>
    <row r="25" spans="1:4" x14ac:dyDescent="0.45">
      <c r="A25" s="431" t="s">
        <v>710</v>
      </c>
      <c r="B25" s="432" t="s">
        <v>757</v>
      </c>
      <c r="C25" s="439" t="str">
        <f>IF(AND('Kennzahlenbogen plus'!H17 = "",'Kennzahlenbogen plus'!J17 = ""),"",SUM('Kennzahlenbogen plus'!H17,'Kennzahlenbogen plus'!J17))</f>
        <v/>
      </c>
      <c r="D25" s="439" t="str">
        <f>IF(AND('Kennzahlenbogen plus'!I17 = "",'Kennzahlenbogen plus'!K17 = ""),"",SUM('Kennzahlenbogen plus'!I17,'Kennzahlenbogen plus'!K17))</f>
        <v/>
      </c>
    </row>
    <row r="26" spans="1:4" x14ac:dyDescent="0.45">
      <c r="A26" s="431" t="s">
        <v>613</v>
      </c>
      <c r="B26" s="432" t="s">
        <v>494</v>
      </c>
      <c r="C26" s="434" t="str">
        <f>IF('Kennzahlenbogen plus'!H18= "", "",'Kennzahlenbogen plus'!H18)</f>
        <v/>
      </c>
      <c r="D26" s="434" t="str">
        <f>IF('Kennzahlenbogen plus'!I18= "", "",'Kennzahlenbogen plus'!I18)</f>
        <v/>
      </c>
    </row>
    <row r="27" spans="1:4" x14ac:dyDescent="0.45">
      <c r="A27" s="431" t="s">
        <v>661</v>
      </c>
      <c r="B27" s="432" t="s">
        <v>553</v>
      </c>
      <c r="C27" s="434" t="str">
        <f>IF('Kennzahlenbogen plus'!J18 = "", "",'Kennzahlenbogen plus'!J18)</f>
        <v/>
      </c>
      <c r="D27" s="434" t="str">
        <f>IF('Kennzahlenbogen plus'!K18 = "", "",'Kennzahlenbogen plus'!K18)</f>
        <v/>
      </c>
    </row>
    <row r="28" spans="1:4" x14ac:dyDescent="0.45">
      <c r="A28" s="431" t="s">
        <v>711</v>
      </c>
      <c r="B28" s="432" t="s">
        <v>758</v>
      </c>
      <c r="C28" s="439" t="str">
        <f>IF(AND('Kennzahlenbogen plus'!H18 = "",'Kennzahlenbogen plus'!J18 = ""),"",SUM('Kennzahlenbogen plus'!H18,'Kennzahlenbogen plus'!J18))</f>
        <v/>
      </c>
      <c r="D28" s="439" t="str">
        <f>IF(AND('Kennzahlenbogen plus'!I18 = "",'Kennzahlenbogen plus'!K18 = ""),"",SUM('Kennzahlenbogen plus'!I18,'Kennzahlenbogen plus'!K18))</f>
        <v/>
      </c>
    </row>
    <row r="29" spans="1:4" x14ac:dyDescent="0.45">
      <c r="A29" s="431" t="s">
        <v>614</v>
      </c>
      <c r="B29" s="432" t="s">
        <v>495</v>
      </c>
      <c r="C29" s="434" t="str">
        <f>IF('Kennzahlenbogen plus'!H19 = "", "",'Kennzahlenbogen plus'!H19)</f>
        <v/>
      </c>
      <c r="D29" s="434" t="str">
        <f>IF('Kennzahlenbogen plus'!I19 = "", "",'Kennzahlenbogen plus'!I19)</f>
        <v/>
      </c>
    </row>
    <row r="30" spans="1:4" x14ac:dyDescent="0.45">
      <c r="A30" s="431" t="s">
        <v>662</v>
      </c>
      <c r="B30" s="432" t="s">
        <v>554</v>
      </c>
      <c r="C30" s="434" t="str">
        <f>IF('Kennzahlenbogen plus'!J19 = "", "",'Kennzahlenbogen plus'!J19)</f>
        <v/>
      </c>
      <c r="D30" s="434" t="str">
        <f>IF('Kennzahlenbogen plus'!K19 = "", "",'Kennzahlenbogen plus'!K19)</f>
        <v/>
      </c>
    </row>
    <row r="31" spans="1:4" x14ac:dyDescent="0.45">
      <c r="A31" s="431" t="s">
        <v>712</v>
      </c>
      <c r="B31" s="432" t="s">
        <v>759</v>
      </c>
      <c r="C31" s="439" t="str">
        <f>IF(AND('Kennzahlenbogen plus'!H19 = "",'Kennzahlenbogen plus'!J19 = ""),"",SUM('Kennzahlenbogen plus'!H19,'Kennzahlenbogen plus'!J19))</f>
        <v/>
      </c>
      <c r="D31" s="439" t="str">
        <f>IF(AND('Kennzahlenbogen plus'!I19 = "",'Kennzahlenbogen plus'!K19 = ""),"",SUM('Kennzahlenbogen plus'!I19,'Kennzahlenbogen plus'!K19))</f>
        <v/>
      </c>
    </row>
    <row r="32" spans="1:4" x14ac:dyDescent="0.45">
      <c r="A32" s="431" t="s">
        <v>615</v>
      </c>
      <c r="B32" s="432" t="s">
        <v>496</v>
      </c>
      <c r="C32" s="434" t="str">
        <f>IF('Kennzahlenbogen plus'!H20 = "", "",'Kennzahlenbogen plus'!H20)</f>
        <v/>
      </c>
      <c r="D32" s="434" t="str">
        <f>IF('Kennzahlenbogen plus'!I20 = "", "",'Kennzahlenbogen plus'!I20)</f>
        <v/>
      </c>
    </row>
    <row r="33" spans="1:4" x14ac:dyDescent="0.45">
      <c r="A33" s="431" t="s">
        <v>663</v>
      </c>
      <c r="B33" s="432" t="s">
        <v>555</v>
      </c>
      <c r="C33" s="434" t="str">
        <f>IF('Kennzahlenbogen plus'!J20 = "", "",'Kennzahlenbogen plus'!J20)</f>
        <v/>
      </c>
      <c r="D33" s="434" t="str">
        <f>IF('Kennzahlenbogen plus'!K20 = "", "",'Kennzahlenbogen plus'!K20)</f>
        <v/>
      </c>
    </row>
    <row r="34" spans="1:4" x14ac:dyDescent="0.45">
      <c r="A34" s="431" t="s">
        <v>713</v>
      </c>
      <c r="B34" s="432" t="s">
        <v>760</v>
      </c>
      <c r="C34" s="439" t="str">
        <f>IF(AND('Kennzahlenbogen plus'!H20 = "",'Kennzahlenbogen plus'!J20 = ""),"",SUM('Kennzahlenbogen plus'!H20,'Kennzahlenbogen plus'!J20))</f>
        <v/>
      </c>
      <c r="D34" s="439" t="str">
        <f>IF(AND('Kennzahlenbogen plus'!I20 = "",'Kennzahlenbogen plus'!K20 = ""),"",SUM('Kennzahlenbogen plus'!I20,'Kennzahlenbogen plus'!K20))</f>
        <v/>
      </c>
    </row>
    <row r="35" spans="1:4" x14ac:dyDescent="0.45">
      <c r="A35" s="431" t="s">
        <v>616</v>
      </c>
      <c r="B35" s="432" t="s">
        <v>497</v>
      </c>
      <c r="C35" s="434" t="str">
        <f>IF('Kennzahlenbogen plus'!H21 = "", "",'Kennzahlenbogen plus'!H21)</f>
        <v/>
      </c>
      <c r="D35" s="434" t="str">
        <f>IF('Kennzahlenbogen plus'!I21 = "", "",'Kennzahlenbogen plus'!I21)</f>
        <v/>
      </c>
    </row>
    <row r="36" spans="1:4" x14ac:dyDescent="0.45">
      <c r="A36" s="431" t="s">
        <v>664</v>
      </c>
      <c r="B36" s="432" t="s">
        <v>556</v>
      </c>
      <c r="C36" s="434" t="str">
        <f>IF('Kennzahlenbogen plus'!J21 = "", "",'Kennzahlenbogen plus'!J21)</f>
        <v/>
      </c>
      <c r="D36" s="434" t="str">
        <f>IF('Kennzahlenbogen plus'!K21 = "", "",'Kennzahlenbogen plus'!K21)</f>
        <v/>
      </c>
    </row>
    <row r="37" spans="1:4" x14ac:dyDescent="0.45">
      <c r="A37" s="431" t="s">
        <v>714</v>
      </c>
      <c r="B37" s="432" t="s">
        <v>761</v>
      </c>
      <c r="C37" s="439" t="str">
        <f>IF(AND('Kennzahlenbogen plus'!H21 = "",'Kennzahlenbogen plus'!J21 = ""),"",SUM('Kennzahlenbogen plus'!H21,'Kennzahlenbogen plus'!J21))</f>
        <v/>
      </c>
      <c r="D37" s="439" t="str">
        <f>IF(AND('Kennzahlenbogen plus'!I21 = "",'Kennzahlenbogen plus'!K21 = ""),"",SUM('Kennzahlenbogen plus'!I21,'Kennzahlenbogen plus'!K21))</f>
        <v/>
      </c>
    </row>
    <row r="38" spans="1:4" x14ac:dyDescent="0.45">
      <c r="A38" s="431" t="s">
        <v>617</v>
      </c>
      <c r="B38" s="432" t="s">
        <v>498</v>
      </c>
      <c r="C38" s="434" t="str">
        <f>IF('Kennzahlenbogen plus'!H22 = "", "",'Kennzahlenbogen plus'!H22)</f>
        <v/>
      </c>
      <c r="D38" s="434" t="str">
        <f>IF('Kennzahlenbogen plus'!I22 = "", "",'Kennzahlenbogen plus'!I22)</f>
        <v/>
      </c>
    </row>
    <row r="39" spans="1:4" x14ac:dyDescent="0.45">
      <c r="A39" s="431" t="s">
        <v>665</v>
      </c>
      <c r="B39" s="432" t="s">
        <v>557</v>
      </c>
      <c r="C39" s="434" t="str">
        <f>IF('Kennzahlenbogen plus'!J22 = "", "",'Kennzahlenbogen plus'!J22)</f>
        <v/>
      </c>
      <c r="D39" s="434" t="str">
        <f>IF('Kennzahlenbogen plus'!K22 = "", "",'Kennzahlenbogen plus'!K22)</f>
        <v/>
      </c>
    </row>
    <row r="40" spans="1:4" x14ac:dyDescent="0.45">
      <c r="A40" s="431" t="s">
        <v>715</v>
      </c>
      <c r="B40" s="432" t="s">
        <v>762</v>
      </c>
      <c r="C40" s="439" t="str">
        <f>IF(AND('Kennzahlenbogen plus'!H22 = "",'Kennzahlenbogen plus'!J22 = ""),"",SUM('Kennzahlenbogen plus'!H22,'Kennzahlenbogen plus'!J22))</f>
        <v/>
      </c>
      <c r="D40" s="439" t="str">
        <f>IF(AND('Kennzahlenbogen plus'!I22 = "",'Kennzahlenbogen plus'!K22 = ""),"",SUM('Kennzahlenbogen plus'!I22,'Kennzahlenbogen plus'!K22))</f>
        <v/>
      </c>
    </row>
    <row r="41" spans="1:4" x14ac:dyDescent="0.45">
      <c r="A41" s="431" t="s">
        <v>618</v>
      </c>
      <c r="B41" s="432" t="s">
        <v>499</v>
      </c>
      <c r="C41" s="434" t="str">
        <f>IF('Kennzahlenbogen plus'!H23 = "", "",'Kennzahlenbogen plus'!H23)</f>
        <v/>
      </c>
      <c r="D41" s="434" t="str">
        <f>IF('Kennzahlenbogen plus'!I23 = "", "",'Kennzahlenbogen plus'!I23)</f>
        <v/>
      </c>
    </row>
    <row r="42" spans="1:4" x14ac:dyDescent="0.45">
      <c r="A42" s="431" t="s">
        <v>666</v>
      </c>
      <c r="B42" s="432" t="s">
        <v>558</v>
      </c>
      <c r="C42" s="434" t="str">
        <f>IF('Kennzahlenbogen plus'!J23 = "", "",'Kennzahlenbogen plus'!J23)</f>
        <v/>
      </c>
      <c r="D42" s="434" t="str">
        <f>IF('Kennzahlenbogen plus'!K23 = "", "",'Kennzahlenbogen plus'!K23)</f>
        <v/>
      </c>
    </row>
    <row r="43" spans="1:4" x14ac:dyDescent="0.45">
      <c r="A43" s="431" t="s">
        <v>716</v>
      </c>
      <c r="B43" s="432" t="s">
        <v>763</v>
      </c>
      <c r="C43" s="439" t="str">
        <f>IF(AND('Kennzahlenbogen plus'!H23 = "",'Kennzahlenbogen plus'!J23 = ""),"",SUM('Kennzahlenbogen plus'!H23,'Kennzahlenbogen plus'!J23))</f>
        <v/>
      </c>
      <c r="D43" s="439" t="str">
        <f>IF(AND('Kennzahlenbogen plus'!I23 = "",'Kennzahlenbogen plus'!K23 = ""),"",SUM('Kennzahlenbogen plus'!I23,'Kennzahlenbogen plus'!K23))</f>
        <v/>
      </c>
    </row>
    <row r="44" spans="1:4" x14ac:dyDescent="0.45">
      <c r="A44" s="431" t="s">
        <v>619</v>
      </c>
      <c r="B44" s="432" t="s">
        <v>500</v>
      </c>
      <c r="C44" s="434" t="str">
        <f>IF('Kennzahlenbogen plus'!H24 = "", "",'Kennzahlenbogen plus'!H24)</f>
        <v/>
      </c>
      <c r="D44" s="434" t="str">
        <f>IF('Kennzahlenbogen plus'!I24 = "", "",'Kennzahlenbogen plus'!I24)</f>
        <v/>
      </c>
    </row>
    <row r="45" spans="1:4" x14ac:dyDescent="0.45">
      <c r="A45" s="431" t="s">
        <v>667</v>
      </c>
      <c r="B45" s="432" t="s">
        <v>559</v>
      </c>
      <c r="C45" s="434" t="str">
        <f>IF('Kennzahlenbogen plus'!J24= "", "",'Kennzahlenbogen plus'!J24)</f>
        <v/>
      </c>
      <c r="D45" s="434" t="str">
        <f>IF('Kennzahlenbogen plus'!K24= "", "",'Kennzahlenbogen plus'!K24)</f>
        <v/>
      </c>
    </row>
    <row r="46" spans="1:4" x14ac:dyDescent="0.45">
      <c r="A46" s="431" t="s">
        <v>717</v>
      </c>
      <c r="B46" s="432" t="s">
        <v>764</v>
      </c>
      <c r="C46" s="439" t="str">
        <f>IF(AND('Kennzahlenbogen plus'!H24 = "",'Kennzahlenbogen plus'!J24 = ""),"",SUM('Kennzahlenbogen plus'!H24,'Kennzahlenbogen plus'!J24))</f>
        <v/>
      </c>
      <c r="D46" s="439" t="str">
        <f>IF(AND('Kennzahlenbogen plus'!I24 = "",'Kennzahlenbogen plus'!K24 = ""),"",SUM('Kennzahlenbogen plus'!I24,'Kennzahlenbogen plus'!K24))</f>
        <v/>
      </c>
    </row>
    <row r="47" spans="1:4" x14ac:dyDescent="0.45">
      <c r="A47" s="431" t="s">
        <v>620</v>
      </c>
      <c r="B47" s="432" t="s">
        <v>501</v>
      </c>
      <c r="C47" s="434" t="str">
        <f>IF('Kennzahlenbogen plus'!H25 = "", "",'Kennzahlenbogen plus'!H25)</f>
        <v/>
      </c>
      <c r="D47" s="434" t="str">
        <f>IF('Kennzahlenbogen plus'!I25 = "", "",'Kennzahlenbogen plus'!I25)</f>
        <v/>
      </c>
    </row>
    <row r="48" spans="1:4" x14ac:dyDescent="0.45">
      <c r="A48" s="431" t="s">
        <v>668</v>
      </c>
      <c r="B48" s="432" t="s">
        <v>560</v>
      </c>
      <c r="C48" s="434" t="str">
        <f>IF('Kennzahlenbogen plus'!J25 = "", "",'Kennzahlenbogen plus'!J25)</f>
        <v/>
      </c>
      <c r="D48" s="434" t="str">
        <f>IF('Kennzahlenbogen plus'!K25 = "", "",'Kennzahlenbogen plus'!K25)</f>
        <v/>
      </c>
    </row>
    <row r="49" spans="1:4" x14ac:dyDescent="0.45">
      <c r="A49" s="431" t="s">
        <v>718</v>
      </c>
      <c r="B49" s="432" t="s">
        <v>765</v>
      </c>
      <c r="C49" s="439" t="str">
        <f>IF(AND('Kennzahlenbogen plus'!H25 = "",'Kennzahlenbogen plus'!J25 = ""),"",SUM('Kennzahlenbogen plus'!H25,'Kennzahlenbogen plus'!J25))</f>
        <v/>
      </c>
      <c r="D49" s="439" t="str">
        <f>IF(AND('Kennzahlenbogen plus'!I25 = "",'Kennzahlenbogen plus'!K25 = ""),"",SUM('Kennzahlenbogen plus'!I25,'Kennzahlenbogen plus'!K25))</f>
        <v/>
      </c>
    </row>
    <row r="50" spans="1:4" x14ac:dyDescent="0.45">
      <c r="A50" s="431" t="s">
        <v>621</v>
      </c>
      <c r="B50" s="432" t="s">
        <v>502</v>
      </c>
      <c r="C50" s="434" t="str">
        <f>IF('Kennzahlenbogen plus'!H26= "", "",'Kennzahlenbogen plus'!H26)</f>
        <v/>
      </c>
      <c r="D50" s="434" t="str">
        <f>IF('Kennzahlenbogen plus'!I26= "", "",'Kennzahlenbogen plus'!I26)</f>
        <v/>
      </c>
    </row>
    <row r="51" spans="1:4" x14ac:dyDescent="0.45">
      <c r="A51" s="431" t="s">
        <v>669</v>
      </c>
      <c r="B51" s="432" t="s">
        <v>561</v>
      </c>
      <c r="C51" s="434" t="str">
        <f>IF('Kennzahlenbogen plus'!J26= "", "",'Kennzahlenbogen plus'!J26)</f>
        <v/>
      </c>
      <c r="D51" s="434" t="str">
        <f>IF('Kennzahlenbogen plus'!K26= "", "",'Kennzahlenbogen plus'!K26)</f>
        <v/>
      </c>
    </row>
    <row r="52" spans="1:4" x14ac:dyDescent="0.45">
      <c r="A52" s="431" t="s">
        <v>719</v>
      </c>
      <c r="B52" s="432" t="s">
        <v>766</v>
      </c>
      <c r="C52" s="439" t="str">
        <f>IF(AND('Kennzahlenbogen plus'!H26 = "",'Kennzahlenbogen plus'!J26 = ""),"",SUM('Kennzahlenbogen plus'!H26,'Kennzahlenbogen plus'!J26))</f>
        <v/>
      </c>
      <c r="D52" s="439" t="str">
        <f>IF(AND('Kennzahlenbogen plus'!I26 = "",'Kennzahlenbogen plus'!K26 = ""),"",SUM('Kennzahlenbogen plus'!I26,'Kennzahlenbogen plus'!K26))</f>
        <v/>
      </c>
    </row>
    <row r="53" spans="1:4" x14ac:dyDescent="0.45">
      <c r="A53" s="431" t="s">
        <v>622</v>
      </c>
      <c r="B53" s="432" t="s">
        <v>503</v>
      </c>
      <c r="C53" s="434" t="str">
        <f>IF('Kennzahlenbogen plus'!H27= "", "",'Kennzahlenbogen plus'!H27)</f>
        <v/>
      </c>
      <c r="D53" s="434" t="str">
        <f>IF('Kennzahlenbogen plus'!I27= "", "",'Kennzahlenbogen plus'!I27)</f>
        <v/>
      </c>
    </row>
    <row r="54" spans="1:4" x14ac:dyDescent="0.45">
      <c r="A54" s="431" t="s">
        <v>670</v>
      </c>
      <c r="B54" s="432" t="s">
        <v>562</v>
      </c>
      <c r="C54" s="434" t="str">
        <f>IF('Kennzahlenbogen plus'!J27= "", "",'Kennzahlenbogen plus'!J27)</f>
        <v/>
      </c>
      <c r="D54" s="434" t="str">
        <f>IF('Kennzahlenbogen plus'!K27= "", "",'Kennzahlenbogen plus'!K27)</f>
        <v/>
      </c>
    </row>
    <row r="55" spans="1:4" x14ac:dyDescent="0.45">
      <c r="A55" s="431" t="s">
        <v>720</v>
      </c>
      <c r="B55" s="432" t="s">
        <v>767</v>
      </c>
      <c r="C55" s="439" t="str">
        <f>IF(AND('Kennzahlenbogen plus'!H27 = "",'Kennzahlenbogen plus'!J27 = ""),"",SUM('Kennzahlenbogen plus'!H27,'Kennzahlenbogen plus'!J27))</f>
        <v/>
      </c>
      <c r="D55" s="439" t="str">
        <f>IF(AND('Kennzahlenbogen plus'!I27 = "",'Kennzahlenbogen plus'!K27 = ""),"",SUM('Kennzahlenbogen plus'!I27,'Kennzahlenbogen plus'!K27))</f>
        <v/>
      </c>
    </row>
    <row r="56" spans="1:4" x14ac:dyDescent="0.45">
      <c r="A56" s="431" t="s">
        <v>623</v>
      </c>
      <c r="B56" s="432" t="s">
        <v>504</v>
      </c>
      <c r="C56" s="434" t="str">
        <f>IF('Kennzahlenbogen plus'!H28= "", "",'Kennzahlenbogen plus'!H28)</f>
        <v/>
      </c>
      <c r="D56" s="434" t="str">
        <f>IF('Kennzahlenbogen plus'!I28= "", "",'Kennzahlenbogen plus'!I28)</f>
        <v/>
      </c>
    </row>
    <row r="57" spans="1:4" x14ac:dyDescent="0.45">
      <c r="A57" s="431" t="s">
        <v>671</v>
      </c>
      <c r="B57" s="432" t="s">
        <v>563</v>
      </c>
      <c r="C57" s="434" t="str">
        <f>IF('Kennzahlenbogen plus'!J28= "", "",'Kennzahlenbogen plus'!J28)</f>
        <v/>
      </c>
      <c r="D57" s="434" t="str">
        <f>IF('Kennzahlenbogen plus'!K28= "", "",'Kennzahlenbogen plus'!K28)</f>
        <v/>
      </c>
    </row>
    <row r="58" spans="1:4" x14ac:dyDescent="0.45">
      <c r="A58" s="431" t="s">
        <v>721</v>
      </c>
      <c r="B58" s="432" t="s">
        <v>768</v>
      </c>
      <c r="C58" s="439" t="str">
        <f>IF(AND('Kennzahlenbogen plus'!H28 = "",'Kennzahlenbogen plus'!J28 = ""),"",SUM('Kennzahlenbogen plus'!H28,'Kennzahlenbogen plus'!J28))</f>
        <v/>
      </c>
      <c r="D58" s="439" t="str">
        <f>IF(AND('Kennzahlenbogen plus'!I28 = "",'Kennzahlenbogen plus'!K28 = ""),"",SUM('Kennzahlenbogen plus'!I28,'Kennzahlenbogen plus'!K28))</f>
        <v/>
      </c>
    </row>
    <row r="59" spans="1:4" x14ac:dyDescent="0.45">
      <c r="A59" s="431" t="s">
        <v>624</v>
      </c>
      <c r="B59" s="432" t="s">
        <v>505</v>
      </c>
      <c r="C59" s="434" t="str">
        <f>IF('Kennzahlenbogen plus'!H29= "", "",'Kennzahlenbogen plus'!H29)</f>
        <v/>
      </c>
      <c r="D59" s="434" t="str">
        <f>IF('Kennzahlenbogen plus'!I29= "", "",'Kennzahlenbogen plus'!I29)</f>
        <v/>
      </c>
    </row>
    <row r="60" spans="1:4" x14ac:dyDescent="0.45">
      <c r="A60" s="431" t="s">
        <v>672</v>
      </c>
      <c r="B60" s="432" t="s">
        <v>564</v>
      </c>
      <c r="C60" s="434" t="str">
        <f>IF('Kennzahlenbogen plus'!J29= "", "",'Kennzahlenbogen plus'!J29)</f>
        <v/>
      </c>
      <c r="D60" s="434" t="str">
        <f>IF('Kennzahlenbogen plus'!K29= "", "",'Kennzahlenbogen plus'!K29)</f>
        <v/>
      </c>
    </row>
    <row r="61" spans="1:4" x14ac:dyDescent="0.45">
      <c r="A61" s="431" t="s">
        <v>722</v>
      </c>
      <c r="B61" s="432" t="s">
        <v>769</v>
      </c>
      <c r="C61" s="439" t="str">
        <f>IF(AND('Kennzahlenbogen plus'!H29 = "",'Kennzahlenbogen plus'!J29 = ""),"",SUM('Kennzahlenbogen plus'!H29,'Kennzahlenbogen plus'!J29))</f>
        <v/>
      </c>
      <c r="D61" s="439" t="str">
        <f>IF(AND('Kennzahlenbogen plus'!I29 = "",'Kennzahlenbogen plus'!K29 = ""),"",SUM('Kennzahlenbogen plus'!I29,'Kennzahlenbogen plus'!K29))</f>
        <v/>
      </c>
    </row>
    <row r="62" spans="1:4" x14ac:dyDescent="0.45">
      <c r="A62" s="431" t="s">
        <v>625</v>
      </c>
      <c r="B62" s="432" t="s">
        <v>506</v>
      </c>
      <c r="C62" s="434" t="str">
        <f>IF('Kennzahlenbogen plus'!H30= "", "",'Kennzahlenbogen plus'!H30)</f>
        <v/>
      </c>
      <c r="D62" s="434" t="str">
        <f>IF('Kennzahlenbogen plus'!I30= "", "",'Kennzahlenbogen plus'!I30)</f>
        <v/>
      </c>
    </row>
    <row r="63" spans="1:4" x14ac:dyDescent="0.45">
      <c r="A63" s="431" t="s">
        <v>673</v>
      </c>
      <c r="B63" s="432" t="s">
        <v>565</v>
      </c>
      <c r="C63" s="434" t="str">
        <f>IF('Kennzahlenbogen plus'!J30= "", "",'Kennzahlenbogen plus'!J30)</f>
        <v/>
      </c>
      <c r="D63" s="434" t="str">
        <f>IF('Kennzahlenbogen plus'!K30= "", "",'Kennzahlenbogen plus'!K30)</f>
        <v/>
      </c>
    </row>
    <row r="64" spans="1:4" x14ac:dyDescent="0.45">
      <c r="A64" s="431" t="s">
        <v>723</v>
      </c>
      <c r="B64" s="432" t="s">
        <v>770</v>
      </c>
      <c r="C64" s="439" t="str">
        <f>IF(AND('Kennzahlenbogen plus'!H30 = "",'Kennzahlenbogen plus'!J30 = ""),"",SUM('Kennzahlenbogen plus'!H30,'Kennzahlenbogen plus'!J30))</f>
        <v/>
      </c>
      <c r="D64" s="439" t="str">
        <f>IF(AND('Kennzahlenbogen plus'!I30 = "",'Kennzahlenbogen plus'!K30 = ""),"",SUM('Kennzahlenbogen plus'!I30,'Kennzahlenbogen plus'!K30))</f>
        <v/>
      </c>
    </row>
    <row r="65" spans="1:4" x14ac:dyDescent="0.45">
      <c r="A65" s="431" t="s">
        <v>626</v>
      </c>
      <c r="B65" s="432" t="s">
        <v>507</v>
      </c>
      <c r="C65" s="434" t="str">
        <f>IF('Kennzahlenbogen plus'!H31= "", "",'Kennzahlenbogen plus'!H31)</f>
        <v/>
      </c>
      <c r="D65" s="434" t="str">
        <f>IF('Kennzahlenbogen plus'!I31= "", "",'Kennzahlenbogen plus'!I31)</f>
        <v/>
      </c>
    </row>
    <row r="66" spans="1:4" x14ac:dyDescent="0.45">
      <c r="A66" s="431" t="s">
        <v>674</v>
      </c>
      <c r="B66" s="432" t="s">
        <v>566</v>
      </c>
      <c r="C66" s="434" t="str">
        <f>IF('Kennzahlenbogen plus'!J31= "", "",'Kennzahlenbogen plus'!J31)</f>
        <v/>
      </c>
      <c r="D66" s="434" t="str">
        <f>IF('Kennzahlenbogen plus'!K31= "", "",'Kennzahlenbogen plus'!K31)</f>
        <v/>
      </c>
    </row>
    <row r="67" spans="1:4" x14ac:dyDescent="0.45">
      <c r="A67" s="431" t="s">
        <v>724</v>
      </c>
      <c r="B67" s="432" t="s">
        <v>771</v>
      </c>
      <c r="C67" s="439" t="str">
        <f>IF(AND('Kennzahlenbogen plus'!H31 = "",'Kennzahlenbogen plus'!J31 = ""),"",SUM('Kennzahlenbogen plus'!H31,'Kennzahlenbogen plus'!J31))</f>
        <v/>
      </c>
      <c r="D67" s="439" t="str">
        <f>IF(AND('Kennzahlenbogen plus'!I31 = "",'Kennzahlenbogen plus'!K31 = ""),"",SUM('Kennzahlenbogen plus'!I31,'Kennzahlenbogen plus'!K31))</f>
        <v/>
      </c>
    </row>
    <row r="68" spans="1:4" x14ac:dyDescent="0.45">
      <c r="A68" s="431" t="s">
        <v>627</v>
      </c>
      <c r="B68" s="432" t="s">
        <v>508</v>
      </c>
      <c r="C68" s="434" t="str">
        <f>IF('Kennzahlenbogen plus'!H32= "", "",'Kennzahlenbogen plus'!H32)</f>
        <v/>
      </c>
      <c r="D68" s="434" t="str">
        <f>IF('Kennzahlenbogen plus'!I32= "", "",'Kennzahlenbogen plus'!I32)</f>
        <v/>
      </c>
    </row>
    <row r="69" spans="1:4" x14ac:dyDescent="0.45">
      <c r="A69" s="431" t="s">
        <v>675</v>
      </c>
      <c r="B69" s="432" t="s">
        <v>567</v>
      </c>
      <c r="C69" s="434" t="str">
        <f>IF('Kennzahlenbogen plus'!J32= "", "",'Kennzahlenbogen plus'!J32)</f>
        <v/>
      </c>
      <c r="D69" s="434" t="str">
        <f>IF('Kennzahlenbogen plus'!K32= "", "",'Kennzahlenbogen plus'!K32)</f>
        <v/>
      </c>
    </row>
    <row r="70" spans="1:4" x14ac:dyDescent="0.45">
      <c r="A70" s="431" t="s">
        <v>725</v>
      </c>
      <c r="B70" s="432" t="s">
        <v>772</v>
      </c>
      <c r="C70" s="439" t="str">
        <f>IF(AND('Kennzahlenbogen plus'!H32 = "",'Kennzahlenbogen plus'!J32 = ""),"",SUM('Kennzahlenbogen plus'!H32,'Kennzahlenbogen plus'!J32))</f>
        <v/>
      </c>
      <c r="D70" s="439" t="str">
        <f>IF(AND('Kennzahlenbogen plus'!I32 = "",'Kennzahlenbogen plus'!K32 = ""),"",SUM('Kennzahlenbogen plus'!I32,'Kennzahlenbogen plus'!K32))</f>
        <v/>
      </c>
    </row>
    <row r="71" spans="1:4" x14ac:dyDescent="0.45">
      <c r="A71" s="431" t="s">
        <v>628</v>
      </c>
      <c r="B71" s="432" t="s">
        <v>509</v>
      </c>
      <c r="C71" s="434" t="str">
        <f>IF('Kennzahlenbogen plus'!H33= "", "",'Kennzahlenbogen plus'!H33)</f>
        <v/>
      </c>
      <c r="D71" s="434" t="str">
        <f>IF('Kennzahlenbogen plus'!I33= "", "",'Kennzahlenbogen plus'!I33)</f>
        <v/>
      </c>
    </row>
    <row r="72" spans="1:4" x14ac:dyDescent="0.45">
      <c r="A72" s="431" t="s">
        <v>676</v>
      </c>
      <c r="B72" s="432" t="s">
        <v>568</v>
      </c>
      <c r="C72" s="434" t="str">
        <f>IF('Kennzahlenbogen plus'!J33= "", "",'Kennzahlenbogen plus'!J33)</f>
        <v/>
      </c>
      <c r="D72" s="434" t="str">
        <f>IF('Kennzahlenbogen plus'!K33= "", "",'Kennzahlenbogen plus'!K33)</f>
        <v/>
      </c>
    </row>
    <row r="73" spans="1:4" x14ac:dyDescent="0.45">
      <c r="A73" s="431" t="s">
        <v>726</v>
      </c>
      <c r="B73" s="432" t="s">
        <v>773</v>
      </c>
      <c r="C73" s="439" t="str">
        <f>IF(AND('Kennzahlenbogen plus'!H33 = "",'Kennzahlenbogen plus'!J33 = ""),"",SUM('Kennzahlenbogen plus'!H33,'Kennzahlenbogen plus'!J33))</f>
        <v/>
      </c>
      <c r="D73" s="439" t="str">
        <f>IF(AND('Kennzahlenbogen plus'!I33 = "",'Kennzahlenbogen plus'!K33 = ""),"",SUM('Kennzahlenbogen plus'!I33,'Kennzahlenbogen plus'!K33))</f>
        <v/>
      </c>
    </row>
    <row r="74" spans="1:4" x14ac:dyDescent="0.45">
      <c r="A74" s="431" t="s">
        <v>827</v>
      </c>
      <c r="B74" s="435" t="s">
        <v>510</v>
      </c>
      <c r="C74" s="434" t="str">
        <f>IF('Kennzahlenbogen plus'!H34= "", "",'Kennzahlenbogen plus'!H34)</f>
        <v/>
      </c>
      <c r="D74" s="434" t="str">
        <f>IF('Kennzahlenbogen plus'!I34= "", "",'Kennzahlenbogen plus'!I34)</f>
        <v/>
      </c>
    </row>
    <row r="75" spans="1:4" x14ac:dyDescent="0.45">
      <c r="A75" s="431" t="s">
        <v>828</v>
      </c>
      <c r="B75" s="435" t="s">
        <v>569</v>
      </c>
      <c r="C75" s="434" t="str">
        <f>IF('Kennzahlenbogen plus'!J34= "", "",'Kennzahlenbogen plus'!J34)</f>
        <v/>
      </c>
      <c r="D75" s="434" t="str">
        <f>IF('Kennzahlenbogen plus'!K34= "", "",'Kennzahlenbogen plus'!K34)</f>
        <v/>
      </c>
    </row>
    <row r="76" spans="1:4" x14ac:dyDescent="0.45">
      <c r="A76" s="431" t="s">
        <v>829</v>
      </c>
      <c r="B76" s="435" t="s">
        <v>774</v>
      </c>
      <c r="C76" s="439" t="str">
        <f>IF(AND('Kennzahlenbogen plus'!H34 = "",'Kennzahlenbogen plus'!J34 = ""),"",SUM('Kennzahlenbogen plus'!H34,'Kennzahlenbogen plus'!J34))</f>
        <v/>
      </c>
      <c r="D76" s="439" t="str">
        <f>IF(AND('Kennzahlenbogen plus'!I34 = "",'Kennzahlenbogen plus'!K34 = ""),"",SUM('Kennzahlenbogen plus'!I34,'Kennzahlenbogen plus'!K34))</f>
        <v/>
      </c>
    </row>
    <row r="77" spans="1:4" x14ac:dyDescent="0.45">
      <c r="A77" s="431" t="s">
        <v>830</v>
      </c>
      <c r="B77" s="432" t="s">
        <v>511</v>
      </c>
      <c r="C77" s="434" t="str">
        <f>IF('Kennzahlenbogen plus'!H35= "", "",'Kennzahlenbogen plus'!H35)</f>
        <v/>
      </c>
      <c r="D77" s="434" t="str">
        <f>IF('Kennzahlenbogen plus'!I35= "", "",'Kennzahlenbogen plus'!I35)</f>
        <v/>
      </c>
    </row>
    <row r="78" spans="1:4" x14ac:dyDescent="0.45">
      <c r="A78" s="431" t="s">
        <v>831</v>
      </c>
      <c r="B78" s="432" t="s">
        <v>570</v>
      </c>
      <c r="C78" s="434" t="str">
        <f>IF('Kennzahlenbogen plus'!J35= "", "",'Kennzahlenbogen plus'!J35)</f>
        <v/>
      </c>
      <c r="D78" s="434" t="str">
        <f>IF('Kennzahlenbogen plus'!K35= "", "",'Kennzahlenbogen plus'!K35)</f>
        <v/>
      </c>
    </row>
    <row r="79" spans="1:4" x14ac:dyDescent="0.45">
      <c r="A79" s="431" t="s">
        <v>832</v>
      </c>
      <c r="B79" s="432" t="s">
        <v>775</v>
      </c>
      <c r="C79" s="439" t="str">
        <f>IF(AND('Kennzahlenbogen plus'!H35 = "",'Kennzahlenbogen plus'!J35 = ""),"",SUM('Kennzahlenbogen plus'!H35,'Kennzahlenbogen plus'!J35))</f>
        <v/>
      </c>
      <c r="D79" s="439" t="str">
        <f>IF(AND('Kennzahlenbogen plus'!I35 = "",'Kennzahlenbogen plus'!K35 = ""),"",SUM('Kennzahlenbogen plus'!I35,'Kennzahlenbogen plus'!K35))</f>
        <v/>
      </c>
    </row>
    <row r="80" spans="1:4" x14ac:dyDescent="0.45">
      <c r="A80" s="431" t="s">
        <v>833</v>
      </c>
      <c r="B80" s="432" t="s">
        <v>512</v>
      </c>
      <c r="C80" s="434" t="str">
        <f>IF('Kennzahlenbogen plus'!H36= "", "",'Kennzahlenbogen plus'!H36)</f>
        <v/>
      </c>
      <c r="D80" s="434" t="str">
        <f>IF('Kennzahlenbogen plus'!I36= "", "",'Kennzahlenbogen plus'!I36)</f>
        <v/>
      </c>
    </row>
    <row r="81" spans="1:4" x14ac:dyDescent="0.45">
      <c r="A81" s="431" t="s">
        <v>834</v>
      </c>
      <c r="B81" s="432" t="s">
        <v>571</v>
      </c>
      <c r="C81" s="434" t="str">
        <f>IF('Kennzahlenbogen plus'!J36= "", "",'Kennzahlenbogen plus'!J36)</f>
        <v/>
      </c>
      <c r="D81" s="434" t="str">
        <f>IF('Kennzahlenbogen plus'!K36= "", "",'Kennzahlenbogen plus'!K36)</f>
        <v/>
      </c>
    </row>
    <row r="82" spans="1:4" x14ac:dyDescent="0.45">
      <c r="A82" s="431" t="s">
        <v>835</v>
      </c>
      <c r="B82" s="432" t="s">
        <v>776</v>
      </c>
      <c r="C82" s="439" t="str">
        <f>IF(AND('Kennzahlenbogen plus'!H36 = "",'Kennzahlenbogen plus'!J36 = ""),"",SUM('Kennzahlenbogen plus'!H36,'Kennzahlenbogen plus'!J36))</f>
        <v/>
      </c>
      <c r="D82" s="439" t="str">
        <f>IF(AND('Kennzahlenbogen plus'!I36 = "",'Kennzahlenbogen plus'!K36 = ""),"",SUM('Kennzahlenbogen plus'!I36,'Kennzahlenbogen plus'!K36))</f>
        <v/>
      </c>
    </row>
    <row r="83" spans="1:4" x14ac:dyDescent="0.45">
      <c r="A83" s="431" t="s">
        <v>836</v>
      </c>
      <c r="B83" s="432" t="s">
        <v>513</v>
      </c>
      <c r="C83" s="434" t="str">
        <f>IF('Kennzahlenbogen plus'!H37= "", "",'Kennzahlenbogen plus'!H37)</f>
        <v/>
      </c>
      <c r="D83" s="434" t="str">
        <f>IF('Kennzahlenbogen plus'!I37= "", "",'Kennzahlenbogen plus'!I37)</f>
        <v/>
      </c>
    </row>
    <row r="84" spans="1:4" x14ac:dyDescent="0.45">
      <c r="A84" s="431" t="s">
        <v>837</v>
      </c>
      <c r="B84" s="432" t="s">
        <v>572</v>
      </c>
      <c r="C84" s="434" t="str">
        <f>IF('Kennzahlenbogen plus'!J37= "", "",'Kennzahlenbogen plus'!J37)</f>
        <v/>
      </c>
      <c r="D84" s="434" t="str">
        <f>IF('Kennzahlenbogen plus'!K37= "", "",'Kennzahlenbogen plus'!K37)</f>
        <v/>
      </c>
    </row>
    <row r="85" spans="1:4" x14ac:dyDescent="0.45">
      <c r="A85" s="431" t="s">
        <v>838</v>
      </c>
      <c r="B85" s="432" t="s">
        <v>777</v>
      </c>
      <c r="C85" s="439" t="str">
        <f>IF(AND('Kennzahlenbogen plus'!H37 = "",'Kennzahlenbogen plus'!J37 = ""),"",SUM('Kennzahlenbogen plus'!H37,'Kennzahlenbogen plus'!J37))</f>
        <v/>
      </c>
      <c r="D85" s="439" t="str">
        <f>IF(AND('Kennzahlenbogen plus'!I37 = "",'Kennzahlenbogen plus'!K37 = ""),"",SUM('Kennzahlenbogen plus'!I37,'Kennzahlenbogen plus'!K37))</f>
        <v/>
      </c>
    </row>
    <row r="86" spans="1:4" x14ac:dyDescent="0.45">
      <c r="A86" s="431" t="s">
        <v>839</v>
      </c>
      <c r="B86" s="432" t="s">
        <v>514</v>
      </c>
      <c r="C86" s="434" t="str">
        <f>IF('Kennzahlenbogen plus'!H38= "", "",'Kennzahlenbogen plus'!H38)</f>
        <v/>
      </c>
      <c r="D86" s="434" t="str">
        <f>IF('Kennzahlenbogen plus'!I38= "", "",'Kennzahlenbogen plus'!I38)</f>
        <v/>
      </c>
    </row>
    <row r="87" spans="1:4" x14ac:dyDescent="0.45">
      <c r="A87" s="431" t="s">
        <v>840</v>
      </c>
      <c r="B87" s="432" t="s">
        <v>573</v>
      </c>
      <c r="C87" s="434" t="str">
        <f>IF('Kennzahlenbogen plus'!J38= "", "",'Kennzahlenbogen plus'!J38)</f>
        <v/>
      </c>
      <c r="D87" s="434" t="str">
        <f>IF('Kennzahlenbogen plus'!K38= "", "",'Kennzahlenbogen plus'!K38)</f>
        <v/>
      </c>
    </row>
    <row r="88" spans="1:4" x14ac:dyDescent="0.45">
      <c r="A88" s="431" t="s">
        <v>841</v>
      </c>
      <c r="B88" s="432" t="s">
        <v>778</v>
      </c>
      <c r="C88" s="439" t="str">
        <f>IF(AND('Kennzahlenbogen plus'!H38 = "",'Kennzahlenbogen plus'!J38 = ""),"",SUM('Kennzahlenbogen plus'!H38,'Kennzahlenbogen plus'!J38))</f>
        <v/>
      </c>
      <c r="D88" s="439" t="str">
        <f>IF(AND('Kennzahlenbogen plus'!I38 = "",'Kennzahlenbogen plus'!K38 = ""),"",SUM('Kennzahlenbogen plus'!I38,'Kennzahlenbogen plus'!K38))</f>
        <v/>
      </c>
    </row>
    <row r="89" spans="1:4" x14ac:dyDescent="0.45">
      <c r="A89" s="431" t="s">
        <v>842</v>
      </c>
      <c r="B89" s="432" t="s">
        <v>515</v>
      </c>
      <c r="C89" s="434" t="str">
        <f>IF('Kennzahlenbogen plus'!H39= "", "",'Kennzahlenbogen plus'!H39)</f>
        <v/>
      </c>
      <c r="D89" s="434" t="str">
        <f>IF('Kennzahlenbogen plus'!I39= "", "",'Kennzahlenbogen plus'!I39)</f>
        <v/>
      </c>
    </row>
    <row r="90" spans="1:4" x14ac:dyDescent="0.45">
      <c r="A90" s="431" t="s">
        <v>843</v>
      </c>
      <c r="B90" s="432" t="s">
        <v>574</v>
      </c>
      <c r="C90" s="434" t="str">
        <f>IF('Kennzahlenbogen plus'!J39= "", "",'Kennzahlenbogen plus'!J39)</f>
        <v/>
      </c>
      <c r="D90" s="434" t="str">
        <f>IF('Kennzahlenbogen plus'!K39= "", "",'Kennzahlenbogen plus'!K39)</f>
        <v/>
      </c>
    </row>
    <row r="91" spans="1:4" x14ac:dyDescent="0.45">
      <c r="A91" s="431" t="s">
        <v>844</v>
      </c>
      <c r="B91" s="432" t="s">
        <v>779</v>
      </c>
      <c r="C91" s="439" t="str">
        <f>IF(AND('Kennzahlenbogen plus'!H39 = "",'Kennzahlenbogen plus'!J39 = ""),"",SUM('Kennzahlenbogen plus'!H39,'Kennzahlenbogen plus'!J39))</f>
        <v/>
      </c>
      <c r="D91" s="439" t="str">
        <f>IF(AND('Kennzahlenbogen plus'!I39 = "",'Kennzahlenbogen plus'!K39 = ""),"",SUM('Kennzahlenbogen plus'!I39,'Kennzahlenbogen plus'!K39))</f>
        <v/>
      </c>
    </row>
    <row r="92" spans="1:4" x14ac:dyDescent="0.45">
      <c r="A92" s="431" t="s">
        <v>845</v>
      </c>
      <c r="B92" s="432" t="s">
        <v>516</v>
      </c>
      <c r="C92" s="434" t="str">
        <f>IF('Kennzahlenbogen plus'!H40= "", "",'Kennzahlenbogen plus'!H40)</f>
        <v/>
      </c>
      <c r="D92" s="434" t="str">
        <f>IF('Kennzahlenbogen plus'!I40= "", "",'Kennzahlenbogen plus'!I40)</f>
        <v/>
      </c>
    </row>
    <row r="93" spans="1:4" x14ac:dyDescent="0.45">
      <c r="A93" s="431" t="s">
        <v>846</v>
      </c>
      <c r="B93" s="432" t="s">
        <v>575</v>
      </c>
      <c r="C93" s="434" t="str">
        <f>IF('Kennzahlenbogen plus'!J40= "", "",'Kennzahlenbogen plus'!J40)</f>
        <v/>
      </c>
      <c r="D93" s="434" t="str">
        <f>IF('Kennzahlenbogen plus'!K40= "", "",'Kennzahlenbogen plus'!K40)</f>
        <v/>
      </c>
    </row>
    <row r="94" spans="1:4" x14ac:dyDescent="0.45">
      <c r="A94" s="431" t="s">
        <v>847</v>
      </c>
      <c r="B94" s="432" t="s">
        <v>780</v>
      </c>
      <c r="C94" s="439" t="str">
        <f>IF(AND('Kennzahlenbogen plus'!H40 = "",'Kennzahlenbogen plus'!J40 = ""),"",SUM('Kennzahlenbogen plus'!H40,'Kennzahlenbogen plus'!J40))</f>
        <v/>
      </c>
      <c r="D94" s="439" t="str">
        <f>IF(AND('Kennzahlenbogen plus'!I40 = "",'Kennzahlenbogen plus'!K40 = ""),"",SUM('Kennzahlenbogen plus'!I40,'Kennzahlenbogen plus'!K40))</f>
        <v/>
      </c>
    </row>
    <row r="95" spans="1:4" x14ac:dyDescent="0.45">
      <c r="A95" s="431" t="s">
        <v>848</v>
      </c>
      <c r="B95" s="432" t="s">
        <v>517</v>
      </c>
      <c r="C95" s="434" t="str">
        <f>IF('Kennzahlenbogen plus'!H41= "", "",'Kennzahlenbogen plus'!H41)</f>
        <v/>
      </c>
      <c r="D95" s="434" t="str">
        <f>IF('Kennzahlenbogen plus'!I41= "", "",'Kennzahlenbogen plus'!I41)</f>
        <v/>
      </c>
    </row>
    <row r="96" spans="1:4" x14ac:dyDescent="0.45">
      <c r="A96" s="431" t="s">
        <v>849</v>
      </c>
      <c r="B96" s="432" t="s">
        <v>576</v>
      </c>
      <c r="C96" s="434" t="str">
        <f>IF('Kennzahlenbogen plus'!J41= "", "",'Kennzahlenbogen plus'!J41)</f>
        <v/>
      </c>
      <c r="D96" s="434" t="str">
        <f>IF('Kennzahlenbogen plus'!K41= "", "",'Kennzahlenbogen plus'!K41)</f>
        <v/>
      </c>
    </row>
    <row r="97" spans="1:4" x14ac:dyDescent="0.45">
      <c r="A97" s="431" t="s">
        <v>850</v>
      </c>
      <c r="B97" s="432" t="s">
        <v>781</v>
      </c>
      <c r="C97" s="439" t="str">
        <f>IF(AND('Kennzahlenbogen plus'!H41 = "",'Kennzahlenbogen plus'!J41 = ""),"",SUM('Kennzahlenbogen plus'!H41,'Kennzahlenbogen plus'!J41))</f>
        <v/>
      </c>
      <c r="D97" s="439" t="str">
        <f>IF(AND('Kennzahlenbogen plus'!I41 = "",'Kennzahlenbogen plus'!K41 = ""),"",SUM('Kennzahlenbogen plus'!I41,'Kennzahlenbogen plus'!K41))</f>
        <v/>
      </c>
    </row>
    <row r="98" spans="1:4" x14ac:dyDescent="0.45">
      <c r="A98" s="431" t="s">
        <v>851</v>
      </c>
      <c r="B98" s="432" t="s">
        <v>518</v>
      </c>
      <c r="C98" s="434" t="str">
        <f>IF('Kennzahlenbogen plus'!H42= "", "",'Kennzahlenbogen plus'!H42)</f>
        <v/>
      </c>
      <c r="D98" s="434" t="str">
        <f>IF('Kennzahlenbogen plus'!I42= "", "",'Kennzahlenbogen plus'!I42)</f>
        <v/>
      </c>
    </row>
    <row r="99" spans="1:4" x14ac:dyDescent="0.45">
      <c r="A99" s="431" t="s">
        <v>852</v>
      </c>
      <c r="B99" s="432" t="s">
        <v>577</v>
      </c>
      <c r="C99" s="434" t="str">
        <f>IF('Kennzahlenbogen plus'!J42= "", "",'Kennzahlenbogen plus'!J42)</f>
        <v/>
      </c>
      <c r="D99" s="434" t="str">
        <f>IF('Kennzahlenbogen plus'!K42= "", "",'Kennzahlenbogen plus'!K42)</f>
        <v/>
      </c>
    </row>
    <row r="100" spans="1:4" x14ac:dyDescent="0.45">
      <c r="A100" s="431" t="s">
        <v>853</v>
      </c>
      <c r="B100" s="432" t="s">
        <v>782</v>
      </c>
      <c r="C100" s="439" t="str">
        <f>IF(AND('Kennzahlenbogen plus'!H42 = "",'Kennzahlenbogen plus'!J42 = ""),"",SUM('Kennzahlenbogen plus'!H42,'Kennzahlenbogen plus'!J42))</f>
        <v/>
      </c>
      <c r="D100" s="439" t="str">
        <f>IF(AND('Kennzahlenbogen plus'!I42 = "",'Kennzahlenbogen plus'!K42 = ""),"",SUM('Kennzahlenbogen plus'!I42,'Kennzahlenbogen plus'!K42))</f>
        <v/>
      </c>
    </row>
    <row r="101" spans="1:4" x14ac:dyDescent="0.45">
      <c r="A101" s="431" t="s">
        <v>854</v>
      </c>
      <c r="B101" s="432" t="s">
        <v>519</v>
      </c>
      <c r="C101" s="434" t="str">
        <f>IF('Kennzahlenbogen plus'!H43= "", "",'Kennzahlenbogen plus'!H43)</f>
        <v/>
      </c>
      <c r="D101" s="434" t="str">
        <f>IF('Kennzahlenbogen plus'!I43= "", "",'Kennzahlenbogen plus'!I43)</f>
        <v/>
      </c>
    </row>
    <row r="102" spans="1:4" x14ac:dyDescent="0.45">
      <c r="A102" s="431" t="s">
        <v>855</v>
      </c>
      <c r="B102" s="432" t="s">
        <v>578</v>
      </c>
      <c r="C102" s="434" t="str">
        <f>IF('Kennzahlenbogen plus'!J43= "", "",'Kennzahlenbogen plus'!J43)</f>
        <v/>
      </c>
      <c r="D102" s="434" t="str">
        <f>IF('Kennzahlenbogen plus'!K43= "", "",'Kennzahlenbogen plus'!K43)</f>
        <v/>
      </c>
    </row>
    <row r="103" spans="1:4" x14ac:dyDescent="0.45">
      <c r="A103" s="431" t="s">
        <v>856</v>
      </c>
      <c r="B103" s="432" t="s">
        <v>783</v>
      </c>
      <c r="C103" s="439" t="str">
        <f>IF(AND('Kennzahlenbogen plus'!H43 = "",'Kennzahlenbogen plus'!J43 = ""),"",SUM('Kennzahlenbogen plus'!H43,'Kennzahlenbogen plus'!J43))</f>
        <v/>
      </c>
      <c r="D103" s="439" t="str">
        <f>IF(AND('Kennzahlenbogen plus'!I43 = "",'Kennzahlenbogen plus'!K43 = ""),"",SUM('Kennzahlenbogen plus'!I43,'Kennzahlenbogen plus'!K43))</f>
        <v/>
      </c>
    </row>
    <row r="104" spans="1:4" x14ac:dyDescent="0.45">
      <c r="A104" s="431" t="s">
        <v>857</v>
      </c>
      <c r="B104" s="432" t="s">
        <v>520</v>
      </c>
      <c r="C104" s="434" t="str">
        <f>IF('Kennzahlenbogen plus'!H44= "", "",'Kennzahlenbogen plus'!H44)</f>
        <v/>
      </c>
      <c r="D104" s="434" t="str">
        <f>IF('Kennzahlenbogen plus'!I44= "", "",'Kennzahlenbogen plus'!I44)</f>
        <v/>
      </c>
    </row>
    <row r="105" spans="1:4" x14ac:dyDescent="0.45">
      <c r="A105" s="431" t="s">
        <v>858</v>
      </c>
      <c r="B105" s="432" t="s">
        <v>579</v>
      </c>
      <c r="C105" s="434" t="str">
        <f>IF('Kennzahlenbogen plus'!J44= "", "",'Kennzahlenbogen plus'!J44)</f>
        <v/>
      </c>
      <c r="D105" s="434" t="str">
        <f>IF('Kennzahlenbogen plus'!K44= "", "",'Kennzahlenbogen plus'!K44)</f>
        <v/>
      </c>
    </row>
    <row r="106" spans="1:4" x14ac:dyDescent="0.45">
      <c r="A106" s="431" t="s">
        <v>859</v>
      </c>
      <c r="B106" s="432" t="s">
        <v>784</v>
      </c>
      <c r="C106" s="439" t="str">
        <f>IF(AND('Kennzahlenbogen plus'!H44 = "",'Kennzahlenbogen plus'!J44 = ""),"",SUM('Kennzahlenbogen plus'!H44,'Kennzahlenbogen plus'!J44))</f>
        <v/>
      </c>
      <c r="D106" s="439" t="str">
        <f>IF(AND('Kennzahlenbogen plus'!I44 = "",'Kennzahlenbogen plus'!K44 = ""),"",SUM('Kennzahlenbogen plus'!I44,'Kennzahlenbogen plus'!K44))</f>
        <v/>
      </c>
    </row>
    <row r="107" spans="1:4" x14ac:dyDescent="0.45">
      <c r="A107" s="431" t="s">
        <v>860</v>
      </c>
      <c r="B107" s="432" t="s">
        <v>521</v>
      </c>
      <c r="C107" s="434" t="str">
        <f>IF('Kennzahlenbogen plus'!H45= "", "",'Kennzahlenbogen plus'!H45)</f>
        <v/>
      </c>
      <c r="D107" s="434" t="str">
        <f>IF('Kennzahlenbogen plus'!I45= "", "",'Kennzahlenbogen plus'!I45)</f>
        <v/>
      </c>
    </row>
    <row r="108" spans="1:4" x14ac:dyDescent="0.45">
      <c r="A108" s="431" t="s">
        <v>861</v>
      </c>
      <c r="B108" s="432" t="s">
        <v>580</v>
      </c>
      <c r="C108" s="434" t="str">
        <f>IF('Kennzahlenbogen plus'!J45= "", "",'Kennzahlenbogen plus'!J45)</f>
        <v/>
      </c>
      <c r="D108" s="434" t="str">
        <f>IF('Kennzahlenbogen plus'!K45= "", "",'Kennzahlenbogen plus'!K45)</f>
        <v/>
      </c>
    </row>
    <row r="109" spans="1:4" x14ac:dyDescent="0.45">
      <c r="A109" s="431" t="s">
        <v>862</v>
      </c>
      <c r="B109" s="432" t="s">
        <v>785</v>
      </c>
      <c r="C109" s="439" t="str">
        <f>IF(AND('Kennzahlenbogen plus'!H45 = "",'Kennzahlenbogen plus'!J45 = ""),"",SUM('Kennzahlenbogen plus'!H45,'Kennzahlenbogen plus'!J45))</f>
        <v/>
      </c>
      <c r="D109" s="439" t="str">
        <f>IF(AND('Kennzahlenbogen plus'!I45 = "",'Kennzahlenbogen plus'!K45 = ""),"",SUM('Kennzahlenbogen plus'!I45,'Kennzahlenbogen plus'!K45))</f>
        <v/>
      </c>
    </row>
    <row r="110" spans="1:4" x14ac:dyDescent="0.45">
      <c r="A110" s="431" t="s">
        <v>629</v>
      </c>
      <c r="B110" s="432" t="s">
        <v>522</v>
      </c>
      <c r="C110" s="434" t="str">
        <f>IF('Kennzahlenbogen plus'!H46= "", "",'Kennzahlenbogen plus'!H46)</f>
        <v/>
      </c>
      <c r="D110" s="434" t="str">
        <f>IF('Kennzahlenbogen plus'!I46= "", "",'Kennzahlenbogen plus'!I46)</f>
        <v/>
      </c>
    </row>
    <row r="111" spans="1:4" x14ac:dyDescent="0.45">
      <c r="A111" s="431" t="s">
        <v>677</v>
      </c>
      <c r="B111" s="432" t="s">
        <v>581</v>
      </c>
      <c r="C111" s="434" t="str">
        <f>IF('Kennzahlenbogen plus'!J46= "", "",'Kennzahlenbogen plus'!J46)</f>
        <v/>
      </c>
      <c r="D111" s="434" t="str">
        <f>IF('Kennzahlenbogen plus'!K46= "", "",'Kennzahlenbogen plus'!K46)</f>
        <v/>
      </c>
    </row>
    <row r="112" spans="1:4" x14ac:dyDescent="0.45">
      <c r="A112" s="431" t="s">
        <v>727</v>
      </c>
      <c r="B112" s="432" t="s">
        <v>786</v>
      </c>
      <c r="C112" s="439" t="str">
        <f>IF(AND('Kennzahlenbogen plus'!H46 = "",'Kennzahlenbogen plus'!J46 = ""),"",SUM('Kennzahlenbogen plus'!H46,'Kennzahlenbogen plus'!J46))</f>
        <v/>
      </c>
      <c r="D112" s="439" t="str">
        <f>IF(AND('Kennzahlenbogen plus'!I46 = "",'Kennzahlenbogen plus'!K46 = ""),"",SUM('Kennzahlenbogen plus'!I46,'Kennzahlenbogen plus'!K46))</f>
        <v/>
      </c>
    </row>
    <row r="113" spans="1:4" x14ac:dyDescent="0.45">
      <c r="A113" s="431" t="s">
        <v>630</v>
      </c>
      <c r="B113" s="432" t="s">
        <v>523</v>
      </c>
      <c r="C113" s="434" t="str">
        <f>IF('Kennzahlenbogen plus'!H47= "", "",'Kennzahlenbogen plus'!H47)</f>
        <v/>
      </c>
      <c r="D113" s="434" t="str">
        <f>IF('Kennzahlenbogen plus'!I47= "", "",'Kennzahlenbogen plus'!I47)</f>
        <v/>
      </c>
    </row>
    <row r="114" spans="1:4" x14ac:dyDescent="0.45">
      <c r="A114" s="431" t="s">
        <v>678</v>
      </c>
      <c r="B114" s="432" t="s">
        <v>582</v>
      </c>
      <c r="C114" s="434" t="str">
        <f>IF('Kennzahlenbogen plus'!J47= "", "",'Kennzahlenbogen plus'!J47)</f>
        <v/>
      </c>
      <c r="D114" s="434" t="str">
        <f>IF('Kennzahlenbogen plus'!K47= "", "",'Kennzahlenbogen plus'!K47)</f>
        <v/>
      </c>
    </row>
    <row r="115" spans="1:4" x14ac:dyDescent="0.45">
      <c r="A115" s="431" t="s">
        <v>728</v>
      </c>
      <c r="B115" s="432" t="s">
        <v>787</v>
      </c>
      <c r="C115" s="439" t="str">
        <f>IF(AND('Kennzahlenbogen plus'!H47 = "",'Kennzahlenbogen plus'!J47 = ""),"",SUM('Kennzahlenbogen plus'!H47,'Kennzahlenbogen plus'!J47))</f>
        <v/>
      </c>
      <c r="D115" s="439" t="str">
        <f>IF(AND('Kennzahlenbogen plus'!I47 = "",'Kennzahlenbogen plus'!K47 = ""),"",SUM('Kennzahlenbogen plus'!I47,'Kennzahlenbogen plus'!K47))</f>
        <v/>
      </c>
    </row>
    <row r="116" spans="1:4" x14ac:dyDescent="0.45">
      <c r="A116" s="431" t="s">
        <v>631</v>
      </c>
      <c r="B116" s="432" t="s">
        <v>524</v>
      </c>
      <c r="C116" s="434" t="str">
        <f>IF('Kennzahlenbogen plus'!H48= "", "",'Kennzahlenbogen plus'!H48)</f>
        <v/>
      </c>
      <c r="D116" s="434" t="str">
        <f>IF('Kennzahlenbogen plus'!I48= "", "",'Kennzahlenbogen plus'!I48)</f>
        <v/>
      </c>
    </row>
    <row r="117" spans="1:4" x14ac:dyDescent="0.45">
      <c r="A117" s="431" t="s">
        <v>679</v>
      </c>
      <c r="B117" s="432" t="s">
        <v>583</v>
      </c>
      <c r="C117" s="434" t="str">
        <f>IF('Kennzahlenbogen plus'!J48= "", "",'Kennzahlenbogen plus'!J48)</f>
        <v/>
      </c>
      <c r="D117" s="434" t="str">
        <f>IF('Kennzahlenbogen plus'!K48= "", "",'Kennzahlenbogen plus'!K48)</f>
        <v/>
      </c>
    </row>
    <row r="118" spans="1:4" x14ac:dyDescent="0.45">
      <c r="A118" s="431" t="s">
        <v>729</v>
      </c>
      <c r="B118" s="432" t="s">
        <v>788</v>
      </c>
      <c r="C118" s="439" t="str">
        <f>IF(AND('Kennzahlenbogen plus'!H48 = "",'Kennzahlenbogen plus'!J48 = ""),"",SUM('Kennzahlenbogen plus'!H48,'Kennzahlenbogen plus'!J48))</f>
        <v/>
      </c>
      <c r="D118" s="439" t="str">
        <f>IF(AND('Kennzahlenbogen plus'!I48 = "",'Kennzahlenbogen plus'!K48 = ""),"",SUM('Kennzahlenbogen plus'!I48,'Kennzahlenbogen plus'!K48))</f>
        <v/>
      </c>
    </row>
    <row r="119" spans="1:4" x14ac:dyDescent="0.45">
      <c r="A119" s="431" t="s">
        <v>632</v>
      </c>
      <c r="B119" s="432" t="s">
        <v>525</v>
      </c>
      <c r="C119" s="434" t="str">
        <f>IF('Kennzahlenbogen plus'!H49= "", "",'Kennzahlenbogen plus'!H49)</f>
        <v/>
      </c>
      <c r="D119" s="434" t="str">
        <f>IF('Kennzahlenbogen plus'!I49= "", "",'Kennzahlenbogen plus'!I49)</f>
        <v/>
      </c>
    </row>
    <row r="120" spans="1:4" x14ac:dyDescent="0.45">
      <c r="A120" s="431" t="s">
        <v>680</v>
      </c>
      <c r="B120" s="432" t="s">
        <v>585</v>
      </c>
      <c r="C120" s="434" t="str">
        <f>IF('Kennzahlenbogen plus'!J49= "", "",'Kennzahlenbogen plus'!J49)</f>
        <v/>
      </c>
      <c r="D120" s="434" t="str">
        <f>IF('Kennzahlenbogen plus'!K49= "", "",'Kennzahlenbogen plus'!K49)</f>
        <v/>
      </c>
    </row>
    <row r="121" spans="1:4" x14ac:dyDescent="0.45">
      <c r="A121" s="431" t="s">
        <v>730</v>
      </c>
      <c r="B121" s="432" t="s">
        <v>789</v>
      </c>
      <c r="C121" s="439" t="str">
        <f>IF(AND('Kennzahlenbogen plus'!H49 = "",'Kennzahlenbogen plus'!J49 = ""),"",SUM('Kennzahlenbogen plus'!H49,'Kennzahlenbogen plus'!J49))</f>
        <v/>
      </c>
      <c r="D121" s="439" t="str">
        <f>IF(AND('Kennzahlenbogen plus'!I49 = "",'Kennzahlenbogen plus'!K49 = ""),"",SUM('Kennzahlenbogen plus'!I49,'Kennzahlenbogen plus'!K49))</f>
        <v/>
      </c>
    </row>
    <row r="122" spans="1:4" x14ac:dyDescent="0.45">
      <c r="A122" s="431" t="s">
        <v>633</v>
      </c>
      <c r="B122" s="432" t="s">
        <v>526</v>
      </c>
      <c r="C122" s="434" t="str">
        <f>IF('Kennzahlenbogen plus'!H50= "", "",'Kennzahlenbogen plus'!H50)</f>
        <v/>
      </c>
      <c r="D122" s="434" t="str">
        <f>IF('Kennzahlenbogen plus'!I50= "", "",'Kennzahlenbogen plus'!I50)</f>
        <v/>
      </c>
    </row>
    <row r="123" spans="1:4" x14ac:dyDescent="0.45">
      <c r="A123" s="431" t="s">
        <v>681</v>
      </c>
      <c r="B123" s="432" t="s">
        <v>586</v>
      </c>
      <c r="C123" s="434" t="str">
        <f>IF('Kennzahlenbogen plus'!J50= "", "",'Kennzahlenbogen plus'!J50)</f>
        <v/>
      </c>
      <c r="D123" s="434" t="str">
        <f>IF('Kennzahlenbogen plus'!K50= "", "",'Kennzahlenbogen plus'!K50)</f>
        <v/>
      </c>
    </row>
    <row r="124" spans="1:4" x14ac:dyDescent="0.45">
      <c r="A124" s="431" t="s">
        <v>731</v>
      </c>
      <c r="B124" s="432" t="s">
        <v>790</v>
      </c>
      <c r="C124" s="439" t="str">
        <f>IF(AND('Kennzahlenbogen plus'!H50 = "",'Kennzahlenbogen plus'!J50 = ""),"",SUM('Kennzahlenbogen plus'!H50,'Kennzahlenbogen plus'!J50))</f>
        <v/>
      </c>
      <c r="D124" s="439" t="str">
        <f>IF(AND('Kennzahlenbogen plus'!I50 = "",'Kennzahlenbogen plus'!K50 = ""),"",SUM('Kennzahlenbogen plus'!I50,'Kennzahlenbogen plus'!K50))</f>
        <v/>
      </c>
    </row>
    <row r="125" spans="1:4" x14ac:dyDescent="0.45">
      <c r="A125" s="431" t="s">
        <v>634</v>
      </c>
      <c r="B125" s="432" t="s">
        <v>527</v>
      </c>
      <c r="C125" s="434" t="str">
        <f>IF('Kennzahlenbogen plus'!H51= "", "",'Kennzahlenbogen plus'!H51)</f>
        <v/>
      </c>
      <c r="D125" s="434" t="str">
        <f>IF('Kennzahlenbogen plus'!I51= "", "",'Kennzahlenbogen plus'!I51)</f>
        <v/>
      </c>
    </row>
    <row r="126" spans="1:4" x14ac:dyDescent="0.45">
      <c r="A126" s="431" t="s">
        <v>682</v>
      </c>
      <c r="B126" s="432" t="s">
        <v>587</v>
      </c>
      <c r="C126" s="434" t="str">
        <f>IF('Kennzahlenbogen plus'!J51= "", "",'Kennzahlenbogen plus'!J51)</f>
        <v/>
      </c>
      <c r="D126" s="434" t="str">
        <f>IF('Kennzahlenbogen plus'!K51= "", "",'Kennzahlenbogen plus'!K51)</f>
        <v/>
      </c>
    </row>
    <row r="127" spans="1:4" x14ac:dyDescent="0.45">
      <c r="A127" s="431" t="s">
        <v>732</v>
      </c>
      <c r="B127" s="432" t="s">
        <v>791</v>
      </c>
      <c r="C127" s="439" t="str">
        <f>IF(AND('Kennzahlenbogen plus'!H51 = "",'Kennzahlenbogen plus'!J51 = ""),"",SUM('Kennzahlenbogen plus'!H51,'Kennzahlenbogen plus'!J51))</f>
        <v/>
      </c>
      <c r="D127" s="439" t="str">
        <f>IF(AND('Kennzahlenbogen plus'!I51 = "",'Kennzahlenbogen plus'!K51 = ""),"",SUM('Kennzahlenbogen plus'!I51,'Kennzahlenbogen plus'!K51))</f>
        <v/>
      </c>
    </row>
    <row r="128" spans="1:4" x14ac:dyDescent="0.45">
      <c r="A128" s="431" t="s">
        <v>635</v>
      </c>
      <c r="B128" s="432" t="s">
        <v>528</v>
      </c>
      <c r="C128" s="434" t="str">
        <f>IF('Kennzahlenbogen plus'!H52= "", "",'Kennzahlenbogen plus'!H52)</f>
        <v/>
      </c>
      <c r="D128" s="434" t="str">
        <f>IF('Kennzahlenbogen plus'!I52= "", "",'Kennzahlenbogen plus'!I52)</f>
        <v/>
      </c>
    </row>
    <row r="129" spans="1:4" x14ac:dyDescent="0.45">
      <c r="A129" s="431" t="s">
        <v>683</v>
      </c>
      <c r="B129" s="432" t="s">
        <v>588</v>
      </c>
      <c r="C129" s="434" t="str">
        <f>IF('Kennzahlenbogen plus'!J52= "", "",'Kennzahlenbogen plus'!J52)</f>
        <v/>
      </c>
      <c r="D129" s="434" t="str">
        <f>IF('Kennzahlenbogen plus'!K52= "", "",'Kennzahlenbogen plus'!K52)</f>
        <v/>
      </c>
    </row>
    <row r="130" spans="1:4" x14ac:dyDescent="0.45">
      <c r="A130" s="431" t="s">
        <v>733</v>
      </c>
      <c r="B130" s="432" t="s">
        <v>792</v>
      </c>
      <c r="C130" s="439" t="str">
        <f>IF(AND('Kennzahlenbogen plus'!H52 = "",'Kennzahlenbogen plus'!J52 = ""),"",SUM('Kennzahlenbogen plus'!H52,'Kennzahlenbogen plus'!J52))</f>
        <v/>
      </c>
      <c r="D130" s="439" t="str">
        <f>IF(AND('Kennzahlenbogen plus'!I52 = "",'Kennzahlenbogen plus'!K52 = ""),"",SUM('Kennzahlenbogen plus'!I52,'Kennzahlenbogen plus'!K52))</f>
        <v/>
      </c>
    </row>
    <row r="131" spans="1:4" x14ac:dyDescent="0.45">
      <c r="A131" s="431" t="s">
        <v>636</v>
      </c>
      <c r="B131" s="432" t="s">
        <v>529</v>
      </c>
      <c r="C131" s="434" t="str">
        <f>IF('Kennzahlenbogen plus'!H53= "", "",'Kennzahlenbogen plus'!H53)</f>
        <v/>
      </c>
      <c r="D131" s="434" t="str">
        <f>IF('Kennzahlenbogen plus'!I53= "", "",'Kennzahlenbogen plus'!I53)</f>
        <v/>
      </c>
    </row>
    <row r="132" spans="1:4" x14ac:dyDescent="0.45">
      <c r="A132" s="431" t="s">
        <v>684</v>
      </c>
      <c r="B132" s="432" t="s">
        <v>589</v>
      </c>
      <c r="C132" s="434" t="str">
        <f>IF('Kennzahlenbogen plus'!J53= "", "",'Kennzahlenbogen plus'!J53)</f>
        <v/>
      </c>
      <c r="D132" s="434" t="str">
        <f>IF('Kennzahlenbogen plus'!K53= "", "",'Kennzahlenbogen plus'!K53)</f>
        <v/>
      </c>
    </row>
    <row r="133" spans="1:4" x14ac:dyDescent="0.45">
      <c r="A133" s="431" t="s">
        <v>734</v>
      </c>
      <c r="B133" s="432" t="s">
        <v>793</v>
      </c>
      <c r="C133" s="439" t="str">
        <f>IF(AND('Kennzahlenbogen plus'!H53 = "",'Kennzahlenbogen plus'!J53 = ""),"",SUM('Kennzahlenbogen plus'!H53,'Kennzahlenbogen plus'!J53))</f>
        <v/>
      </c>
      <c r="D133" s="439" t="str">
        <f>IF(AND('Kennzahlenbogen plus'!I53 = "",'Kennzahlenbogen plus'!K53 = ""),"",SUM('Kennzahlenbogen plus'!I53,'Kennzahlenbogen plus'!K53))</f>
        <v/>
      </c>
    </row>
    <row r="134" spans="1:4" x14ac:dyDescent="0.45">
      <c r="A134" s="431" t="s">
        <v>637</v>
      </c>
      <c r="B134" s="432" t="s">
        <v>530</v>
      </c>
      <c r="C134" s="434" t="str">
        <f>IF('Kennzahlenbogen plus'!H54= "", "",'Kennzahlenbogen plus'!H54)</f>
        <v/>
      </c>
      <c r="D134" s="434" t="str">
        <f>IF('Kennzahlenbogen plus'!I54= "", "",'Kennzahlenbogen plus'!I54)</f>
        <v/>
      </c>
    </row>
    <row r="135" spans="1:4" x14ac:dyDescent="0.45">
      <c r="A135" s="431" t="s">
        <v>685</v>
      </c>
      <c r="B135" s="432" t="s">
        <v>590</v>
      </c>
      <c r="C135" s="434" t="str">
        <f>IF('Kennzahlenbogen plus'!J54= "", "",'Kennzahlenbogen plus'!J54)</f>
        <v/>
      </c>
      <c r="D135" s="434" t="str">
        <f>IF('Kennzahlenbogen plus'!K54= "", "",'Kennzahlenbogen plus'!K54)</f>
        <v/>
      </c>
    </row>
    <row r="136" spans="1:4" x14ac:dyDescent="0.45">
      <c r="A136" s="431" t="s">
        <v>735</v>
      </c>
      <c r="B136" s="432" t="s">
        <v>794</v>
      </c>
      <c r="C136" s="439" t="str">
        <f>IF(AND('Kennzahlenbogen plus'!H54 = "",'Kennzahlenbogen plus'!J54 = ""),"",SUM('Kennzahlenbogen plus'!H54,'Kennzahlenbogen plus'!J54))</f>
        <v/>
      </c>
      <c r="D136" s="439" t="str">
        <f>IF(AND('Kennzahlenbogen plus'!I54 = "",'Kennzahlenbogen plus'!K54 = ""),"",SUM('Kennzahlenbogen plus'!I54,'Kennzahlenbogen plus'!K54))</f>
        <v/>
      </c>
    </row>
    <row r="137" spans="1:4" x14ac:dyDescent="0.45">
      <c r="A137" s="431" t="s">
        <v>638</v>
      </c>
      <c r="B137" s="432" t="s">
        <v>531</v>
      </c>
      <c r="C137" s="434" t="str">
        <f>IF('Kennzahlenbogen plus'!H55= "", "",'Kennzahlenbogen plus'!H55)</f>
        <v/>
      </c>
      <c r="D137" s="434" t="str">
        <f>IF('Kennzahlenbogen plus'!I55= "", "",'Kennzahlenbogen plus'!I55)</f>
        <v/>
      </c>
    </row>
    <row r="138" spans="1:4" x14ac:dyDescent="0.45">
      <c r="A138" s="431" t="s">
        <v>686</v>
      </c>
      <c r="B138" s="432" t="s">
        <v>591</v>
      </c>
      <c r="C138" s="434" t="str">
        <f>IF('Kennzahlenbogen plus'!J55= "", "",'Kennzahlenbogen plus'!J55)</f>
        <v/>
      </c>
      <c r="D138" s="434" t="str">
        <f>IF('Kennzahlenbogen plus'!K55= "", "",'Kennzahlenbogen plus'!K55)</f>
        <v/>
      </c>
    </row>
    <row r="139" spans="1:4" x14ac:dyDescent="0.45">
      <c r="A139" s="431" t="s">
        <v>736</v>
      </c>
      <c r="B139" s="432" t="s">
        <v>795</v>
      </c>
      <c r="C139" s="439" t="str">
        <f>IF(AND('Kennzahlenbogen plus'!H55 = "",'Kennzahlenbogen plus'!J55 = ""),"",SUM('Kennzahlenbogen plus'!H55,'Kennzahlenbogen plus'!J55))</f>
        <v/>
      </c>
      <c r="D139" s="439" t="str">
        <f>IF(AND('Kennzahlenbogen plus'!I55 = "",'Kennzahlenbogen plus'!K55 = ""),"",SUM('Kennzahlenbogen plus'!I55,'Kennzahlenbogen plus'!K55))</f>
        <v/>
      </c>
    </row>
    <row r="140" spans="1:4" x14ac:dyDescent="0.45">
      <c r="A140" s="431" t="s">
        <v>639</v>
      </c>
      <c r="B140" s="432" t="s">
        <v>532</v>
      </c>
      <c r="C140" s="434" t="str">
        <f>IF('Kennzahlenbogen plus'!H56= "", "",'Kennzahlenbogen plus'!H56)</f>
        <v/>
      </c>
      <c r="D140" s="434" t="str">
        <f>IF('Kennzahlenbogen plus'!I56= "", "",'Kennzahlenbogen plus'!I56)</f>
        <v/>
      </c>
    </row>
    <row r="141" spans="1:4" x14ac:dyDescent="0.45">
      <c r="A141" s="431" t="s">
        <v>687</v>
      </c>
      <c r="B141" s="432" t="s">
        <v>592</v>
      </c>
      <c r="C141" s="434" t="str">
        <f>IF('Kennzahlenbogen plus'!J56= "", "",'Kennzahlenbogen plus'!J56)</f>
        <v/>
      </c>
      <c r="D141" s="434" t="str">
        <f>IF('Kennzahlenbogen plus'!K56= "", "",'Kennzahlenbogen plus'!K56)</f>
        <v/>
      </c>
    </row>
    <row r="142" spans="1:4" x14ac:dyDescent="0.45">
      <c r="A142" s="431" t="s">
        <v>737</v>
      </c>
      <c r="B142" s="432" t="s">
        <v>796</v>
      </c>
      <c r="C142" s="439" t="str">
        <f>IF(AND('Kennzahlenbogen plus'!H56 = "",'Kennzahlenbogen plus'!J56 = ""),"",SUM('Kennzahlenbogen plus'!H56,'Kennzahlenbogen plus'!J56))</f>
        <v/>
      </c>
      <c r="D142" s="439" t="str">
        <f>IF(AND('Kennzahlenbogen plus'!I56 = "",'Kennzahlenbogen plus'!K56 = ""),"",SUM('Kennzahlenbogen plus'!I56,'Kennzahlenbogen plus'!K56))</f>
        <v/>
      </c>
    </row>
    <row r="143" spans="1:4" x14ac:dyDescent="0.45">
      <c r="A143" s="431" t="s">
        <v>640</v>
      </c>
      <c r="B143" s="432" t="s">
        <v>533</v>
      </c>
      <c r="C143" s="434" t="str">
        <f>IF('Kennzahlenbogen plus'!H57= "", "",'Kennzahlenbogen plus'!H57)</f>
        <v/>
      </c>
      <c r="D143" s="434" t="str">
        <f>IF('Kennzahlenbogen plus'!I57= "", "",'Kennzahlenbogen plus'!I57)</f>
        <v/>
      </c>
    </row>
    <row r="144" spans="1:4" x14ac:dyDescent="0.45">
      <c r="A144" s="431" t="s">
        <v>688</v>
      </c>
      <c r="B144" s="432" t="s">
        <v>584</v>
      </c>
      <c r="C144" s="434" t="str">
        <f>IF('Kennzahlenbogen plus'!J57= "", "",'Kennzahlenbogen plus'!J57)</f>
        <v/>
      </c>
      <c r="D144" s="434" t="str">
        <f>IF('Kennzahlenbogen plus'!K57= "", "",'Kennzahlenbogen plus'!K57)</f>
        <v/>
      </c>
    </row>
    <row r="145" spans="1:4" x14ac:dyDescent="0.45">
      <c r="A145" s="431" t="s">
        <v>738</v>
      </c>
      <c r="B145" s="432" t="s">
        <v>797</v>
      </c>
      <c r="C145" s="439" t="str">
        <f>IF(AND('Kennzahlenbogen plus'!H57 = "",'Kennzahlenbogen plus'!J57 = ""),"",SUM('Kennzahlenbogen plus'!H57,'Kennzahlenbogen plus'!J57))</f>
        <v/>
      </c>
      <c r="D145" s="439" t="str">
        <f>IF(AND('Kennzahlenbogen plus'!I57 = "",'Kennzahlenbogen plus'!K57 = ""),"",SUM('Kennzahlenbogen plus'!I57,'Kennzahlenbogen plus'!K57))</f>
        <v/>
      </c>
    </row>
    <row r="146" spans="1:4" x14ac:dyDescent="0.45">
      <c r="A146" s="431" t="s">
        <v>641</v>
      </c>
      <c r="B146" s="432" t="s">
        <v>534</v>
      </c>
      <c r="C146" s="434" t="str">
        <f>IF('Kennzahlenbogen plus'!H58= "", "",'Kennzahlenbogen plus'!H58)</f>
        <v/>
      </c>
      <c r="D146" s="434" t="str">
        <f>IF('Kennzahlenbogen plus'!I58= "", "",'Kennzahlenbogen plus'!I58)</f>
        <v/>
      </c>
    </row>
    <row r="147" spans="1:4" x14ac:dyDescent="0.45">
      <c r="A147" s="431" t="s">
        <v>689</v>
      </c>
      <c r="B147" s="432" t="s">
        <v>593</v>
      </c>
      <c r="C147" s="434" t="str">
        <f>IF('Kennzahlenbogen plus'!J58= "", "",'Kennzahlenbogen plus'!J58)</f>
        <v/>
      </c>
      <c r="D147" s="434" t="str">
        <f>IF('Kennzahlenbogen plus'!K58= "", "",'Kennzahlenbogen plus'!K58)</f>
        <v/>
      </c>
    </row>
    <row r="148" spans="1:4" x14ac:dyDescent="0.45">
      <c r="A148" s="431" t="s">
        <v>739</v>
      </c>
      <c r="B148" s="432" t="s">
        <v>798</v>
      </c>
      <c r="C148" s="439" t="str">
        <f>IF(AND('Kennzahlenbogen plus'!H58 = "",'Kennzahlenbogen plus'!J58 = ""),"",SUM('Kennzahlenbogen plus'!H58,'Kennzahlenbogen plus'!J58))</f>
        <v/>
      </c>
      <c r="D148" s="439" t="str">
        <f>IF(AND('Kennzahlenbogen plus'!I58 = "",'Kennzahlenbogen plus'!K58 = ""),"",SUM('Kennzahlenbogen plus'!I58,'Kennzahlenbogen plus'!K58))</f>
        <v/>
      </c>
    </row>
    <row r="149" spans="1:4" x14ac:dyDescent="0.45">
      <c r="A149" s="431" t="s">
        <v>642</v>
      </c>
      <c r="B149" s="432" t="s">
        <v>535</v>
      </c>
      <c r="C149" s="434" t="str">
        <f>IF('Kennzahlenbogen plus'!H59= "", "",'Kennzahlenbogen plus'!H59)</f>
        <v/>
      </c>
      <c r="D149" s="434" t="str">
        <f>IF('Kennzahlenbogen plus'!I59= "", "",'Kennzahlenbogen plus'!I59)</f>
        <v/>
      </c>
    </row>
    <row r="150" spans="1:4" x14ac:dyDescent="0.45">
      <c r="A150" s="431" t="s">
        <v>690</v>
      </c>
      <c r="B150" s="432" t="s">
        <v>594</v>
      </c>
      <c r="C150" s="434" t="str">
        <f>IF('Kennzahlenbogen plus'!J59= "", "",'Kennzahlenbogen plus'!J59)</f>
        <v/>
      </c>
      <c r="D150" s="434" t="str">
        <f>IF('Kennzahlenbogen plus'!K59= "", "",'Kennzahlenbogen plus'!K59)</f>
        <v/>
      </c>
    </row>
    <row r="151" spans="1:4" x14ac:dyDescent="0.45">
      <c r="A151" s="431" t="s">
        <v>740</v>
      </c>
      <c r="B151" s="432" t="s">
        <v>799</v>
      </c>
      <c r="C151" s="439" t="str">
        <f>IF(AND('Kennzahlenbogen plus'!H59 = "",'Kennzahlenbogen plus'!J59 = ""),"",SUM('Kennzahlenbogen plus'!H59,'Kennzahlenbogen plus'!J59))</f>
        <v/>
      </c>
      <c r="D151" s="439" t="str">
        <f>IF(AND('Kennzahlenbogen plus'!I59 = "",'Kennzahlenbogen plus'!K59 = ""),"",SUM('Kennzahlenbogen plus'!I59,'Kennzahlenbogen plus'!K59))</f>
        <v/>
      </c>
    </row>
    <row r="152" spans="1:4" x14ac:dyDescent="0.45">
      <c r="A152" s="431" t="s">
        <v>643</v>
      </c>
      <c r="B152" s="432" t="s">
        <v>536</v>
      </c>
      <c r="C152" s="434" t="str">
        <f>IF('Kennzahlenbogen plus'!H60= "", "",'Kennzahlenbogen plus'!H60)</f>
        <v/>
      </c>
      <c r="D152" s="434" t="str">
        <f>IF('Kennzahlenbogen plus'!I60= "", "",'Kennzahlenbogen plus'!I60)</f>
        <v/>
      </c>
    </row>
    <row r="153" spans="1:4" x14ac:dyDescent="0.45">
      <c r="A153" s="431" t="s">
        <v>691</v>
      </c>
      <c r="B153" s="432" t="s">
        <v>595</v>
      </c>
      <c r="C153" s="434" t="str">
        <f>IF('Kennzahlenbogen plus'!J60= "", "",'Kennzahlenbogen plus'!J60)</f>
        <v/>
      </c>
      <c r="D153" s="434" t="str">
        <f>IF('Kennzahlenbogen plus'!K60= "", "",'Kennzahlenbogen plus'!K60)</f>
        <v/>
      </c>
    </row>
    <row r="154" spans="1:4" x14ac:dyDescent="0.45">
      <c r="A154" s="431" t="s">
        <v>741</v>
      </c>
      <c r="B154" s="432" t="s">
        <v>800</v>
      </c>
      <c r="C154" s="439" t="str">
        <f>IF(AND('Kennzahlenbogen plus'!H60 = "",'Kennzahlenbogen plus'!J60 = ""),"",SUM('Kennzahlenbogen plus'!H60,'Kennzahlenbogen plus'!J60))</f>
        <v/>
      </c>
      <c r="D154" s="439" t="str">
        <f>IF(AND('Kennzahlenbogen plus'!I60 = "",'Kennzahlenbogen plus'!K60 = ""),"",SUM('Kennzahlenbogen plus'!I60,'Kennzahlenbogen plus'!K60))</f>
        <v/>
      </c>
    </row>
    <row r="155" spans="1:4" x14ac:dyDescent="0.45">
      <c r="A155" s="431" t="s">
        <v>644</v>
      </c>
      <c r="B155" s="432" t="s">
        <v>537</v>
      </c>
      <c r="C155" s="434" t="str">
        <f>IF('Kennzahlenbogen plus'!H61= "", "",'Kennzahlenbogen plus'!H61)</f>
        <v/>
      </c>
      <c r="D155" s="434" t="str">
        <f>IF('Kennzahlenbogen plus'!I61= "", "",'Kennzahlenbogen plus'!I61)</f>
        <v/>
      </c>
    </row>
    <row r="156" spans="1:4" x14ac:dyDescent="0.45">
      <c r="A156" s="431" t="s">
        <v>692</v>
      </c>
      <c r="B156" s="432" t="s">
        <v>596</v>
      </c>
      <c r="C156" s="434" t="str">
        <f>IF('Kennzahlenbogen plus'!J61= "", "",'Kennzahlenbogen plus'!J61)</f>
        <v/>
      </c>
      <c r="D156" s="434" t="str">
        <f>IF('Kennzahlenbogen plus'!K61= "", "",'Kennzahlenbogen plus'!K61)</f>
        <v/>
      </c>
    </row>
    <row r="157" spans="1:4" x14ac:dyDescent="0.45">
      <c r="A157" s="431" t="s">
        <v>742</v>
      </c>
      <c r="B157" s="432" t="s">
        <v>801</v>
      </c>
      <c r="C157" s="439" t="str">
        <f>IF(AND('Kennzahlenbogen plus'!H61 = "",'Kennzahlenbogen plus'!J61 = ""),"",SUM('Kennzahlenbogen plus'!H61,'Kennzahlenbogen plus'!J61))</f>
        <v/>
      </c>
      <c r="D157" s="439" t="str">
        <f>IF(AND('Kennzahlenbogen plus'!I61 = "",'Kennzahlenbogen plus'!K61 = ""),"",SUM('Kennzahlenbogen plus'!I61,'Kennzahlenbogen plus'!K61))</f>
        <v/>
      </c>
    </row>
    <row r="158" spans="1:4" x14ac:dyDescent="0.45">
      <c r="A158" s="431" t="s">
        <v>646</v>
      </c>
      <c r="B158" s="432" t="s">
        <v>538</v>
      </c>
      <c r="C158" s="434" t="str">
        <f>IF('Kennzahlenbogen plus'!H62= "", "",'Kennzahlenbogen plus'!H62)</f>
        <v/>
      </c>
      <c r="D158" s="434" t="str">
        <f>IF('Kennzahlenbogen plus'!I62= "", "",'Kennzahlenbogen plus'!I62)</f>
        <v/>
      </c>
    </row>
    <row r="159" spans="1:4" x14ac:dyDescent="0.45">
      <c r="A159" s="431" t="s">
        <v>693</v>
      </c>
      <c r="B159" s="432" t="s">
        <v>597</v>
      </c>
      <c r="C159" s="434" t="str">
        <f>IF('Kennzahlenbogen plus'!J62= "", "",'Kennzahlenbogen plus'!J62)</f>
        <v/>
      </c>
      <c r="D159" s="434" t="str">
        <f>IF('Kennzahlenbogen plus'!K62= "", "",'Kennzahlenbogen plus'!K62)</f>
        <v/>
      </c>
    </row>
    <row r="160" spans="1:4" x14ac:dyDescent="0.45">
      <c r="A160" s="431" t="s">
        <v>743</v>
      </c>
      <c r="B160" s="432" t="s">
        <v>802</v>
      </c>
      <c r="C160" s="439" t="str">
        <f>IF(AND('Kennzahlenbogen plus'!H62 = "",'Kennzahlenbogen plus'!J62 = ""),"",SUM('Kennzahlenbogen plus'!H62,'Kennzahlenbogen plus'!J62))</f>
        <v/>
      </c>
      <c r="D160" s="439" t="str">
        <f>IF(AND('Kennzahlenbogen plus'!I62 = "",'Kennzahlenbogen plus'!K62 = ""),"",SUM('Kennzahlenbogen plus'!I62,'Kennzahlenbogen plus'!K62))</f>
        <v/>
      </c>
    </row>
    <row r="161" spans="1:4" x14ac:dyDescent="0.45">
      <c r="A161" s="431" t="s">
        <v>645</v>
      </c>
      <c r="B161" s="432" t="s">
        <v>539</v>
      </c>
      <c r="C161" s="434" t="str">
        <f>IF('Kennzahlenbogen plus'!H63= "", "",'Kennzahlenbogen plus'!H63)</f>
        <v/>
      </c>
      <c r="D161" s="434" t="str">
        <f>IF('Kennzahlenbogen plus'!I63= "", "",'Kennzahlenbogen plus'!I63)</f>
        <v/>
      </c>
    </row>
    <row r="162" spans="1:4" x14ac:dyDescent="0.45">
      <c r="A162" s="431" t="s">
        <v>694</v>
      </c>
      <c r="B162" s="432" t="s">
        <v>598</v>
      </c>
      <c r="C162" s="434" t="str">
        <f>IF('Kennzahlenbogen plus'!J63= "", "",'Kennzahlenbogen plus'!J63)</f>
        <v/>
      </c>
      <c r="D162" s="434" t="str">
        <f>IF('Kennzahlenbogen plus'!K63= "", "",'Kennzahlenbogen plus'!K63)</f>
        <v/>
      </c>
    </row>
    <row r="163" spans="1:4" x14ac:dyDescent="0.45">
      <c r="A163" s="431" t="s">
        <v>744</v>
      </c>
      <c r="B163" s="432" t="s">
        <v>803</v>
      </c>
      <c r="C163" s="439" t="str">
        <f>IF(AND('Kennzahlenbogen plus'!H63 = "",'Kennzahlenbogen plus'!J63 = ""),"",SUM('Kennzahlenbogen plus'!H63,'Kennzahlenbogen plus'!J63))</f>
        <v/>
      </c>
      <c r="D163" s="439" t="str">
        <f>IF(AND('Kennzahlenbogen plus'!I63 = "",'Kennzahlenbogen plus'!K63 = ""),"",SUM('Kennzahlenbogen plus'!I63,'Kennzahlenbogen plus'!K63))</f>
        <v/>
      </c>
    </row>
    <row r="164" spans="1:4" x14ac:dyDescent="0.45">
      <c r="A164" s="431" t="s">
        <v>647</v>
      </c>
      <c r="B164" s="432" t="s">
        <v>540</v>
      </c>
      <c r="C164" s="434" t="str">
        <f>IF('Kennzahlenbogen plus'!H64= "", "",'Kennzahlenbogen plus'!H64)</f>
        <v/>
      </c>
      <c r="D164" s="434" t="str">
        <f>IF('Kennzahlenbogen plus'!I64= "", "",'Kennzahlenbogen plus'!I64)</f>
        <v/>
      </c>
    </row>
    <row r="165" spans="1:4" x14ac:dyDescent="0.45">
      <c r="A165" s="431" t="s">
        <v>695</v>
      </c>
      <c r="B165" s="432" t="s">
        <v>599</v>
      </c>
      <c r="C165" s="434" t="str">
        <f>IF('Kennzahlenbogen plus'!J64= "", "",'Kennzahlenbogen plus'!J64)</f>
        <v/>
      </c>
      <c r="D165" s="434" t="str">
        <f>IF('Kennzahlenbogen plus'!K64= "", "",'Kennzahlenbogen plus'!K64)</f>
        <v/>
      </c>
    </row>
    <row r="166" spans="1:4" x14ac:dyDescent="0.45">
      <c r="A166" s="431" t="s">
        <v>745</v>
      </c>
      <c r="B166" s="432" t="s">
        <v>804</v>
      </c>
      <c r="C166" s="439" t="str">
        <f>IF(AND('Kennzahlenbogen plus'!H64 = "",'Kennzahlenbogen plus'!J64 = ""),"",SUM('Kennzahlenbogen plus'!H64,'Kennzahlenbogen plus'!J64))</f>
        <v/>
      </c>
      <c r="D166" s="439" t="str">
        <f>IF(AND('Kennzahlenbogen plus'!I64 = "",'Kennzahlenbogen plus'!K64 = ""),"",SUM('Kennzahlenbogen plus'!I64,'Kennzahlenbogen plus'!K64))</f>
        <v/>
      </c>
    </row>
    <row r="167" spans="1:4" x14ac:dyDescent="0.45">
      <c r="A167" s="431" t="s">
        <v>648</v>
      </c>
      <c r="B167" s="432" t="s">
        <v>541</v>
      </c>
      <c r="C167" s="434" t="str">
        <f>IF('Kennzahlenbogen plus'!H65= "", "",'Kennzahlenbogen plus'!H65)</f>
        <v/>
      </c>
      <c r="D167" s="434" t="str">
        <f>IF('Kennzahlenbogen plus'!I65= "", "",'Kennzahlenbogen plus'!I65)</f>
        <v/>
      </c>
    </row>
    <row r="168" spans="1:4" x14ac:dyDescent="0.45">
      <c r="A168" s="431" t="s">
        <v>696</v>
      </c>
      <c r="B168" s="432" t="s">
        <v>600</v>
      </c>
      <c r="C168" s="434" t="str">
        <f>IF('Kennzahlenbogen plus'!J65= "", "",'Kennzahlenbogen plus'!J65)</f>
        <v/>
      </c>
      <c r="D168" s="434" t="str">
        <f>IF('Kennzahlenbogen plus'!K65= "", "",'Kennzahlenbogen plus'!K65)</f>
        <v/>
      </c>
    </row>
    <row r="169" spans="1:4" x14ac:dyDescent="0.45">
      <c r="A169" s="431" t="s">
        <v>746</v>
      </c>
      <c r="B169" s="432" t="s">
        <v>805</v>
      </c>
      <c r="C169" s="439" t="str">
        <f>IF(AND('Kennzahlenbogen plus'!H65 = "",'Kennzahlenbogen plus'!J65 = ""),"",SUM('Kennzahlenbogen plus'!H65,'Kennzahlenbogen plus'!J65))</f>
        <v/>
      </c>
      <c r="D169" s="439" t="str">
        <f>IF(AND('Kennzahlenbogen plus'!I65 = "",'Kennzahlenbogen plus'!K65 = ""),"",SUM('Kennzahlenbogen plus'!I65,'Kennzahlenbogen plus'!K65))</f>
        <v/>
      </c>
    </row>
    <row r="170" spans="1:4" x14ac:dyDescent="0.45">
      <c r="A170" s="431" t="s">
        <v>649</v>
      </c>
      <c r="B170" s="432" t="s">
        <v>542</v>
      </c>
      <c r="C170" s="434" t="str">
        <f>IF('Kennzahlenbogen plus'!H66= "", "",'Kennzahlenbogen plus'!H66)</f>
        <v/>
      </c>
      <c r="D170" s="434" t="str">
        <f>IF('Kennzahlenbogen plus'!I66= "", "",'Kennzahlenbogen plus'!I66)</f>
        <v/>
      </c>
    </row>
    <row r="171" spans="1:4" x14ac:dyDescent="0.45">
      <c r="A171" s="431" t="s">
        <v>697</v>
      </c>
      <c r="B171" s="432" t="s">
        <v>601</v>
      </c>
      <c r="C171" s="434" t="str">
        <f>IF('Kennzahlenbogen plus'!J66= "", "",'Kennzahlenbogen plus'!J66)</f>
        <v/>
      </c>
      <c r="D171" s="434" t="str">
        <f>IF('Kennzahlenbogen plus'!K66= "", "",'Kennzahlenbogen plus'!K66)</f>
        <v/>
      </c>
    </row>
    <row r="172" spans="1:4" x14ac:dyDescent="0.45">
      <c r="A172" s="431" t="s">
        <v>747</v>
      </c>
      <c r="B172" s="432" t="s">
        <v>806</v>
      </c>
      <c r="C172" s="439" t="str">
        <f>IF(AND('Kennzahlenbogen plus'!H66 = "",'Kennzahlenbogen plus'!J66 = ""),"",SUM('Kennzahlenbogen plus'!H66,'Kennzahlenbogen plus'!J66))</f>
        <v/>
      </c>
      <c r="D172" s="439" t="str">
        <f>IF(AND('Kennzahlenbogen plus'!I66 = "",'Kennzahlenbogen plus'!K66 = ""),"",SUM('Kennzahlenbogen plus'!I66,'Kennzahlenbogen plus'!K66))</f>
        <v/>
      </c>
    </row>
    <row r="173" spans="1:4" x14ac:dyDescent="0.45">
      <c r="A173" s="431" t="s">
        <v>650</v>
      </c>
      <c r="B173" s="432" t="s">
        <v>543</v>
      </c>
      <c r="C173" s="434" t="str">
        <f>IF('Kennzahlenbogen plus'!H67= "", "",'Kennzahlenbogen plus'!H67)</f>
        <v/>
      </c>
      <c r="D173" s="434" t="str">
        <f>IF('Kennzahlenbogen plus'!I67= "", "",'Kennzahlenbogen plus'!I67)</f>
        <v/>
      </c>
    </row>
    <row r="174" spans="1:4" x14ac:dyDescent="0.45">
      <c r="A174" s="431" t="s">
        <v>698</v>
      </c>
      <c r="B174" s="432" t="s">
        <v>602</v>
      </c>
      <c r="C174" s="434" t="str">
        <f>IF('Kennzahlenbogen plus'!J67= "", "",'Kennzahlenbogen plus'!J67)</f>
        <v/>
      </c>
      <c r="D174" s="434" t="str">
        <f>IF('Kennzahlenbogen plus'!K67= "", "",'Kennzahlenbogen plus'!K67)</f>
        <v/>
      </c>
    </row>
    <row r="175" spans="1:4" x14ac:dyDescent="0.45">
      <c r="A175" s="431" t="s">
        <v>748</v>
      </c>
      <c r="B175" s="432" t="s">
        <v>807</v>
      </c>
      <c r="C175" s="439" t="str">
        <f>IF(AND('Kennzahlenbogen plus'!H67 = "",'Kennzahlenbogen plus'!J67 = ""),"",SUM('Kennzahlenbogen plus'!H67,'Kennzahlenbogen plus'!J67))</f>
        <v/>
      </c>
      <c r="D175" s="439" t="str">
        <f>IF(AND('Kennzahlenbogen plus'!I67 = "",'Kennzahlenbogen plus'!K67 = ""),"",SUM('Kennzahlenbogen plus'!I67,'Kennzahlenbogen plus'!K67))</f>
        <v/>
      </c>
    </row>
    <row r="176" spans="1:4" x14ac:dyDescent="0.45">
      <c r="A176" s="431" t="s">
        <v>651</v>
      </c>
      <c r="B176" s="432" t="s">
        <v>544</v>
      </c>
      <c r="C176" s="434" t="str">
        <f>IF('Kennzahlenbogen plus'!H68= "", "",'Kennzahlenbogen plus'!H68)</f>
        <v/>
      </c>
      <c r="D176" s="434" t="str">
        <f>IF('Kennzahlenbogen plus'!I68= "", "",'Kennzahlenbogen plus'!I68)</f>
        <v/>
      </c>
    </row>
    <row r="177" spans="1:4" x14ac:dyDescent="0.45">
      <c r="A177" s="431" t="s">
        <v>699</v>
      </c>
      <c r="B177" s="432" t="s">
        <v>603</v>
      </c>
      <c r="C177" s="434" t="str">
        <f>IF('Kennzahlenbogen plus'!J68= "", "",'Kennzahlenbogen plus'!J68)</f>
        <v/>
      </c>
      <c r="D177" s="434" t="str">
        <f>IF('Kennzahlenbogen plus'!K68= "", "",'Kennzahlenbogen plus'!K68)</f>
        <v/>
      </c>
    </row>
    <row r="178" spans="1:4" x14ac:dyDescent="0.45">
      <c r="A178" s="431" t="s">
        <v>749</v>
      </c>
      <c r="B178" s="432" t="s">
        <v>808</v>
      </c>
      <c r="C178" s="439" t="str">
        <f>IF(AND('Kennzahlenbogen plus'!H68 = "",'Kennzahlenbogen plus'!J68 = ""),"",SUM('Kennzahlenbogen plus'!H68,'Kennzahlenbogen plus'!J68))</f>
        <v/>
      </c>
      <c r="D178" s="439" t="str">
        <f>IF(AND('Kennzahlenbogen plus'!I68 = "",'Kennzahlenbogen plus'!K68 = ""),"",SUM('Kennzahlenbogen plus'!I68,'Kennzahlenbogen plus'!K68))</f>
        <v/>
      </c>
    </row>
    <row r="179" spans="1:4" x14ac:dyDescent="0.45">
      <c r="A179" s="431" t="s">
        <v>652</v>
      </c>
      <c r="B179" s="432" t="s">
        <v>545</v>
      </c>
      <c r="C179" s="434" t="str">
        <f>IF('Kennzahlenbogen plus'!H69= "", "",'Kennzahlenbogen plus'!H69)</f>
        <v/>
      </c>
      <c r="D179" s="434" t="str">
        <f>IF('Kennzahlenbogen plus'!I69= "", "",'Kennzahlenbogen plus'!I69)</f>
        <v/>
      </c>
    </row>
    <row r="180" spans="1:4" x14ac:dyDescent="0.45">
      <c r="A180" s="431" t="s">
        <v>700</v>
      </c>
      <c r="B180" s="432" t="s">
        <v>604</v>
      </c>
      <c r="C180" s="434" t="str">
        <f>IF('Kennzahlenbogen plus'!J69= "", "",'Kennzahlenbogen plus'!J69)</f>
        <v/>
      </c>
      <c r="D180" s="434" t="str">
        <f>IF('Kennzahlenbogen plus'!K69= "", "",'Kennzahlenbogen plus'!K69)</f>
        <v/>
      </c>
    </row>
    <row r="181" spans="1:4" x14ac:dyDescent="0.45">
      <c r="A181" s="431" t="s">
        <v>750</v>
      </c>
      <c r="B181" s="432" t="s">
        <v>809</v>
      </c>
      <c r="C181" s="439" t="str">
        <f>IF(AND('Kennzahlenbogen plus'!H69 = "",'Kennzahlenbogen plus'!J69 = ""),"",SUM('Kennzahlenbogen plus'!H69,'Kennzahlenbogen plus'!J69))</f>
        <v/>
      </c>
      <c r="D181" s="439" t="str">
        <f>IF(AND('Kennzahlenbogen plus'!I69 = "",'Kennzahlenbogen plus'!K69 = ""),"",SUM('Kennzahlenbogen plus'!I69,'Kennzahlenbogen plus'!K69))</f>
        <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AR117"/>
  <sheetViews>
    <sheetView showGridLines="0" showRuler="0" zoomScaleNormal="100" zoomScaleSheetLayoutView="100" workbookViewId="0">
      <selection activeCell="D23" sqref="D23"/>
    </sheetView>
  </sheetViews>
  <sheetFormatPr baseColWidth="10" defaultColWidth="9" defaultRowHeight="13.5" x14ac:dyDescent="0.35"/>
  <cols>
    <col min="1" max="1" width="12" style="8" customWidth="1"/>
    <col min="2" max="2" width="4.73046875" style="8" customWidth="1"/>
    <col min="3" max="7" width="5.73046875" style="8" customWidth="1"/>
    <col min="8" max="8" width="0.3984375" style="8" customWidth="1"/>
    <col min="9" max="9" width="4.73046875" style="8" customWidth="1"/>
    <col min="10" max="12" width="5.265625" style="8" customWidth="1"/>
    <col min="13" max="13" width="7.73046875" style="8" customWidth="1"/>
    <col min="14" max="14" width="0.3984375" style="8" customWidth="1"/>
    <col min="15" max="15" width="5.73046875" style="8" customWidth="1"/>
    <col min="16" max="16" width="6.73046875" style="8" hidden="1" customWidth="1"/>
    <col min="17" max="23" width="5.265625" style="8" customWidth="1"/>
    <col min="24" max="24" width="0.59765625" style="8" customWidth="1"/>
    <col min="25" max="25" width="7.3984375" style="8" customWidth="1"/>
    <col min="26" max="26" width="7.3984375" style="18" customWidth="1"/>
    <col min="27" max="28" width="8.3984375" style="8" customWidth="1"/>
    <col min="29" max="213" width="11.3984375" style="8" customWidth="1"/>
    <col min="214" max="16384" width="9" style="8"/>
  </cols>
  <sheetData>
    <row r="1" spans="1:44" ht="9.9499999999999993" customHeight="1" x14ac:dyDescent="0.35">
      <c r="C1" s="31"/>
      <c r="J1" s="19"/>
      <c r="K1" s="19"/>
      <c r="L1" s="19"/>
      <c r="M1" s="19"/>
      <c r="N1" s="19"/>
      <c r="O1" s="19"/>
      <c r="P1" s="19"/>
      <c r="Q1" s="19"/>
      <c r="R1" s="19"/>
    </row>
    <row r="2" spans="1:44" ht="12.95" customHeight="1" x14ac:dyDescent="0.35">
      <c r="A2" s="17" t="str">
        <f>'Basic data'!A2</f>
        <v>Anlage EB M1.1 (Auditjahr 2023 / Kennzahlenjahr 2022)</v>
      </c>
      <c r="G2" s="41"/>
      <c r="J2" s="19"/>
      <c r="K2" s="19"/>
      <c r="L2" s="19"/>
      <c r="M2" s="19"/>
      <c r="N2" s="19"/>
      <c r="O2" s="19"/>
      <c r="P2" s="19"/>
      <c r="Q2" s="19"/>
      <c r="R2" s="19"/>
    </row>
    <row r="3" spans="1:44" ht="16.899999999999999" x14ac:dyDescent="0.5">
      <c r="A3" s="22" t="s">
        <v>368</v>
      </c>
      <c r="J3" s="19"/>
      <c r="K3" s="19"/>
      <c r="L3" s="19"/>
      <c r="M3" s="19"/>
      <c r="N3" s="19"/>
      <c r="O3" s="19"/>
      <c r="P3" s="19"/>
      <c r="R3" s="20"/>
      <c r="S3" s="20"/>
      <c r="T3" s="20"/>
      <c r="U3" s="20"/>
    </row>
    <row r="4" spans="1:44" ht="13.9" x14ac:dyDescent="0.4">
      <c r="A4" s="48" t="s">
        <v>369</v>
      </c>
      <c r="J4" s="19"/>
      <c r="K4" s="19"/>
      <c r="L4" s="19"/>
      <c r="M4" s="19"/>
      <c r="N4" s="19"/>
      <c r="O4" s="19"/>
      <c r="P4" s="19"/>
      <c r="R4" s="20"/>
      <c r="S4" s="20"/>
      <c r="T4" s="20"/>
      <c r="U4" s="20"/>
      <c r="AL4" s="42"/>
      <c r="AM4" s="42"/>
      <c r="AN4" s="42"/>
      <c r="AO4" s="42"/>
      <c r="AP4" s="42"/>
      <c r="AQ4" s="42"/>
    </row>
    <row r="5" spans="1:44" ht="15" customHeight="1" x14ac:dyDescent="0.35">
      <c r="O5" s="19"/>
      <c r="P5" s="19"/>
      <c r="AL5" s="42"/>
      <c r="AM5" s="42"/>
      <c r="AN5" s="42"/>
      <c r="AO5" s="42"/>
      <c r="AP5" s="42"/>
      <c r="AQ5" s="42"/>
    </row>
    <row r="6" spans="1:44" s="26" customFormat="1" ht="15" customHeight="1" x14ac:dyDescent="0.45">
      <c r="B6" s="29" t="s">
        <v>359</v>
      </c>
      <c r="D6" s="8"/>
      <c r="F6" s="670" t="str">
        <f>IF('Basic data'!B8=0,"",'Basic data'!B8)</f>
        <v/>
      </c>
      <c r="G6" s="836"/>
      <c r="H6" s="837"/>
      <c r="I6" s="837"/>
      <c r="J6" s="837"/>
      <c r="K6" s="837"/>
      <c r="L6" s="837"/>
      <c r="M6" s="837"/>
      <c r="N6" s="837"/>
      <c r="O6" s="673"/>
      <c r="P6" s="673"/>
      <c r="Q6" s="673"/>
      <c r="R6" s="673"/>
      <c r="S6" s="673"/>
      <c r="T6" s="673"/>
      <c r="U6" s="673"/>
      <c r="V6" s="673"/>
      <c r="W6" s="674"/>
      <c r="Z6" s="17"/>
      <c r="AL6" s="42"/>
      <c r="AM6" s="42"/>
      <c r="AN6" s="42"/>
      <c r="AO6" s="42"/>
      <c r="AP6" s="42"/>
      <c r="AQ6" s="42"/>
    </row>
    <row r="7" spans="1:44" s="26" customFormat="1" ht="6.95" customHeight="1" x14ac:dyDescent="0.4">
      <c r="B7" s="10"/>
      <c r="C7" s="25"/>
      <c r="D7" s="8"/>
      <c r="E7" s="8"/>
      <c r="F7" s="8"/>
      <c r="G7" s="8"/>
      <c r="H7" s="23"/>
      <c r="I7" s="24"/>
      <c r="J7" s="24"/>
      <c r="K7" s="24"/>
      <c r="AL7" s="42"/>
      <c r="AM7" s="42"/>
      <c r="AN7" s="42"/>
      <c r="AO7" s="42"/>
      <c r="AP7" s="42"/>
      <c r="AQ7" s="42"/>
    </row>
    <row r="8" spans="1:44" s="26" customFormat="1" ht="15" customHeight="1" x14ac:dyDescent="0.45">
      <c r="B8" s="27" t="s">
        <v>308</v>
      </c>
      <c r="C8" s="28"/>
      <c r="D8" s="8"/>
      <c r="F8" s="838" t="str">
        <f>IF('Basic data'!B6=0,"",'Basic data'!B6)</f>
        <v>Not listed</v>
      </c>
      <c r="G8" s="839"/>
      <c r="H8" s="673"/>
      <c r="I8" s="673"/>
      <c r="J8" s="674"/>
      <c r="Q8" s="9" t="s">
        <v>306</v>
      </c>
      <c r="T8" s="683" t="str">
        <f>IF('Basic data'!G12=0,"",'Basic data'!G12)</f>
        <v/>
      </c>
      <c r="U8" s="840"/>
      <c r="V8" s="840"/>
      <c r="W8" s="674"/>
      <c r="AL8" s="42"/>
      <c r="AM8" s="42"/>
      <c r="AN8" s="42"/>
      <c r="AO8" s="42"/>
      <c r="AP8" s="42"/>
      <c r="AQ8" s="42"/>
    </row>
    <row r="9" spans="1:44" s="26" customFormat="1" ht="6" customHeight="1" x14ac:dyDescent="0.4">
      <c r="B9" s="27"/>
      <c r="C9" s="28"/>
      <c r="D9" s="8"/>
      <c r="F9" s="8"/>
      <c r="G9" s="8"/>
      <c r="H9" s="30"/>
      <c r="J9" s="24"/>
      <c r="K9" s="24"/>
      <c r="L9" s="8"/>
      <c r="M9" s="8"/>
      <c r="Z9" s="17"/>
      <c r="AL9" s="42"/>
      <c r="AM9" s="42"/>
      <c r="AN9" s="42"/>
      <c r="AO9" s="42"/>
      <c r="AP9" s="42"/>
      <c r="AQ9" s="42"/>
    </row>
    <row r="10" spans="1:44" ht="6" customHeight="1" x14ac:dyDescent="0.35">
      <c r="I10" s="26"/>
      <c r="AL10" s="42"/>
      <c r="AM10" s="42"/>
      <c r="AN10" s="42"/>
      <c r="AO10" s="42"/>
      <c r="AP10" s="42"/>
      <c r="AQ10" s="42"/>
    </row>
    <row r="11" spans="1:44" ht="7.5" customHeight="1" x14ac:dyDescent="0.35">
      <c r="A11" s="849"/>
      <c r="B11" s="849"/>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L11" s="42"/>
      <c r="AM11" s="42"/>
      <c r="AN11" s="42"/>
      <c r="AO11" s="42"/>
      <c r="AP11" s="42"/>
      <c r="AQ11" s="42"/>
    </row>
    <row r="12" spans="1:44" ht="13.9" x14ac:dyDescent="0.4">
      <c r="A12" s="32" t="s">
        <v>318</v>
      </c>
    </row>
    <row r="13" spans="1:44" ht="11.25" customHeight="1" x14ac:dyDescent="0.45">
      <c r="B13" s="841" t="str">
        <f>IF(OR(B14="",B14="Matrix kann eingereicht werden"),"In Ordnung",IF(B14="die inkorrekten und unvollständigen Einträge beheben","Nicht in Ordnung"))</f>
        <v>In Ordnung</v>
      </c>
      <c r="C13" s="841"/>
      <c r="D13" s="842"/>
      <c r="E13" s="842"/>
      <c r="F13" s="842"/>
      <c r="G13" s="843" t="s">
        <v>307</v>
      </c>
      <c r="H13" s="844"/>
      <c r="I13" s="844"/>
      <c r="J13" s="844"/>
      <c r="K13" s="844"/>
      <c r="L13" s="845" t="s">
        <v>179</v>
      </c>
      <c r="M13" s="846"/>
      <c r="N13" s="846"/>
      <c r="O13" s="846"/>
      <c r="P13" s="846"/>
      <c r="Q13" s="846"/>
      <c r="R13" s="846"/>
      <c r="S13" s="847" t="s">
        <v>314</v>
      </c>
      <c r="T13" s="848"/>
      <c r="U13" s="848"/>
      <c r="V13" s="848"/>
      <c r="W13" s="847" t="s">
        <v>389</v>
      </c>
      <c r="X13" s="844"/>
      <c r="Y13" s="844"/>
      <c r="Z13" s="844"/>
    </row>
    <row r="14" spans="1:44" ht="20.25" customHeight="1" x14ac:dyDescent="0.45">
      <c r="B14" s="828" t="str">
        <f>Berechnung2!B6</f>
        <v/>
      </c>
      <c r="C14" s="828"/>
      <c r="D14" s="829"/>
      <c r="E14" s="829"/>
      <c r="F14" s="829"/>
      <c r="G14" s="830">
        <f>Berechnung2!C6</f>
        <v>0</v>
      </c>
      <c r="H14" s="831"/>
      <c r="I14" s="831"/>
      <c r="J14" s="831"/>
      <c r="K14" s="831"/>
      <c r="L14" s="832">
        <f>Berechnung2!D6</f>
        <v>0</v>
      </c>
      <c r="M14" s="833"/>
      <c r="N14" s="833"/>
      <c r="O14" s="833"/>
      <c r="P14" s="833"/>
      <c r="Q14" s="833"/>
      <c r="R14" s="833"/>
      <c r="S14" s="834">
        <f>Berechnung2!E6</f>
        <v>0</v>
      </c>
      <c r="T14" s="835"/>
      <c r="U14" s="835"/>
      <c r="V14" s="835"/>
      <c r="W14" s="834">
        <f>Berechnung2!F6</f>
        <v>0</v>
      </c>
      <c r="X14" s="831"/>
      <c r="Y14" s="831"/>
      <c r="Z14" s="831"/>
    </row>
    <row r="15" spans="1:44" s="26" customFormat="1" ht="5.25" customHeight="1" x14ac:dyDescent="0.4">
      <c r="B15" s="10"/>
      <c r="C15" s="16"/>
      <c r="D15" s="16"/>
      <c r="E15" s="16"/>
      <c r="F15" s="16"/>
      <c r="G15" s="16"/>
      <c r="Z15" s="17"/>
      <c r="AO15" s="42"/>
      <c r="AP15" s="42"/>
      <c r="AQ15" s="42"/>
      <c r="AR15" s="42"/>
    </row>
    <row r="16" spans="1:44" s="26" customFormat="1" ht="6" customHeight="1" x14ac:dyDescent="0.4">
      <c r="B16" s="10"/>
      <c r="C16" s="16"/>
      <c r="D16" s="16"/>
      <c r="E16" s="16"/>
      <c r="F16" s="16"/>
      <c r="G16" s="16"/>
      <c r="Z16" s="17"/>
      <c r="AO16" s="42"/>
      <c r="AP16" s="42"/>
      <c r="AQ16" s="42"/>
      <c r="AR16" s="42"/>
    </row>
    <row r="17" spans="1:44" s="26" customFormat="1" ht="4.5" customHeight="1" x14ac:dyDescent="0.4">
      <c r="B17" s="10"/>
      <c r="C17" s="16"/>
      <c r="D17" s="16"/>
      <c r="E17" s="16"/>
      <c r="F17" s="16"/>
      <c r="G17" s="16"/>
      <c r="Z17" s="17"/>
      <c r="AO17" s="42"/>
      <c r="AP17" s="42"/>
      <c r="AQ17" s="42"/>
      <c r="AR17" s="42"/>
    </row>
    <row r="18" spans="1:44" s="26" customFormat="1" ht="6" customHeight="1" thickBot="1" x14ac:dyDescent="0.45">
      <c r="B18" s="10"/>
      <c r="C18" s="16"/>
      <c r="D18" s="16"/>
      <c r="E18" s="16"/>
      <c r="F18" s="16"/>
      <c r="G18" s="16"/>
      <c r="Z18" s="17"/>
      <c r="AO18" s="42"/>
      <c r="AP18" s="42"/>
      <c r="AQ18" s="42"/>
      <c r="AR18" s="42"/>
    </row>
    <row r="19" spans="1:44" ht="24" customHeight="1" thickTop="1" thickBot="1" x14ac:dyDescent="0.5">
      <c r="A19" s="49"/>
      <c r="B19" s="50"/>
      <c r="C19" s="822" t="s">
        <v>370</v>
      </c>
      <c r="D19" s="823"/>
      <c r="E19" s="823"/>
      <c r="F19" s="823"/>
      <c r="G19" s="823"/>
      <c r="H19" s="367"/>
      <c r="I19" s="824" t="s">
        <v>312</v>
      </c>
      <c r="J19" s="825"/>
      <c r="K19" s="825"/>
      <c r="L19" s="825"/>
      <c r="M19" s="825"/>
      <c r="N19" s="825"/>
      <c r="O19" s="825"/>
      <c r="P19" s="825"/>
      <c r="Q19" s="825"/>
      <c r="R19" s="825"/>
      <c r="S19" s="825"/>
      <c r="T19" s="825"/>
      <c r="U19" s="825"/>
      <c r="V19" s="825"/>
      <c r="W19" s="826"/>
      <c r="X19" s="366"/>
      <c r="Y19" s="824" t="s">
        <v>452</v>
      </c>
      <c r="Z19" s="827"/>
      <c r="AL19" s="42"/>
      <c r="AM19" s="42"/>
      <c r="AN19" s="42"/>
      <c r="AO19" s="42"/>
      <c r="AP19" s="42"/>
      <c r="AQ19" s="42"/>
    </row>
    <row r="20" spans="1:44" ht="15.75" customHeight="1" thickBot="1" x14ac:dyDescent="0.4">
      <c r="A20" s="51" t="s">
        <v>354</v>
      </c>
      <c r="B20" s="51" t="s">
        <v>171</v>
      </c>
      <c r="C20" s="295" t="s">
        <v>180</v>
      </c>
      <c r="D20" s="1" t="s">
        <v>181</v>
      </c>
      <c r="E20" s="1" t="s">
        <v>182</v>
      </c>
      <c r="F20" s="1" t="s">
        <v>183</v>
      </c>
      <c r="G20" s="1" t="s">
        <v>184</v>
      </c>
      <c r="H20" s="368"/>
      <c r="I20" s="295" t="s">
        <v>185</v>
      </c>
      <c r="J20" s="322" t="s">
        <v>310</v>
      </c>
      <c r="K20" s="322" t="s">
        <v>371</v>
      </c>
      <c r="L20" s="322" t="s">
        <v>311</v>
      </c>
      <c r="M20" s="322" t="s">
        <v>372</v>
      </c>
      <c r="N20" s="363"/>
      <c r="O20" s="295" t="s">
        <v>186</v>
      </c>
      <c r="P20" s="322" t="s">
        <v>187</v>
      </c>
      <c r="Q20" s="322" t="s">
        <v>188</v>
      </c>
      <c r="R20" s="322" t="s">
        <v>267</v>
      </c>
      <c r="S20" s="322" t="s">
        <v>373</v>
      </c>
      <c r="T20" s="322" t="s">
        <v>189</v>
      </c>
      <c r="U20" s="322" t="s">
        <v>190</v>
      </c>
      <c r="V20" s="322" t="s">
        <v>191</v>
      </c>
      <c r="W20" s="322" t="s">
        <v>192</v>
      </c>
      <c r="X20" s="364"/>
      <c r="Y20" s="295" t="s">
        <v>193</v>
      </c>
      <c r="Z20" s="323" t="s">
        <v>194</v>
      </c>
      <c r="AL20" s="42"/>
      <c r="AM20" s="42"/>
      <c r="AN20" s="42"/>
      <c r="AO20" s="42"/>
      <c r="AP20" s="42"/>
      <c r="AQ20" s="42"/>
    </row>
    <row r="21" spans="1:44" ht="128.25" customHeight="1" thickBot="1" x14ac:dyDescent="0.4">
      <c r="A21" s="850" t="s">
        <v>262</v>
      </c>
      <c r="B21" s="850" t="s">
        <v>390</v>
      </c>
      <c r="C21" s="852" t="s">
        <v>374</v>
      </c>
      <c r="D21" s="852" t="s">
        <v>443</v>
      </c>
      <c r="E21" s="852" t="s">
        <v>444</v>
      </c>
      <c r="F21" s="852" t="s">
        <v>445</v>
      </c>
      <c r="G21" s="852" t="s">
        <v>446</v>
      </c>
      <c r="H21" s="368"/>
      <c r="I21" s="852" t="s">
        <v>447</v>
      </c>
      <c r="J21" s="856" t="s">
        <v>448</v>
      </c>
      <c r="K21" s="856" t="s">
        <v>449</v>
      </c>
      <c r="L21" s="856" t="s">
        <v>450</v>
      </c>
      <c r="M21" s="866" t="s">
        <v>375</v>
      </c>
      <c r="N21" s="364"/>
      <c r="O21" s="854" t="s">
        <v>25</v>
      </c>
      <c r="P21" s="869" t="s">
        <v>29</v>
      </c>
      <c r="Q21" s="871" t="s">
        <v>451</v>
      </c>
      <c r="R21" s="314" t="s">
        <v>376</v>
      </c>
      <c r="S21" s="314" t="s">
        <v>377</v>
      </c>
      <c r="T21" s="314" t="s">
        <v>378</v>
      </c>
      <c r="U21" s="854" t="s">
        <v>195</v>
      </c>
      <c r="V21" s="872" t="s">
        <v>22</v>
      </c>
      <c r="W21" s="854" t="s">
        <v>52</v>
      </c>
      <c r="X21" s="364"/>
      <c r="Y21" s="864" t="s">
        <v>196</v>
      </c>
      <c r="Z21" s="861" t="s">
        <v>175</v>
      </c>
      <c r="AL21" s="42"/>
      <c r="AM21" s="42"/>
      <c r="AN21" s="42"/>
      <c r="AO21" s="42"/>
      <c r="AP21" s="42"/>
      <c r="AQ21" s="42"/>
    </row>
    <row r="22" spans="1:44" ht="33" customHeight="1" thickBot="1" x14ac:dyDescent="0.4">
      <c r="A22" s="851"/>
      <c r="B22" s="851"/>
      <c r="C22" s="853"/>
      <c r="D22" s="853"/>
      <c r="E22" s="853"/>
      <c r="F22" s="853"/>
      <c r="G22" s="853"/>
      <c r="H22" s="368"/>
      <c r="I22" s="868"/>
      <c r="J22" s="857"/>
      <c r="K22" s="857"/>
      <c r="L22" s="857"/>
      <c r="M22" s="867"/>
      <c r="N22" s="364"/>
      <c r="O22" s="855"/>
      <c r="P22" s="870"/>
      <c r="Q22" s="868"/>
      <c r="R22" s="863" t="s">
        <v>197</v>
      </c>
      <c r="S22" s="863"/>
      <c r="T22" s="863"/>
      <c r="U22" s="855"/>
      <c r="V22" s="873"/>
      <c r="W22" s="855"/>
      <c r="X22" s="364"/>
      <c r="Y22" s="865"/>
      <c r="Z22" s="862"/>
      <c r="AL22" s="42"/>
      <c r="AM22" s="42"/>
      <c r="AN22" s="42"/>
      <c r="AO22" s="42"/>
      <c r="AP22" s="42"/>
      <c r="AQ22" s="42"/>
    </row>
    <row r="23" spans="1:44" ht="20.100000000000001" customHeight="1" thickBot="1" x14ac:dyDescent="0.4">
      <c r="A23" s="69" t="str">
        <f>IF(Datenquelle!$F$3&gt;5,IF(Datenquelle!$F$3=6,"EZ",IF(Datenquelle!$F$3&gt;6,"relevant","?")),"nicht relevant")</f>
        <v>nicht relevant</v>
      </c>
      <c r="B23" s="68">
        <v>2013</v>
      </c>
      <c r="C23" s="312">
        <f t="shared" ref="C23:C28" si="0">SUM(D23:G23)</f>
        <v>0</v>
      </c>
      <c r="D23" s="74"/>
      <c r="E23" s="74"/>
      <c r="F23" s="74"/>
      <c r="G23" s="74"/>
      <c r="H23" s="368"/>
      <c r="I23" s="299" t="str">
        <f>IF(SUM(J23:L23)=0,"",SUM(J23:L23))</f>
        <v/>
      </c>
      <c r="J23" s="74"/>
      <c r="K23" s="74"/>
      <c r="L23" s="74"/>
      <c r="M23" s="301" t="str">
        <f>IF(I23="","",IF(I23&gt;0,SUM(J23:K23) /I23,0))</f>
        <v/>
      </c>
      <c r="N23" s="364"/>
      <c r="O23" s="299" t="str">
        <f>IF(COUNTA(Q23:W23)&lt;7,"",SUM(J23+K23-Q23-V23-W23-U23))</f>
        <v/>
      </c>
      <c r="P23" s="52" t="str">
        <f>IF(AND(COUNTA(J23:K23)&gt;0,O23&lt;&gt;"",SUM(J23:K23)&gt;0),O23 /(J23+K23),"")</f>
        <v/>
      </c>
      <c r="Q23" s="74"/>
      <c r="R23" s="74"/>
      <c r="S23" s="74"/>
      <c r="T23" s="74"/>
      <c r="U23" s="74"/>
      <c r="V23" s="74"/>
      <c r="W23" s="74"/>
      <c r="X23" s="364"/>
      <c r="Y23" s="115"/>
      <c r="Z23" s="116"/>
      <c r="AL23" s="42"/>
      <c r="AM23" s="42"/>
      <c r="AN23" s="42"/>
      <c r="AO23" s="42"/>
      <c r="AP23" s="42"/>
      <c r="AQ23" s="42"/>
    </row>
    <row r="24" spans="1:44" s="16" customFormat="1" ht="20.100000000000001" customHeight="1" thickBot="1" x14ac:dyDescent="0.35">
      <c r="A24" s="70" t="str">
        <f>IF(Datenquelle!$F$3&gt;4,IF(Datenquelle!$F$3=5,"EZ",IF(Datenquelle!$F$3&gt;5,"relevant","?")),"nicht relevant")</f>
        <v>nicht relevant</v>
      </c>
      <c r="B24" s="66">
        <v>2014</v>
      </c>
      <c r="C24" s="312">
        <f t="shared" si="0"/>
        <v>0</v>
      </c>
      <c r="D24" s="74"/>
      <c r="E24" s="74"/>
      <c r="F24" s="74"/>
      <c r="G24" s="74"/>
      <c r="H24" s="368"/>
      <c r="I24" s="299" t="str">
        <f>IF(SUM(J24:L24)=0,"",SUM(J24:L24))</f>
        <v/>
      </c>
      <c r="J24" s="74"/>
      <c r="K24" s="74"/>
      <c r="L24" s="74"/>
      <c r="M24" s="302" t="str">
        <f>IF(I24="","",IF(I24&gt;0,SUM(J24:K24) /I24,0))</f>
        <v/>
      </c>
      <c r="N24" s="364"/>
      <c r="O24" s="299" t="str">
        <f>IF(COUNTA(Q24:W24)&lt;7,"",SUM(J24+K24-Q24-V24-W24-U24))</f>
        <v/>
      </c>
      <c r="P24" s="52" t="str">
        <f>IF(AND(COUNTA(J24:K24)&gt;0,O24&lt;&gt;"",SUM(J24:K24)&gt;0),O24 /(J24+K24),"")</f>
        <v/>
      </c>
      <c r="Q24" s="74"/>
      <c r="R24" s="74"/>
      <c r="S24" s="74"/>
      <c r="T24" s="74"/>
      <c r="U24" s="74"/>
      <c r="V24" s="74"/>
      <c r="W24" s="74"/>
      <c r="X24" s="364"/>
      <c r="Y24" s="115"/>
      <c r="Z24" s="116"/>
      <c r="AL24" s="42"/>
      <c r="AM24" s="42"/>
      <c r="AN24" s="42"/>
      <c r="AO24" s="42"/>
      <c r="AP24" s="42"/>
      <c r="AQ24" s="42"/>
    </row>
    <row r="25" spans="1:44" s="16" customFormat="1" ht="20.100000000000001" customHeight="1" thickBot="1" x14ac:dyDescent="0.35">
      <c r="A25" s="70" t="str">
        <f>IF(Datenquelle!$F$3&gt;3,IF(Datenquelle!$F$3=4,"EZ",IF(Datenquelle!$F$3&gt;4,"relevant","?")),"nicht relevant")</f>
        <v>nicht relevant</v>
      </c>
      <c r="B25" s="66">
        <v>2015</v>
      </c>
      <c r="C25" s="312">
        <f t="shared" si="0"/>
        <v>0</v>
      </c>
      <c r="D25" s="74"/>
      <c r="E25" s="74"/>
      <c r="F25" s="74"/>
      <c r="G25" s="74"/>
      <c r="H25" s="368"/>
      <c r="I25" s="299" t="str">
        <f>IF(SUM(J25:L25)=0,"",SUM(J25:L25))</f>
        <v/>
      </c>
      <c r="J25" s="74"/>
      <c r="K25" s="74"/>
      <c r="L25" s="74"/>
      <c r="M25" s="302" t="str">
        <f>IF(I25="","",IF(I25&gt;0,SUM(J25:K25) /I25,0))</f>
        <v/>
      </c>
      <c r="N25" s="364"/>
      <c r="O25" s="299" t="str">
        <f>IF(COUNTA(Q25:W25)&lt;7,"",SUM(J25+K25-Q25-V25-W25-U25))</f>
        <v/>
      </c>
      <c r="P25" s="52" t="str">
        <f>IF(AND(COUNTA(J25:K25)&gt;0,O25&lt;&gt;"",SUM(J25:K25)&gt;0),O25 /(J25+K25),"")</f>
        <v/>
      </c>
      <c r="Q25" s="74"/>
      <c r="R25" s="74"/>
      <c r="S25" s="74"/>
      <c r="T25" s="74"/>
      <c r="U25" s="74"/>
      <c r="V25" s="74"/>
      <c r="W25" s="74"/>
      <c r="X25" s="364"/>
      <c r="Y25" s="115"/>
      <c r="Z25" s="116"/>
      <c r="AL25" s="42"/>
      <c r="AM25" s="42"/>
      <c r="AN25" s="42"/>
      <c r="AO25" s="42"/>
      <c r="AP25" s="42"/>
      <c r="AQ25" s="42"/>
    </row>
    <row r="26" spans="1:44" s="16" customFormat="1" ht="20.100000000000001" customHeight="1" thickBot="1" x14ac:dyDescent="0.35">
      <c r="A26" s="70" t="str">
        <f>IF(Datenquelle!$F$3&gt;2,IF(Datenquelle!$F$3=3,"EZ",IF(Datenquelle!$F$3&gt;3,"relevant","?")),"nicht relevant")</f>
        <v>nicht relevant</v>
      </c>
      <c r="B26" s="66">
        <v>2016</v>
      </c>
      <c r="C26" s="312">
        <f t="shared" si="0"/>
        <v>0</v>
      </c>
      <c r="D26" s="74"/>
      <c r="E26" s="74"/>
      <c r="F26" s="74"/>
      <c r="G26" s="74"/>
      <c r="H26" s="368"/>
      <c r="I26" s="299" t="str">
        <f>IF(SUM(J26:L26)=0,"",SUM(J26:L26))</f>
        <v/>
      </c>
      <c r="J26" s="74"/>
      <c r="K26" s="74"/>
      <c r="L26" s="74"/>
      <c r="M26" s="302" t="str">
        <f>IF(I26="","",IF(I26&gt;0,SUM(J26:K26) /I26,0))</f>
        <v/>
      </c>
      <c r="N26" s="364"/>
      <c r="O26" s="299" t="str">
        <f>IF(COUNTA(Q26:W26)&lt;7,"",SUM(J26+K26-Q26-V26-W26-U26))</f>
        <v/>
      </c>
      <c r="P26" s="52" t="str">
        <f>IF(AND(COUNTA(J26:K26)&gt;0,O26&lt;&gt;"",SUM(J26:K26)&gt;0),O26 /(J26+K26),"")</f>
        <v/>
      </c>
      <c r="Q26" s="74"/>
      <c r="R26" s="74"/>
      <c r="S26" s="74"/>
      <c r="T26" s="74"/>
      <c r="U26" s="74"/>
      <c r="V26" s="74"/>
      <c r="W26" s="74"/>
      <c r="X26" s="364"/>
      <c r="Y26" s="115"/>
      <c r="Z26" s="116"/>
      <c r="AA26" s="40"/>
      <c r="AB26" s="40"/>
      <c r="AL26" s="42"/>
      <c r="AM26" s="42"/>
      <c r="AN26" s="42"/>
      <c r="AO26" s="42"/>
      <c r="AP26" s="42"/>
      <c r="AQ26" s="42"/>
    </row>
    <row r="27" spans="1:44" s="16" customFormat="1" ht="20.100000000000001" customHeight="1" thickBot="1" x14ac:dyDescent="0.35">
      <c r="A27" s="71" t="str">
        <f>IF(Datenquelle!$F$3&gt;1,IF(Datenquelle!$F$3=2,"EZ",IF(Datenquelle!$F$3&gt;2,"relevant","?")),"nicht relevant")</f>
        <v>nicht relevant</v>
      </c>
      <c r="B27" s="67" t="s">
        <v>817</v>
      </c>
      <c r="C27" s="60">
        <f t="shared" si="0"/>
        <v>0</v>
      </c>
      <c r="D27" s="75"/>
      <c r="E27" s="75"/>
      <c r="F27" s="75"/>
      <c r="G27" s="75"/>
      <c r="H27" s="368"/>
      <c r="I27" s="858"/>
      <c r="J27" s="858"/>
      <c r="K27" s="858"/>
      <c r="L27" s="858"/>
      <c r="M27" s="858"/>
      <c r="N27" s="364"/>
      <c r="O27" s="858"/>
      <c r="P27" s="858" t="str">
        <f>IF(AND(COUNTA(J27:K27)&gt;0,O27&lt;&gt;"",SUM(J27:K27)&gt;0),O27 /(J27+K27),"")</f>
        <v/>
      </c>
      <c r="Q27" s="858"/>
      <c r="R27" s="858"/>
      <c r="S27" s="858"/>
      <c r="T27" s="858"/>
      <c r="U27" s="858"/>
      <c r="V27" s="858"/>
      <c r="W27" s="858"/>
      <c r="X27" s="364"/>
      <c r="Y27" s="859"/>
      <c r="Z27" s="860"/>
      <c r="AL27" s="42"/>
      <c r="AM27" s="42"/>
      <c r="AN27" s="42"/>
      <c r="AO27" s="42"/>
      <c r="AP27" s="42"/>
      <c r="AQ27" s="42"/>
    </row>
    <row r="28" spans="1:44" s="16" customFormat="1" ht="20.100000000000001" customHeight="1" thickTop="1" thickBot="1" x14ac:dyDescent="0.35">
      <c r="A28" s="77" t="str">
        <f>IF(Datenquelle!$F$3&gt;0,IF(Datenquelle!$F$3=1,"EZ",IF(Datenquelle!$F$3&gt;1,"relevant","?")),"nicht relevant")</f>
        <v>nicht relevant</v>
      </c>
      <c r="B28" s="78" t="s">
        <v>818</v>
      </c>
      <c r="C28" s="79">
        <f t="shared" si="0"/>
        <v>0</v>
      </c>
      <c r="D28" s="80"/>
      <c r="E28" s="80"/>
      <c r="F28" s="80"/>
      <c r="G28" s="80"/>
      <c r="H28" s="369"/>
      <c r="I28" s="858"/>
      <c r="J28" s="858"/>
      <c r="K28" s="858"/>
      <c r="L28" s="858"/>
      <c r="M28" s="858"/>
      <c r="N28" s="365"/>
      <c r="O28" s="858"/>
      <c r="P28" s="858"/>
      <c r="Q28" s="858"/>
      <c r="R28" s="858"/>
      <c r="S28" s="858"/>
      <c r="T28" s="858"/>
      <c r="U28" s="858"/>
      <c r="V28" s="858"/>
      <c r="W28" s="858"/>
      <c r="X28" s="365"/>
      <c r="Y28" s="859"/>
      <c r="Z28" s="860"/>
      <c r="AA28" s="46"/>
      <c r="AB28" s="46"/>
      <c r="AL28" s="42"/>
      <c r="AM28" s="42"/>
      <c r="AN28" s="42"/>
      <c r="AO28" s="42"/>
      <c r="AP28" s="42"/>
      <c r="AQ28" s="42"/>
    </row>
    <row r="29" spans="1:44" ht="3" customHeight="1" thickTop="1" x14ac:dyDescent="0.45">
      <c r="A29"/>
      <c r="B29"/>
      <c r="C29"/>
      <c r="D29"/>
      <c r="E29"/>
      <c r="F29"/>
      <c r="G29"/>
      <c r="H29"/>
      <c r="I29"/>
      <c r="J29"/>
      <c r="K29"/>
      <c r="L29"/>
      <c r="M29"/>
      <c r="N29"/>
      <c r="O29"/>
      <c r="P29"/>
      <c r="Q29"/>
      <c r="R29"/>
      <c r="S29"/>
      <c r="T29"/>
      <c r="U29"/>
      <c r="V29"/>
      <c r="W29"/>
      <c r="X29"/>
      <c r="Y29"/>
      <c r="Z29"/>
      <c r="AL29" s="42"/>
      <c r="AM29" s="42"/>
      <c r="AN29" s="42"/>
      <c r="AO29" s="42"/>
      <c r="AP29" s="42"/>
      <c r="AQ29" s="42"/>
    </row>
    <row r="30" spans="1:44" ht="15" customHeight="1" x14ac:dyDescent="0.45">
      <c r="A30"/>
      <c r="B30"/>
      <c r="C30"/>
      <c r="D30"/>
      <c r="E30"/>
      <c r="F30" s="4" t="s">
        <v>432</v>
      </c>
      <c r="G30" s="82"/>
      <c r="H30"/>
      <c r="I30"/>
      <c r="J30"/>
      <c r="K30"/>
      <c r="L30"/>
      <c r="M30" s="304" t="str">
        <f>IF(A26="EZ","-----",IF(A26= "Nicht relevant","-----",IF(COUNTBLANK(M24:M26)=3,"",SUMIF(A24:A26,"relevant",M24:M26) /COUNTIF(A24:A26,"relevant"))))</f>
        <v>-----</v>
      </c>
      <c r="N30"/>
      <c r="O30"/>
      <c r="P30"/>
      <c r="Q30"/>
      <c r="R30"/>
      <c r="S30"/>
      <c r="T30"/>
      <c r="U30"/>
      <c r="V30"/>
      <c r="W30"/>
      <c r="X30"/>
      <c r="Y30"/>
      <c r="AL30" s="42"/>
      <c r="AM30" s="42"/>
      <c r="AN30" s="42"/>
      <c r="AO30" s="42"/>
      <c r="AP30" s="42"/>
      <c r="AQ30" s="42"/>
    </row>
    <row r="31" spans="1:44" ht="11.25" customHeight="1" x14ac:dyDescent="0.35">
      <c r="A31" s="53"/>
      <c r="B31" s="21"/>
      <c r="C31" s="21"/>
      <c r="D31" s="21"/>
      <c r="E31" s="21"/>
      <c r="F31" s="21"/>
      <c r="G31" s="21"/>
      <c r="H31" s="21"/>
      <c r="I31" s="21"/>
      <c r="J31" s="21"/>
      <c r="K31" s="21"/>
      <c r="L31" s="21"/>
      <c r="M31" s="21"/>
      <c r="N31" s="21"/>
      <c r="O31" s="21"/>
      <c r="P31" s="54"/>
      <c r="Q31" s="54"/>
      <c r="R31" s="21"/>
      <c r="S31" s="21"/>
      <c r="T31" s="21"/>
      <c r="U31" s="21"/>
      <c r="V31" s="21"/>
      <c r="W31" s="21"/>
      <c r="X31" s="21"/>
      <c r="AL31" s="42"/>
      <c r="AM31" s="42"/>
      <c r="AN31" s="42"/>
      <c r="AO31" s="42"/>
      <c r="AP31" s="42"/>
      <c r="AQ31" s="42"/>
    </row>
    <row r="32" spans="1:44" s="11" customFormat="1" ht="14.1" customHeight="1" x14ac:dyDescent="0.3">
      <c r="A32" s="819" t="s">
        <v>453</v>
      </c>
      <c r="B32" s="819"/>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row>
    <row r="33" spans="1:27" s="11" customFormat="1" ht="14.1" customHeight="1" x14ac:dyDescent="0.3">
      <c r="A33" s="819" t="s">
        <v>454</v>
      </c>
      <c r="B33" s="819"/>
      <c r="C33" s="819"/>
      <c r="D33" s="819"/>
      <c r="E33" s="819"/>
      <c r="F33" s="819"/>
      <c r="G33" s="819"/>
      <c r="H33" s="819"/>
      <c r="I33" s="819"/>
      <c r="J33" s="819"/>
      <c r="K33" s="819"/>
      <c r="L33" s="819"/>
      <c r="M33" s="819"/>
      <c r="N33" s="819"/>
      <c r="O33" s="819"/>
      <c r="P33" s="819"/>
      <c r="Q33" s="819"/>
      <c r="R33" s="819"/>
      <c r="S33" s="819"/>
      <c r="T33" s="819"/>
      <c r="U33" s="819"/>
      <c r="V33" s="819"/>
      <c r="W33" s="819"/>
      <c r="X33" s="819"/>
      <c r="Y33" s="819"/>
      <c r="Z33" s="819"/>
    </row>
    <row r="34" spans="1:27" s="11" customFormat="1" ht="23.25" customHeight="1" x14ac:dyDescent="0.3">
      <c r="A34" s="820" t="s">
        <v>455</v>
      </c>
      <c r="B34" s="820"/>
      <c r="C34" s="820"/>
      <c r="D34" s="820"/>
      <c r="E34" s="820"/>
      <c r="F34" s="820"/>
      <c r="G34" s="820"/>
      <c r="H34" s="820"/>
      <c r="I34" s="820"/>
      <c r="J34" s="820"/>
      <c r="K34" s="820"/>
      <c r="L34" s="820"/>
      <c r="M34" s="820"/>
      <c r="N34" s="820"/>
      <c r="O34" s="820"/>
      <c r="P34" s="820"/>
      <c r="Q34" s="820"/>
      <c r="R34" s="820"/>
      <c r="S34" s="820"/>
      <c r="T34" s="820"/>
      <c r="U34" s="820"/>
      <c r="V34" s="820"/>
      <c r="W34" s="820"/>
      <c r="X34" s="820"/>
      <c r="Y34" s="820"/>
      <c r="Z34" s="820"/>
    </row>
    <row r="35" spans="1:27" s="11" customFormat="1" ht="24" customHeight="1" x14ac:dyDescent="0.3">
      <c r="A35" s="820" t="s">
        <v>863</v>
      </c>
      <c r="B35" s="820"/>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370"/>
    </row>
    <row r="36" spans="1:27" s="11" customFormat="1" ht="14.1" customHeight="1" x14ac:dyDescent="0.3">
      <c r="A36" s="819" t="s">
        <v>456</v>
      </c>
      <c r="B36" s="819"/>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row>
    <row r="37" spans="1:27" s="11" customFormat="1" ht="14.1" customHeight="1" x14ac:dyDescent="0.3">
      <c r="A37" s="819" t="s">
        <v>457</v>
      </c>
      <c r="B37" s="819"/>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row>
    <row r="38" spans="1:27" s="11" customFormat="1" ht="14.1" customHeight="1" x14ac:dyDescent="0.3">
      <c r="A38" s="819" t="s">
        <v>458</v>
      </c>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row>
    <row r="39" spans="1:27" s="11" customFormat="1" ht="24.75" customHeight="1" x14ac:dyDescent="0.3">
      <c r="A39" s="820" t="s">
        <v>459</v>
      </c>
      <c r="B39" s="820"/>
      <c r="C39" s="820"/>
      <c r="D39" s="820"/>
      <c r="E39" s="820"/>
      <c r="F39" s="820"/>
      <c r="G39" s="820"/>
      <c r="H39" s="820"/>
      <c r="I39" s="820"/>
      <c r="J39" s="820"/>
      <c r="K39" s="820"/>
      <c r="L39" s="820"/>
      <c r="M39" s="820"/>
      <c r="N39" s="820"/>
      <c r="O39" s="820"/>
      <c r="P39" s="820"/>
      <c r="Q39" s="820"/>
      <c r="R39" s="820"/>
      <c r="S39" s="820"/>
      <c r="T39" s="820"/>
      <c r="U39" s="820"/>
      <c r="V39" s="820"/>
      <c r="W39" s="820"/>
      <c r="X39" s="820"/>
      <c r="Y39" s="820"/>
      <c r="Z39" s="820"/>
    </row>
    <row r="40" spans="1:27" s="11" customFormat="1" ht="14.1" customHeight="1" x14ac:dyDescent="0.3">
      <c r="A40" s="819" t="s">
        <v>393</v>
      </c>
      <c r="B40" s="819"/>
      <c r="C40" s="819"/>
      <c r="D40" s="819"/>
      <c r="E40" s="819"/>
      <c r="F40" s="819"/>
      <c r="G40" s="819"/>
      <c r="H40" s="819"/>
      <c r="I40" s="819"/>
      <c r="J40" s="819"/>
      <c r="K40" s="819"/>
      <c r="L40" s="819"/>
      <c r="M40" s="819"/>
      <c r="N40" s="819"/>
      <c r="O40" s="819"/>
      <c r="P40" s="819"/>
      <c r="Q40" s="819"/>
      <c r="R40" s="819"/>
      <c r="S40" s="819"/>
      <c r="T40" s="819"/>
      <c r="U40" s="819"/>
      <c r="V40" s="819"/>
      <c r="W40" s="819"/>
      <c r="X40" s="819"/>
      <c r="Y40" s="819"/>
      <c r="Z40" s="819"/>
    </row>
    <row r="41" spans="1:27" s="11" customFormat="1" ht="24" customHeight="1" x14ac:dyDescent="0.3">
      <c r="A41" s="821" t="s">
        <v>460</v>
      </c>
      <c r="B41" s="821"/>
      <c r="C41" s="821"/>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371"/>
    </row>
    <row r="42" spans="1:27" s="11" customFormat="1" ht="15.75" customHeight="1" x14ac:dyDescent="0.3">
      <c r="A42" s="35"/>
      <c r="Z42" s="4"/>
    </row>
    <row r="43" spans="1:27" s="11" customFormat="1" ht="14.1" customHeight="1" x14ac:dyDescent="0.3">
      <c r="A43" s="72" t="s">
        <v>305</v>
      </c>
      <c r="Z43" s="4"/>
    </row>
    <row r="44" spans="1:27" s="11" customFormat="1" ht="14.1" customHeight="1" x14ac:dyDescent="0.3">
      <c r="A44" s="35" t="s">
        <v>379</v>
      </c>
      <c r="Z44" s="4"/>
    </row>
    <row r="45" spans="1:27" s="35" customFormat="1" ht="14.1" customHeight="1" x14ac:dyDescent="0.45">
      <c r="A45" s="35" t="s">
        <v>380</v>
      </c>
    </row>
    <row r="46" spans="1:27" s="11" customFormat="1" ht="14.1" customHeight="1" x14ac:dyDescent="0.3">
      <c r="A46" s="87" t="s">
        <v>360</v>
      </c>
      <c r="B46" s="35" t="s">
        <v>865</v>
      </c>
      <c r="Z46" s="4"/>
    </row>
    <row r="47" spans="1:27" s="11" customFormat="1" ht="14.1" customHeight="1" x14ac:dyDescent="0.3">
      <c r="A47" s="87" t="s">
        <v>361</v>
      </c>
      <c r="B47" s="35" t="s">
        <v>416</v>
      </c>
      <c r="Z47" s="4"/>
    </row>
    <row r="48" spans="1:27" s="11" customFormat="1" ht="14.1" customHeight="1" x14ac:dyDescent="0.3">
      <c r="A48" s="87" t="s">
        <v>362</v>
      </c>
      <c r="B48" s="35" t="s">
        <v>394</v>
      </c>
      <c r="E48" s="88"/>
      <c r="Z48" s="4"/>
    </row>
    <row r="49" spans="1:37" s="11" customFormat="1" ht="14.1" customHeight="1" x14ac:dyDescent="0.3">
      <c r="A49" s="87" t="s">
        <v>363</v>
      </c>
      <c r="B49" s="35" t="s">
        <v>170</v>
      </c>
      <c r="Z49" s="4"/>
    </row>
    <row r="50" spans="1:37" s="11" customFormat="1" ht="14.1" customHeight="1" x14ac:dyDescent="0.3">
      <c r="A50" s="89" t="s">
        <v>364</v>
      </c>
      <c r="B50" s="35" t="s">
        <v>172</v>
      </c>
      <c r="Z50" s="4"/>
    </row>
    <row r="51" spans="1:37" s="11" customFormat="1" ht="14.1" customHeight="1" x14ac:dyDescent="0.3">
      <c r="A51" s="87" t="s">
        <v>367</v>
      </c>
      <c r="B51" s="35" t="s">
        <v>51</v>
      </c>
      <c r="Z51" s="4"/>
    </row>
    <row r="52" spans="1:37" s="11" customFormat="1" ht="18.75" customHeight="1" x14ac:dyDescent="0.3">
      <c r="A52" s="35"/>
      <c r="Z52" s="4"/>
    </row>
    <row r="53" spans="1:37" s="11" customFormat="1" ht="14.1" customHeight="1" x14ac:dyDescent="0.3">
      <c r="A53" s="72" t="s">
        <v>349</v>
      </c>
    </row>
    <row r="54" spans="1:37" s="11" customFormat="1" ht="14.1" customHeight="1" x14ac:dyDescent="0.3">
      <c r="A54" s="35" t="s">
        <v>350</v>
      </c>
    </row>
    <row r="55" spans="1:37" s="11" customFormat="1" ht="14.1" customHeight="1" x14ac:dyDescent="0.3">
      <c r="A55" s="35" t="s">
        <v>351</v>
      </c>
    </row>
    <row r="56" spans="1:37" s="11" customFormat="1" ht="14.1" customHeight="1" x14ac:dyDescent="0.3">
      <c r="A56" s="35" t="s">
        <v>50</v>
      </c>
      <c r="AF56" s="35"/>
      <c r="AG56" s="35"/>
      <c r="AH56" s="35"/>
      <c r="AI56" s="35"/>
      <c r="AJ56" s="35"/>
      <c r="AK56" s="35"/>
    </row>
    <row r="57" spans="1:37" s="11" customFormat="1" ht="14.1" customHeight="1" x14ac:dyDescent="0.3">
      <c r="A57" s="35"/>
    </row>
    <row r="58" spans="1:37" s="11" customFormat="1" ht="14.1" customHeight="1" x14ac:dyDescent="0.3">
      <c r="A58" s="90" t="s">
        <v>304</v>
      </c>
    </row>
    <row r="59" spans="1:37" s="11" customFormat="1" ht="22.5" customHeight="1" x14ac:dyDescent="0.45">
      <c r="A59" s="91" t="s">
        <v>56</v>
      </c>
      <c r="B59" s="890" t="s">
        <v>173</v>
      </c>
      <c r="C59" s="875"/>
      <c r="D59" s="875"/>
      <c r="E59" s="891" t="s">
        <v>265</v>
      </c>
      <c r="F59" s="892"/>
      <c r="G59" s="893"/>
      <c r="H59" s="878" t="s">
        <v>355</v>
      </c>
      <c r="I59" s="879"/>
      <c r="J59" s="879"/>
      <c r="K59" s="879"/>
      <c r="L59" s="879"/>
      <c r="M59" s="879"/>
      <c r="N59" s="879"/>
      <c r="O59" s="879"/>
      <c r="P59" s="879"/>
      <c r="Q59" s="879"/>
      <c r="R59" s="879"/>
      <c r="S59" s="879"/>
      <c r="T59" s="879"/>
      <c r="U59" s="879"/>
      <c r="V59" s="879"/>
      <c r="W59" s="879"/>
      <c r="X59" s="879"/>
      <c r="Y59" s="879"/>
      <c r="Z59" s="880"/>
      <c r="AC59"/>
      <c r="AD59"/>
      <c r="AE59"/>
      <c r="AF59"/>
      <c r="AG59"/>
      <c r="AH59"/>
      <c r="AI59"/>
    </row>
    <row r="60" spans="1:37" s="11" customFormat="1" ht="14.1" customHeight="1" x14ac:dyDescent="0.45">
      <c r="A60" s="94" t="s">
        <v>322</v>
      </c>
      <c r="B60" s="874" t="s">
        <v>169</v>
      </c>
      <c r="C60" s="875"/>
      <c r="D60" s="875"/>
      <c r="E60" s="887"/>
      <c r="F60" s="888"/>
      <c r="G60" s="889"/>
      <c r="H60" s="138"/>
      <c r="I60" s="95" t="s">
        <v>177</v>
      </c>
      <c r="J60" s="96"/>
      <c r="K60" s="96"/>
      <c r="L60" s="96"/>
      <c r="M60" s="96"/>
      <c r="N60" s="96"/>
      <c r="O60" s="96"/>
      <c r="P60" s="96"/>
      <c r="Q60" s="96"/>
      <c r="R60" s="96"/>
      <c r="S60" s="96"/>
      <c r="T60" s="96"/>
      <c r="U60" s="96"/>
      <c r="V60" s="96"/>
      <c r="W60" s="96"/>
      <c r="X60" s="96"/>
      <c r="Y60" s="96"/>
      <c r="Z60" s="261"/>
      <c r="AC60"/>
      <c r="AD60"/>
      <c r="AE60"/>
      <c r="AF60"/>
      <c r="AG60"/>
      <c r="AH60"/>
      <c r="AI60"/>
    </row>
    <row r="61" spans="1:37" s="11" customFormat="1" ht="14.1" customHeight="1" x14ac:dyDescent="0.45">
      <c r="A61" s="94" t="s">
        <v>322</v>
      </c>
      <c r="B61" s="874" t="s">
        <v>356</v>
      </c>
      <c r="C61" s="875"/>
      <c r="D61" s="881"/>
      <c r="E61" s="882"/>
      <c r="F61" s="883"/>
      <c r="G61" s="884"/>
      <c r="H61" s="138"/>
      <c r="I61" s="97" t="s">
        <v>40</v>
      </c>
      <c r="J61" s="98"/>
      <c r="K61" s="98"/>
      <c r="L61" s="98"/>
      <c r="M61" s="98"/>
      <c r="N61" s="98"/>
      <c r="O61" s="98"/>
      <c r="P61" s="98"/>
      <c r="Q61" s="98"/>
      <c r="R61" s="98"/>
      <c r="S61" s="98"/>
      <c r="T61" s="98"/>
      <c r="U61" s="98"/>
      <c r="V61" s="98"/>
      <c r="W61" s="98"/>
      <c r="X61" s="98"/>
      <c r="Y61" s="98"/>
      <c r="Z61" s="262"/>
      <c r="AC61"/>
      <c r="AD61"/>
      <c r="AE61"/>
      <c r="AF61"/>
      <c r="AG61"/>
      <c r="AH61"/>
      <c r="AI61"/>
    </row>
    <row r="62" spans="1:37" s="11" customFormat="1" ht="14.1" customHeight="1" x14ac:dyDescent="0.45">
      <c r="A62" s="94" t="s">
        <v>354</v>
      </c>
      <c r="B62" s="874" t="s">
        <v>174</v>
      </c>
      <c r="C62" s="875"/>
      <c r="D62" s="875"/>
      <c r="E62" s="885" t="s">
        <v>389</v>
      </c>
      <c r="F62" s="886"/>
      <c r="G62" s="886"/>
      <c r="H62" s="138"/>
      <c r="I62" s="97" t="s">
        <v>41</v>
      </c>
      <c r="J62" s="97"/>
      <c r="K62" s="97"/>
      <c r="L62" s="97"/>
      <c r="M62" s="97"/>
      <c r="N62" s="97"/>
      <c r="O62" s="97"/>
      <c r="P62" s="97"/>
      <c r="Q62" s="97"/>
      <c r="R62" s="97"/>
      <c r="S62" s="97"/>
      <c r="T62" s="97"/>
      <c r="U62" s="97"/>
      <c r="V62" s="97"/>
      <c r="W62" s="97"/>
      <c r="X62" s="97"/>
      <c r="Y62" s="97"/>
      <c r="Z62" s="263"/>
      <c r="AC62"/>
      <c r="AD62"/>
      <c r="AE62"/>
      <c r="AF62"/>
      <c r="AG62"/>
      <c r="AH62"/>
      <c r="AI62"/>
    </row>
    <row r="63" spans="1:37" s="11" customFormat="1" ht="14.1" customHeight="1" x14ac:dyDescent="0.45">
      <c r="A63" s="94" t="s">
        <v>185</v>
      </c>
      <c r="B63" s="874" t="s">
        <v>381</v>
      </c>
      <c r="C63" s="875"/>
      <c r="D63" s="875"/>
      <c r="E63" s="876" t="s">
        <v>314</v>
      </c>
      <c r="F63" s="877"/>
      <c r="G63" s="877"/>
      <c r="H63" s="138"/>
      <c r="I63" s="97" t="s">
        <v>392</v>
      </c>
      <c r="J63" s="97"/>
      <c r="K63" s="97"/>
      <c r="L63" s="97"/>
      <c r="M63" s="97"/>
      <c r="N63" s="97"/>
      <c r="O63" s="97"/>
      <c r="P63" s="97"/>
      <c r="Q63" s="97"/>
      <c r="R63" s="97"/>
      <c r="S63" s="97"/>
      <c r="T63" s="97"/>
      <c r="U63" s="97"/>
      <c r="V63" s="97"/>
      <c r="W63" s="97"/>
      <c r="X63" s="97"/>
      <c r="Y63" s="97"/>
      <c r="Z63" s="263"/>
      <c r="AC63"/>
      <c r="AD63"/>
      <c r="AE63"/>
      <c r="AF63"/>
      <c r="AG63"/>
      <c r="AH63"/>
      <c r="AI63"/>
    </row>
    <row r="64" spans="1:37" s="11" customFormat="1" ht="14.1" customHeight="1" x14ac:dyDescent="0.45">
      <c r="A64" s="94" t="s">
        <v>186</v>
      </c>
      <c r="B64" s="874" t="s">
        <v>26</v>
      </c>
      <c r="C64" s="875"/>
      <c r="D64" s="875"/>
      <c r="E64" s="876" t="s">
        <v>314</v>
      </c>
      <c r="F64" s="877"/>
      <c r="G64" s="877"/>
      <c r="H64" s="138"/>
      <c r="I64" s="97" t="s">
        <v>27</v>
      </c>
      <c r="J64" s="97"/>
      <c r="K64" s="97"/>
      <c r="L64" s="97"/>
      <c r="M64" s="97"/>
      <c r="N64" s="97"/>
      <c r="O64" s="97"/>
      <c r="P64" s="97"/>
      <c r="Q64" s="97"/>
      <c r="R64" s="97"/>
      <c r="S64" s="97"/>
      <c r="T64" s="97"/>
      <c r="U64" s="97"/>
      <c r="V64" s="97"/>
      <c r="W64" s="97"/>
      <c r="X64" s="97"/>
      <c r="Y64" s="97"/>
      <c r="Z64" s="263"/>
      <c r="AC64"/>
      <c r="AD64"/>
      <c r="AE64"/>
      <c r="AF64"/>
      <c r="AG64"/>
      <c r="AH64"/>
      <c r="AI64"/>
    </row>
    <row r="65" spans="1:35" s="11" customFormat="1" ht="14.1" customHeight="1" x14ac:dyDescent="0.45">
      <c r="A65" s="94" t="s">
        <v>382</v>
      </c>
      <c r="B65" s="874" t="s">
        <v>53</v>
      </c>
      <c r="C65" s="875"/>
      <c r="D65" s="875"/>
      <c r="E65" s="876" t="s">
        <v>314</v>
      </c>
      <c r="F65" s="877"/>
      <c r="G65" s="877"/>
      <c r="H65" s="138"/>
      <c r="I65" s="97" t="s">
        <v>30</v>
      </c>
      <c r="J65" s="97"/>
      <c r="K65" s="97"/>
      <c r="L65" s="97"/>
      <c r="M65" s="97"/>
      <c r="N65" s="97"/>
      <c r="O65" s="97"/>
      <c r="P65" s="97"/>
      <c r="Q65" s="97"/>
      <c r="R65" s="97"/>
      <c r="S65" s="97"/>
      <c r="T65" s="97"/>
      <c r="U65" s="97"/>
      <c r="V65" s="97"/>
      <c r="W65" s="97"/>
      <c r="X65" s="97"/>
      <c r="Y65" s="97"/>
      <c r="Z65" s="263"/>
      <c r="AC65"/>
      <c r="AD65"/>
      <c r="AE65"/>
      <c r="AF65"/>
      <c r="AG65"/>
      <c r="AH65"/>
      <c r="AI65"/>
    </row>
    <row r="66" spans="1:35" s="11" customFormat="1" ht="14.1" customHeight="1" x14ac:dyDescent="0.45">
      <c r="A66" s="94" t="s">
        <v>436</v>
      </c>
      <c r="B66" s="874" t="s">
        <v>437</v>
      </c>
      <c r="C66" s="875"/>
      <c r="D66" s="875"/>
      <c r="E66" s="894" t="s">
        <v>179</v>
      </c>
      <c r="F66" s="895"/>
      <c r="G66" s="895"/>
      <c r="H66" s="138"/>
      <c r="I66" s="97" t="s">
        <v>426</v>
      </c>
      <c r="J66" s="97"/>
      <c r="K66" s="97"/>
      <c r="L66" s="97"/>
      <c r="M66" s="97"/>
      <c r="N66" s="97"/>
      <c r="O66" s="97"/>
      <c r="P66" s="97"/>
      <c r="Q66" s="97"/>
      <c r="R66" s="97"/>
      <c r="S66" s="97"/>
      <c r="T66" s="97"/>
      <c r="U66" s="97"/>
      <c r="V66" s="97"/>
      <c r="W66" s="97"/>
      <c r="X66" s="97"/>
      <c r="Y66" s="97"/>
      <c r="Z66" s="263"/>
      <c r="AC66"/>
      <c r="AD66"/>
      <c r="AE66"/>
      <c r="AF66"/>
      <c r="AG66"/>
      <c r="AH66"/>
      <c r="AI66"/>
    </row>
    <row r="67" spans="1:35" s="11" customFormat="1" ht="14.1" customHeight="1" x14ac:dyDescent="0.45">
      <c r="A67" s="94" t="s">
        <v>180</v>
      </c>
      <c r="B67" s="874" t="s">
        <v>383</v>
      </c>
      <c r="C67" s="875"/>
      <c r="D67" s="875"/>
      <c r="E67" s="896" t="s">
        <v>307</v>
      </c>
      <c r="F67" s="897"/>
      <c r="G67" s="897"/>
      <c r="H67" s="138"/>
      <c r="I67" s="97" t="s">
        <v>374</v>
      </c>
      <c r="J67" s="97"/>
      <c r="K67" s="97"/>
      <c r="L67" s="97"/>
      <c r="M67" s="97"/>
      <c r="N67" s="97"/>
      <c r="O67" s="97"/>
      <c r="P67" s="97"/>
      <c r="Q67" s="97"/>
      <c r="R67" s="97"/>
      <c r="S67" s="97"/>
      <c r="T67" s="97"/>
      <c r="U67" s="97"/>
      <c r="V67" s="97"/>
      <c r="W67" s="97"/>
      <c r="X67" s="97"/>
      <c r="Y67" s="97"/>
      <c r="Z67" s="263"/>
      <c r="AC67"/>
      <c r="AD67"/>
      <c r="AE67"/>
      <c r="AF67"/>
      <c r="AG67"/>
      <c r="AH67"/>
      <c r="AI67"/>
    </row>
    <row r="68" spans="1:35" s="11" customFormat="1" ht="14.1" customHeight="1" x14ac:dyDescent="0.45">
      <c r="A68" s="94" t="s">
        <v>372</v>
      </c>
      <c r="B68" s="874" t="s">
        <v>39</v>
      </c>
      <c r="C68" s="875"/>
      <c r="D68" s="875"/>
      <c r="E68" s="896" t="s">
        <v>307</v>
      </c>
      <c r="F68" s="897"/>
      <c r="G68" s="897"/>
      <c r="H68" s="138"/>
      <c r="I68" s="97" t="s">
        <v>31</v>
      </c>
      <c r="J68" s="97"/>
      <c r="K68" s="97"/>
      <c r="L68" s="97"/>
      <c r="M68" s="97"/>
      <c r="N68" s="97"/>
      <c r="O68" s="97"/>
      <c r="P68" s="97"/>
      <c r="Q68" s="97"/>
      <c r="R68" s="97"/>
      <c r="S68" s="97"/>
      <c r="T68" s="97"/>
      <c r="U68" s="97"/>
      <c r="V68" s="97"/>
      <c r="W68" s="97"/>
      <c r="X68" s="97"/>
      <c r="Y68" s="97"/>
      <c r="Z68" s="263"/>
      <c r="AC68"/>
      <c r="AD68"/>
      <c r="AE68"/>
      <c r="AF68"/>
      <c r="AG68"/>
      <c r="AH68"/>
      <c r="AI68"/>
    </row>
    <row r="69" spans="1:35" s="11" customFormat="1" ht="14.1" customHeight="1" x14ac:dyDescent="0.45">
      <c r="A69" s="94" t="s">
        <v>436</v>
      </c>
      <c r="B69" s="874" t="s">
        <v>438</v>
      </c>
      <c r="C69" s="875"/>
      <c r="D69" s="875"/>
      <c r="E69" s="896" t="s">
        <v>307</v>
      </c>
      <c r="F69" s="897"/>
      <c r="G69" s="897"/>
      <c r="H69" s="138"/>
      <c r="I69" s="97" t="s">
        <v>425</v>
      </c>
      <c r="J69" s="97"/>
      <c r="K69" s="97"/>
      <c r="L69" s="97"/>
      <c r="M69" s="97"/>
      <c r="N69" s="97"/>
      <c r="O69" s="97"/>
      <c r="P69" s="97"/>
      <c r="Q69" s="97"/>
      <c r="R69" s="97"/>
      <c r="S69" s="97"/>
      <c r="T69" s="97"/>
      <c r="U69" s="97"/>
      <c r="V69" s="97"/>
      <c r="W69" s="97"/>
      <c r="X69" s="97"/>
      <c r="Y69" s="97"/>
      <c r="Z69" s="263"/>
      <c r="AC69"/>
      <c r="AD69"/>
      <c r="AE69"/>
      <c r="AF69"/>
      <c r="AG69"/>
      <c r="AH69"/>
      <c r="AI69"/>
    </row>
    <row r="70" spans="1:35" s="11" customFormat="1" ht="14.1" hidden="1" customHeight="1" x14ac:dyDescent="0.45">
      <c r="A70" s="94" t="s">
        <v>187</v>
      </c>
      <c r="B70" s="874" t="s">
        <v>18</v>
      </c>
      <c r="C70" s="875"/>
      <c r="D70" s="875"/>
      <c r="E70" s="896" t="s">
        <v>307</v>
      </c>
      <c r="F70" s="897"/>
      <c r="G70" s="897"/>
      <c r="H70" s="138"/>
      <c r="I70" s="97" t="s">
        <v>15</v>
      </c>
      <c r="J70" s="97"/>
      <c r="K70" s="97"/>
      <c r="L70" s="97"/>
      <c r="M70" s="97"/>
      <c r="N70" s="97"/>
      <c r="O70" s="97"/>
      <c r="P70" s="97"/>
      <c r="Q70" s="97"/>
      <c r="R70" s="97"/>
      <c r="S70" s="97"/>
      <c r="T70" s="97"/>
      <c r="U70" s="97"/>
      <c r="V70" s="97"/>
      <c r="W70" s="97"/>
      <c r="X70" s="97"/>
      <c r="Y70" s="97"/>
      <c r="Z70" s="263"/>
      <c r="AC70"/>
      <c r="AD70"/>
      <c r="AE70"/>
      <c r="AF70"/>
      <c r="AG70"/>
      <c r="AH70"/>
      <c r="AI70"/>
    </row>
    <row r="71" spans="1:35" s="11" customFormat="1" ht="14.1" customHeight="1" x14ac:dyDescent="0.45">
      <c r="A71" s="94" t="s">
        <v>42</v>
      </c>
      <c r="B71" s="898" t="s">
        <v>65</v>
      </c>
      <c r="C71" s="899"/>
      <c r="D71" s="900"/>
      <c r="E71" s="896" t="s">
        <v>307</v>
      </c>
      <c r="F71" s="897"/>
      <c r="G71" s="897"/>
      <c r="H71" s="138"/>
      <c r="I71" s="102" t="s">
        <v>357</v>
      </c>
      <c r="J71" s="97"/>
      <c r="K71" s="97"/>
      <c r="L71" s="97"/>
      <c r="M71" s="97"/>
      <c r="N71" s="97"/>
      <c r="O71" s="260" t="s">
        <v>149</v>
      </c>
      <c r="P71" s="97"/>
      <c r="Q71" s="102">
        <f>B23</f>
        <v>2013</v>
      </c>
      <c r="R71" s="97"/>
      <c r="S71" s="102"/>
      <c r="T71" s="97"/>
      <c r="U71" s="97"/>
      <c r="V71" s="97"/>
      <c r="W71" s="97"/>
      <c r="X71" s="97"/>
      <c r="Y71" s="97"/>
      <c r="Z71" s="263"/>
      <c r="AC71"/>
      <c r="AD71"/>
      <c r="AE71"/>
      <c r="AF71"/>
      <c r="AG71"/>
      <c r="AH71"/>
      <c r="AI71"/>
    </row>
    <row r="72" spans="1:35" s="11" customFormat="1" ht="14.1" customHeight="1" x14ac:dyDescent="0.45">
      <c r="A72" s="94" t="s">
        <v>43</v>
      </c>
      <c r="B72" s="898" t="s">
        <v>60</v>
      </c>
      <c r="C72" s="899"/>
      <c r="D72" s="900"/>
      <c r="E72" s="896" t="s">
        <v>307</v>
      </c>
      <c r="F72" s="897"/>
      <c r="G72" s="897"/>
      <c r="H72" s="138"/>
      <c r="I72" s="102" t="s">
        <v>357</v>
      </c>
      <c r="J72" s="97"/>
      <c r="K72" s="97"/>
      <c r="L72" s="97"/>
      <c r="M72" s="97"/>
      <c r="N72" s="97"/>
      <c r="O72" s="260" t="s">
        <v>149</v>
      </c>
      <c r="P72" s="97"/>
      <c r="Q72" s="102">
        <f>B24</f>
        <v>2014</v>
      </c>
      <c r="R72" s="97"/>
      <c r="S72" s="102"/>
      <c r="T72" s="97"/>
      <c r="U72" s="97"/>
      <c r="V72" s="97"/>
      <c r="W72" s="97"/>
      <c r="X72" s="97"/>
      <c r="Y72" s="97"/>
      <c r="Z72" s="263"/>
      <c r="AC72"/>
      <c r="AD72"/>
      <c r="AE72"/>
      <c r="AF72"/>
      <c r="AG72"/>
      <c r="AH72"/>
      <c r="AI72"/>
    </row>
    <row r="73" spans="1:35" s="11" customFormat="1" ht="14.1" customHeight="1" x14ac:dyDescent="0.45">
      <c r="A73" s="94" t="s">
        <v>23</v>
      </c>
      <c r="B73" s="898" t="s">
        <v>66</v>
      </c>
      <c r="C73" s="899"/>
      <c r="D73" s="900"/>
      <c r="E73" s="896" t="s">
        <v>307</v>
      </c>
      <c r="F73" s="897"/>
      <c r="G73" s="897"/>
      <c r="H73" s="138"/>
      <c r="I73" s="102" t="s">
        <v>357</v>
      </c>
      <c r="J73" s="97"/>
      <c r="K73" s="97"/>
      <c r="L73" s="97"/>
      <c r="M73" s="97"/>
      <c r="N73" s="97"/>
      <c r="O73" s="260" t="s">
        <v>149</v>
      </c>
      <c r="P73" s="97"/>
      <c r="Q73" s="102">
        <f>B25</f>
        <v>2015</v>
      </c>
      <c r="R73" s="97"/>
      <c r="S73" s="102"/>
      <c r="T73" s="97"/>
      <c r="U73" s="97"/>
      <c r="V73" s="97"/>
      <c r="W73" s="97"/>
      <c r="X73" s="97"/>
      <c r="Y73" s="97"/>
      <c r="Z73" s="263"/>
      <c r="AC73"/>
      <c r="AD73"/>
      <c r="AE73"/>
      <c r="AF73"/>
      <c r="AG73"/>
      <c r="AH73"/>
      <c r="AI73"/>
    </row>
    <row r="74" spans="1:35" s="11" customFormat="1" ht="14.1" customHeight="1" x14ac:dyDescent="0.45">
      <c r="A74" s="94" t="s">
        <v>439</v>
      </c>
      <c r="B74" s="898" t="s">
        <v>58</v>
      </c>
      <c r="C74" s="899"/>
      <c r="D74" s="900"/>
      <c r="E74" s="896" t="s">
        <v>307</v>
      </c>
      <c r="F74" s="897"/>
      <c r="G74" s="897"/>
      <c r="H74" s="138"/>
      <c r="I74" s="102" t="s">
        <v>357</v>
      </c>
      <c r="J74" s="97"/>
      <c r="K74" s="97"/>
      <c r="L74" s="97"/>
      <c r="M74" s="97"/>
      <c r="N74" s="97"/>
      <c r="O74" s="260" t="s">
        <v>149</v>
      </c>
      <c r="P74" s="97"/>
      <c r="Q74" s="102">
        <f>B26</f>
        <v>2016</v>
      </c>
      <c r="R74" s="97"/>
      <c r="S74" s="102"/>
      <c r="T74" s="97"/>
      <c r="U74" s="97"/>
      <c r="V74" s="97"/>
      <c r="W74" s="97"/>
      <c r="X74" s="97"/>
      <c r="Y74" s="97"/>
      <c r="Z74" s="263"/>
      <c r="AC74"/>
      <c r="AD74"/>
      <c r="AE74"/>
      <c r="AF74"/>
      <c r="AG74"/>
      <c r="AH74"/>
      <c r="AI74"/>
    </row>
    <row r="75" spans="1:35" s="11" customFormat="1" ht="14.1" customHeight="1" x14ac:dyDescent="0.45">
      <c r="A75" s="94" t="s">
        <v>44</v>
      </c>
      <c r="B75" s="898" t="s">
        <v>58</v>
      </c>
      <c r="C75" s="899"/>
      <c r="D75" s="900"/>
      <c r="E75" s="896" t="s">
        <v>307</v>
      </c>
      <c r="F75" s="897"/>
      <c r="G75" s="897"/>
      <c r="H75" s="138"/>
      <c r="I75" s="102" t="s">
        <v>358</v>
      </c>
      <c r="J75" s="97"/>
      <c r="K75" s="97"/>
      <c r="L75" s="97"/>
      <c r="M75" s="97"/>
      <c r="N75" s="97"/>
      <c r="O75" s="260" t="s">
        <v>149</v>
      </c>
      <c r="P75" s="97"/>
      <c r="Q75" s="102">
        <f>B23</f>
        <v>2013</v>
      </c>
      <c r="R75" s="97"/>
      <c r="S75" s="102"/>
      <c r="T75" s="97"/>
      <c r="U75" s="97"/>
      <c r="V75" s="97"/>
      <c r="W75" s="97"/>
      <c r="X75" s="97"/>
      <c r="Y75" s="97"/>
      <c r="Z75" s="263"/>
      <c r="AC75"/>
      <c r="AD75"/>
      <c r="AE75"/>
      <c r="AF75"/>
      <c r="AG75"/>
      <c r="AH75"/>
      <c r="AI75"/>
    </row>
    <row r="76" spans="1:35" s="11" customFormat="1" ht="14.1" customHeight="1" x14ac:dyDescent="0.3">
      <c r="A76" s="94" t="s">
        <v>45</v>
      </c>
      <c r="B76" s="898" t="s">
        <v>58</v>
      </c>
      <c r="C76" s="899"/>
      <c r="D76" s="900"/>
      <c r="E76" s="896" t="s">
        <v>307</v>
      </c>
      <c r="F76" s="897"/>
      <c r="G76" s="897"/>
      <c r="H76" s="138"/>
      <c r="I76" s="102" t="s">
        <v>358</v>
      </c>
      <c r="J76" s="97"/>
      <c r="K76" s="97"/>
      <c r="L76" s="97"/>
      <c r="M76" s="97"/>
      <c r="N76" s="97"/>
      <c r="O76" s="260" t="s">
        <v>149</v>
      </c>
      <c r="P76" s="97"/>
      <c r="Q76" s="102">
        <f>B24</f>
        <v>2014</v>
      </c>
      <c r="R76" s="97"/>
      <c r="S76" s="102"/>
      <c r="T76" s="97"/>
      <c r="U76" s="97"/>
      <c r="V76" s="97"/>
      <c r="W76" s="97"/>
      <c r="X76" s="97"/>
      <c r="Y76" s="97"/>
      <c r="Z76" s="263"/>
    </row>
    <row r="77" spans="1:35" s="11" customFormat="1" ht="14.1" customHeight="1" x14ac:dyDescent="0.3">
      <c r="A77" s="94" t="s">
        <v>24</v>
      </c>
      <c r="B77" s="898" t="s">
        <v>68</v>
      </c>
      <c r="C77" s="899"/>
      <c r="D77" s="900"/>
      <c r="E77" s="896" t="s">
        <v>307</v>
      </c>
      <c r="F77" s="897"/>
      <c r="G77" s="897"/>
      <c r="H77" s="138"/>
      <c r="I77" s="102" t="s">
        <v>358</v>
      </c>
      <c r="J77" s="97"/>
      <c r="K77" s="97"/>
      <c r="L77" s="97"/>
      <c r="M77" s="97"/>
      <c r="N77" s="97"/>
      <c r="O77" s="260" t="s">
        <v>149</v>
      </c>
      <c r="P77" s="97"/>
      <c r="Q77" s="102">
        <f>B25</f>
        <v>2015</v>
      </c>
      <c r="R77" s="97"/>
      <c r="S77" s="102"/>
      <c r="T77" s="97"/>
      <c r="U77" s="97"/>
      <c r="V77" s="97"/>
      <c r="W77" s="97"/>
      <c r="X77" s="97"/>
      <c r="Y77" s="97"/>
      <c r="Z77" s="263"/>
    </row>
    <row r="78" spans="1:35" s="11" customFormat="1" ht="14.1" customHeight="1" x14ac:dyDescent="0.3">
      <c r="A78" s="94" t="s">
        <v>440</v>
      </c>
      <c r="B78" s="898" t="s">
        <v>67</v>
      </c>
      <c r="C78" s="901"/>
      <c r="D78" s="902"/>
      <c r="E78" s="903" t="s">
        <v>307</v>
      </c>
      <c r="F78" s="904"/>
      <c r="G78" s="905"/>
      <c r="H78" s="138"/>
      <c r="I78" s="102" t="s">
        <v>358</v>
      </c>
      <c r="J78" s="97"/>
      <c r="K78" s="97"/>
      <c r="L78" s="97"/>
      <c r="M78" s="97"/>
      <c r="N78" s="97"/>
      <c r="O78" s="260" t="s">
        <v>149</v>
      </c>
      <c r="P78" s="97"/>
      <c r="Q78" s="102">
        <f>B26</f>
        <v>2016</v>
      </c>
      <c r="R78" s="97"/>
      <c r="S78" s="102"/>
      <c r="T78" s="97"/>
      <c r="U78" s="97"/>
      <c r="V78" s="97"/>
      <c r="W78" s="97"/>
      <c r="X78" s="97"/>
      <c r="Y78" s="97"/>
      <c r="Z78" s="263"/>
    </row>
    <row r="81" spans="1:26" ht="14.25" x14ac:dyDescent="0.45">
      <c r="A81"/>
      <c r="B81"/>
      <c r="C81"/>
      <c r="D81"/>
      <c r="E81"/>
      <c r="F81"/>
      <c r="G81"/>
      <c r="H81"/>
      <c r="I81"/>
      <c r="J81"/>
      <c r="K81"/>
      <c r="L81"/>
      <c r="M81"/>
      <c r="N81"/>
      <c r="O81"/>
      <c r="P81"/>
      <c r="Q81"/>
      <c r="R81"/>
      <c r="S81"/>
      <c r="T81"/>
      <c r="U81"/>
      <c r="V81"/>
      <c r="W81"/>
      <c r="X81"/>
      <c r="Y81"/>
      <c r="Z81"/>
    </row>
    <row r="82" spans="1:26" ht="17.25" hidden="1" customHeight="1" x14ac:dyDescent="0.35">
      <c r="B82" s="42" t="str">
        <f>Berechnung2!B29</f>
        <v>Matrix</v>
      </c>
      <c r="C82" s="42"/>
      <c r="D82" s="42"/>
      <c r="E82" s="43"/>
      <c r="F82" s="43"/>
      <c r="G82" s="43"/>
      <c r="H82" s="43"/>
      <c r="I82" s="43"/>
      <c r="J82" s="43"/>
      <c r="K82" s="43"/>
      <c r="L82" s="43"/>
      <c r="M82" s="43"/>
      <c r="N82" s="43"/>
      <c r="O82" s="42"/>
      <c r="P82" s="42"/>
    </row>
    <row r="83" spans="1:26" hidden="1" x14ac:dyDescent="0.35">
      <c r="A83" s="42" t="str">
        <f>Berechnung2!B30</f>
        <v>ART</v>
      </c>
      <c r="C83" s="42">
        <f>Berechnung2!C30</f>
        <v>0</v>
      </c>
      <c r="D83" s="42">
        <f>Berechnung2!D30</f>
        <v>0</v>
      </c>
      <c r="E83" s="43">
        <f>Berechnung2!E30</f>
        <v>0</v>
      </c>
      <c r="F83" s="43" t="str">
        <f>Berechnung2!F30</f>
        <v>Werte</v>
      </c>
      <c r="G83" s="43">
        <f>Berechnung2!G30</f>
        <v>0</v>
      </c>
      <c r="H83" s="43">
        <f>Berechnung2!H30</f>
        <v>0</v>
      </c>
      <c r="I83" s="43">
        <f>Berechnung2!I30</f>
        <v>0</v>
      </c>
      <c r="J83" s="43">
        <f>Berechnung2!J30</f>
        <v>0</v>
      </c>
      <c r="K83" s="43">
        <f>Berechnung2!K30</f>
        <v>0</v>
      </c>
      <c r="L83" s="43" t="str">
        <f>Berechnung2!L30</f>
        <v>Texte Matrix Datenquali</v>
      </c>
      <c r="M83" s="43">
        <f>Berechnung2!M30</f>
        <v>0</v>
      </c>
      <c r="N83" s="43" t="str">
        <f>Berechnung2!N30</f>
        <v>Fehlermeldungen Matrix</v>
      </c>
      <c r="O83" s="42"/>
      <c r="P83" s="42"/>
    </row>
    <row r="84" spans="1:26" hidden="1" x14ac:dyDescent="0.35">
      <c r="A84" s="42">
        <f>Berechnung2!B31</f>
        <v>0</v>
      </c>
      <c r="C84" s="42">
        <f>Berechnung2!C31</f>
        <v>0</v>
      </c>
      <c r="D84" s="42">
        <f>Berechnung2!D31</f>
        <v>0</v>
      </c>
      <c r="E84" s="55">
        <f>Berechnung2!E31</f>
        <v>0</v>
      </c>
      <c r="F84" s="55">
        <f>Berechnung2!F31</f>
        <v>0</v>
      </c>
      <c r="G84" s="55">
        <f>Berechnung2!G31</f>
        <v>0</v>
      </c>
      <c r="H84" s="55">
        <f>Berechnung2!H31</f>
        <v>0</v>
      </c>
      <c r="I84" s="55">
        <f>Berechnung2!I31</f>
        <v>0</v>
      </c>
      <c r="J84" s="55">
        <f>Berechnung2!J31</f>
        <v>0</v>
      </c>
      <c r="K84" s="43">
        <f>Berechnung2!K31</f>
        <v>0</v>
      </c>
      <c r="L84" s="43">
        <f>Berechnung2!L31</f>
        <v>0</v>
      </c>
      <c r="M84" s="43">
        <f>Berechnung2!M31</f>
        <v>0</v>
      </c>
      <c r="N84" s="43" t="str">
        <f>Berechnung2!N31</f>
        <v>Ganze Zahl zwischen 0 und 5000 eingeben</v>
      </c>
      <c r="O84" s="42"/>
      <c r="P84" s="42"/>
    </row>
    <row r="85" spans="1:26" hidden="1" x14ac:dyDescent="0.35">
      <c r="A85" s="42" t="str">
        <f>Berechnung2!B32</f>
        <v>relevante Nachsorgejahre nicht/unvollständig bearbeitet</v>
      </c>
      <c r="C85" s="42">
        <f>Berechnung2!C32</f>
        <v>0</v>
      </c>
      <c r="D85" s="42" t="str">
        <f>Berechnung2!D32</f>
        <v>unvollständig</v>
      </c>
      <c r="E85" s="55">
        <f>Berechnung2!E32</f>
        <v>0</v>
      </c>
      <c r="F85" s="55">
        <f>Berechnung2!F32</f>
        <v>0</v>
      </c>
      <c r="G85" s="55">
        <f>Berechnung2!G32</f>
        <v>0</v>
      </c>
      <c r="H85" s="55">
        <f>Berechnung2!H32</f>
        <v>0</v>
      </c>
      <c r="I85" s="55">
        <f>Berechnung2!I32</f>
        <v>0</v>
      </c>
      <c r="J85" s="55">
        <f>Berechnung2!J32</f>
        <v>0</v>
      </c>
      <c r="K85" s="43">
        <f>Berechnung2!K32</f>
        <v>0</v>
      </c>
      <c r="L85" s="43" t="str">
        <f>Berechnung2!L32</f>
        <v>relevante Nachsorgejahre nicht/unvollständig bearbeitet</v>
      </c>
      <c r="M85" s="43">
        <f>Berechnung2!M32</f>
        <v>0</v>
      </c>
      <c r="N85" s="43">
        <f>Berechnung2!N32</f>
        <v>0</v>
      </c>
      <c r="O85" s="42"/>
      <c r="P85" s="42"/>
    </row>
    <row r="86" spans="1:26" ht="14.25" hidden="1" customHeight="1" x14ac:dyDescent="0.35">
      <c r="A86" s="42" t="str">
        <f>Berechnung2!B33</f>
        <v>Relative Quote tumorfrei</v>
      </c>
      <c r="C86" s="42">
        <f>Berechnung2!C33</f>
        <v>0</v>
      </c>
      <c r="D86" s="42" t="str">
        <f>Berechnung2!D33</f>
        <v>plausi</v>
      </c>
      <c r="E86" s="55" t="str">
        <f>Berechnung2!E33</f>
        <v>nicht geprüft</v>
      </c>
      <c r="F86" s="55">
        <f>Berechnung2!F33</f>
        <v>-1</v>
      </c>
      <c r="G86" s="55">
        <f>Berechnung2!G33</f>
        <v>-1</v>
      </c>
      <c r="H86" s="55">
        <f>Berechnung2!H33</f>
        <v>-1</v>
      </c>
      <c r="I86" s="55">
        <f>Berechnung2!I33</f>
        <v>-1</v>
      </c>
      <c r="J86" s="55">
        <f>Berechnung2!J33</f>
        <v>-1</v>
      </c>
      <c r="K86" s="43">
        <f>Berechnung2!K33</f>
        <v>0</v>
      </c>
      <c r="L86" s="43" t="str">
        <f>Berechnung2!L33</f>
        <v>auffällig niedrige Quote tumorfreier Patienten</v>
      </c>
      <c r="M86" s="43">
        <f>Berechnung2!M33</f>
        <v>0</v>
      </c>
      <c r="N86" s="43">
        <f>Berechnung2!N33</f>
        <v>0</v>
      </c>
      <c r="O86" s="42"/>
      <c r="P86" s="42"/>
      <c r="Z86" s="8"/>
    </row>
    <row r="87" spans="1:26" ht="14.25" hidden="1" customHeight="1" x14ac:dyDescent="0.35">
      <c r="A87" s="42" t="str">
        <f>Berechnung2!B34</f>
        <v xml:space="preserve">nur Prozentwerte können eingegeben werden </v>
      </c>
      <c r="C87" s="42">
        <f>Berechnung2!C34</f>
        <v>0</v>
      </c>
      <c r="D87" s="42" t="str">
        <f>Berechnung2!D34</f>
        <v>inkorrekt</v>
      </c>
      <c r="E87" s="55" t="str">
        <f>Berechnung2!E34</f>
        <v>&gt;</v>
      </c>
      <c r="F87" s="55">
        <f>Berechnung2!F34</f>
        <v>0</v>
      </c>
      <c r="G87" s="55">
        <f>Berechnung2!G34</f>
        <v>0</v>
      </c>
      <c r="H87" s="55">
        <f>Berechnung2!H34</f>
        <v>0</v>
      </c>
      <c r="I87" s="55">
        <f>Berechnung2!I34</f>
        <v>0</v>
      </c>
      <c r="J87" s="55">
        <f>Berechnung2!J34</f>
        <v>1</v>
      </c>
      <c r="K87" s="43">
        <f>Berechnung2!K34</f>
        <v>0</v>
      </c>
      <c r="L87" s="43">
        <f>Berechnung2!L34</f>
        <v>0</v>
      </c>
      <c r="M87" s="43">
        <f>Berechnung2!M34</f>
        <v>0</v>
      </c>
      <c r="N87" s="43">
        <f>Berechnung2!N34</f>
        <v>0</v>
      </c>
      <c r="O87" s="42"/>
      <c r="P87" s="42"/>
      <c r="Z87" s="8"/>
    </row>
    <row r="88" spans="1:26" ht="14.25" hidden="1" customHeight="1" x14ac:dyDescent="0.35">
      <c r="A88" s="42" t="str">
        <f>Berechnung2!B35</f>
        <v>zu geringe Anzahl der Primärfälle</v>
      </c>
      <c r="C88" s="42">
        <f>Berechnung2!C35</f>
        <v>0</v>
      </c>
      <c r="D88" s="42" t="str">
        <f>Berechnung2!D35</f>
        <v>plausi</v>
      </c>
      <c r="E88" s="43" t="str">
        <f>Berechnung2!E35</f>
        <v>&lt;</v>
      </c>
      <c r="F88" s="43">
        <f>Berechnung2!F35</f>
        <v>0</v>
      </c>
      <c r="G88" s="43">
        <f>Berechnung2!G35</f>
        <v>25</v>
      </c>
      <c r="H88" s="43">
        <f>Berechnung2!H35</f>
        <v>0</v>
      </c>
      <c r="I88" s="43">
        <f>Berechnung2!I35</f>
        <v>0</v>
      </c>
      <c r="J88" s="43">
        <f>Berechnung2!J35</f>
        <v>0</v>
      </c>
      <c r="K88" s="43">
        <f>Berechnung2!K35</f>
        <v>0</v>
      </c>
      <c r="L88" s="43" t="str">
        <f>Berechnung2!L35</f>
        <v>zu wenig Primärfälle angegeben</v>
      </c>
      <c r="M88" s="43">
        <f>Berechnung2!M35</f>
        <v>0</v>
      </c>
      <c r="N88" s="43">
        <f>Berechnung2!N35</f>
        <v>0</v>
      </c>
      <c r="O88" s="42"/>
      <c r="P88" s="42"/>
      <c r="Z88" s="8"/>
    </row>
    <row r="89" spans="1:26" ht="14.25" hidden="1" customHeight="1" x14ac:dyDescent="0.35">
      <c r="A89" s="42" t="str">
        <f>Berechnung2!B36</f>
        <v>zu viele Patientinnen im Follow-Up</v>
      </c>
      <c r="C89" s="42">
        <f>Berechnung2!C36</f>
        <v>0</v>
      </c>
      <c r="D89" s="42" t="str">
        <f>Berechnung2!D36</f>
        <v>inkorrekt</v>
      </c>
      <c r="E89" s="56">
        <f>Berechnung2!E36</f>
        <v>0</v>
      </c>
      <c r="F89" s="56">
        <f>Berechnung2!F36</f>
        <v>0</v>
      </c>
      <c r="G89" s="56">
        <f>Berechnung2!G36</f>
        <v>0</v>
      </c>
      <c r="H89" s="56">
        <f>Berechnung2!H36</f>
        <v>0</v>
      </c>
      <c r="I89" s="56">
        <f>Berechnung2!I36</f>
        <v>0</v>
      </c>
      <c r="J89" s="56">
        <f>Berechnung2!J36</f>
        <v>0</v>
      </c>
      <c r="K89" s="43">
        <f>Berechnung2!K36</f>
        <v>0</v>
      </c>
      <c r="L89" s="43" t="str">
        <f>Berechnung2!L36</f>
        <v>zu viele Pat im Follow-Up</v>
      </c>
      <c r="M89" s="43">
        <f>Berechnung2!M36</f>
        <v>0</v>
      </c>
      <c r="N89" s="43" t="str">
        <f>Berechnung2!N36</f>
        <v>Anzahl Pat. Im Follow-Up zu hoch</v>
      </c>
      <c r="O89" s="42"/>
      <c r="P89" s="42"/>
      <c r="Z89" s="8"/>
    </row>
    <row r="90" spans="1:26" ht="14.25" hidden="1" customHeight="1" x14ac:dyDescent="0.35">
      <c r="A90" s="42" t="str">
        <f>Berechnung2!B37</f>
        <v>geringe Follow-Up Quote</v>
      </c>
      <c r="C90" s="42">
        <f>Berechnung2!C37</f>
        <v>0</v>
      </c>
      <c r="D90" s="42" t="str">
        <f>Berechnung2!D37</f>
        <v>plausi</v>
      </c>
      <c r="E90" s="56" t="str">
        <f>Berechnung2!E37</f>
        <v>&lt;</v>
      </c>
      <c r="F90" s="56">
        <f>Berechnung2!F37</f>
        <v>0</v>
      </c>
      <c r="G90" s="56">
        <f>Berechnung2!G37</f>
        <v>0</v>
      </c>
      <c r="H90" s="56">
        <f>Berechnung2!H37</f>
        <v>0</v>
      </c>
      <c r="I90" s="56">
        <f>Berechnung2!I37</f>
        <v>0.69999</v>
      </c>
      <c r="J90" s="56">
        <f>Berechnung2!J37</f>
        <v>0.69999</v>
      </c>
      <c r="K90" s="43">
        <f>Berechnung2!K37</f>
        <v>0</v>
      </c>
      <c r="L90" s="43" t="str">
        <f>Berechnung2!L37</f>
        <v>geringe Follow-Up Quote der Nachsorgejahre</v>
      </c>
      <c r="M90" s="43">
        <f>Berechnung2!M37</f>
        <v>0</v>
      </c>
      <c r="N90" s="43">
        <f>Berechnung2!N37</f>
        <v>0</v>
      </c>
      <c r="O90" s="42"/>
      <c r="P90" s="42"/>
      <c r="Z90" s="8"/>
    </row>
    <row r="91" spans="1:26" ht="14.25" hidden="1" customHeight="1" x14ac:dyDescent="0.35">
      <c r="A91" s="42" t="str">
        <f>Berechnung2!B38</f>
        <v>geringe Follow-Up Quote der letzten 2-4 Jahre</v>
      </c>
      <c r="C91" s="42">
        <f>Berechnung2!C38</f>
        <v>0</v>
      </c>
      <c r="D91" s="42" t="str">
        <f>Berechnung2!D38</f>
        <v>sollvorgabe</v>
      </c>
      <c r="E91" s="56" t="str">
        <f>Berechnung2!E38</f>
        <v>&lt;</v>
      </c>
      <c r="F91" s="56">
        <f>Berechnung2!F38</f>
        <v>0</v>
      </c>
      <c r="G91" s="56">
        <f>Berechnung2!G38</f>
        <v>0</v>
      </c>
      <c r="H91" s="56">
        <f>Berechnung2!H38</f>
        <v>0</v>
      </c>
      <c r="I91" s="56">
        <f>Berechnung2!I38</f>
        <v>0.79998999999999998</v>
      </c>
      <c r="J91" s="56">
        <f>Berechnung2!J38</f>
        <v>0.79998999999999998</v>
      </c>
      <c r="K91" s="43">
        <f>Berechnung2!K38</f>
        <v>0</v>
      </c>
      <c r="L91" s="43" t="str">
        <f>Berechnung2!L38</f>
        <v>durchschnittliche Follow-Up Quote &lt; 80%</v>
      </c>
      <c r="M91" s="43">
        <f>Berechnung2!M38</f>
        <v>0</v>
      </c>
      <c r="N91" s="43">
        <f>Berechnung2!N38</f>
        <v>0</v>
      </c>
      <c r="O91" s="42"/>
      <c r="P91" s="42"/>
      <c r="Z91" s="8"/>
    </row>
    <row r="92" spans="1:26" ht="14.25" hidden="1" customHeight="1" x14ac:dyDescent="0.35">
      <c r="A92" s="42" t="str">
        <f>Berechnung2!B39</f>
        <v>zu hohe Follow-Up Quote der letzten 2-4 Jahre</v>
      </c>
      <c r="C92" s="42">
        <f>Berechnung2!C39</f>
        <v>0</v>
      </c>
      <c r="D92" s="42" t="str">
        <f>Berechnung2!D39</f>
        <v>plausi</v>
      </c>
      <c r="E92" s="56" t="str">
        <f>Berechnung2!E39</f>
        <v>&gt;</v>
      </c>
      <c r="F92" s="56">
        <f>Berechnung2!F39</f>
        <v>0</v>
      </c>
      <c r="G92" s="56">
        <f>Berechnung2!G39</f>
        <v>0</v>
      </c>
      <c r="H92" s="56">
        <f>Berechnung2!H39</f>
        <v>0.99000999999999995</v>
      </c>
      <c r="I92" s="56">
        <f>Berechnung2!I39</f>
        <v>1</v>
      </c>
      <c r="J92" s="56">
        <f>Berechnung2!J39</f>
        <v>0.99000999999999995</v>
      </c>
      <c r="K92" s="43">
        <f>Berechnung2!K39</f>
        <v>0</v>
      </c>
      <c r="L92" s="43" t="str">
        <f>Berechnung2!L39</f>
        <v>durchschnittliche Follow-Up Quote &gt; 99%</v>
      </c>
      <c r="M92" s="43">
        <f>Berechnung2!M39</f>
        <v>0</v>
      </c>
      <c r="N92" s="43">
        <f>Berechnung2!N39</f>
        <v>0</v>
      </c>
      <c r="O92" s="42"/>
      <c r="P92" s="42"/>
      <c r="Z92" s="8"/>
    </row>
    <row r="93" spans="1:26" ht="14.25" hidden="1" customHeight="1" x14ac:dyDescent="0.35">
      <c r="A93" s="42" t="str">
        <f>Berechnung2!B40</f>
        <v xml:space="preserve">Fehler bei Ereignisse </v>
      </c>
      <c r="C93" s="42">
        <f>Berechnung2!C40</f>
        <v>0</v>
      </c>
      <c r="D93" s="42" t="str">
        <f>Berechnung2!D40</f>
        <v>inkorrekt</v>
      </c>
      <c r="E93" s="56">
        <f>Berechnung2!E40</f>
        <v>0</v>
      </c>
      <c r="F93" s="56">
        <f>Berechnung2!F40</f>
        <v>0</v>
      </c>
      <c r="G93" s="56">
        <f>Berechnung2!G40</f>
        <v>0</v>
      </c>
      <c r="H93" s="56">
        <f>Berechnung2!H40</f>
        <v>0</v>
      </c>
      <c r="I93" s="56">
        <f>Berechnung2!I40</f>
        <v>0</v>
      </c>
      <c r="J93" s="56">
        <f>Berechnung2!J40</f>
        <v>0</v>
      </c>
      <c r="K93" s="43">
        <f>Berechnung2!K40</f>
        <v>0</v>
      </c>
      <c r="L93" s="43" t="str">
        <f>Berechnung2!L40</f>
        <v>Werte in Spalte R,S,T dürfen den Wert Spalte Q nicht übersteigen</v>
      </c>
      <c r="M93" s="43">
        <f>Berechnung2!M40</f>
        <v>0</v>
      </c>
      <c r="N93" s="43" t="str">
        <f>Berechnung2!N40</f>
        <v>Eingabe kann nicht größer sein als Ereignisse Spalte Q</v>
      </c>
      <c r="O93" s="42"/>
      <c r="P93" s="42"/>
      <c r="Z93" s="8"/>
    </row>
    <row r="94" spans="1:26" ht="14.25" hidden="1" customHeight="1" x14ac:dyDescent="0.35">
      <c r="A94" s="42">
        <f>Berechnung2!B41</f>
        <v>0</v>
      </c>
      <c r="C94" s="42">
        <f>Berechnung2!C41</f>
        <v>0</v>
      </c>
      <c r="D94" s="42">
        <f>Berechnung2!D41</f>
        <v>0</v>
      </c>
      <c r="E94" s="56">
        <f>Berechnung2!E41</f>
        <v>0</v>
      </c>
      <c r="F94" s="56">
        <f>Berechnung2!F41</f>
        <v>0</v>
      </c>
      <c r="G94" s="56">
        <f>Berechnung2!G41</f>
        <v>0</v>
      </c>
      <c r="H94" s="56">
        <f>Berechnung2!H41</f>
        <v>0</v>
      </c>
      <c r="I94" s="56">
        <f>Berechnung2!I41</f>
        <v>0</v>
      </c>
      <c r="J94" s="56">
        <f>Berechnung2!J41</f>
        <v>0</v>
      </c>
      <c r="K94" s="43">
        <f>Berechnung2!K41</f>
        <v>0</v>
      </c>
      <c r="L94" s="43">
        <f>Berechnung2!L41</f>
        <v>0</v>
      </c>
      <c r="M94" s="43">
        <f>Berechnung2!M41</f>
        <v>0</v>
      </c>
      <c r="N94" s="43">
        <f>Berechnung2!N41</f>
        <v>0</v>
      </c>
      <c r="O94" s="42"/>
      <c r="P94" s="42"/>
      <c r="Z94" s="8"/>
    </row>
    <row r="95" spans="1:26" ht="14.25" hidden="1" customHeight="1" x14ac:dyDescent="0.35">
      <c r="A95" s="42" t="str">
        <f>Berechnung2!B42</f>
        <v>wenn sich Minuswerte berechnen</v>
      </c>
      <c r="C95" s="42">
        <f>Berechnung2!C42</f>
        <v>0</v>
      </c>
      <c r="D95" s="42" t="str">
        <f>Berechnung2!D42</f>
        <v>inkorrekt</v>
      </c>
      <c r="E95" s="56" t="str">
        <f>Berechnung2!E42</f>
        <v>&lt;</v>
      </c>
      <c r="F95" s="56">
        <f>Berechnung2!F42</f>
        <v>0</v>
      </c>
      <c r="G95" s="56">
        <f>Berechnung2!G42</f>
        <v>0</v>
      </c>
      <c r="H95" s="56">
        <f>Berechnung2!H42</f>
        <v>0</v>
      </c>
      <c r="I95" s="56">
        <f>Berechnung2!I42</f>
        <v>0</v>
      </c>
      <c r="J95" s="56">
        <f>Berechnung2!J42</f>
        <v>0</v>
      </c>
      <c r="K95" s="43">
        <f>Berechnung2!K42</f>
        <v>0</v>
      </c>
      <c r="L95" s="43" t="str">
        <f>Berechnung2!L42</f>
        <v>Zahlen in Spalte O dürfen keine negativen Werte annehmen</v>
      </c>
      <c r="M95" s="43">
        <f>Berechnung2!M42</f>
        <v>0</v>
      </c>
      <c r="N95" s="43"/>
      <c r="O95" s="42"/>
      <c r="P95" s="42"/>
      <c r="Z95" s="8"/>
    </row>
    <row r="96" spans="1:26" ht="14.25" hidden="1" customHeight="1" x14ac:dyDescent="0.35">
      <c r="A96" s="42">
        <f>Berechnung2!B43</f>
        <v>0</v>
      </c>
      <c r="C96" s="42">
        <f>Berechnung2!C43</f>
        <v>0</v>
      </c>
      <c r="D96" s="42">
        <f>Berechnung2!D43</f>
        <v>0</v>
      </c>
      <c r="E96" s="56">
        <f>Berechnung2!E43</f>
        <v>0</v>
      </c>
      <c r="F96" s="56">
        <f>Berechnung2!F43</f>
        <v>0</v>
      </c>
      <c r="G96" s="56">
        <f>Berechnung2!G43</f>
        <v>0</v>
      </c>
      <c r="H96" s="56">
        <f>Berechnung2!H43</f>
        <v>0</v>
      </c>
      <c r="I96" s="56">
        <f>Berechnung2!I43</f>
        <v>0</v>
      </c>
      <c r="J96" s="56">
        <f>Berechnung2!J43</f>
        <v>0</v>
      </c>
      <c r="K96" s="43">
        <f>Berechnung2!K43</f>
        <v>0</v>
      </c>
      <c r="L96" s="43">
        <f>Berechnung2!L43</f>
        <v>0</v>
      </c>
      <c r="M96" s="43">
        <f>Berechnung2!M43</f>
        <v>0</v>
      </c>
      <c r="N96" s="43">
        <f>Berechnung2!N43</f>
        <v>0</v>
      </c>
      <c r="O96" s="42"/>
      <c r="P96" s="42"/>
      <c r="Z96" s="8"/>
    </row>
    <row r="97" spans="1:26" ht="14.25" hidden="1" customHeight="1" x14ac:dyDescent="0.35">
      <c r="A97" s="42" t="str">
        <f>Berechnung2!B46</f>
        <v>DFS</v>
      </c>
      <c r="C97" s="42">
        <f>Berechnung2!C46</f>
        <v>0</v>
      </c>
      <c r="D97" s="42">
        <f>Berechnung2!D46</f>
        <v>0</v>
      </c>
      <c r="E97" s="42" t="str">
        <f>Berechnung2!E46</f>
        <v>von</v>
      </c>
      <c r="F97" s="42">
        <f>Berechnung2!F46</f>
        <v>0</v>
      </c>
      <c r="G97" s="42" t="str">
        <f>Berechnung2!G46</f>
        <v>untere Grenze</v>
      </c>
      <c r="H97" s="42">
        <f>Berechnung2!H46</f>
        <v>0</v>
      </c>
      <c r="I97" s="42">
        <f>Berechnung2!I46</f>
        <v>0</v>
      </c>
      <c r="J97" s="42" t="str">
        <f>Berechnung2!J46</f>
        <v>obere Grenze</v>
      </c>
      <c r="K97" s="42">
        <f>Berechnung2!K46</f>
        <v>0</v>
      </c>
      <c r="L97" s="42">
        <f>Berechnung2!L46</f>
        <v>0</v>
      </c>
      <c r="M97" s="42"/>
      <c r="N97" s="42">
        <f>Berechnung2!M46</f>
        <v>0</v>
      </c>
      <c r="O97" s="42"/>
      <c r="P97" s="42"/>
      <c r="Z97" s="8"/>
    </row>
    <row r="98" spans="1:26" ht="14.25" hidden="1" customHeight="1" x14ac:dyDescent="0.35">
      <c r="A98" s="42"/>
      <c r="C98" s="42"/>
      <c r="D98" s="42"/>
      <c r="E98" s="42"/>
      <c r="F98" s="42"/>
      <c r="G98" s="57"/>
      <c r="H98" s="57"/>
      <c r="I98" s="42"/>
      <c r="J98" s="57"/>
      <c r="K98" s="42"/>
      <c r="L98" s="42"/>
      <c r="M98" s="42"/>
      <c r="N98" s="42">
        <f>Berechnung2!M45</f>
        <v>0</v>
      </c>
      <c r="O98" s="42"/>
      <c r="P98" s="42"/>
      <c r="Z98" s="8"/>
    </row>
    <row r="99" spans="1:26" ht="14.25" hidden="1" customHeight="1" x14ac:dyDescent="0.35">
      <c r="A99" s="42"/>
      <c r="C99" s="42"/>
      <c r="D99" s="42"/>
      <c r="E99" s="42"/>
      <c r="F99" s="42"/>
      <c r="G99" s="57"/>
      <c r="H99" s="57"/>
      <c r="I99" s="42"/>
      <c r="J99" s="57"/>
      <c r="K99" s="42"/>
      <c r="L99" s="42"/>
      <c r="M99" s="42"/>
      <c r="N99" s="42" t="e">
        <f>Berechnung2!#REF!</f>
        <v>#REF!</v>
      </c>
      <c r="O99" s="42"/>
      <c r="P99" s="42"/>
      <c r="Z99" s="8"/>
    </row>
    <row r="100" spans="1:26" ht="14.25" hidden="1" customHeight="1" x14ac:dyDescent="0.35">
      <c r="A100" s="42" t="str">
        <f>Berechnung2!B47</f>
        <v>2013,</v>
      </c>
      <c r="C100" s="42">
        <f>Berechnung2!C47</f>
        <v>0</v>
      </c>
      <c r="D100" s="42">
        <f>Berechnung2!D47</f>
        <v>0</v>
      </c>
      <c r="E100" s="42">
        <f>Berechnung2!E47</f>
        <v>0</v>
      </c>
      <c r="F100" s="42">
        <f>Berechnung2!F47</f>
        <v>0.49998999999999999</v>
      </c>
      <c r="G100" s="57">
        <f>Berechnung2!G47</f>
        <v>0.49998999999999999</v>
      </c>
      <c r="H100" s="57">
        <f>Berechnung2!H47</f>
        <v>0</v>
      </c>
      <c r="I100" s="42">
        <f>Berechnung2!I47</f>
        <v>0.90000999999999998</v>
      </c>
      <c r="J100" s="57">
        <f>Berechnung2!J47</f>
        <v>0.90000999999999998</v>
      </c>
      <c r="K100" s="42">
        <f>Berechnung2!K47</f>
        <v>0</v>
      </c>
      <c r="L100" s="42" t="str">
        <f>Berechnung2!L47</f>
        <v>DFS auffällig niedrig oder hoch</v>
      </c>
      <c r="M100" s="42"/>
      <c r="N100" s="42" t="str">
        <f>Berechnung2!M47</f>
        <v>DFS auffällig niedrig oder hoch</v>
      </c>
      <c r="O100" s="42"/>
      <c r="P100" s="42"/>
      <c r="Z100" s="8"/>
    </row>
    <row r="101" spans="1:26" ht="14.25" hidden="1" customHeight="1" x14ac:dyDescent="0.35">
      <c r="A101" s="42" t="str">
        <f>Berechnung2!B48</f>
        <v xml:space="preserve">2014, </v>
      </c>
      <c r="C101" s="42">
        <f>Berechnung2!C48</f>
        <v>0</v>
      </c>
      <c r="D101" s="42">
        <f>Berechnung2!D48</f>
        <v>0</v>
      </c>
      <c r="E101" s="42">
        <f>Berechnung2!E48</f>
        <v>0</v>
      </c>
      <c r="F101" s="42">
        <f>Berechnung2!F48</f>
        <v>0.54998999999999998</v>
      </c>
      <c r="G101" s="57">
        <f>Berechnung2!G48</f>
        <v>0.54998999999999998</v>
      </c>
      <c r="H101" s="57">
        <f>Berechnung2!H48</f>
        <v>0</v>
      </c>
      <c r="I101" s="42">
        <f>Berechnung2!I48</f>
        <v>0.90000999999999998</v>
      </c>
      <c r="J101" s="57">
        <f>Berechnung2!J48</f>
        <v>0.90000999999999998</v>
      </c>
      <c r="K101" s="42">
        <f>Berechnung2!K48</f>
        <v>0</v>
      </c>
      <c r="L101" s="42" t="str">
        <f>Berechnung2!L48</f>
        <v>DFS auffällig niedrig oder hoch</v>
      </c>
      <c r="M101" s="42"/>
      <c r="N101" s="42" t="str">
        <f>Berechnung2!M48</f>
        <v>DFS auffällig niedrig oder hoch</v>
      </c>
      <c r="O101" s="42"/>
      <c r="P101" s="42"/>
      <c r="Z101" s="8"/>
    </row>
    <row r="102" spans="1:26" ht="14.25" hidden="1" customHeight="1" x14ac:dyDescent="0.35">
      <c r="A102" s="42" t="str">
        <f>Berechnung2!B49</f>
        <v xml:space="preserve">2015, </v>
      </c>
      <c r="C102" s="42">
        <f>Berechnung2!C49</f>
        <v>0</v>
      </c>
      <c r="D102" s="42">
        <f>Berechnung2!D49</f>
        <v>0</v>
      </c>
      <c r="E102" s="42">
        <f>Berechnung2!E49</f>
        <v>0</v>
      </c>
      <c r="F102" s="42">
        <f>Berechnung2!F49</f>
        <v>0.59999000000000002</v>
      </c>
      <c r="G102" s="57">
        <f>Berechnung2!G49</f>
        <v>0.59999000000000002</v>
      </c>
      <c r="H102" s="57">
        <f>Berechnung2!H49</f>
        <v>0</v>
      </c>
      <c r="I102" s="42">
        <f>Berechnung2!I49</f>
        <v>0.95001000000000002</v>
      </c>
      <c r="J102" s="57">
        <f>Berechnung2!J49</f>
        <v>0.95001000000000002</v>
      </c>
      <c r="K102" s="42">
        <f>Berechnung2!K49</f>
        <v>0</v>
      </c>
      <c r="L102" s="42" t="str">
        <f>Berechnung2!L49</f>
        <v>DFS auffällig niedrig oder hoch</v>
      </c>
      <c r="M102" s="42"/>
      <c r="N102" s="42" t="str">
        <f>Berechnung2!M49</f>
        <v>DFS auffällig niedrig oder hoch</v>
      </c>
      <c r="O102" s="42"/>
      <c r="P102" s="42"/>
      <c r="Z102" s="8"/>
    </row>
    <row r="103" spans="1:26" ht="14.25" hidden="1" customHeight="1" x14ac:dyDescent="0.35">
      <c r="A103" s="42" t="str">
        <f>Berechnung2!B50</f>
        <v xml:space="preserve">2016, </v>
      </c>
      <c r="C103" s="42">
        <f>Berechnung2!C50</f>
        <v>0</v>
      </c>
      <c r="D103" s="42">
        <f>Berechnung2!D50</f>
        <v>0</v>
      </c>
      <c r="E103" s="42">
        <f>Berechnung2!E50</f>
        <v>0</v>
      </c>
      <c r="F103" s="42">
        <f>Berechnung2!F50</f>
        <v>0.64998999999999996</v>
      </c>
      <c r="G103" s="57">
        <f>Berechnung2!G50</f>
        <v>0.64998999999999996</v>
      </c>
      <c r="H103" s="57">
        <f>Berechnung2!H50</f>
        <v>0</v>
      </c>
      <c r="I103" s="42">
        <f>Berechnung2!I50</f>
        <v>0.95001000000000002</v>
      </c>
      <c r="J103" s="57">
        <f>Berechnung2!J50</f>
        <v>0.95001000000000002</v>
      </c>
      <c r="K103" s="42">
        <f>Berechnung2!K50</f>
        <v>0</v>
      </c>
      <c r="L103" s="42" t="str">
        <f>Berechnung2!L50</f>
        <v>DFS auffällig niedrig oder hoch</v>
      </c>
      <c r="M103" s="42"/>
      <c r="N103" s="42" t="str">
        <f>Berechnung2!M50</f>
        <v>DFS auffällig niedrig oder hoch</v>
      </c>
      <c r="O103" s="42"/>
      <c r="P103" s="42"/>
      <c r="Z103" s="8"/>
    </row>
    <row r="104" spans="1:26" ht="14.25" hidden="1" customHeight="1" x14ac:dyDescent="0.35">
      <c r="A104" s="42" t="str">
        <f>Berechnung2!B51</f>
        <v xml:space="preserve">2017, </v>
      </c>
      <c r="C104" s="42">
        <f>Berechnung2!C51</f>
        <v>0</v>
      </c>
      <c r="D104" s="42">
        <f>Berechnung2!D51</f>
        <v>0</v>
      </c>
      <c r="E104" s="42">
        <f>Berechnung2!E51</f>
        <v>0</v>
      </c>
      <c r="F104" s="42">
        <f>Berechnung2!F51</f>
        <v>0.79998999999999998</v>
      </c>
      <c r="G104" s="57">
        <f>Berechnung2!G51</f>
        <v>0.79998999999999998</v>
      </c>
      <c r="H104" s="57">
        <f>Berechnung2!H51</f>
        <v>0</v>
      </c>
      <c r="I104" s="42">
        <f>Berechnung2!I51</f>
        <v>0.99000999999999995</v>
      </c>
      <c r="J104" s="57">
        <f>Berechnung2!J51</f>
        <v>0.99000999999999995</v>
      </c>
      <c r="K104" s="42">
        <f>Berechnung2!K51</f>
        <v>0</v>
      </c>
      <c r="L104" s="42" t="str">
        <f>Berechnung2!L51</f>
        <v>DFS auffällig niedrig oder hoch</v>
      </c>
      <c r="M104" s="42"/>
      <c r="N104" s="42" t="str">
        <f>Berechnung2!M51</f>
        <v>DFS auffällig niedrig oder hoch</v>
      </c>
      <c r="O104" s="42"/>
      <c r="P104" s="42"/>
      <c r="Z104" s="8"/>
    </row>
    <row r="105" spans="1:26" ht="14.25" hidden="1" customHeight="1" x14ac:dyDescent="0.35">
      <c r="A105" s="42">
        <f>Berechnung2!B52</f>
        <v>0</v>
      </c>
      <c r="C105" s="42">
        <f>Berechnung2!D52</f>
        <v>0</v>
      </c>
      <c r="D105" s="42">
        <f>Berechnung2!E52</f>
        <v>0</v>
      </c>
      <c r="E105" s="42">
        <f>Berechnung2!E52</f>
        <v>0</v>
      </c>
      <c r="F105" s="42">
        <f>Berechnung2!F52</f>
        <v>0</v>
      </c>
      <c r="G105" s="42">
        <f>Berechnung2!G52</f>
        <v>0</v>
      </c>
      <c r="H105" s="42">
        <f>Berechnung2!H52</f>
        <v>0</v>
      </c>
      <c r="I105" s="42">
        <f>Berechnung2!I52</f>
        <v>0</v>
      </c>
      <c r="J105" s="57">
        <f>Berechnung2!J52</f>
        <v>0</v>
      </c>
      <c r="K105" s="42">
        <f>Berechnung2!K52</f>
        <v>0</v>
      </c>
      <c r="L105" s="42">
        <f>Berechnung2!L52</f>
        <v>0</v>
      </c>
      <c r="M105" s="42"/>
      <c r="N105" s="42">
        <f>Berechnung2!M52</f>
        <v>0</v>
      </c>
      <c r="O105" s="42"/>
      <c r="P105" s="42"/>
      <c r="Z105" s="8"/>
    </row>
    <row r="106" spans="1:26" ht="14.25" hidden="1" customHeight="1" x14ac:dyDescent="0.35">
      <c r="A106" s="42" t="str">
        <f>Berechnung2!B55</f>
        <v>OAS</v>
      </c>
      <c r="C106" s="42">
        <f>Berechnung2!D55</f>
        <v>0</v>
      </c>
      <c r="D106" s="42">
        <f>Berechnung2!E55</f>
        <v>0</v>
      </c>
      <c r="E106" s="42">
        <f>Berechnung2!E55</f>
        <v>0</v>
      </c>
      <c r="F106" s="42">
        <f>Berechnung2!F55</f>
        <v>0</v>
      </c>
      <c r="G106" s="42" t="str">
        <f>Berechnung2!G55</f>
        <v>untere Grenze</v>
      </c>
      <c r="H106" s="42">
        <f>Berechnung2!H55</f>
        <v>0</v>
      </c>
      <c r="I106" s="42">
        <f>Berechnung2!I55</f>
        <v>0</v>
      </c>
      <c r="J106" s="42" t="str">
        <f>Berechnung2!J55</f>
        <v>obere Grenze</v>
      </c>
      <c r="K106" s="42">
        <f>Berechnung2!K53</f>
        <v>0</v>
      </c>
      <c r="L106" s="42">
        <f>Berechnung2!L53</f>
        <v>0</v>
      </c>
      <c r="M106" s="42"/>
      <c r="N106" s="42">
        <f>Berechnung2!M53</f>
        <v>0</v>
      </c>
      <c r="O106" s="42"/>
      <c r="P106" s="42"/>
      <c r="Z106" s="8"/>
    </row>
    <row r="107" spans="1:26" ht="14.25" hidden="1" customHeight="1" x14ac:dyDescent="0.35">
      <c r="A107" s="42"/>
      <c r="C107" s="42"/>
      <c r="D107" s="42"/>
      <c r="E107" s="42"/>
      <c r="F107" s="42"/>
      <c r="G107" s="57"/>
      <c r="H107" s="57"/>
      <c r="I107" s="42"/>
      <c r="J107" s="57"/>
      <c r="K107" s="42"/>
      <c r="L107" s="42"/>
      <c r="M107" s="42"/>
      <c r="N107" s="42">
        <f>Berechnung2!M54</f>
        <v>0</v>
      </c>
      <c r="O107" s="42"/>
      <c r="P107" s="42"/>
      <c r="Z107" s="8"/>
    </row>
    <row r="108" spans="1:26" ht="14.25" hidden="1" customHeight="1" x14ac:dyDescent="0.35">
      <c r="A108" s="42"/>
      <c r="C108" s="42"/>
      <c r="D108" s="42"/>
      <c r="E108" s="42"/>
      <c r="F108" s="42"/>
      <c r="G108" s="57"/>
      <c r="H108" s="57"/>
      <c r="I108" s="42"/>
      <c r="J108" s="57"/>
      <c r="K108" s="42"/>
      <c r="L108" s="42"/>
      <c r="M108" s="42"/>
      <c r="N108" s="42">
        <f>Berechnung2!M55</f>
        <v>0</v>
      </c>
      <c r="O108" s="42"/>
      <c r="P108" s="42"/>
      <c r="Z108" s="8"/>
    </row>
    <row r="109" spans="1:26" ht="14.25" hidden="1" customHeight="1" x14ac:dyDescent="0.35">
      <c r="A109" s="42" t="str">
        <f>Berechnung2!B56</f>
        <v>2013,</v>
      </c>
      <c r="C109" s="42">
        <f>Berechnung2!C56</f>
        <v>0</v>
      </c>
      <c r="D109" s="42">
        <f>Berechnung2!D56</f>
        <v>0</v>
      </c>
      <c r="E109" s="42">
        <f>Berechnung2!E56</f>
        <v>0</v>
      </c>
      <c r="F109" s="42">
        <f>Berechnung2!F56</f>
        <v>0.64998999999999996</v>
      </c>
      <c r="G109" s="57">
        <f>Berechnung2!G56</f>
        <v>0.64998999999999996</v>
      </c>
      <c r="H109" s="57">
        <f>Berechnung2!H56</f>
        <v>0</v>
      </c>
      <c r="I109" s="42">
        <f>Berechnung2!I56</f>
        <v>0.95001000000000002</v>
      </c>
      <c r="J109" s="57">
        <f>Berechnung2!J56</f>
        <v>0.95001000000000002</v>
      </c>
      <c r="K109" s="42">
        <f>Berechnung2!K56</f>
        <v>0</v>
      </c>
      <c r="L109" s="42" t="str">
        <f>Berechnung2!L56</f>
        <v>OAS auffällig niedrig oder hoch</v>
      </c>
      <c r="M109" s="42"/>
      <c r="N109" s="42" t="str">
        <f>Berechnung2!M56</f>
        <v>OAS auffällig niedrig oder hoch</v>
      </c>
      <c r="O109" s="42"/>
      <c r="P109" s="42"/>
      <c r="Z109" s="8"/>
    </row>
    <row r="110" spans="1:26" ht="14.25" hidden="1" customHeight="1" x14ac:dyDescent="0.35">
      <c r="A110" s="42" t="str">
        <f>Berechnung2!B57</f>
        <v xml:space="preserve">2014, </v>
      </c>
      <c r="C110" s="42">
        <f>Berechnung2!C57</f>
        <v>0</v>
      </c>
      <c r="D110" s="42">
        <f>Berechnung2!D57</f>
        <v>0</v>
      </c>
      <c r="E110" s="42">
        <f>Berechnung2!E57</f>
        <v>0</v>
      </c>
      <c r="F110" s="42">
        <f>Berechnung2!F57</f>
        <v>0.64998999999999996</v>
      </c>
      <c r="G110" s="57">
        <f>Berechnung2!G57</f>
        <v>0.64998999999999996</v>
      </c>
      <c r="H110" s="57">
        <f>Berechnung2!H57</f>
        <v>0</v>
      </c>
      <c r="I110" s="42">
        <f>Berechnung2!I57</f>
        <v>0.95001000000000002</v>
      </c>
      <c r="J110" s="57">
        <f>Berechnung2!J57</f>
        <v>0.95001000000000002</v>
      </c>
      <c r="K110" s="42">
        <f>Berechnung2!K57</f>
        <v>0</v>
      </c>
      <c r="L110" s="42" t="str">
        <f>Berechnung2!L57</f>
        <v>OAS auffällig niedrig oder hoch</v>
      </c>
      <c r="M110" s="42"/>
      <c r="N110" s="42" t="str">
        <f>Berechnung2!M57</f>
        <v>OAS auffällig niedrig oder hoch</v>
      </c>
      <c r="O110" s="42"/>
      <c r="P110" s="42"/>
      <c r="Z110" s="8"/>
    </row>
    <row r="111" spans="1:26" ht="14.25" hidden="1" customHeight="1" x14ac:dyDescent="0.35">
      <c r="A111" s="42" t="str">
        <f>Berechnung2!B58</f>
        <v xml:space="preserve">2015, </v>
      </c>
      <c r="C111" s="42">
        <f>Berechnung2!C58</f>
        <v>0</v>
      </c>
      <c r="D111" s="42">
        <f>Berechnung2!D58</f>
        <v>0</v>
      </c>
      <c r="E111" s="42">
        <f>Berechnung2!E58</f>
        <v>0</v>
      </c>
      <c r="F111" s="42">
        <f>Berechnung2!F58</f>
        <v>0.69999</v>
      </c>
      <c r="G111" s="57">
        <f>Berechnung2!G58</f>
        <v>0.69999</v>
      </c>
      <c r="H111" s="57">
        <f>Berechnung2!H58</f>
        <v>0</v>
      </c>
      <c r="I111" s="42">
        <f>Berechnung2!I58</f>
        <v>0.99000999999999995</v>
      </c>
      <c r="J111" s="57">
        <f>Berechnung2!J58</f>
        <v>0.99000999999999995</v>
      </c>
      <c r="K111" s="42">
        <f>Berechnung2!K58</f>
        <v>0</v>
      </c>
      <c r="L111" s="42" t="str">
        <f>Berechnung2!L58</f>
        <v>OAS auffällig niedrig oder hoch</v>
      </c>
      <c r="M111" s="42"/>
      <c r="N111" s="42" t="str">
        <f>Berechnung2!M58</f>
        <v>OAS auffällig niedrig oder hoch</v>
      </c>
      <c r="O111" s="42"/>
      <c r="P111" s="42"/>
      <c r="Z111" s="8"/>
    </row>
    <row r="112" spans="1:26" ht="14.25" hidden="1" customHeight="1" x14ac:dyDescent="0.35">
      <c r="A112" s="42" t="str">
        <f>Berechnung2!B59</f>
        <v xml:space="preserve">2016, </v>
      </c>
      <c r="C112" s="42">
        <f>Berechnung2!C59</f>
        <v>0</v>
      </c>
      <c r="D112" s="42">
        <f>Berechnung2!D59</f>
        <v>0</v>
      </c>
      <c r="E112" s="42">
        <f>Berechnung2!E59</f>
        <v>0</v>
      </c>
      <c r="F112" s="42">
        <f>Berechnung2!F59</f>
        <v>0.79998999999999998</v>
      </c>
      <c r="G112" s="57">
        <f>Berechnung2!G59</f>
        <v>0.79998999999999998</v>
      </c>
      <c r="H112" s="57">
        <f>Berechnung2!H59</f>
        <v>0</v>
      </c>
      <c r="I112" s="42">
        <f>Berechnung2!I59</f>
        <v>0.99000999999999995</v>
      </c>
      <c r="J112" s="57">
        <f>Berechnung2!J59</f>
        <v>0.99000999999999995</v>
      </c>
      <c r="K112" s="42">
        <f>Berechnung2!K59</f>
        <v>0</v>
      </c>
      <c r="L112" s="42" t="str">
        <f>Berechnung2!L59</f>
        <v>OAS auffällig niedrig oder hoch</v>
      </c>
      <c r="M112" s="42"/>
      <c r="N112" s="42" t="str">
        <f>Berechnung2!M59</f>
        <v>OAS auffällig niedrig oder hoch</v>
      </c>
      <c r="O112" s="42"/>
      <c r="P112" s="42"/>
      <c r="Z112" s="8"/>
    </row>
    <row r="113" spans="1:26" ht="14.25" hidden="1" customHeight="1" x14ac:dyDescent="0.35">
      <c r="A113" s="42" t="str">
        <f>Berechnung2!B60</f>
        <v xml:space="preserve">2017, </v>
      </c>
      <c r="C113" s="42">
        <f>Berechnung2!C60</f>
        <v>0</v>
      </c>
      <c r="D113" s="42">
        <f>Berechnung2!D60</f>
        <v>0</v>
      </c>
      <c r="E113" s="42">
        <f>Berechnung2!E60</f>
        <v>0</v>
      </c>
      <c r="F113" s="42">
        <f>Berechnung2!F60</f>
        <v>0.89998999999999996</v>
      </c>
      <c r="G113" s="57">
        <f>Berechnung2!G60</f>
        <v>0.89998999999999996</v>
      </c>
      <c r="H113" s="57">
        <f>Berechnung2!H60</f>
        <v>0</v>
      </c>
      <c r="I113" s="42">
        <f>Berechnung2!I60</f>
        <v>0.99000999999999995</v>
      </c>
      <c r="J113" s="57">
        <f>Berechnung2!J60</f>
        <v>0.99000999999999995</v>
      </c>
      <c r="K113" s="42">
        <f>Berechnung2!K60</f>
        <v>0</v>
      </c>
      <c r="L113" s="42" t="str">
        <f>Berechnung2!L60</f>
        <v>OAS auffällig niedrig oder hoch</v>
      </c>
      <c r="M113" s="42"/>
      <c r="N113" s="42" t="str">
        <f>Berechnung2!M60</f>
        <v>OAS auffällig niedrig oder hoch</v>
      </c>
      <c r="O113" s="42"/>
      <c r="P113" s="42"/>
      <c r="Z113" s="8"/>
    </row>
    <row r="114" spans="1:26" ht="14.25" customHeight="1" x14ac:dyDescent="0.35">
      <c r="Z114" s="8"/>
    </row>
    <row r="115" spans="1:26" ht="14.25" customHeight="1" x14ac:dyDescent="0.35">
      <c r="Z115" s="8"/>
    </row>
    <row r="116" spans="1:26" ht="14.25" customHeight="1" x14ac:dyDescent="0.35">
      <c r="Z116" s="8"/>
    </row>
    <row r="117" spans="1:26" ht="14.25" customHeight="1" x14ac:dyDescent="0.35">
      <c r="Z117" s="8"/>
    </row>
  </sheetData>
  <sheetProtection selectLockedCells="1"/>
  <dataConsolidate/>
  <mergeCells count="95">
    <mergeCell ref="B69:D69"/>
    <mergeCell ref="B73:D73"/>
    <mergeCell ref="E73:G73"/>
    <mergeCell ref="B72:D72"/>
    <mergeCell ref="E72:G72"/>
    <mergeCell ref="E69:G69"/>
    <mergeCell ref="E70:G70"/>
    <mergeCell ref="E71:G71"/>
    <mergeCell ref="B70:D70"/>
    <mergeCell ref="B71:D71"/>
    <mergeCell ref="B77:D77"/>
    <mergeCell ref="B74:D74"/>
    <mergeCell ref="B78:D78"/>
    <mergeCell ref="E78:G78"/>
    <mergeCell ref="E77:G77"/>
    <mergeCell ref="B76:D76"/>
    <mergeCell ref="E75:G75"/>
    <mergeCell ref="E76:G76"/>
    <mergeCell ref="B75:D75"/>
    <mergeCell ref="E74:G74"/>
    <mergeCell ref="B66:D66"/>
    <mergeCell ref="E66:G66"/>
    <mergeCell ref="B67:D67"/>
    <mergeCell ref="E67:G67"/>
    <mergeCell ref="B68:D68"/>
    <mergeCell ref="E68:G68"/>
    <mergeCell ref="B65:D65"/>
    <mergeCell ref="E65:G65"/>
    <mergeCell ref="B64:D64"/>
    <mergeCell ref="E64:G64"/>
    <mergeCell ref="H59:Z59"/>
    <mergeCell ref="B63:D63"/>
    <mergeCell ref="E63:G63"/>
    <mergeCell ref="B61:D61"/>
    <mergeCell ref="E61:G61"/>
    <mergeCell ref="B62:D62"/>
    <mergeCell ref="E62:G62"/>
    <mergeCell ref="B60:D60"/>
    <mergeCell ref="E60:G60"/>
    <mergeCell ref="B59:D59"/>
    <mergeCell ref="E59:G59"/>
    <mergeCell ref="I27:M27"/>
    <mergeCell ref="O27:W27"/>
    <mergeCell ref="Y28:Z28"/>
    <mergeCell ref="Z21:Z22"/>
    <mergeCell ref="R22:T22"/>
    <mergeCell ref="I28:M28"/>
    <mergeCell ref="Y21:Y22"/>
    <mergeCell ref="W21:W22"/>
    <mergeCell ref="M21:M22"/>
    <mergeCell ref="O28:W28"/>
    <mergeCell ref="Y27:Z27"/>
    <mergeCell ref="I21:I22"/>
    <mergeCell ref="J21:J22"/>
    <mergeCell ref="P21:P22"/>
    <mergeCell ref="Q21:Q22"/>
    <mergeCell ref="V21:V22"/>
    <mergeCell ref="U21:U22"/>
    <mergeCell ref="O21:O22"/>
    <mergeCell ref="L21:L22"/>
    <mergeCell ref="G21:G22"/>
    <mergeCell ref="K21:K22"/>
    <mergeCell ref="A21:A22"/>
    <mergeCell ref="B21:B22"/>
    <mergeCell ref="C21:C22"/>
    <mergeCell ref="D21:D22"/>
    <mergeCell ref="F21:F22"/>
    <mergeCell ref="E21:E22"/>
    <mergeCell ref="F6:W6"/>
    <mergeCell ref="F8:J8"/>
    <mergeCell ref="T8:W8"/>
    <mergeCell ref="B13:F13"/>
    <mergeCell ref="G13:K13"/>
    <mergeCell ref="L13:R13"/>
    <mergeCell ref="S13:V13"/>
    <mergeCell ref="W13:Z13"/>
    <mergeCell ref="A11:Z11"/>
    <mergeCell ref="C19:G19"/>
    <mergeCell ref="I19:W19"/>
    <mergeCell ref="Y19:Z19"/>
    <mergeCell ref="B14:F14"/>
    <mergeCell ref="G14:K14"/>
    <mergeCell ref="L14:R14"/>
    <mergeCell ref="W14:Z14"/>
    <mergeCell ref="S14:V14"/>
    <mergeCell ref="A32:Z32"/>
    <mergeCell ref="A33:Z33"/>
    <mergeCell ref="A34:Z34"/>
    <mergeCell ref="A35:Z35"/>
    <mergeCell ref="A36:Z36"/>
    <mergeCell ref="A37:Z37"/>
    <mergeCell ref="A38:Z38"/>
    <mergeCell ref="A39:Z39"/>
    <mergeCell ref="A40:Z40"/>
    <mergeCell ref="A41:Z41"/>
  </mergeCells>
  <phoneticPr fontId="75" type="noConversion"/>
  <conditionalFormatting sqref="B23:B28">
    <cfRule type="expression" dxfId="198" priority="162" stopIfTrue="1">
      <formula>OR(A23="nicht relevant",A23="EZ")</formula>
    </cfRule>
  </conditionalFormatting>
  <conditionalFormatting sqref="J23:L26 D23:G28">
    <cfRule type="expression" dxfId="197" priority="161" stopIfTrue="1">
      <formula>OR($A23="nicht relevant",$A23="EZ")</formula>
    </cfRule>
    <cfRule type="expression" dxfId="196" priority="166" stopIfTrue="1">
      <formula>LEN(TRIM(D23))=0</formula>
    </cfRule>
  </conditionalFormatting>
  <conditionalFormatting sqref="I23:I26">
    <cfRule type="expression" dxfId="195" priority="164" stopIfTrue="1">
      <formula>OR($A23="nicht relevant",$A23="EZ")</formula>
    </cfRule>
    <cfRule type="expression" dxfId="194" priority="167" stopIfTrue="1">
      <formula>LEN(TRIM(I23))=0</formula>
    </cfRule>
    <cfRule type="cellIs" dxfId="193" priority="168" stopIfTrue="1" operator="greaterThan">
      <formula>$C23-$G23</formula>
    </cfRule>
  </conditionalFormatting>
  <conditionalFormatting sqref="O23:O26">
    <cfRule type="expression" dxfId="192" priority="165" stopIfTrue="1">
      <formula>OR($A23="nicht relevant",$A23="EZ")</formula>
    </cfRule>
    <cfRule type="cellIs" dxfId="191" priority="169" stopIfTrue="1" operator="lessThan">
      <formula>0</formula>
    </cfRule>
  </conditionalFormatting>
  <conditionalFormatting sqref="U23:W23 Q23">
    <cfRule type="expression" dxfId="190" priority="23" stopIfTrue="1">
      <formula>OR($A23="nicht relevant",$A23="EZ")</formula>
    </cfRule>
    <cfRule type="expression" dxfId="189" priority="24" stopIfTrue="1">
      <formula>LEN(TRIM(Q23))=0</formula>
    </cfRule>
  </conditionalFormatting>
  <conditionalFormatting sqref="R23:T23">
    <cfRule type="expression" dxfId="188" priority="25" stopIfTrue="1">
      <formula>OR($A23="nicht relevant",$A23="EZ")</formula>
    </cfRule>
    <cfRule type="expression" dxfId="187" priority="26" stopIfTrue="1">
      <formula>LEN(TRIM(R23))=0</formula>
    </cfRule>
    <cfRule type="cellIs" dxfId="186" priority="27" stopIfTrue="1" operator="greaterThan">
      <formula>$Q23</formula>
    </cfRule>
  </conditionalFormatting>
  <conditionalFormatting sqref="U24:W24 Q24">
    <cfRule type="expression" dxfId="185" priority="18" stopIfTrue="1">
      <formula>OR($A24="nicht relevant",$A24="EZ")</formula>
    </cfRule>
    <cfRule type="expression" dxfId="184" priority="19" stopIfTrue="1">
      <formula>LEN(TRIM(Q24))=0</formula>
    </cfRule>
  </conditionalFormatting>
  <conditionalFormatting sqref="R24:T24">
    <cfRule type="expression" dxfId="183" priority="20" stopIfTrue="1">
      <formula>OR($A24="nicht relevant",$A24="EZ")</formula>
    </cfRule>
    <cfRule type="expression" dxfId="182" priority="21" stopIfTrue="1">
      <formula>LEN(TRIM(R24))=0</formula>
    </cfRule>
    <cfRule type="cellIs" dxfId="181" priority="22" stopIfTrue="1" operator="greaterThan">
      <formula>$Q24</formula>
    </cfRule>
  </conditionalFormatting>
  <conditionalFormatting sqref="U25:W25 Q25">
    <cfRule type="expression" dxfId="180" priority="13" stopIfTrue="1">
      <formula>OR($A25="nicht relevant",$A25="EZ")</formula>
    </cfRule>
    <cfRule type="expression" dxfId="179" priority="14" stopIfTrue="1">
      <formula>LEN(TRIM(Q25))=0</formula>
    </cfRule>
  </conditionalFormatting>
  <conditionalFormatting sqref="R25:T25">
    <cfRule type="expression" dxfId="178" priority="15" stopIfTrue="1">
      <formula>OR($A25="nicht relevant",$A25="EZ")</formula>
    </cfRule>
    <cfRule type="expression" dxfId="177" priority="16" stopIfTrue="1">
      <formula>LEN(TRIM(R25))=0</formula>
    </cfRule>
    <cfRule type="cellIs" dxfId="176" priority="17" stopIfTrue="1" operator="greaterThan">
      <formula>$Q25</formula>
    </cfRule>
  </conditionalFormatting>
  <conditionalFormatting sqref="U26:W26 Q26">
    <cfRule type="expression" dxfId="175" priority="8" stopIfTrue="1">
      <formula>OR($A26="nicht relevant",$A26="EZ")</formula>
    </cfRule>
    <cfRule type="expression" dxfId="174" priority="9" stopIfTrue="1">
      <formula>LEN(TRIM(Q26))=0</formula>
    </cfRule>
  </conditionalFormatting>
  <conditionalFormatting sqref="R26:T26">
    <cfRule type="expression" dxfId="173" priority="10" stopIfTrue="1">
      <formula>OR($A26="nicht relevant",$A26="EZ")</formula>
    </cfRule>
    <cfRule type="expression" dxfId="172" priority="11" stopIfTrue="1">
      <formula>LEN(TRIM(R26))=0</formula>
    </cfRule>
    <cfRule type="cellIs" dxfId="171" priority="12" stopIfTrue="1" operator="greaterThan">
      <formula>$Q26</formula>
    </cfRule>
  </conditionalFormatting>
  <conditionalFormatting sqref="B13:F13">
    <cfRule type="expression" dxfId="170" priority="2" stopIfTrue="1">
      <formula>$B$13="Nicht in Ordnung"</formula>
    </cfRule>
  </conditionalFormatting>
  <conditionalFormatting sqref="B14:F14">
    <cfRule type="expression" dxfId="169" priority="1" stopIfTrue="1">
      <formula>$B$14="die inkorrekten und unvollständigen Einträge beheben"</formula>
    </cfRule>
  </conditionalFormatting>
  <conditionalFormatting sqref="M30">
    <cfRule type="cellIs" dxfId="168" priority="408" stopIfTrue="1" operator="between">
      <formula>$G$91</formula>
      <formula>$I$91</formula>
    </cfRule>
    <cfRule type="cellIs" dxfId="167" priority="409" stopIfTrue="1" operator="between">
      <formula>$H$92</formula>
      <formula>$I$92</formula>
    </cfRule>
    <cfRule type="cellIs" dxfId="166" priority="410" stopIfTrue="1" operator="equal">
      <formula>"---"</formula>
    </cfRule>
  </conditionalFormatting>
  <conditionalFormatting sqref="Y23">
    <cfRule type="expression" dxfId="165" priority="460" stopIfTrue="1">
      <formula>LEN(TRIM(Y23))=0</formula>
    </cfRule>
    <cfRule type="cellIs" dxfId="164" priority="461" stopIfTrue="1" operator="between">
      <formula>$D$100</formula>
      <formula>$F$100</formula>
    </cfRule>
    <cfRule type="cellIs" dxfId="163" priority="462" stopIfTrue="1" operator="greaterThan">
      <formula>$J100</formula>
    </cfRule>
  </conditionalFormatting>
  <conditionalFormatting sqref="Y24">
    <cfRule type="expression" dxfId="162" priority="463" stopIfTrue="1">
      <formula>LEN(TRIM(Y24))=0</formula>
    </cfRule>
    <cfRule type="cellIs" dxfId="161" priority="464" stopIfTrue="1" operator="between">
      <formula>$D$101</formula>
      <formula>$F$101</formula>
    </cfRule>
    <cfRule type="cellIs" dxfId="160" priority="465" stopIfTrue="1" operator="greaterThan">
      <formula>$J$101</formula>
    </cfRule>
  </conditionalFormatting>
  <conditionalFormatting sqref="Y25">
    <cfRule type="expression" dxfId="159" priority="466" stopIfTrue="1">
      <formula>LEN(TRIM(Y25))=0</formula>
    </cfRule>
    <cfRule type="cellIs" dxfId="158" priority="467" stopIfTrue="1" operator="between">
      <formula>$D$102</formula>
      <formula>$F$102</formula>
    </cfRule>
    <cfRule type="cellIs" dxfId="157" priority="468" stopIfTrue="1" operator="greaterThan">
      <formula>$J$102</formula>
    </cfRule>
  </conditionalFormatting>
  <conditionalFormatting sqref="Y26">
    <cfRule type="expression" dxfId="156" priority="469" stopIfTrue="1">
      <formula>LEN(TRIM(Y26))=0</formula>
    </cfRule>
    <cfRule type="cellIs" dxfId="155" priority="470" stopIfTrue="1" operator="between">
      <formula>$D$103</formula>
      <formula>$F$103</formula>
    </cfRule>
    <cfRule type="cellIs" dxfId="154" priority="471" stopIfTrue="1" operator="greaterThan">
      <formula>$J$103</formula>
    </cfRule>
  </conditionalFormatting>
  <conditionalFormatting sqref="Z23">
    <cfRule type="expression" dxfId="153" priority="475" stopIfTrue="1">
      <formula>LEN(TRIM(Z23))=0</formula>
    </cfRule>
    <cfRule type="cellIs" dxfId="152" priority="476" stopIfTrue="1" operator="between">
      <formula>$D$109</formula>
      <formula>$F$109</formula>
    </cfRule>
    <cfRule type="cellIs" dxfId="151" priority="477" stopIfTrue="1" operator="greaterThan">
      <formula>$J$109</formula>
    </cfRule>
  </conditionalFormatting>
  <conditionalFormatting sqref="Z24">
    <cfRule type="expression" dxfId="150" priority="478" stopIfTrue="1">
      <formula>LEN(TRIM(Z24))=0</formula>
    </cfRule>
    <cfRule type="cellIs" dxfId="149" priority="479" stopIfTrue="1" operator="between">
      <formula>$D$109</formula>
      <formula>$F$110</formula>
    </cfRule>
    <cfRule type="cellIs" dxfId="148" priority="480" stopIfTrue="1" operator="greaterThan">
      <formula>$J$110</formula>
    </cfRule>
  </conditionalFormatting>
  <conditionalFormatting sqref="Z25">
    <cfRule type="expression" dxfId="147" priority="481" stopIfTrue="1">
      <formula>LEN(TRIM(Z25))=0</formula>
    </cfRule>
    <cfRule type="cellIs" dxfId="146" priority="482" stopIfTrue="1" operator="between">
      <formula>$D109</formula>
      <formula>$F111</formula>
    </cfRule>
    <cfRule type="cellIs" dxfId="145" priority="483" stopIfTrue="1" operator="greaterThan">
      <formula>$J111</formula>
    </cfRule>
  </conditionalFormatting>
  <conditionalFormatting sqref="Z26">
    <cfRule type="expression" dxfId="144" priority="484" stopIfTrue="1">
      <formula>LEN(TRIM(Z26))=0</formula>
    </cfRule>
    <cfRule type="cellIs" dxfId="143" priority="485" stopIfTrue="1" operator="between">
      <formula>$D109</formula>
      <formula>$F112</formula>
    </cfRule>
    <cfRule type="cellIs" dxfId="142" priority="486" stopIfTrue="1" operator="greaterThan">
      <formula>$J112</formula>
    </cfRule>
  </conditionalFormatting>
  <conditionalFormatting sqref="M23:M26">
    <cfRule type="expression" dxfId="141" priority="515" stopIfTrue="1">
      <formula>OR($A23="nicht relevant",$A23="EZ")</formula>
    </cfRule>
    <cfRule type="expression" dxfId="140" priority="516" stopIfTrue="1">
      <formula>LEN(TRIM(M23))=0</formula>
    </cfRule>
    <cfRule type="cellIs" dxfId="139" priority="517" stopIfTrue="1" operator="between">
      <formula>$G$90</formula>
      <formula>$I$90</formula>
    </cfRule>
  </conditionalFormatting>
  <conditionalFormatting sqref="P23:P26">
    <cfRule type="expression" dxfId="138" priority="518" stopIfTrue="1">
      <formula>OR($A23="nicht relevant",$A23="EZ")</formula>
    </cfRule>
    <cfRule type="cellIs" dxfId="137" priority="519" stopIfTrue="1" operator="between">
      <formula>$G$86</formula>
      <formula>$I$86</formula>
    </cfRule>
  </conditionalFormatting>
  <conditionalFormatting sqref="C23:C28">
    <cfRule type="expression" dxfId="136" priority="520" stopIfTrue="1">
      <formula>OR($A23="nicht relevant",$A23="EZ")</formula>
    </cfRule>
    <cfRule type="cellIs" dxfId="135" priority="521" stopIfTrue="1" operator="lessThan">
      <formula>$G$88</formula>
    </cfRule>
  </conditionalFormatting>
  <dataValidations count="12">
    <dataValidation type="whole" showInputMessage="1" showErrorMessage="1" errorTitle="Eingabefehler" error="Anzahl Pat. im Follow-Up zu hoch." sqref="L23:L27" xr:uid="{00000000-0002-0000-0B00-000000000000}">
      <formula1>0</formula1>
      <formula2>C23-G23-J23-K23</formula2>
    </dataValidation>
    <dataValidation type="whole" showInputMessage="1" showErrorMessage="1" errorTitle="Eingabefehler" error="Anzahl Pat. im Follow-Up zu hoch." sqref="K23:K27" xr:uid="{00000000-0002-0000-0B00-000001000000}">
      <formula1>0</formula1>
      <formula2>C23-G23-J23-L23</formula2>
    </dataValidation>
    <dataValidation type="whole" showInputMessage="1" showErrorMessage="1" errorTitle="Eingabefehler" error="Anzahl Pat. im Follow-Up zu hoch." sqref="J23:J27" xr:uid="{00000000-0002-0000-0B00-000002000000}">
      <formula1>0</formula1>
      <formula2>C23-G23-K23-L23</formula2>
    </dataValidation>
    <dataValidation type="whole" showInputMessage="1" showErrorMessage="1" errorTitle="Eingabefehler" error="Eingabe kann nicht größer sein als Ereignisse Spalte Q." sqref="S23:T27" xr:uid="{00000000-0002-0000-0B00-000003000000}">
      <formula1>0</formula1>
      <formula2>$Q23</formula2>
    </dataValidation>
    <dataValidation type="whole" showInputMessage="1" showErrorMessage="1" errorTitle="Eingabefehler" error="Eingabe kann nicht größer sein als Ereignisse Spalte Q._x000a_" sqref="R23:R27" xr:uid="{00000000-0002-0000-0B00-000004000000}">
      <formula1>0</formula1>
      <formula2>$Q23</formula2>
    </dataValidation>
    <dataValidation type="whole" operator="greaterThanOrEqual" allowBlank="1" showInputMessage="1" showErrorMessage="1" errorTitle="Error" error="Minuszahlen..." sqref="C23:C28" xr:uid="{00000000-0002-0000-0B00-000005000000}">
      <formula1>0</formula1>
    </dataValidation>
    <dataValidation type="whole" allowBlank="1" showInputMessage="1" showErrorMessage="1" errorTitle="Eingabefehler" error="Ganze Zahl zwischen 0 und 5000 eingeben." sqref="D23:G28" xr:uid="{00000000-0002-0000-0B00-000006000000}">
      <formula1>0</formula1>
      <formula2>5000</formula2>
    </dataValidation>
    <dataValidation type="decimal" allowBlank="1" showInputMessage="1" showErrorMessage="1" errorTitle="Aufüllhinweis" error="Nur Prozentwerte zwischen 0% und 100% können verwendet werden." sqref="Y23:Z27" xr:uid="{00000000-0002-0000-0B00-000007000000}">
      <formula1>0</formula1>
      <formula2>1</formula2>
    </dataValidation>
    <dataValidation type="whole" showInputMessage="1" showErrorMessage="1" errorTitle="Eingabefehler" error="Summe Spalten Q+U+V+W (Patienten mit Ereignisse) darf nicht größer als Summe Spalten J+K (Patientenrückmeldungen) sein." sqref="W23:W27" xr:uid="{00000000-0002-0000-0B00-000008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0B00-000009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0B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0B00-00000B000000}">
      <formula1>0</formula1>
      <formula2>SUM($J23:$K23)-$U23-$V23-$W23</formula2>
    </dataValidation>
  </dataValidations>
  <pageMargins left="0.39370078740157483" right="3.937007874015748E-2" top="0.59055118110236227" bottom="0.39370078740157483" header="0.11811023622047245" footer="0.11811023622047245"/>
  <pageSetup paperSize="9" scale="99" orientation="landscape" r:id="rId1"/>
  <headerFooter>
    <oddFooter>&amp;L&amp;"Arial,Standard"&amp;7&amp;F&amp;C&amp;"Arial,Standard"&amp;7 © DKG  Alle Rechte vorbehalten&amp;R&amp;"Arial,Standard"&amp;7&amp;P</oddFooter>
  </headerFooter>
  <rowBreaks count="2" manualBreakCount="2">
    <brk id="31" max="16383" man="1"/>
    <brk id="56"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BK61"/>
  <sheetViews>
    <sheetView topLeftCell="A22" zoomScaleNormal="100" workbookViewId="0">
      <selection activeCell="F20" sqref="F20"/>
    </sheetView>
  </sheetViews>
  <sheetFormatPr baseColWidth="10" defaultColWidth="9" defaultRowHeight="10.15" x14ac:dyDescent="0.45"/>
  <cols>
    <col min="1" max="1" width="20.73046875" style="35" customWidth="1"/>
    <col min="2" max="2" width="25.1328125" style="35" customWidth="1"/>
    <col min="3" max="3" width="27.73046875" style="35" customWidth="1"/>
    <col min="4" max="4" width="22.86328125" style="35" customWidth="1"/>
    <col min="5" max="5" width="29.73046875" style="35" customWidth="1"/>
    <col min="6" max="6" width="31.3984375" style="35" customWidth="1"/>
    <col min="7" max="7" width="29.1328125" style="170" customWidth="1"/>
    <col min="8" max="8" width="27" style="203" customWidth="1"/>
    <col min="9" max="9" width="27.73046875" style="165" customWidth="1"/>
    <col min="10" max="10" width="34.59765625" style="195" customWidth="1"/>
    <col min="11" max="11" width="29.86328125" style="35" customWidth="1"/>
    <col min="12" max="12" width="32.86328125" style="35" customWidth="1"/>
    <col min="13" max="13" width="30.265625" style="35" customWidth="1"/>
    <col min="14" max="14" width="24.3984375" style="35" customWidth="1"/>
    <col min="15" max="15" width="14.73046875" style="35" customWidth="1"/>
    <col min="16" max="16" width="11.3984375" style="35" customWidth="1"/>
    <col min="17" max="17" width="27.1328125" style="35" customWidth="1"/>
    <col min="18" max="18" width="27.59765625" style="35" customWidth="1"/>
    <col min="19" max="19" width="21.73046875" style="35" customWidth="1"/>
    <col min="20" max="20" width="19.73046875" style="35" customWidth="1"/>
    <col min="21" max="21" width="18.73046875" style="35" customWidth="1"/>
    <col min="22" max="160" width="11.3984375" style="35" customWidth="1"/>
    <col min="161" max="16384" width="9" style="35"/>
  </cols>
  <sheetData>
    <row r="1" spans="1:63" x14ac:dyDescent="0.45">
      <c r="G1" s="35"/>
      <c r="H1" s="195"/>
      <c r="I1" s="35"/>
    </row>
    <row r="2" spans="1:63" ht="12.75" customHeight="1" x14ac:dyDescent="0.45">
      <c r="A2" s="90" t="s">
        <v>318</v>
      </c>
      <c r="G2" s="35"/>
      <c r="H2" s="195"/>
      <c r="I2" s="35"/>
      <c r="AI2" s="165"/>
      <c r="BJ2" s="170"/>
    </row>
    <row r="3" spans="1:63" ht="14.25" customHeight="1" x14ac:dyDescent="0.45">
      <c r="AI3" s="165"/>
      <c r="BJ3" s="170"/>
    </row>
    <row r="4" spans="1:63" x14ac:dyDescent="0.45">
      <c r="G4" s="35"/>
      <c r="H4" s="195"/>
      <c r="I4" s="35"/>
      <c r="AI4" s="165"/>
      <c r="BJ4" s="170"/>
    </row>
    <row r="5" spans="1:63" ht="15" customHeight="1" x14ac:dyDescent="0.45">
      <c r="B5" s="161" t="s">
        <v>313</v>
      </c>
      <c r="C5" s="129" t="s">
        <v>307</v>
      </c>
      <c r="D5" s="162" t="s">
        <v>179</v>
      </c>
      <c r="E5" s="163" t="s">
        <v>314</v>
      </c>
      <c r="F5" s="164" t="s">
        <v>315</v>
      </c>
      <c r="G5" s="35"/>
      <c r="H5" s="195"/>
      <c r="I5" s="35"/>
      <c r="AI5" s="165"/>
      <c r="BI5" s="159"/>
    </row>
    <row r="6" spans="1:63" x14ac:dyDescent="0.45">
      <c r="B6" s="240" t="str">
        <f>IF(AND(E6=0,F6=0,Berechnung3!A7="relevant"),B8,IF(OR(Berechnung3!A7="nicht relevant",Berechnung3!A7="EZ"),"",B9))</f>
        <v/>
      </c>
      <c r="C6" s="166">
        <f>Berechnung3!J61</f>
        <v>0</v>
      </c>
      <c r="D6" s="167">
        <f>Berechnung3!J62</f>
        <v>0</v>
      </c>
      <c r="E6" s="168">
        <f>Berechnung3!J60</f>
        <v>0</v>
      </c>
      <c r="F6" s="169">
        <f>Berechnung3!J59</f>
        <v>0</v>
      </c>
      <c r="G6" s="35"/>
      <c r="H6" s="195"/>
      <c r="I6" s="35"/>
      <c r="AI6" s="165"/>
    </row>
    <row r="7" spans="1:63" x14ac:dyDescent="0.45">
      <c r="G7" s="35"/>
      <c r="H7" s="195"/>
      <c r="I7" s="35"/>
      <c r="AI7" s="165"/>
    </row>
    <row r="8" spans="1:63" x14ac:dyDescent="0.45">
      <c r="A8" s="90" t="s">
        <v>166</v>
      </c>
      <c r="B8" s="35" t="s">
        <v>365</v>
      </c>
      <c r="G8" s="35"/>
      <c r="H8" s="195"/>
      <c r="I8" s="35"/>
      <c r="AI8" s="165"/>
    </row>
    <row r="9" spans="1:63" x14ac:dyDescent="0.45">
      <c r="B9" s="35" t="s">
        <v>176</v>
      </c>
      <c r="G9" s="35"/>
      <c r="H9" s="195"/>
      <c r="I9" s="35"/>
      <c r="AI9" s="165"/>
    </row>
    <row r="10" spans="1:63" x14ac:dyDescent="0.45">
      <c r="G10" s="35"/>
      <c r="H10" s="195"/>
      <c r="I10" s="35"/>
      <c r="AI10" s="165"/>
    </row>
    <row r="11" spans="1:63" x14ac:dyDescent="0.45">
      <c r="A11" s="165"/>
      <c r="B11" s="90" t="s">
        <v>339</v>
      </c>
      <c r="G11" s="35"/>
      <c r="H11" s="195"/>
      <c r="I11" s="35"/>
      <c r="AI11" s="165"/>
    </row>
    <row r="12" spans="1:63" x14ac:dyDescent="0.45">
      <c r="A12" s="165"/>
      <c r="G12" s="35"/>
      <c r="H12" s="195"/>
      <c r="I12" s="35"/>
      <c r="AI12" s="165"/>
    </row>
    <row r="13" spans="1:63" x14ac:dyDescent="0.45">
      <c r="A13" s="165"/>
      <c r="B13" s="906" t="s">
        <v>324</v>
      </c>
      <c r="C13" s="908" t="s">
        <v>341</v>
      </c>
      <c r="D13" s="890" t="s">
        <v>323</v>
      </c>
      <c r="E13" s="910" t="s">
        <v>138</v>
      </c>
      <c r="G13" s="35"/>
      <c r="H13" s="195"/>
      <c r="I13" s="35"/>
      <c r="AI13" s="165"/>
    </row>
    <row r="14" spans="1:63" x14ac:dyDescent="0.45">
      <c r="A14" s="165"/>
      <c r="B14" s="907"/>
      <c r="C14" s="909"/>
      <c r="D14" s="890"/>
      <c r="E14" s="911"/>
      <c r="G14" s="35"/>
      <c r="H14" s="195"/>
      <c r="I14" s="120" t="s">
        <v>138</v>
      </c>
      <c r="J14" s="91" t="s">
        <v>139</v>
      </c>
      <c r="AI14" s="165"/>
    </row>
    <row r="15" spans="1:63" ht="38.1" customHeight="1" x14ac:dyDescent="0.45">
      <c r="A15" s="159" t="s">
        <v>338</v>
      </c>
      <c r="B15" s="157" t="str">
        <f>CONCATENATE(IF(Berechnung3!$H$2=Berechnung2!$L$32,Berechnung3!$B$2,""),IF(Berechnung3!$H$3=Berechnung2!$L$32,Berechnung3!$B$3,""),IF(Berechnung3!$H$4=Berechnung2!$L$32,Berechnung3!$B$4,""),IF(Berechnung3!$H$5=Berechnung2!$L$32,Berechnung3!$B$5,""),IF(Berechnung3!$H$6=Berechnung2!$L$32,Berechnung3!$B$6,""),IF(Berechnung3!$H$7=Berechnung2!$L$32,Berechnung3!$B$7,""))</f>
        <v/>
      </c>
      <c r="C15" s="34">
        <f>IF(LEN(B15)&gt;0,"X",0)</f>
        <v>0</v>
      </c>
      <c r="D15" s="34" t="str">
        <f>IF(COUNTIF(Berechnung3!$H$2:$H$7,Berechnung2!$L$32)&gt;0,CONCATENATE(Berechnung2!$F$5,"                                     ",Berechnung2!$L$32),"")</f>
        <v/>
      </c>
      <c r="E15" s="34" t="str">
        <f>IF(COUNTIF(Berechnung3!$H$2:$H$7,Berechnung2!$L$32)&gt;0,"a","")</f>
        <v/>
      </c>
      <c r="G15" s="125" t="e">
        <f t="array" ref="G15">INDEX(B:B,SMALL(IF($C$15:$C$25="X",ROW($15:$25)),1))</f>
        <v>#NUM!</v>
      </c>
      <c r="H15" s="234" t="e">
        <f t="array" ref="H15">INDEX(D:D,SMALL(IF($C$15:$C$25="X",ROW($15:$25)),1))</f>
        <v>#NUM!</v>
      </c>
      <c r="I15" s="94" t="e">
        <f t="array" ref="I15">INDEX(E:E,SMALL(IF($C$15:$C$25="X",ROW($15:$25)),1))</f>
        <v>#NUM!</v>
      </c>
      <c r="J15" s="34" t="e">
        <f>IF(AND('Data deficit_Matrix-Colon'!C19="",I15&lt;&gt;""),"Anmerkung OnkoZert : Keine Erläuterung vorhanden",'Data deficit_Matrix-Colon'!C19)</f>
        <v>#NUM!</v>
      </c>
      <c r="AJ15" s="165"/>
    </row>
    <row r="16" spans="1:63" ht="38.1" customHeight="1" x14ac:dyDescent="0.45">
      <c r="A16" s="159" t="s">
        <v>343</v>
      </c>
      <c r="B16" s="157" t="str">
        <f>CONCATENATE(IF(Berechnung3!$H$8=Berechnung2!$L$36,Berechnung3!$B$2,""),IF(Berechnung3!$H$9=Berechnung2!$L$36,Berechnung3!$B$3,""),IF(Berechnung3!$H$10=Berechnung2!$L$36,Berechnung3!$B$4,""),IF(Berechnung3!$H$11=Berechnung2!$L$36,Berechnung3!$B$5,""),IF(Berechnung3!$H$12=Berechnung2!$L$36,Berechnung3!$B$6,""),IF(Berechnung3!$H$13=Berechnung2!$L$36,Berechnung3!$B$7,""))</f>
        <v/>
      </c>
      <c r="C16" s="34">
        <f>IF(LEN(B16)&gt;0,"X",0)</f>
        <v>0</v>
      </c>
      <c r="D16" s="34" t="str">
        <f>IF(COUNTIF(Berechnung3!$H$8:$H$12,Berechnung2!$L$36)&gt;0,CONCATENATE(Berechnung2!$E$5,"                                     ",Berechnung2!$L$36),"")</f>
        <v/>
      </c>
      <c r="E16" s="34" t="str">
        <f>IF(COUNTIF(Berechnung3!$H$8:$H$12,Berechnung2!$L$36)&gt;0,"b","")</f>
        <v/>
      </c>
      <c r="G16" s="125" t="e">
        <f t="array" ref="G16">INDEX(B:B,SMALL(IF($C$15:$C$25="X",ROW($15:$25)),2))</f>
        <v>#NUM!</v>
      </c>
      <c r="H16" s="234" t="e">
        <f t="array" ref="H16">INDEX(D:D,SMALL(IF($C$15:$C$25="X",ROW($15:$25)),2))</f>
        <v>#NUM!</v>
      </c>
      <c r="I16" s="94" t="e">
        <f t="array" ref="I16">INDEX(E:E,SMALL(IF($C$15:$C$25="X",ROW($15:$25)),2))</f>
        <v>#NUM!</v>
      </c>
      <c r="J16" s="34" t="e">
        <f>IF(AND('Data deficit_Matrix-Colon'!C20="",I16&lt;&gt;""),"Anmerkung OnkoZert : Keine Erläuterung vorhanden",'Data deficit_Matrix-Colon'!C20)</f>
        <v>#NUM!</v>
      </c>
      <c r="AJ16" s="165"/>
      <c r="BK16" s="171"/>
    </row>
    <row r="17" spans="1:63" ht="38.1" customHeight="1" x14ac:dyDescent="0.45">
      <c r="A17" s="159" t="s">
        <v>344</v>
      </c>
      <c r="B17" s="157" t="str">
        <f>CONCATENATE(IF(Berechnung3!$H$14=Berechnung2!$L$42,Berechnung3!$B$2,""),IF(Berechnung3!$H$15=Berechnung2!$L$42,Berechnung3!$B$3,""),IF(Berechnung3!$H$16=Berechnung2!$L$42,Berechnung3!$B$4,""),IF(Berechnung3!$H$17=Berechnung2!$L$42,Berechnung3!$B$5,""),IF(Berechnung3!$H$18=Berechnung2!$L$42,Berechnung3!$B$6,""),IF(Berechnung3!$H$19=Berechnung2!$L$42,Berechnung3!$B$7,""))</f>
        <v/>
      </c>
      <c r="C17" s="34">
        <f>IF(LEN(B17)&gt;0,"X",0)</f>
        <v>0</v>
      </c>
      <c r="D17" s="34" t="str">
        <f>IF(COUNTIF(Berechnung3!$H$14:$H$18,Berechnung2!$L$42)&gt;0,CONCATENATE(Berechnung2!$E$5,"                                     ",Berechnung2!$L$42),"")</f>
        <v/>
      </c>
      <c r="E17" s="34" t="str">
        <f>IF(COUNTIF(Berechnung3!$H$14:$H$18,Berechnung2!$L$42)&gt;0,"c","")</f>
        <v/>
      </c>
      <c r="G17" s="125" t="e">
        <f t="array" ref="G17">INDEX(B:B,SMALL(IF($C$15:$C$25="X",ROW($15:$25)),3))</f>
        <v>#NUM!</v>
      </c>
      <c r="H17" s="234" t="e">
        <f t="array" ref="H17">INDEX(D:D,SMALL(IF($C$15:$C$25="X",ROW($15:$25)),3))</f>
        <v>#NUM!</v>
      </c>
      <c r="I17" s="94" t="e">
        <f t="array" ref="I17">INDEX(E:E,SMALL(IF($C$15:$C$25="X",ROW($15:$25)),3))</f>
        <v>#NUM!</v>
      </c>
      <c r="J17" s="34" t="e">
        <f>IF(AND('Data deficit_Matrix-Colon'!C21="",I17&lt;&gt;""),"Anmerkung OnkoZert : Keine Erläuterung vorhanden",'Data deficit_Matrix-Colon'!C21)</f>
        <v>#NUM!</v>
      </c>
      <c r="AJ17" s="165"/>
    </row>
    <row r="18" spans="1:63" ht="38.1" customHeight="1" x14ac:dyDescent="0.45">
      <c r="A18" s="159" t="s">
        <v>342</v>
      </c>
      <c r="B18" s="157" t="str">
        <f>CONCATENATE(IF(Berechnung3!$H$20=Berechnung2!$L$40,Berechnung3!$B$2,""),IF(Berechnung3!$H$21=Berechnung2!$L$40,Berechnung3!$B$3,""),IF(Berechnung3!$H$22=Berechnung2!$L$40,Berechnung3!$B$4,""),IF(Berechnung3!$H$23=Berechnung2!$L$40,Berechnung3!$B$5,""),IF(Berechnung3!$H$24=Berechnung2!$L$40,Berechnung3!$B$6,""),IF(Berechnung3!$H$25=Berechnung2!$L$40,Berechnung3!$B$7,""))</f>
        <v/>
      </c>
      <c r="C18" s="34">
        <f>IF(LEN(B18)&gt;0,"X",0)</f>
        <v>0</v>
      </c>
      <c r="D18" s="34" t="str">
        <f>IF(COUNTIF(Berechnung3!$H$20:$H$24,Berechnung2!$L$40)&gt;0,CONCATENATE(Berechnung2!$E$5,"                                     ",Berechnung2!$L$40),"")</f>
        <v/>
      </c>
      <c r="E18" s="34" t="str">
        <f>IF(COUNTIF(Berechnung3!$H$20:$H$24,Berechnung2!$L$40)&gt;0,"d","")</f>
        <v/>
      </c>
      <c r="G18" s="125" t="e">
        <f t="array" ref="G18">INDEX(B:B,SMALL(IF($C$15:$C$25="X",ROW($15:$25)),4))</f>
        <v>#NUM!</v>
      </c>
      <c r="H18" s="234" t="e">
        <f t="array" ref="H18">INDEX(D:D,SMALL(IF($C$15:$C$25="X",ROW($15:$25)),4))</f>
        <v>#NUM!</v>
      </c>
      <c r="I18" s="94" t="e">
        <f t="array" ref="I18">INDEX(E:E,SMALL(IF($C$15:$C$25="X",ROW($15:$25)),4))</f>
        <v>#NUM!</v>
      </c>
      <c r="J18" s="34" t="e">
        <f>IF(AND('Data deficit_Matrix-Colon'!C22="",I18&lt;&gt;""),"Anmerkung OnkoZert : Keine Erläuterung vorhanden",'Data deficit_Matrix-Colon'!C22)</f>
        <v>#NUM!</v>
      </c>
      <c r="AJ18" s="165"/>
      <c r="BK18" s="170"/>
    </row>
    <row r="19" spans="1:63" ht="38.1" customHeight="1" x14ac:dyDescent="0.45">
      <c r="A19" s="159" t="s">
        <v>178</v>
      </c>
      <c r="B19" s="121" t="s">
        <v>427</v>
      </c>
      <c r="C19" s="34">
        <f>IF(LEN(D19)&gt;0,"X",0)</f>
        <v>0</v>
      </c>
      <c r="D19" s="34" t="str">
        <f>IF(COUNTIF(Berechnung3!$H$26,Berechnung2!$L$38)&gt;0,CONCATENATE(Berechnung2!$D$5,"                                     ",Berechnung2!$L$38),"")</f>
        <v/>
      </c>
      <c r="E19" s="34" t="str">
        <f>IF(COUNTIF(Berechnung3!$H$26,Berechnung2!$L$38)&gt;0,"e","")</f>
        <v/>
      </c>
      <c r="G19" s="125" t="e">
        <f t="array" ref="G19">INDEX(B:B,SMALL(IF($C$15:$C$25="X",ROW($15:$25)),5))</f>
        <v>#NUM!</v>
      </c>
      <c r="H19" s="234" t="e">
        <f t="array" ref="H19">INDEX(D:D,SMALL(IF($C$15:$C$25="X",ROW($15:$25)),5))</f>
        <v>#NUM!</v>
      </c>
      <c r="I19" s="94" t="e">
        <f t="array" ref="I19">INDEX(E:E,SMALL(IF($C$15:$C$25="X",ROW($15:$25)),5))</f>
        <v>#NUM!</v>
      </c>
      <c r="J19" s="34" t="e">
        <f>IF(AND('Data deficit_Matrix-Colon'!C23="",I19&lt;&gt;""),"Anmerkung OnkoZert : Keine Erläuterung vorhanden",'Data deficit_Matrix-Colon'!C23)</f>
        <v>#NUM!</v>
      </c>
    </row>
    <row r="20" spans="1:63" ht="38.1" customHeight="1" x14ac:dyDescent="0.45">
      <c r="A20" s="159" t="s">
        <v>345</v>
      </c>
      <c r="B20" s="157" t="str">
        <f>CONCATENATE(IF(Berechnung3!$H$27=Berechnung2!$L$35,Berechnung3!$B$2,""),IF(Berechnung3!$H$28=Berechnung2!$L$35,Berechnung3!$B$3,""),IF(Berechnung3!$H$29=Berechnung2!$L$35,Berechnung3!$B$4,""),IF(Berechnung3!$H$30=Berechnung2!$L$35,Berechnung3!$B$5,""),IF(Berechnung3!$H$31=Berechnung2!$L$35,Berechnung3!$B$6,""),IF(Berechnung3!$H$32=Berechnung2!$L$35,Berechnung3!$B$7,""))</f>
        <v/>
      </c>
      <c r="C20" s="34">
        <f>IF(LEN(B20)&gt;0,"X",0)</f>
        <v>0</v>
      </c>
      <c r="D20" s="34" t="str">
        <f>IF(COUNTIF(Berechnung3!$H$27:$H$32,Berechnung2!$L$35)&gt;0,CONCATENATE(Berechnung2!$C$5,"                                     ",Berechnung2!$L$35),"")</f>
        <v/>
      </c>
      <c r="E20" s="34" t="str">
        <f>IF(COUNTIF(Berechnung3!$H$27:$H$32,Berechnung2!$L$35)&gt;0,"f","")</f>
        <v/>
      </c>
      <c r="G20" s="125" t="e">
        <f t="array" ref="G20">INDEX(B:B,SMALL(IF($C$15:$C$25="X",ROW($15:$25)),6))</f>
        <v>#NUM!</v>
      </c>
      <c r="H20" s="234" t="e">
        <f t="array" ref="H20">INDEX(D:D,SMALL(IF($C$15:$C$25="X",ROW($15:$25)),6))</f>
        <v>#NUM!</v>
      </c>
      <c r="I20" s="94" t="e">
        <f t="array" ref="I20">INDEX(E:E,SMALL(IF($C$15:$C$25="X",ROW($15:$25)),6))</f>
        <v>#NUM!</v>
      </c>
      <c r="J20" s="34" t="e">
        <f>IF(AND('Data deficit_Matrix-Colon'!C24="",I20&lt;&gt;""),"Anmerkung OnkoZert : Keine Erläuterung vorhanden",'Data deficit_Matrix-Colon'!C24)</f>
        <v>#NUM!</v>
      </c>
    </row>
    <row r="21" spans="1:63" ht="38.1" customHeight="1" x14ac:dyDescent="0.45">
      <c r="A21" s="159"/>
      <c r="B21" s="121" t="s">
        <v>427</v>
      </c>
      <c r="C21" s="34">
        <f>IF(LEN(D21)&gt;0,"X",0)</f>
        <v>0</v>
      </c>
      <c r="D21" s="34" t="str">
        <f>IF(COUNTIF(Berechnung3!$H$33,Berechnung2!$L$39),CONCATENATE(Berechnung2!$C$5,"                                     ",Berechnung2!$L$39),"")</f>
        <v/>
      </c>
      <c r="E21" s="34" t="str">
        <f>IF(COUNTIF(Berechnung3!$H$33,Berechnung2!$L$39)&gt;0,"g","")</f>
        <v/>
      </c>
      <c r="G21" s="125" t="e">
        <f t="array" ref="G21">INDEX(B:B,SMALL(IF($C$15:$C$25="X",ROW($15:$25)),7))</f>
        <v>#NUM!</v>
      </c>
      <c r="H21" s="234" t="e">
        <f t="array" ref="H21">INDEX(D:D,SMALL(IF($C$15:$C$25="X",ROW($15:$25)),7))</f>
        <v>#NUM!</v>
      </c>
      <c r="I21" s="94" t="e">
        <f t="array" ref="I21">INDEX(E:E,SMALL(IF($C$15:$C$25="X",ROW($15:$25)),7))</f>
        <v>#NUM!</v>
      </c>
      <c r="J21" s="34" t="e">
        <f>IF(AND('Data deficit_Matrix-Colon'!C25="",I21&lt;&gt;""),"Anmerkung OnkoZert : Keine Erläuterung vorhanden",'Data deficit_Matrix-Colon'!C25)</f>
        <v>#NUM!</v>
      </c>
    </row>
    <row r="22" spans="1:63" ht="38.1" customHeight="1" x14ac:dyDescent="0.45">
      <c r="A22" s="159" t="s">
        <v>346</v>
      </c>
      <c r="B22" s="157" t="str">
        <f>CONCATENATE(IF(Berechnung3!$H$34=Berechnung2!$L$37,Berechnung3!$B$2,""),IF(Berechnung3!$H$35=Berechnung2!$L$37,Berechnung3!$B$3,""),IF(Berechnung3!$H$36=Berechnung2!$L$37,Berechnung3!$B$4,""),IF(Berechnung3!$H$37=Berechnung2!$L$37,Berechnung3!$B$5,""),IF(Berechnung3!$H$38=Berechnung2!$L$37,Berechnung3!$B$6,""),IF(Berechnung3!$H$39=Berechnung2!$L$37,Berechnung3!$B$7,""))</f>
        <v/>
      </c>
      <c r="C22" s="34">
        <f>IF(LEN(B22)&gt;0,"X",0)</f>
        <v>0</v>
      </c>
      <c r="D22" s="34" t="str">
        <f>IF(COUNTIF(Berechnung3!H34:H38,Berechnung2!$L$37)&gt;0,CONCATENATE(Berechnung2!$C$5,"                                     ",Berechnung2!$L$37),"")</f>
        <v/>
      </c>
      <c r="E22" s="34" t="str">
        <f>IF(COUNTIF(Berechnung3!H34:H38,Berechnung2!$L$37)&gt;0,"h","")</f>
        <v/>
      </c>
      <c r="G22" s="125" t="e">
        <f t="array" ref="G22">INDEX(B:B,SMALL(IF($C$15:$C$25="X",ROW($15:$25)),8))</f>
        <v>#NUM!</v>
      </c>
      <c r="H22" s="234" t="e">
        <f t="array" ref="H22">INDEX(D:D,SMALL(IF($C$15:$C$25="X",ROW($15:$25)),8))</f>
        <v>#NUM!</v>
      </c>
      <c r="I22" s="94" t="e">
        <f t="array" ref="I22">INDEX(E:E,SMALL(IF($C$15:$C$25="X",ROW($15:$25)),8))</f>
        <v>#NUM!</v>
      </c>
      <c r="J22" s="34" t="e">
        <f>IF(AND('Data deficit_Matrix-Colon'!C26="",I22&lt;&gt;""),"Anmerkung OnkoZert : Keine Erläuterung vorhanden",'Data deficit_Matrix-Colon'!C26)</f>
        <v>#NUM!</v>
      </c>
    </row>
    <row r="23" spans="1:63" ht="38.1" customHeight="1" x14ac:dyDescent="0.45">
      <c r="A23" s="159" t="s">
        <v>347</v>
      </c>
      <c r="B23" s="157" t="str">
        <f>CONCATENATE(IF(Berechnung3!$H$40=Berechnung2!$L$33,Berechnung3!$B$2,""),IF(Berechnung3!$H$41=Berechnung2!$L$33,Berechnung3!$B$3,""),IF(Berechnung3!$H$42=Berechnung2!$L$33,Berechnung3!$B$4,""),IF(Berechnung3!$H$43=Berechnung2!$L$33,Berechnung3!$B$5,""),IF(Berechnung3!$H$44=Berechnung2!$L$33,Berechnung3!$B$6,""),IF(Berechnung3!$H$45=Berechnung2!$L$33,Berechnung3!$B$7,""))</f>
        <v/>
      </c>
      <c r="C23" s="34">
        <f>IF(LEN(B23)&gt;0,"X",0)</f>
        <v>0</v>
      </c>
      <c r="D23" s="34" t="str">
        <f>IF(COUNTIF(Berechnung3!$H$40:$H$44,Berechnung2!$L$33)&gt;0,CONCATENATE(Berechnung2!$C$5,"                                     ",Berechnung2!$L$33),"")</f>
        <v/>
      </c>
      <c r="E23" s="34" t="str">
        <f>IF(COUNTIF(Berechnung3!$H$40:$H$44,Berechnung2!$L$33)&gt;0,"i","")</f>
        <v/>
      </c>
      <c r="G23" s="125" t="e">
        <f t="array" ref="G23">INDEX(B:B,SMALL(IF($C$15:$C$25="X",ROW($15:$25)),9))</f>
        <v>#NUM!</v>
      </c>
      <c r="H23" s="234" t="e">
        <f t="array" ref="H23">INDEX(D:D,SMALL(IF($C$15:$C$25="X",ROW($15:$25)),9))</f>
        <v>#NUM!</v>
      </c>
      <c r="I23" s="94" t="e">
        <f t="array" ref="I23">INDEX(E:E,SMALL(IF($C$15:$C$25="X",ROW($15:$25)),9))</f>
        <v>#NUM!</v>
      </c>
      <c r="J23" s="34" t="e">
        <f>IF(AND('Data deficit_Matrix-Colon'!C27="",I23&lt;&gt;""),"Anmerkung OnkoZert : Keine Erläuterung vorhanden",'Data deficit_Matrix-Colon'!C27)</f>
        <v>#NUM!</v>
      </c>
    </row>
    <row r="24" spans="1:63" ht="38.1" customHeight="1" x14ac:dyDescent="0.45">
      <c r="A24" s="159" t="s">
        <v>316</v>
      </c>
      <c r="B24" s="158" t="str">
        <f>CONCATENATE(IF(Berechnung3!$H$46=Berechnung2!$L$47,Berechnung3!$B$2,""),IF(Berechnung3!$H$47=Berechnung2!$L$47,Berechnung3!$B$3,""),IF(Berechnung3!$H$48=Berechnung2!$L$47,Berechnung3!$B$4,""),IF(Berechnung3!$H$49=Berechnung2!$L$47,Berechnung3!$B$5,""),IF(Berechnung3!$H$50=Berechnung2!$L$47,Berechnung3!$B$6,""),IF(Berechnung3!$H$51=Berechnung2!$L$47,Berechnung3!$B$7,""))</f>
        <v/>
      </c>
      <c r="C24" s="34">
        <f>IF(LEN(B24)&gt;0,"X",0)</f>
        <v>0</v>
      </c>
      <c r="D24" s="34" t="str">
        <f>IF(COUNTIF(Berechnung3!$H$46:$H$50,Berechnung2!$L$47)&gt;0,CONCATENATE(Berechnung2!$C$5,"                  ",Berechnung2!$L$47),"")</f>
        <v/>
      </c>
      <c r="E24" s="34" t="str">
        <f>IF(COUNTIF(Berechnung3!$H$46:$H$50,Berechnung2!$L$47)&gt;0,"j","")</f>
        <v/>
      </c>
      <c r="G24" s="125" t="e">
        <f t="array" ref="G24">INDEX(B:B,SMALL(IF($C$15:$C$25="X",ROW($15:$25)),10))</f>
        <v>#NUM!</v>
      </c>
      <c r="H24" s="234" t="e">
        <f t="array" ref="H24">INDEX(D:D,SMALL(IF($C$15:$C$25="X",ROW($15:$25)),10))</f>
        <v>#NUM!</v>
      </c>
      <c r="I24" s="94" t="e">
        <f t="array" ref="I24">INDEX(E:E,SMALL(IF($C$15:$C$25="X",ROW($15:$25)),10))</f>
        <v>#NUM!</v>
      </c>
      <c r="J24" s="34" t="e">
        <f>IF(AND('Data deficit_Matrix-Colon'!C28="",I24&lt;&gt;""),"Anmerkung OnkoZert : Keine Erläuterung vorhanden",'Data deficit_Matrix-Colon'!C28)</f>
        <v>#NUM!</v>
      </c>
    </row>
    <row r="25" spans="1:63" ht="38.1" customHeight="1" x14ac:dyDescent="0.45">
      <c r="A25" s="159" t="s">
        <v>264</v>
      </c>
      <c r="B25" s="34" t="str">
        <f>CONCATENATE(IF(Berechnung3!H52=Berechnung2!$L$56,Berechnung3!$B$2,""),IF(Berechnung3!$H$53=Berechnung2!$L$56,Berechnung3!$B$3,""),IF(Berechnung3!$H$54=Berechnung2!$L$56,Berechnung3!$B$4,""),IF(Berechnung3!$H$55=Berechnung2!$L$56,Berechnung3!$B$5,""),IF(Berechnung3!$H$56=Berechnung2!$L$56,Berechnung3!$B$6,""),IF(Berechnung3!$H$57=Berechnung2!$L$56,Berechnung3!$B$7,""))</f>
        <v/>
      </c>
      <c r="C25" s="34">
        <f>IF(LEN(B25)&gt;0,"X",0)</f>
        <v>0</v>
      </c>
      <c r="D25" s="34" t="str">
        <f>IF(COUNTIF(Berechnung3!$H$52:$H$56,Berechnung2!$L$56)&gt;0,CONCATENATE(Berechnung2!$C$5,"                 ",Berechnung2!$L$56),"")</f>
        <v/>
      </c>
      <c r="E25" s="34" t="str">
        <f>IF(COUNTIF(Berechnung3!$H$52:$H$56,Berechnung2!$L$56)&gt;0,"k","")</f>
        <v/>
      </c>
      <c r="G25" s="125" t="e">
        <f t="array" ref="G25">INDEX(B:B,SMALL(IF($C$15:$C$25="X",ROW($15:$25)),11))</f>
        <v>#NUM!</v>
      </c>
      <c r="H25" s="234" t="e">
        <f t="array" ref="H25">INDEX(D:D,SMALL(IF($C$15:$C$25="X",ROW($15:$25)),11))</f>
        <v>#NUM!</v>
      </c>
      <c r="I25" s="94" t="e">
        <f t="array" ref="I25">INDEX(E:E,SMALL(IF($C$15:$C$25="X",ROW($15:$25)),11))</f>
        <v>#NUM!</v>
      </c>
      <c r="J25" s="34" t="e">
        <f>IF(AND('Data deficit_Matrix-Colon'!C29="",I25&lt;&gt;""),"Anmerkung OnkoZert : Keine Erläuterung vorhanden",'Data deficit_Matrix-Colon'!C29)</f>
        <v>#NUM!</v>
      </c>
    </row>
    <row r="26" spans="1:63" x14ac:dyDescent="0.45">
      <c r="A26" s="165"/>
      <c r="F26" s="124"/>
      <c r="G26" s="124"/>
      <c r="H26" s="195"/>
      <c r="I26" s="35"/>
    </row>
    <row r="27" spans="1:63" x14ac:dyDescent="0.45">
      <c r="G27" s="35"/>
      <c r="H27" s="195"/>
    </row>
    <row r="29" spans="1:63" s="134" customFormat="1" x14ac:dyDescent="0.45">
      <c r="B29" s="90" t="s">
        <v>322</v>
      </c>
      <c r="H29" s="196"/>
      <c r="J29" s="196"/>
    </row>
    <row r="30" spans="1:63" x14ac:dyDescent="0.45">
      <c r="A30" s="134"/>
      <c r="B30" s="318" t="s">
        <v>334</v>
      </c>
      <c r="C30" s="318"/>
      <c r="D30" s="318"/>
      <c r="E30" s="120"/>
      <c r="F30" s="126" t="s">
        <v>332</v>
      </c>
      <c r="G30" s="120"/>
      <c r="H30" s="91"/>
      <c r="I30" s="120"/>
      <c r="J30" s="197"/>
      <c r="K30" s="318"/>
      <c r="L30" s="318" t="s">
        <v>167</v>
      </c>
      <c r="M30" s="318"/>
      <c r="N30" s="318" t="s">
        <v>168</v>
      </c>
      <c r="O30" s="318"/>
      <c r="P30" s="134"/>
    </row>
    <row r="31" spans="1:63" x14ac:dyDescent="0.45">
      <c r="A31" s="134"/>
      <c r="B31" s="318"/>
      <c r="C31" s="318"/>
      <c r="D31" s="318"/>
      <c r="E31" s="120"/>
      <c r="F31" s="126"/>
      <c r="G31" s="120"/>
      <c r="H31" s="91"/>
      <c r="I31" s="120"/>
      <c r="J31" s="197"/>
      <c r="K31" s="318"/>
      <c r="L31" s="172"/>
      <c r="M31" s="172"/>
      <c r="N31" s="172" t="s">
        <v>35</v>
      </c>
      <c r="O31" s="236"/>
      <c r="P31" s="134"/>
    </row>
    <row r="32" spans="1:63" x14ac:dyDescent="0.45">
      <c r="B32" s="236" t="s">
        <v>36</v>
      </c>
      <c r="C32" s="236"/>
      <c r="D32" s="236" t="s">
        <v>338</v>
      </c>
      <c r="E32" s="217"/>
      <c r="F32" s="127"/>
      <c r="G32" s="217"/>
      <c r="H32" s="201"/>
      <c r="I32" s="217"/>
      <c r="J32" s="198"/>
      <c r="K32" s="217"/>
      <c r="L32" s="172" t="s">
        <v>36</v>
      </c>
      <c r="M32" s="172"/>
      <c r="N32" s="172"/>
      <c r="O32" s="236"/>
      <c r="P32" s="134"/>
    </row>
    <row r="33" spans="1:16" x14ac:dyDescent="0.45">
      <c r="B33" s="272" t="s">
        <v>321</v>
      </c>
      <c r="C33" s="272"/>
      <c r="D33" s="272" t="s">
        <v>335</v>
      </c>
      <c r="E33" s="108" t="s">
        <v>38</v>
      </c>
      <c r="F33" s="109">
        <v>-1</v>
      </c>
      <c r="G33" s="110">
        <v>-1</v>
      </c>
      <c r="H33" s="204">
        <v>-1</v>
      </c>
      <c r="I33" s="317">
        <v>-1</v>
      </c>
      <c r="J33" s="199">
        <v>-1</v>
      </c>
      <c r="K33" s="132"/>
      <c r="L33" s="131" t="s">
        <v>352</v>
      </c>
      <c r="M33" s="131"/>
      <c r="N33" s="131"/>
      <c r="O33" s="272"/>
      <c r="P33" s="134"/>
    </row>
    <row r="34" spans="1:16" x14ac:dyDescent="0.45">
      <c r="B34" s="236" t="s">
        <v>325</v>
      </c>
      <c r="C34" s="236"/>
      <c r="D34" s="236" t="s">
        <v>317</v>
      </c>
      <c r="E34" s="217" t="s">
        <v>319</v>
      </c>
      <c r="F34" s="127">
        <v>0</v>
      </c>
      <c r="G34" s="128">
        <v>0</v>
      </c>
      <c r="H34" s="200"/>
      <c r="I34" s="217"/>
      <c r="J34" s="198">
        <v>1</v>
      </c>
      <c r="K34" s="217"/>
      <c r="L34" s="172"/>
      <c r="M34" s="172"/>
      <c r="N34" s="172"/>
      <c r="O34" s="236"/>
      <c r="P34" s="134"/>
    </row>
    <row r="35" spans="1:16" x14ac:dyDescent="0.45">
      <c r="B35" s="236" t="s">
        <v>326</v>
      </c>
      <c r="C35" s="236"/>
      <c r="D35" s="236" t="s">
        <v>335</v>
      </c>
      <c r="E35" s="217" t="s">
        <v>320</v>
      </c>
      <c r="F35" s="217"/>
      <c r="G35" s="217">
        <v>25</v>
      </c>
      <c r="H35" s="201"/>
      <c r="I35" s="217"/>
      <c r="J35" s="198"/>
      <c r="K35" s="217"/>
      <c r="L35" s="172" t="s">
        <v>353</v>
      </c>
      <c r="M35" s="172"/>
      <c r="N35" s="172"/>
      <c r="O35" s="236"/>
      <c r="P35" s="134"/>
    </row>
    <row r="36" spans="1:16" x14ac:dyDescent="0.45">
      <c r="B36" s="236" t="s">
        <v>327</v>
      </c>
      <c r="C36" s="236"/>
      <c r="D36" s="236" t="s">
        <v>317</v>
      </c>
      <c r="E36" s="217"/>
      <c r="F36" s="217"/>
      <c r="G36" s="217"/>
      <c r="H36" s="201"/>
      <c r="I36" s="217"/>
      <c r="J36" s="198"/>
      <c r="K36" s="217"/>
      <c r="L36" s="172" t="s">
        <v>387</v>
      </c>
      <c r="M36" s="172"/>
      <c r="N36" s="172" t="s">
        <v>34</v>
      </c>
      <c r="O36" s="236"/>
      <c r="P36" s="134"/>
    </row>
    <row r="37" spans="1:16" x14ac:dyDescent="0.45">
      <c r="B37" s="236" t="s">
        <v>46</v>
      </c>
      <c r="C37" s="236"/>
      <c r="D37" s="236" t="s">
        <v>335</v>
      </c>
      <c r="E37" s="217" t="s">
        <v>320</v>
      </c>
      <c r="F37" s="127">
        <v>0</v>
      </c>
      <c r="G37" s="128">
        <v>0</v>
      </c>
      <c r="H37" s="200"/>
      <c r="I37" s="315">
        <v>0.69999</v>
      </c>
      <c r="J37" s="198">
        <v>0.69999</v>
      </c>
      <c r="K37" s="217"/>
      <c r="L37" s="172" t="s">
        <v>32</v>
      </c>
      <c r="M37" s="172"/>
      <c r="N37" s="172"/>
      <c r="O37" s="236"/>
      <c r="P37" s="134"/>
    </row>
    <row r="38" spans="1:16" x14ac:dyDescent="0.45">
      <c r="B38" s="172" t="s">
        <v>428</v>
      </c>
      <c r="C38" s="236"/>
      <c r="D38" s="236" t="s">
        <v>336</v>
      </c>
      <c r="E38" s="217" t="s">
        <v>320</v>
      </c>
      <c r="F38" s="127">
        <v>0</v>
      </c>
      <c r="G38" s="128">
        <v>0</v>
      </c>
      <c r="H38" s="200"/>
      <c r="I38" s="315">
        <v>0.79998999999999998</v>
      </c>
      <c r="J38" s="200">
        <v>0.79998999999999998</v>
      </c>
      <c r="K38" s="217"/>
      <c r="L38" s="172" t="s">
        <v>47</v>
      </c>
      <c r="M38" s="172"/>
      <c r="N38" s="172"/>
      <c r="O38" s="236"/>
      <c r="P38" s="134"/>
    </row>
    <row r="39" spans="1:16" x14ac:dyDescent="0.45">
      <c r="B39" s="172" t="s">
        <v>429</v>
      </c>
      <c r="C39" s="236"/>
      <c r="D39" s="236" t="s">
        <v>335</v>
      </c>
      <c r="E39" s="217" t="s">
        <v>319</v>
      </c>
      <c r="F39" s="217"/>
      <c r="G39" s="127">
        <v>0</v>
      </c>
      <c r="H39" s="200">
        <v>0.99000999999999995</v>
      </c>
      <c r="I39" s="160">
        <v>1</v>
      </c>
      <c r="J39" s="198">
        <v>0.99000999999999995</v>
      </c>
      <c r="K39" s="217"/>
      <c r="L39" s="172" t="s">
        <v>48</v>
      </c>
      <c r="M39" s="172"/>
      <c r="N39" s="172"/>
      <c r="O39" s="236"/>
      <c r="P39" s="134"/>
    </row>
    <row r="40" spans="1:16" x14ac:dyDescent="0.45">
      <c r="B40" s="236" t="s">
        <v>328</v>
      </c>
      <c r="C40" s="236"/>
      <c r="D40" s="236" t="s">
        <v>317</v>
      </c>
      <c r="E40" s="217"/>
      <c r="F40" s="217"/>
      <c r="G40" s="217"/>
      <c r="H40" s="201"/>
      <c r="I40" s="217"/>
      <c r="J40" s="198"/>
      <c r="K40" s="217"/>
      <c r="L40" s="172" t="s">
        <v>388</v>
      </c>
      <c r="M40" s="172"/>
      <c r="N40" s="172" t="s">
        <v>33</v>
      </c>
      <c r="O40" s="236"/>
      <c r="P40" s="134"/>
    </row>
    <row r="41" spans="1:16" x14ac:dyDescent="0.45">
      <c r="B41" s="236"/>
      <c r="C41" s="236"/>
      <c r="D41" s="236"/>
      <c r="E41" s="217"/>
      <c r="F41" s="217"/>
      <c r="G41" s="217"/>
      <c r="H41" s="201"/>
      <c r="I41" s="217"/>
      <c r="J41" s="198"/>
      <c r="K41" s="217"/>
      <c r="L41" s="172"/>
      <c r="M41" s="172"/>
      <c r="N41" s="172"/>
      <c r="O41" s="236"/>
      <c r="P41" s="134"/>
    </row>
    <row r="42" spans="1:16" x14ac:dyDescent="0.45">
      <c r="B42" s="236" t="s">
        <v>329</v>
      </c>
      <c r="C42" s="236"/>
      <c r="D42" s="236" t="s">
        <v>317</v>
      </c>
      <c r="E42" s="217" t="s">
        <v>320</v>
      </c>
      <c r="F42" s="217"/>
      <c r="G42" s="217">
        <v>0</v>
      </c>
      <c r="H42" s="201"/>
      <c r="I42" s="217"/>
      <c r="J42" s="198"/>
      <c r="K42" s="217"/>
      <c r="L42" s="172" t="s">
        <v>37</v>
      </c>
      <c r="M42" s="172"/>
      <c r="N42" s="172" t="s">
        <v>54</v>
      </c>
      <c r="O42" s="236"/>
      <c r="P42" s="134"/>
    </row>
    <row r="43" spans="1:16" x14ac:dyDescent="0.45">
      <c r="A43" s="134"/>
      <c r="B43" s="236"/>
      <c r="C43" s="236"/>
      <c r="D43" s="236"/>
      <c r="E43" s="217"/>
      <c r="F43" s="217"/>
      <c r="G43" s="217"/>
      <c r="H43" s="201"/>
      <c r="I43" s="217"/>
      <c r="J43" s="201"/>
      <c r="K43" s="236"/>
      <c r="L43" s="172"/>
      <c r="M43" s="172"/>
      <c r="N43" s="172"/>
      <c r="O43" s="236"/>
      <c r="P43" s="134"/>
    </row>
    <row r="44" spans="1:16" x14ac:dyDescent="0.45">
      <c r="A44" s="134"/>
      <c r="B44" s="172"/>
      <c r="C44" s="172"/>
      <c r="D44" s="172"/>
      <c r="E44" s="172"/>
      <c r="F44" s="172"/>
      <c r="G44" s="173"/>
      <c r="H44" s="205"/>
      <c r="I44" s="130"/>
      <c r="J44" s="216"/>
      <c r="K44" s="172"/>
      <c r="L44" s="172"/>
      <c r="M44" s="172"/>
      <c r="N44" s="172" t="s">
        <v>55</v>
      </c>
      <c r="O44" s="236"/>
      <c r="P44" s="134"/>
    </row>
    <row r="45" spans="1:16" x14ac:dyDescent="0.45">
      <c r="A45" s="134"/>
      <c r="B45" s="236"/>
      <c r="C45" s="128"/>
      <c r="D45" s="128"/>
      <c r="E45" s="128"/>
      <c r="F45" s="315"/>
      <c r="G45" s="160"/>
      <c r="H45" s="206"/>
      <c r="I45" s="315"/>
      <c r="J45" s="202"/>
      <c r="K45" s="236"/>
      <c r="L45" s="172"/>
      <c r="M45" s="172"/>
      <c r="N45" s="172"/>
      <c r="O45" s="236"/>
      <c r="P45" s="134"/>
    </row>
    <row r="46" spans="1:16" x14ac:dyDescent="0.45">
      <c r="A46" s="134"/>
      <c r="B46" s="236" t="s">
        <v>316</v>
      </c>
      <c r="C46" s="236"/>
      <c r="D46" s="236"/>
      <c r="E46" s="217" t="s">
        <v>333</v>
      </c>
      <c r="F46" s="217"/>
      <c r="G46" s="217" t="s">
        <v>330</v>
      </c>
      <c r="H46" s="201"/>
      <c r="I46" s="217"/>
      <c r="J46" s="201" t="s">
        <v>331</v>
      </c>
      <c r="K46" s="236"/>
      <c r="L46" s="172"/>
      <c r="M46" s="172"/>
      <c r="N46" s="172"/>
      <c r="O46" s="236"/>
      <c r="P46" s="134"/>
    </row>
    <row r="47" spans="1:16" x14ac:dyDescent="0.45">
      <c r="A47" s="134"/>
      <c r="B47" s="147" t="s">
        <v>821</v>
      </c>
      <c r="C47" s="128"/>
      <c r="D47" s="128"/>
      <c r="E47" s="128">
        <v>0</v>
      </c>
      <c r="F47" s="315">
        <v>0.49998999999999999</v>
      </c>
      <c r="G47" s="315">
        <v>0.49998999999999999</v>
      </c>
      <c r="H47" s="206"/>
      <c r="I47" s="315">
        <v>0.90000999999999998</v>
      </c>
      <c r="J47" s="381">
        <v>0.90000999999999998</v>
      </c>
      <c r="K47" s="236"/>
      <c r="L47" s="172" t="s">
        <v>357</v>
      </c>
      <c r="M47" s="172" t="s">
        <v>357</v>
      </c>
      <c r="N47" s="172"/>
      <c r="O47" s="236"/>
      <c r="P47" s="134"/>
    </row>
    <row r="48" spans="1:16" x14ac:dyDescent="0.45">
      <c r="A48" s="134"/>
      <c r="B48" s="147" t="s">
        <v>413</v>
      </c>
      <c r="C48" s="128"/>
      <c r="D48" s="128"/>
      <c r="E48" s="128">
        <v>0</v>
      </c>
      <c r="F48" s="315">
        <v>0.54998999999999998</v>
      </c>
      <c r="G48" s="315">
        <v>0.54998999999999998</v>
      </c>
      <c r="H48" s="206"/>
      <c r="I48" s="315">
        <v>0.90000999999999998</v>
      </c>
      <c r="J48" s="381">
        <v>0.90000999999999998</v>
      </c>
      <c r="K48" s="236"/>
      <c r="L48" s="172" t="s">
        <v>357</v>
      </c>
      <c r="M48" s="172" t="s">
        <v>357</v>
      </c>
      <c r="N48" s="172"/>
      <c r="O48" s="236"/>
      <c r="P48" s="134"/>
    </row>
    <row r="49" spans="1:16" x14ac:dyDescent="0.45">
      <c r="A49" s="134"/>
      <c r="B49" s="147" t="s">
        <v>424</v>
      </c>
      <c r="C49" s="128"/>
      <c r="D49" s="128"/>
      <c r="E49" s="128">
        <v>0</v>
      </c>
      <c r="F49" s="315">
        <v>0.59999000000000002</v>
      </c>
      <c r="G49" s="315">
        <v>0.59999000000000002</v>
      </c>
      <c r="H49" s="206"/>
      <c r="I49" s="315">
        <v>0.95001000000000002</v>
      </c>
      <c r="J49" s="381">
        <v>0.95001000000000002</v>
      </c>
      <c r="K49" s="236"/>
      <c r="L49" s="172" t="s">
        <v>357</v>
      </c>
      <c r="M49" s="172" t="s">
        <v>357</v>
      </c>
      <c r="N49" s="172"/>
      <c r="O49" s="236"/>
      <c r="P49" s="134"/>
    </row>
    <row r="50" spans="1:16" x14ac:dyDescent="0.45">
      <c r="A50" s="134"/>
      <c r="B50" s="147" t="s">
        <v>431</v>
      </c>
      <c r="C50" s="128"/>
      <c r="D50" s="128"/>
      <c r="E50" s="128">
        <v>0</v>
      </c>
      <c r="F50" s="315">
        <v>0.64998999999999996</v>
      </c>
      <c r="G50" s="315">
        <v>0.64998999999999996</v>
      </c>
      <c r="H50" s="206"/>
      <c r="I50" s="315">
        <v>0.95001000000000002</v>
      </c>
      <c r="J50" s="381">
        <v>0.95001000000000002</v>
      </c>
      <c r="K50" s="236"/>
      <c r="L50" s="172" t="s">
        <v>357</v>
      </c>
      <c r="M50" s="172" t="s">
        <v>357</v>
      </c>
      <c r="N50" s="172"/>
      <c r="O50" s="236"/>
      <c r="P50" s="134"/>
    </row>
    <row r="51" spans="1:16" x14ac:dyDescent="0.45">
      <c r="A51" s="134"/>
      <c r="B51" s="147" t="s">
        <v>461</v>
      </c>
      <c r="C51" s="128"/>
      <c r="D51" s="128"/>
      <c r="E51" s="128">
        <v>0</v>
      </c>
      <c r="F51" s="315">
        <v>0.79998999999999998</v>
      </c>
      <c r="G51" s="315">
        <v>0.79998999999999998</v>
      </c>
      <c r="H51" s="206"/>
      <c r="I51" s="315">
        <v>0.99000999999999995</v>
      </c>
      <c r="J51" s="381">
        <v>0.99000999999999995</v>
      </c>
      <c r="K51" s="236"/>
      <c r="L51" s="172" t="s">
        <v>357</v>
      </c>
      <c r="M51" s="172" t="s">
        <v>357</v>
      </c>
      <c r="N51" s="172"/>
      <c r="O51" s="236"/>
      <c r="P51" s="134"/>
    </row>
    <row r="52" spans="1:16" x14ac:dyDescent="0.45">
      <c r="A52" s="134"/>
      <c r="B52" s="236"/>
      <c r="C52" s="236"/>
      <c r="D52" s="217"/>
      <c r="E52" s="217"/>
      <c r="F52" s="217"/>
      <c r="G52" s="315"/>
      <c r="H52" s="201"/>
      <c r="I52" s="315"/>
      <c r="J52" s="381"/>
      <c r="K52" s="236"/>
      <c r="L52" s="172"/>
      <c r="M52" s="172"/>
      <c r="N52" s="172"/>
      <c r="O52" s="236"/>
      <c r="P52" s="134"/>
    </row>
    <row r="53" spans="1:16" x14ac:dyDescent="0.45">
      <c r="A53" s="134"/>
      <c r="B53" s="172"/>
      <c r="C53" s="172"/>
      <c r="D53" s="172"/>
      <c r="E53" s="172"/>
      <c r="F53" s="172"/>
      <c r="G53" s="389"/>
      <c r="H53" s="205"/>
      <c r="I53" s="315"/>
      <c r="J53" s="382"/>
      <c r="K53" s="236"/>
      <c r="L53" s="172"/>
      <c r="M53" s="172"/>
      <c r="N53" s="172"/>
      <c r="O53" s="236"/>
      <c r="P53" s="134"/>
    </row>
    <row r="54" spans="1:16" x14ac:dyDescent="0.45">
      <c r="A54" s="134"/>
      <c r="B54" s="236"/>
      <c r="C54" s="128"/>
      <c r="D54" s="128"/>
      <c r="E54" s="128"/>
      <c r="F54" s="315"/>
      <c r="G54" s="315"/>
      <c r="H54" s="206"/>
      <c r="I54" s="315"/>
      <c r="J54" s="381"/>
      <c r="K54" s="236"/>
      <c r="L54" s="172"/>
      <c r="M54" s="172"/>
      <c r="N54" s="172"/>
      <c r="O54" s="236"/>
      <c r="P54" s="134"/>
    </row>
    <row r="55" spans="1:16" x14ac:dyDescent="0.45">
      <c r="A55" s="134"/>
      <c r="B55" s="236" t="s">
        <v>264</v>
      </c>
      <c r="C55" s="236"/>
      <c r="D55" s="217"/>
      <c r="E55" s="217"/>
      <c r="F55" s="217"/>
      <c r="G55" s="315" t="s">
        <v>330</v>
      </c>
      <c r="H55" s="201"/>
      <c r="I55" s="315"/>
      <c r="J55" s="198" t="s">
        <v>331</v>
      </c>
      <c r="K55" s="236"/>
      <c r="L55" s="172"/>
      <c r="M55" s="172"/>
      <c r="N55" s="172"/>
      <c r="O55" s="236"/>
      <c r="P55" s="134"/>
    </row>
    <row r="56" spans="1:16" x14ac:dyDescent="0.45">
      <c r="A56" s="134"/>
      <c r="B56" s="147" t="s">
        <v>821</v>
      </c>
      <c r="C56" s="128"/>
      <c r="D56" s="128"/>
      <c r="E56" s="128">
        <v>0</v>
      </c>
      <c r="F56" s="315">
        <v>0.64998999999999996</v>
      </c>
      <c r="G56" s="315">
        <v>0.64998999999999996</v>
      </c>
      <c r="H56" s="206"/>
      <c r="I56" s="315">
        <v>0.95001000000000002</v>
      </c>
      <c r="J56" s="381">
        <v>0.95001000000000002</v>
      </c>
      <c r="K56" s="236"/>
      <c r="L56" s="172" t="s">
        <v>358</v>
      </c>
      <c r="M56" s="172" t="s">
        <v>358</v>
      </c>
      <c r="N56" s="172"/>
      <c r="O56" s="236"/>
      <c r="P56" s="134"/>
    </row>
    <row r="57" spans="1:16" x14ac:dyDescent="0.45">
      <c r="A57" s="134"/>
      <c r="B57" s="147" t="s">
        <v>413</v>
      </c>
      <c r="C57" s="128"/>
      <c r="D57" s="128"/>
      <c r="E57" s="128">
        <v>0</v>
      </c>
      <c r="F57" s="315">
        <v>0.64998999999999996</v>
      </c>
      <c r="G57" s="315">
        <v>0.64998999999999996</v>
      </c>
      <c r="H57" s="206"/>
      <c r="I57" s="315">
        <v>0.95001000000000002</v>
      </c>
      <c r="J57" s="381">
        <v>0.95001000000000002</v>
      </c>
      <c r="K57" s="236"/>
      <c r="L57" s="172" t="s">
        <v>358</v>
      </c>
      <c r="M57" s="172" t="s">
        <v>358</v>
      </c>
      <c r="N57" s="172"/>
      <c r="O57" s="236"/>
      <c r="P57" s="134"/>
    </row>
    <row r="58" spans="1:16" x14ac:dyDescent="0.45">
      <c r="A58" s="134"/>
      <c r="B58" s="147" t="s">
        <v>424</v>
      </c>
      <c r="C58" s="128"/>
      <c r="D58" s="128"/>
      <c r="E58" s="128">
        <v>0</v>
      </c>
      <c r="F58" s="315">
        <v>0.69999</v>
      </c>
      <c r="G58" s="315">
        <v>0.69999</v>
      </c>
      <c r="H58" s="206"/>
      <c r="I58" s="315">
        <v>0.99000999999999995</v>
      </c>
      <c r="J58" s="381">
        <v>0.99000999999999995</v>
      </c>
      <c r="K58" s="236"/>
      <c r="L58" s="172" t="s">
        <v>358</v>
      </c>
      <c r="M58" s="172" t="s">
        <v>358</v>
      </c>
      <c r="N58" s="172"/>
      <c r="O58" s="236"/>
      <c r="P58" s="134"/>
    </row>
    <row r="59" spans="1:16" x14ac:dyDescent="0.45">
      <c r="A59" s="134"/>
      <c r="B59" s="147" t="s">
        <v>431</v>
      </c>
      <c r="C59" s="128"/>
      <c r="D59" s="128"/>
      <c r="E59" s="128">
        <v>0</v>
      </c>
      <c r="F59" s="315">
        <v>0.79998999999999998</v>
      </c>
      <c r="G59" s="315">
        <v>0.79998999999999998</v>
      </c>
      <c r="H59" s="206"/>
      <c r="I59" s="315">
        <v>0.99000999999999995</v>
      </c>
      <c r="J59" s="381">
        <v>0.99000999999999995</v>
      </c>
      <c r="K59" s="236"/>
      <c r="L59" s="172" t="s">
        <v>358</v>
      </c>
      <c r="M59" s="172" t="s">
        <v>358</v>
      </c>
      <c r="N59" s="172"/>
      <c r="O59" s="236"/>
      <c r="P59" s="134"/>
    </row>
    <row r="60" spans="1:16" x14ac:dyDescent="0.45">
      <c r="A60" s="134"/>
      <c r="B60" s="147" t="s">
        <v>461</v>
      </c>
      <c r="C60" s="128"/>
      <c r="D60" s="128"/>
      <c r="E60" s="128">
        <v>0</v>
      </c>
      <c r="F60" s="315">
        <v>0.89998999999999996</v>
      </c>
      <c r="G60" s="315">
        <v>0.89998999999999996</v>
      </c>
      <c r="H60" s="206"/>
      <c r="I60" s="315">
        <v>0.99000999999999995</v>
      </c>
      <c r="J60" s="381">
        <v>0.99000999999999995</v>
      </c>
      <c r="K60" s="236"/>
      <c r="L60" s="172" t="s">
        <v>358</v>
      </c>
      <c r="M60" s="172" t="s">
        <v>358</v>
      </c>
      <c r="N60" s="172"/>
      <c r="O60" s="236"/>
      <c r="P60" s="134"/>
    </row>
    <row r="61" spans="1:16" x14ac:dyDescent="0.45">
      <c r="F61" s="170"/>
      <c r="G61" s="165"/>
      <c r="I61" s="35"/>
    </row>
  </sheetData>
  <mergeCells count="4">
    <mergeCell ref="B13:B14"/>
    <mergeCell ref="C13:C14"/>
    <mergeCell ref="D13:D14"/>
    <mergeCell ref="E13:E14"/>
  </mergeCells>
  <phoneticPr fontId="75"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V62"/>
  <sheetViews>
    <sheetView workbookViewId="0">
      <selection activeCell="A33" sqref="A33"/>
    </sheetView>
  </sheetViews>
  <sheetFormatPr baseColWidth="10" defaultColWidth="9.1328125" defaultRowHeight="10.15" x14ac:dyDescent="0.45"/>
  <cols>
    <col min="1" max="1" width="17.73046875" style="134" customWidth="1"/>
    <col min="2" max="2" width="7.59765625" style="134" customWidth="1"/>
    <col min="3" max="3" width="9.1328125" style="134" customWidth="1"/>
    <col min="4" max="4" width="25.265625" style="134" customWidth="1"/>
    <col min="5" max="5" width="9.3984375" style="134" customWidth="1"/>
    <col min="6" max="6" width="7.86328125" style="134" customWidth="1"/>
    <col min="7" max="7" width="9.3984375" style="134" customWidth="1"/>
    <col min="8" max="8" width="41.86328125" style="134" customWidth="1"/>
    <col min="9" max="9" width="56.265625" style="134" customWidth="1"/>
    <col min="10" max="10" width="7.86328125" style="114" customWidth="1"/>
    <col min="11" max="11" width="15.73046875" style="134" customWidth="1"/>
    <col min="12" max="12" width="20.59765625" style="114" customWidth="1"/>
    <col min="13" max="13" width="20.265625" style="114" customWidth="1"/>
    <col min="14" max="14" width="20.73046875" style="114" customWidth="1"/>
    <col min="15" max="15" width="44" style="187" customWidth="1"/>
    <col min="16" max="16" width="51.59765625" style="187" customWidth="1"/>
    <col min="17" max="23" width="9.1328125" style="134" customWidth="1"/>
    <col min="24" max="16384" width="9.1328125" style="134"/>
  </cols>
  <sheetData>
    <row r="1" spans="1:22" s="35" customFormat="1" ht="20.65" thickBot="1" x14ac:dyDescent="0.5">
      <c r="J1" s="159"/>
      <c r="L1" s="224" t="s">
        <v>340</v>
      </c>
      <c r="M1" s="224" t="s">
        <v>138</v>
      </c>
      <c r="N1" s="224" t="s">
        <v>140</v>
      </c>
      <c r="O1" s="224" t="s">
        <v>265</v>
      </c>
      <c r="P1" s="224" t="s">
        <v>57</v>
      </c>
    </row>
    <row r="2" spans="1:22" s="35" customFormat="1" x14ac:dyDescent="0.45">
      <c r="A2" s="172" t="str">
        <f>IF(Datenquelle!$F$3&gt;5,IF(Datenquelle!$F$3=6,"EZ",IF(Datenquelle!$F$3&gt;6,"relevant","?")),"nicht relevant")</f>
        <v>nicht relevant</v>
      </c>
      <c r="B2" s="147" t="s">
        <v>151</v>
      </c>
      <c r="C2" s="218"/>
      <c r="D2" s="145" t="s">
        <v>315</v>
      </c>
      <c r="E2" s="156" t="str">
        <f>IF(H2="","","2013")</f>
        <v/>
      </c>
      <c r="F2" s="156" t="str">
        <f t="shared" ref="F2:F7" si="0">IF(H2="","","a")</f>
        <v/>
      </c>
      <c r="G2" s="156" t="str">
        <f>IF(H2="","","1")</f>
        <v/>
      </c>
      <c r="H2" s="186" t="str">
        <f>IF(A2="relevant",IF(COUNTIF('Matrix-Colon'!C23:W23,"")&gt;2,Berechnung2!$L$32,""),"")</f>
        <v/>
      </c>
      <c r="I2" s="239" t="str">
        <f>IF(H2="","",VLOOKUP(F2,Berechnung2!$I$15:$J$25,2,FALSE))</f>
        <v/>
      </c>
      <c r="J2" s="238" t="str">
        <f>IF(H2&lt;&gt;"",1,"")</f>
        <v/>
      </c>
      <c r="L2" s="94" t="str">
        <f t="array" aca="1" ref="L2" ca="1">IF(ROW()-ROW($F$2:$F$57)+1&gt;ROWS($E$2:$E$57)-COUNTBLANK($E$2:$E$57),"",INDIRECT(ADDRESS(SMALL((IF($E$2:$E$57&gt;"",ROW($E$2:$E$57),ROW()+ROWS($E$2:$E$57))),ROW()-ROW($F$2:$F$57)+1),COLUMN($E$2:$E$57),4)))</f>
        <v/>
      </c>
      <c r="M2" s="94" t="str">
        <f t="array" aca="1" ref="M2" ca="1">IF(ROW()-ROW($G$2:$G$57)+1&gt;ROWS($F$2:$F$57)-COUNTBLANK($F$2:$F$57),"",INDIRECT(ADDRESS(SMALL((IF($F$2:$F$57&lt;&gt;"",ROW($F$2:$F$57),ROW()+ROWS($F$2:$F$57))),ROW()-ROW($G$2:$G$57)+1),COLUMN($F$2:$F$57),4)))</f>
        <v/>
      </c>
      <c r="N2" s="94" t="str">
        <f t="array" aca="1" ref="N2" ca="1">IF(ROW()-ROW($H$2:$H$57)+1&gt;ROWS($G$2:$G$57)-COUNTBLANK($G$2:$G$57),"",INDIRECT(ADDRESS(SMALL((IF($G$2:$G$57&lt;&gt;"",ROW($G$2:$G$57),ROW()+ROWS($G$2:$G$57))),ROW()-ROW($H$2:$H$57)+1),COLUMN($G$2:$G$57),4)))</f>
        <v/>
      </c>
      <c r="O2" s="184" t="str">
        <f t="array" aca="1" ref="O2" ca="1">IF(ROW()-ROW($I$2:$I$57)+1&gt;ROWS($H$2:$H$57)-COUNTBLANK($H$2:$H$57),"",INDIRECT(ADDRESS(SMALL((IF($H$2:$H$57&lt;&gt;"",ROW($H$2:$H$57),ROW()+ROWS($H$2:$H$57))),ROW()-ROW($I$2:$I$57)+1),COLUMN($H$2:$H$57),4)))</f>
        <v/>
      </c>
      <c r="P2" s="184" t="str">
        <f t="array" aca="1" ref="P2" ca="1">IF(ROW()-ROW($J$2:$J$57)+1&gt;ROWS($I$2:$I$57)-COUNTBLANK($I$2:$I$57),"",INDIRECT(ADDRESS(SMALL((IF($I$2:$I$57&lt;&gt;"",ROW($I$2:$I$57),ROW()+ROWS($I$2:$I$57))),ROW()-ROW($J$2:$J$57)+1),COLUMN($I$2:$I$57),4)))</f>
        <v/>
      </c>
      <c r="R2" s="170"/>
      <c r="T2" s="171"/>
    </row>
    <row r="3" spans="1:22" s="35" customFormat="1" x14ac:dyDescent="0.45">
      <c r="A3" s="172" t="str">
        <f>IF(Datenquelle!$F$3&gt;4,IF(Datenquelle!$F$3=5,"EZ",IF(Datenquelle!$F$3&gt;5,"relevant","?")),"nicht relevant")</f>
        <v>nicht relevant</v>
      </c>
      <c r="B3" s="147" t="s">
        <v>413</v>
      </c>
      <c r="C3" s="218"/>
      <c r="D3" s="913" t="s">
        <v>36</v>
      </c>
      <c r="E3" s="34" t="str">
        <f>IF(H3="","","2014")</f>
        <v/>
      </c>
      <c r="F3" s="34" t="str">
        <f t="shared" si="0"/>
        <v/>
      </c>
      <c r="G3" s="34" t="str">
        <f t="shared" ref="G3:G25" si="1">IF(H3="","","1")</f>
        <v/>
      </c>
      <c r="H3" s="173" t="str">
        <f>IF(A3="relevant",IF(COUNTIF('Matrix-Colon'!C24:W24,"")&gt;2,Berechnung2!$L$32,""),"")</f>
        <v/>
      </c>
      <c r="I3" s="172" t="str">
        <f>IF(H3="","",VLOOKUP(F3,Berechnung2!$I$15:$J$25,2,FALSE))</f>
        <v/>
      </c>
      <c r="J3" s="237" t="str">
        <f t="shared" ref="J3:J57" si="2">IF(H3&lt;&gt;"",1,"")</f>
        <v/>
      </c>
      <c r="L3" s="94" t="str">
        <f t="array" aca="1" ref="L3" ca="1">IF(ROW()-ROW($F$2:$F$57)+1&gt;ROWS($E$2:$E$57)-COUNTBLANK($E$2:$E$57),"",INDIRECT(ADDRESS(SMALL((IF($E$2:$E$57&gt;"",ROW($E$2:$E$57),ROW()+ROWS($E$2:$E$57))),ROW()-ROW($F$2:$F$57)+1),COLUMN($E$2:$E$57),4)))</f>
        <v/>
      </c>
      <c r="M3" s="94" t="str">
        <f t="array" aca="1" ref="M3" ca="1">IF(ROW()-ROW($G$2:$G$57)+1&gt;ROWS($F$2:$F$57)-COUNTBLANK($F$2:$F$57),"",INDIRECT(ADDRESS(SMALL((IF($F$2:$F$57&lt;&gt;"",ROW($F$2:$F$57),ROW()+ROWS($F$2:$F$57))),ROW()-ROW($G$2:$G$57)+1),COLUMN($F$2:$F$57),4)))</f>
        <v/>
      </c>
      <c r="N3" s="94" t="str">
        <f t="array" aca="1" ref="N3" ca="1">IF(ROW()-ROW($H$2:$H$57)+1&gt;ROWS($G$2:$G$57)-COUNTBLANK($G$2:$G$57),"",INDIRECT(ADDRESS(SMALL((IF($G$2:$G$57&lt;&gt;"",ROW($G$2:$G$57),ROW()+ROWS($G$2:$G$57))),ROW()-ROW($H$2:$H$57)+1),COLUMN($G$2:$G$57),4)))</f>
        <v/>
      </c>
      <c r="O3" s="184" t="str">
        <f t="array" aca="1" ref="O3" ca="1">IF(ROW()-ROW($I$2:$I$57)+1&gt;ROWS($H$2:$H$57)-COUNTBLANK($H$2:$H$57),"",INDIRECT(ADDRESS(SMALL((IF($H$2:$H$57&lt;&gt;"",ROW($H$2:$H$57),ROW()+ROWS($H$2:$H$57))),ROW()-ROW($I$2:$I$57)+1),COLUMN($H$2:$H$57),4)))</f>
        <v/>
      </c>
      <c r="P3" s="184" t="str">
        <f t="array" aca="1" ref="P3" ca="1">IF(ROW()-ROW($J$2:$J$57)+1&gt;ROWS($I$2:$I$57)-COUNTBLANK($I$2:$I$57),"",INDIRECT(ADDRESS(SMALL((IF($I$2:$I$57&lt;&gt;"",ROW($I$2:$I$57),ROW()+ROWS($I$2:$I$57))),ROW()-ROW($J$2:$J$57)+1),COLUMN($I$2:$I$57),4)))</f>
        <v/>
      </c>
    </row>
    <row r="4" spans="1:22" s="35" customFormat="1" ht="15" customHeight="1" x14ac:dyDescent="0.45">
      <c r="A4" s="172" t="str">
        <f>IF(Datenquelle!$F$3&gt;3,IF(Datenquelle!$F$3=4,"EZ",IF(Datenquelle!$F$3&gt;4,"relevant","?")),"nicht relevant")</f>
        <v>nicht relevant</v>
      </c>
      <c r="B4" s="147" t="s">
        <v>424</v>
      </c>
      <c r="C4" s="218"/>
      <c r="D4" s="913"/>
      <c r="E4" s="34" t="str">
        <f>IF(H4="","","2015")</f>
        <v/>
      </c>
      <c r="F4" s="34" t="str">
        <f t="shared" si="0"/>
        <v/>
      </c>
      <c r="G4" s="34" t="str">
        <f t="shared" si="1"/>
        <v/>
      </c>
      <c r="H4" s="173" t="str">
        <f>IF(A4="relevant",IF(COUNTIF('Matrix-Colon'!C25:W25,"")&gt;2,Berechnung2!$L$32,""),"")</f>
        <v/>
      </c>
      <c r="I4" s="172" t="str">
        <f>IF(H4="","",VLOOKUP(F4,Berechnung2!$I$15:$J$25,2,FALSE))</f>
        <v/>
      </c>
      <c r="J4" s="237" t="str">
        <f t="shared" si="2"/>
        <v/>
      </c>
      <c r="L4" s="94" t="str">
        <f t="array" aca="1" ref="L4" ca="1">IF(ROW()-ROW($F$2:$F$57)+1&gt;ROWS($E$2:$E$57)-COUNTBLANK($E$2:$E$57),"",INDIRECT(ADDRESS(SMALL((IF($E$2:$E$57&gt;"",ROW($E$2:$E$57),ROW()+ROWS($E$2:$E$57))),ROW()-ROW($F$2:$F$57)+1),COLUMN($E$2:$E$57),4)))</f>
        <v/>
      </c>
      <c r="M4" s="94" t="str">
        <f t="array" aca="1" ref="M4" ca="1">IF(ROW()-ROW($G$2:$G$57)+1&gt;ROWS($F$2:$F$57)-COUNTBLANK($F$2:$F$57),"",INDIRECT(ADDRESS(SMALL((IF($F$2:$F$57&lt;&gt;"",ROW($F$2:$F$57),ROW()+ROWS($F$2:$F$57))),ROW()-ROW($G$2:$G$57)+1),COLUMN($F$2:$F$57),4)))</f>
        <v/>
      </c>
      <c r="N4" s="94" t="str">
        <f t="array" aca="1" ref="N4" ca="1">IF(ROW()-ROW($H$2:$H$57)+1&gt;ROWS($G$2:$G$57)-COUNTBLANK($G$2:$G$57),"",INDIRECT(ADDRESS(SMALL((IF($G$2:$G$57&lt;&gt;"",ROW($G$2:$G$57),ROW()+ROWS($G$2:$G$57))),ROW()-ROW($H$2:$H$57)+1),COLUMN($G$2:$G$57),4)))</f>
        <v/>
      </c>
      <c r="O4" s="184" t="str">
        <f t="array" aca="1" ref="O4" ca="1">IF(ROW()-ROW($I$2:$I$57)+1&gt;ROWS($H$2:$H$57)-COUNTBLANK($H$2:$H$57),"",INDIRECT(ADDRESS(SMALL((IF($H$2:$H$57&lt;&gt;"",ROW($H$2:$H$57),ROW()+ROWS($H$2:$H$57))),ROW()-ROW($I$2:$I$57)+1),COLUMN($H$2:$H$57),4)))</f>
        <v/>
      </c>
      <c r="P4" s="184" t="str">
        <f t="array" aca="1" ref="P4" ca="1">IF(ROW()-ROW($J$2:$J$57)+1&gt;ROWS($I$2:$I$57)-COUNTBLANK($I$2:$I$57),"",INDIRECT(ADDRESS(SMALL((IF($I$2:$I$57&lt;&gt;"",ROW($I$2:$I$57),ROW()+ROWS($I$2:$I$57))),ROW()-ROW($J$2:$J$57)+1),COLUMN($I$2:$I$57),4)))</f>
        <v/>
      </c>
      <c r="R4" s="123"/>
      <c r="S4" s="122"/>
      <c r="T4" s="122"/>
    </row>
    <row r="5" spans="1:22" s="35" customFormat="1" ht="15" customHeight="1" x14ac:dyDescent="0.45">
      <c r="A5" s="172" t="str">
        <f>IF(Datenquelle!$F$3&gt;2,IF(Datenquelle!$F$3=3,"EZ",IF(Datenquelle!$F$3&gt;3,"relevant","?")),"nicht relevant")</f>
        <v>nicht relevant</v>
      </c>
      <c r="B5" s="147" t="s">
        <v>431</v>
      </c>
      <c r="C5" s="218"/>
      <c r="D5" s="913"/>
      <c r="E5" s="34" t="str">
        <f>IF(H5="","","2016")</f>
        <v/>
      </c>
      <c r="F5" s="34" t="str">
        <f t="shared" si="0"/>
        <v/>
      </c>
      <c r="G5" s="34" t="str">
        <f t="shared" si="1"/>
        <v/>
      </c>
      <c r="H5" s="173" t="str">
        <f>IF(A5="relevant",IF(COUNTIF('Matrix-Colon'!C26:W26,"")&gt;2,Berechnung2!$L$32,""),"")</f>
        <v/>
      </c>
      <c r="I5" s="172" t="str">
        <f>IF(H5="","",VLOOKUP(F5,Berechnung2!$I$15:$J$25,2,FALSE))</f>
        <v/>
      </c>
      <c r="J5" s="237" t="str">
        <f t="shared" si="2"/>
        <v/>
      </c>
      <c r="L5" s="94" t="str">
        <f t="array" aca="1" ref="L5" ca="1">IF(ROW()-ROW($F$2:$F$57)+1&gt;ROWS($E$2:$E$57)-COUNTBLANK($E$2:$E$57),"",INDIRECT(ADDRESS(SMALL((IF($E$2:$E$57&gt;"",ROW($E$2:$E$57),ROW()+ROWS($E$2:$E$57))),ROW()-ROW($F$2:$F$57)+1),COLUMN($E$2:$E$57),4)))</f>
        <v/>
      </c>
      <c r="M5" s="94" t="str">
        <f t="array" aca="1" ref="M5" ca="1">IF(ROW()-ROW($G$2:$G$57)+1&gt;ROWS($F$2:$F$57)-COUNTBLANK($F$2:$F$57),"",INDIRECT(ADDRESS(SMALL((IF($F$2:$F$57&lt;&gt;"",ROW($F$2:$F$57),ROW()+ROWS($F$2:$F$57))),ROW()-ROW($G$2:$G$57)+1),COLUMN($F$2:$F$57),4)))</f>
        <v/>
      </c>
      <c r="N5" s="94" t="str">
        <f t="array" aca="1" ref="N5" ca="1">IF(ROW()-ROW($H$2:$H$57)+1&gt;ROWS($G$2:$G$57)-COUNTBLANK($G$2:$G$57),"",INDIRECT(ADDRESS(SMALL((IF($G$2:$G$57&lt;&gt;"",ROW($G$2:$G$57),ROW()+ROWS($G$2:$G$57))),ROW()-ROW($H$2:$H$57)+1),COLUMN($G$2:$G$57),4)))</f>
        <v/>
      </c>
      <c r="O5" s="184" t="str">
        <f t="array" aca="1" ref="O5" ca="1">IF(ROW()-ROW($I$2:$I$57)+1&gt;ROWS($H$2:$H$57)-COUNTBLANK($H$2:$H$57),"",INDIRECT(ADDRESS(SMALL((IF($H$2:$H$57&lt;&gt;"",ROW($H$2:$H$57),ROW()+ROWS($H$2:$H$57))),ROW()-ROW($I$2:$I$57)+1),COLUMN($H$2:$H$57),4)))</f>
        <v/>
      </c>
      <c r="P5" s="184" t="str">
        <f t="array" aca="1" ref="P5" ca="1">IF(ROW()-ROW($J$2:$J$57)+1&gt;ROWS($I$2:$I$57)-COUNTBLANK($I$2:$I$57),"",INDIRECT(ADDRESS(SMALL((IF($I$2:$I$57&lt;&gt;"",ROW($I$2:$I$57),ROW()+ROWS($I$2:$I$57))),ROW()-ROW($J$2:$J$57)+1),COLUMN($I$2:$I$57),4)))</f>
        <v/>
      </c>
      <c r="R5" s="170"/>
      <c r="T5" s="171"/>
    </row>
    <row r="6" spans="1:22" s="35" customFormat="1" ht="15.75" customHeight="1" x14ac:dyDescent="0.45">
      <c r="A6" s="172" t="str">
        <f>IF(Datenquelle!$F$3&gt;1,IF(Datenquelle!$F$3=2,"EZ",IF(Datenquelle!$F$3&gt;2,"relevant","?")),"nicht relevant")</f>
        <v>nicht relevant</v>
      </c>
      <c r="B6" s="147" t="s">
        <v>461</v>
      </c>
      <c r="C6" s="218"/>
      <c r="D6" s="913"/>
      <c r="E6" s="34" t="str">
        <f>IF(H6="","","2017")</f>
        <v/>
      </c>
      <c r="F6" s="34" t="str">
        <f t="shared" si="0"/>
        <v/>
      </c>
      <c r="G6" s="34" t="str">
        <f t="shared" si="1"/>
        <v/>
      </c>
      <c r="H6" s="173" t="str">
        <f>IF(A6="relevant",IF(COUNTIF('Matrix-Colon'!C27:G27,"")&gt;0,Berechnung2!$L$32,""),"")</f>
        <v/>
      </c>
      <c r="I6" s="172" t="str">
        <f>IF(H6="","",VLOOKUP(F6,Berechnung2!$I$15:$J$25,2,FALSE))</f>
        <v/>
      </c>
      <c r="J6" s="237" t="str">
        <f t="shared" si="2"/>
        <v/>
      </c>
      <c r="L6" s="94" t="str">
        <f t="array" aca="1" ref="L6" ca="1">IF(ROW()-ROW($F$2:$F$57)+1&gt;ROWS($E$2:$E$57)-COUNTBLANK($E$2:$E$57),"",INDIRECT(ADDRESS(SMALL((IF($E$2:$E$57&gt;"",ROW($E$2:$E$57),ROW()+ROWS($E$2:$E$57))),ROW()-ROW($F$2:$F$57)+1),COLUMN($E$2:$E$57),4)))</f>
        <v/>
      </c>
      <c r="M6" s="94" t="str">
        <f t="array" aca="1" ref="M6" ca="1">IF(ROW()-ROW($G$2:$G$57)+1&gt;ROWS($F$2:$F$57)-COUNTBLANK($F$2:$F$57),"",INDIRECT(ADDRESS(SMALL((IF($F$2:$F$57&lt;&gt;"",ROW($F$2:$F$57),ROW()+ROWS($F$2:$F$57))),ROW()-ROW($G$2:$G$57)+1),COLUMN($F$2:$F$57),4)))</f>
        <v/>
      </c>
      <c r="N6" s="94" t="str">
        <f t="array" aca="1" ref="N6" ca="1">IF(ROW()-ROW($H$2:$H$57)+1&gt;ROWS($G$2:$G$57)-COUNTBLANK($G$2:$G$57),"",INDIRECT(ADDRESS(SMALL((IF($G$2:$G$57&lt;&gt;"",ROW($G$2:$G$57),ROW()+ROWS($G$2:$G$57))),ROW()-ROW($H$2:$H$57)+1),COLUMN($G$2:$G$57),4)))</f>
        <v/>
      </c>
      <c r="O6" s="184" t="str">
        <f t="array" aca="1" ref="O6" ca="1">IF(ROW()-ROW($I$2:$I$57)+1&gt;ROWS($H$2:$H$57)-COUNTBLANK($H$2:$H$57),"",INDIRECT(ADDRESS(SMALL((IF($H$2:$H$57&lt;&gt;"",ROW($H$2:$H$57),ROW()+ROWS($H$2:$H$57))),ROW()-ROW($I$2:$I$57)+1),COLUMN($H$2:$H$57),4)))</f>
        <v/>
      </c>
      <c r="P6" s="184" t="str">
        <f t="array" aca="1" ref="P6" ca="1">IF(ROW()-ROW($J$2:$J$57)+1&gt;ROWS($I$2:$I$57)-COUNTBLANK($I$2:$I$57),"",INDIRECT(ADDRESS(SMALL((IF($I$2:$I$57&lt;&gt;"",ROW($I$2:$I$57),ROW()+ROWS($I$2:$I$57))),ROW()-ROW($J$2:$J$57)+1),COLUMN($I$2:$I$57),4)))</f>
        <v/>
      </c>
    </row>
    <row r="7" spans="1:22" s="35" customFormat="1" ht="10.5" thickBot="1" x14ac:dyDescent="0.5">
      <c r="A7" s="172" t="str">
        <f>IF(Datenquelle!$F$3&gt;0,IF(Datenquelle!$F$3=1,"EZ",IF(Datenquelle!$F$3&gt;1,"relevant","?")),"nicht relevant")</f>
        <v>nicht relevant</v>
      </c>
      <c r="B7" s="147" t="s">
        <v>820</v>
      </c>
      <c r="C7" s="218"/>
      <c r="D7" s="144" t="s">
        <v>127</v>
      </c>
      <c r="E7" s="155" t="str">
        <f>IF(H7="","","2018")</f>
        <v/>
      </c>
      <c r="F7" s="155" t="str">
        <f t="shared" si="0"/>
        <v/>
      </c>
      <c r="G7" s="155" t="str">
        <f t="shared" si="1"/>
        <v/>
      </c>
      <c r="H7" s="185" t="str">
        <f>IF(A7="relevant",IF(COUNTIF('Matrix-Colon'!C28:G28,"")&gt;0,Berechnung2!$L$32,""),"")</f>
        <v/>
      </c>
      <c r="I7" s="219" t="str">
        <f>IF(H7="","",VLOOKUP(F7,Berechnung2!$I$15:$J$25,2,FALSE))</f>
        <v/>
      </c>
      <c r="J7" s="220" t="str">
        <f t="shared" si="2"/>
        <v/>
      </c>
      <c r="L7" s="94" t="str">
        <f t="array" aca="1" ref="L7" ca="1">IF(ROW()-ROW($F$2:$F$57)+1&gt;ROWS($E$2:$E$57)-COUNTBLANK($E$2:$E$57),"",INDIRECT(ADDRESS(SMALL((IF($E$2:$E$57&gt;"",ROW($E$2:$E$57),ROW()+ROWS($E$2:$E$57))),ROW()-ROW($F$2:$F$57)+1),COLUMN($E$2:$E$57),4)))</f>
        <v/>
      </c>
      <c r="M7" s="94" t="str">
        <f t="array" aca="1" ref="M7" ca="1">IF(ROW()-ROW($G$2:$G$57)+1&gt;ROWS($F$2:$F$57)-COUNTBLANK($F$2:$F$57),"",INDIRECT(ADDRESS(SMALL((IF($F$2:$F$57&lt;&gt;"",ROW($F$2:$F$57),ROW()+ROWS($F$2:$F$57))),ROW()-ROW($G$2:$G$57)+1),COLUMN($F$2:$F$57),4)))</f>
        <v/>
      </c>
      <c r="N7" s="94" t="str">
        <f t="array" aca="1" ref="N7" ca="1">IF(ROW()-ROW($H$2:$H$57)+1&gt;ROWS($G$2:$G$57)-COUNTBLANK($G$2:$G$57),"",INDIRECT(ADDRESS(SMALL((IF($G$2:$G$57&lt;&gt;"",ROW($G$2:$G$57),ROW()+ROWS($G$2:$G$57))),ROW()-ROW($H$2:$H$57)+1),COLUMN($G$2:$G$57),4)))</f>
        <v/>
      </c>
      <c r="O7" s="184" t="str">
        <f t="array" aca="1" ref="O7" ca="1">IF(ROW()-ROW($I$2:$I$57)+1&gt;ROWS($H$2:$H$57)-COUNTBLANK($H$2:$H$57),"",INDIRECT(ADDRESS(SMALL((IF($H$2:$H$57&lt;&gt;"",ROW($H$2:$H$57),ROW()+ROWS($H$2:$H$57))),ROW()-ROW($I$2:$I$57)+1),COLUMN($H$2:$H$57),4)))</f>
        <v/>
      </c>
      <c r="P7" s="184" t="str">
        <f t="array" aca="1" ref="P7" ca="1">IF(ROW()-ROW($J$2:$J$57)+1&gt;ROWS($I$2:$I$57)-COUNTBLANK($I$2:$I$57),"",INDIRECT(ADDRESS(SMALL((IF($I$2:$I$57&lt;&gt;"",ROW($I$2:$I$57),ROW()+ROWS($I$2:$I$57))),ROW()-ROW($J$2:$J$57)+1),COLUMN($I$2:$I$57),4)))</f>
        <v/>
      </c>
      <c r="Q7" s="134"/>
      <c r="R7" s="134"/>
      <c r="S7" s="134"/>
      <c r="T7" s="134"/>
      <c r="U7" s="134"/>
      <c r="V7" s="134"/>
    </row>
    <row r="8" spans="1:22" s="35" customFormat="1" x14ac:dyDescent="0.45">
      <c r="D8" s="145" t="s">
        <v>314</v>
      </c>
      <c r="E8" s="156" t="str">
        <f>IF(H8="","","2013")</f>
        <v/>
      </c>
      <c r="F8" s="156" t="str">
        <f t="shared" ref="F8:F13" si="3">IF(H8="","","b")</f>
        <v/>
      </c>
      <c r="G8" s="156" t="str">
        <f t="shared" si="1"/>
        <v/>
      </c>
      <c r="H8" s="186" t="str">
        <f>IF(A2="relevant",IF('Matrix-Colon'!I23="","",IF('Matrix-Colon'!I23&gt;('Matrix-Colon'!C23-'Matrix-Colon'!G23),Berechnung2!$L$36,"")),"")</f>
        <v/>
      </c>
      <c r="I8" s="239" t="str">
        <f>IF(H8="","",VLOOKUP(F8,Berechnung2!$I$15:$J$25,2,FALSE))</f>
        <v/>
      </c>
      <c r="J8" s="238" t="str">
        <f t="shared" si="2"/>
        <v/>
      </c>
      <c r="L8" s="94" t="str">
        <f t="array" aca="1" ref="L8" ca="1">IF(ROW()-ROW($F$2:$F$57)+1&gt;ROWS($E$2:$E$57)-COUNTBLANK($E$2:$E$57),"",INDIRECT(ADDRESS(SMALL((IF($E$2:$E$57&gt;"",ROW($E$2:$E$57),ROW()+ROWS($E$2:$E$57))),ROW()-ROW($F$2:$F$57)+1),COLUMN($E$2:$E$57),4)))</f>
        <v/>
      </c>
      <c r="M8" s="94" t="str">
        <f t="array" aca="1" ref="M8" ca="1">IF(ROW()-ROW($G$2:$G$57)+1&gt;ROWS($F$2:$F$57)-COUNTBLANK($F$2:$F$57),"",INDIRECT(ADDRESS(SMALL((IF($F$2:$F$57&lt;&gt;"",ROW($F$2:$F$57),ROW()+ROWS($F$2:$F$57))),ROW()-ROW($G$2:$G$57)+1),COLUMN($F$2:$F$57),4)))</f>
        <v/>
      </c>
      <c r="N8" s="94" t="str">
        <f t="array" aca="1" ref="N8" ca="1">IF(ROW()-ROW($H$2:$H$57)+1&gt;ROWS($G$2:$G$57)-COUNTBLANK($G$2:$G$57),"",INDIRECT(ADDRESS(SMALL((IF($G$2:$G$57&lt;&gt;"",ROW($G$2:$G$57),ROW()+ROWS($G$2:$G$57))),ROW()-ROW($H$2:$H$57)+1),COLUMN($G$2:$G$57),4)))</f>
        <v/>
      </c>
      <c r="O8" s="184" t="str">
        <f t="array" aca="1" ref="O8" ca="1">IF(ROW()-ROW($I$2:$I$57)+1&gt;ROWS($H$2:$H$57)-COUNTBLANK($H$2:$H$57),"",INDIRECT(ADDRESS(SMALL((IF($H$2:$H$57&lt;&gt;"",ROW($H$2:$H$57),ROW()+ROWS($H$2:$H$57))),ROW()-ROW($I$2:$I$57)+1),COLUMN($H$2:$H$57),4)))</f>
        <v/>
      </c>
      <c r="P8" s="184" t="str">
        <f t="array" aca="1" ref="P8" ca="1">IF(ROW()-ROW($J$2:$J$57)+1&gt;ROWS($I$2:$I$57)-COUNTBLANK($I$2:$I$57),"",INDIRECT(ADDRESS(SMALL((IF($I$2:$I$57&lt;&gt;"",ROW($I$2:$I$57),ROW()+ROWS($I$2:$I$57))),ROW()-ROW($J$2:$J$57)+1),COLUMN($I$2:$I$57),4)))</f>
        <v/>
      </c>
    </row>
    <row r="9" spans="1:22" s="35" customFormat="1" x14ac:dyDescent="0.45">
      <c r="D9" s="913" t="s">
        <v>387</v>
      </c>
      <c r="E9" s="34" t="str">
        <f>IF(H9="","","2014")</f>
        <v/>
      </c>
      <c r="F9" s="34" t="str">
        <f t="shared" si="3"/>
        <v/>
      </c>
      <c r="G9" s="34" t="str">
        <f t="shared" si="1"/>
        <v/>
      </c>
      <c r="H9" s="173" t="str">
        <f>IF(A3="relevant",IF('Matrix-Colon'!I24="","",IF('Matrix-Colon'!I24&gt;('Matrix-Colon'!C24-'Matrix-Colon'!G24),Berechnung2!$L$36,"")),"")</f>
        <v/>
      </c>
      <c r="I9" s="172" t="str">
        <f>IF(H9="","",VLOOKUP(F9,Berechnung2!$I$15:$J$25,2,FALSE))</f>
        <v/>
      </c>
      <c r="J9" s="237" t="str">
        <f t="shared" si="2"/>
        <v/>
      </c>
      <c r="L9" s="94" t="str">
        <f t="array" aca="1" ref="L9" ca="1">IF(ROW()-ROW($F$2:$F$57)+1&gt;ROWS($E$2:$E$57)-COUNTBLANK($E$2:$E$57),"",INDIRECT(ADDRESS(SMALL((IF($E$2:$E$57&gt;"",ROW($E$2:$E$57),ROW()+ROWS($E$2:$E$57))),ROW()-ROW($F$2:$F$57)+1),COLUMN($E$2:$E$57),4)))</f>
        <v/>
      </c>
      <c r="M9" s="94" t="str">
        <f t="array" aca="1" ref="M9" ca="1">IF(ROW()-ROW($G$2:$G$57)+1&gt;ROWS($F$2:$F$57)-COUNTBLANK($F$2:$F$57),"",INDIRECT(ADDRESS(SMALL((IF($F$2:$F$57&lt;&gt;"",ROW($F$2:$F$57),ROW()+ROWS($F$2:$F$57))),ROW()-ROW($G$2:$G$57)+1),COLUMN($F$2:$F$57),4)))</f>
        <v/>
      </c>
      <c r="N9" s="94" t="str">
        <f t="array" aca="1" ref="N9" ca="1">IF(ROW()-ROW($H$2:$H$57)+1&gt;ROWS($G$2:$G$57)-COUNTBLANK($G$2:$G$57),"",INDIRECT(ADDRESS(SMALL((IF($G$2:$G$57&lt;&gt;"",ROW($G$2:$G$57),ROW()+ROWS($G$2:$G$57))),ROW()-ROW($H$2:$H$57)+1),COLUMN($G$2:$G$57),4)))</f>
        <v/>
      </c>
      <c r="O9" s="184" t="str">
        <f t="array" aca="1" ref="O9" ca="1">IF(ROW()-ROW($I$2:$I$57)+1&gt;ROWS($H$2:$H$57)-COUNTBLANK($H$2:$H$57),"",INDIRECT(ADDRESS(SMALL((IF($H$2:$H$57&lt;&gt;"",ROW($H$2:$H$57),ROW()+ROWS($H$2:$H$57))),ROW()-ROW($I$2:$I$57)+1),COLUMN($H$2:$H$57),4)))</f>
        <v/>
      </c>
      <c r="P9" s="184" t="str">
        <f t="array" aca="1" ref="P9" ca="1">IF(ROW()-ROW($J$2:$J$57)+1&gt;ROWS($I$2:$I$57)-COUNTBLANK($I$2:$I$57),"",INDIRECT(ADDRESS(SMALL((IF($I$2:$I$57&lt;&gt;"",ROW($I$2:$I$57),ROW()+ROWS($I$2:$I$57))),ROW()-ROW($J$2:$J$57)+1),COLUMN($I$2:$I$57),4)))</f>
        <v/>
      </c>
    </row>
    <row r="10" spans="1:22" s="35" customFormat="1" x14ac:dyDescent="0.45">
      <c r="D10" s="913"/>
      <c r="E10" s="34" t="str">
        <f>IF(H10="","","2015")</f>
        <v/>
      </c>
      <c r="F10" s="34" t="str">
        <f t="shared" si="3"/>
        <v/>
      </c>
      <c r="G10" s="34" t="str">
        <f t="shared" si="1"/>
        <v/>
      </c>
      <c r="H10" s="173" t="str">
        <f>IF(A4="relevant",IF('Matrix-Colon'!I25="","",IF('Matrix-Colon'!I25&gt;('Matrix-Colon'!C25-'Matrix-Colon'!G25),Berechnung2!$L$36,"")),"")</f>
        <v/>
      </c>
      <c r="I10" s="172" t="str">
        <f>IF(H10="","",VLOOKUP(F10,Berechnung2!$I$15:$J$25,2,FALSE))</f>
        <v/>
      </c>
      <c r="J10" s="237" t="str">
        <f t="shared" si="2"/>
        <v/>
      </c>
      <c r="L10" s="94" t="str">
        <f t="array" aca="1" ref="L10" ca="1">IF(ROW()-ROW($F$2:$F$57)+1&gt;ROWS($E$2:$E$57)-COUNTBLANK($E$2:$E$57),"",INDIRECT(ADDRESS(SMALL((IF($E$2:$E$57&gt;"",ROW($E$2:$E$57),ROW()+ROWS($E$2:$E$57))),ROW()-ROW($F$2:$F$57)+1),COLUMN($E$2:$E$57),4)))</f>
        <v/>
      </c>
      <c r="M10" s="94" t="str">
        <f t="array" aca="1" ref="M10" ca="1">IF(ROW()-ROW($G$2:$G$57)+1&gt;ROWS($F$2:$F$57)-COUNTBLANK($F$2:$F$57),"",INDIRECT(ADDRESS(SMALL((IF($F$2:$F$57&lt;&gt;"",ROW($F$2:$F$57),ROW()+ROWS($F$2:$F$57))),ROW()-ROW($G$2:$G$57)+1),COLUMN($F$2:$F$57),4)))</f>
        <v/>
      </c>
      <c r="N10" s="94" t="str">
        <f t="array" aca="1" ref="N10" ca="1">IF(ROW()-ROW($H$2:$H$57)+1&gt;ROWS($G$2:$G$57)-COUNTBLANK($G$2:$G$57),"",INDIRECT(ADDRESS(SMALL((IF($G$2:$G$57&lt;&gt;"",ROW($G$2:$G$57),ROW()+ROWS($G$2:$G$57))),ROW()-ROW($H$2:$H$57)+1),COLUMN($G$2:$G$57),4)))</f>
        <v/>
      </c>
      <c r="O10" s="184" t="str">
        <f t="array" aca="1" ref="O10" ca="1">IF(ROW()-ROW($I$2:$I$57)+1&gt;ROWS($H$2:$H$57)-COUNTBLANK($H$2:$H$57),"",INDIRECT(ADDRESS(SMALL((IF($H$2:$H$57&lt;&gt;"",ROW($H$2:$H$57),ROW()+ROWS($H$2:$H$57))),ROW()-ROW($I$2:$I$57)+1),COLUMN($H$2:$H$57),4)))</f>
        <v/>
      </c>
      <c r="P10" s="184" t="str">
        <f t="array" aca="1" ref="P10" ca="1">IF(ROW()-ROW($J$2:$J$57)+1&gt;ROWS($I$2:$I$57)-COUNTBLANK($I$2:$I$57),"",INDIRECT(ADDRESS(SMALL((IF($I$2:$I$57&lt;&gt;"",ROW($I$2:$I$57),ROW()+ROWS($I$2:$I$57))),ROW()-ROW($J$2:$J$57)+1),COLUMN($I$2:$I$57),4)))</f>
        <v/>
      </c>
    </row>
    <row r="11" spans="1:22" s="35" customFormat="1" x14ac:dyDescent="0.45">
      <c r="D11" s="913"/>
      <c r="E11" s="34" t="str">
        <f>IF(H11="","","2016")</f>
        <v/>
      </c>
      <c r="F11" s="34" t="str">
        <f t="shared" si="3"/>
        <v/>
      </c>
      <c r="G11" s="34" t="str">
        <f t="shared" si="1"/>
        <v/>
      </c>
      <c r="H11" s="173" t="str">
        <f>IF(A5="relevant",IF('Matrix-Colon'!I26="","",IF('Matrix-Colon'!I26&gt;('Matrix-Colon'!C26-'Matrix-Colon'!G26),Berechnung2!$L$36,"")),"")</f>
        <v/>
      </c>
      <c r="I11" s="172" t="str">
        <f>IF(H11="","",VLOOKUP(F11,Berechnung2!$I$15:$J$25,2,FALSE))</f>
        <v/>
      </c>
      <c r="J11" s="237" t="str">
        <f t="shared" si="2"/>
        <v/>
      </c>
      <c r="L11" s="94" t="str">
        <f t="array" aca="1" ref="L11" ca="1">IF(ROW()-ROW($F$2:$F$57)+1&gt;ROWS($E$2:$E$57)-COUNTBLANK($E$2:$E$57),"",INDIRECT(ADDRESS(SMALL((IF($E$2:$E$57&gt;"",ROW($E$2:$E$57),ROW()+ROWS($E$2:$E$57))),ROW()-ROW($F$2:$F$57)+1),COLUMN($E$2:$E$57),4)))</f>
        <v/>
      </c>
      <c r="M11" s="94" t="str">
        <f t="array" aca="1" ref="M11" ca="1">IF(ROW()-ROW($G$2:$G$57)+1&gt;ROWS($F$2:$F$57)-COUNTBLANK($F$2:$F$57),"",INDIRECT(ADDRESS(SMALL((IF($F$2:$F$57&lt;&gt;"",ROW($F$2:$F$57),ROW()+ROWS($F$2:$F$57))),ROW()-ROW($G$2:$G$57)+1),COLUMN($F$2:$F$57),4)))</f>
        <v/>
      </c>
      <c r="N11" s="94" t="str">
        <f t="array" aca="1" ref="N11" ca="1">IF(ROW()-ROW($H$2:$H$57)+1&gt;ROWS($G$2:$G$57)-COUNTBLANK($G$2:$G$57),"",INDIRECT(ADDRESS(SMALL((IF($G$2:$G$57&lt;&gt;"",ROW($G$2:$G$57),ROW()+ROWS($G$2:$G$57))),ROW()-ROW($H$2:$H$57)+1),COLUMN($G$2:$G$57),4)))</f>
        <v/>
      </c>
      <c r="O11" s="184" t="str">
        <f t="array" aca="1" ref="O11" ca="1">IF(ROW()-ROW($I$2:$I$57)+1&gt;ROWS($H$2:$H$57)-COUNTBLANK($H$2:$H$57),"",INDIRECT(ADDRESS(SMALL((IF($H$2:$H$57&lt;&gt;"",ROW($H$2:$H$57),ROW()+ROWS($H$2:$H$57))),ROW()-ROW($I$2:$I$57)+1),COLUMN($H$2:$H$57),4)))</f>
        <v/>
      </c>
      <c r="P11" s="184" t="str">
        <f t="array" aca="1" ref="P11" ca="1">IF(ROW()-ROW($J$2:$J$57)+1&gt;ROWS($I$2:$I$57)-COUNTBLANK($I$2:$I$57),"",INDIRECT(ADDRESS(SMALL((IF($I$2:$I$57&lt;&gt;"",ROW($I$2:$I$57),ROW()+ROWS($I$2:$I$57))),ROW()-ROW($J$2:$J$57)+1),COLUMN($I$2:$I$57),4)))</f>
        <v/>
      </c>
    </row>
    <row r="12" spans="1:22" s="35" customFormat="1" x14ac:dyDescent="0.45">
      <c r="D12" s="913"/>
      <c r="E12" s="34" t="str">
        <f>IF(H12="","","2017")</f>
        <v/>
      </c>
      <c r="F12" s="34" t="str">
        <f t="shared" si="3"/>
        <v/>
      </c>
      <c r="G12" s="34" t="str">
        <f t="shared" si="1"/>
        <v/>
      </c>
      <c r="H12" s="173" t="str">
        <f>IF(A6="relevant",IF('Matrix-Colon'!I27="","",IF('Matrix-Colon'!I27&gt;('Matrix-Colon'!C27-'Matrix-Colon'!G27),Berechnung2!$L$36,"")),"")</f>
        <v/>
      </c>
      <c r="I12" s="172" t="str">
        <f>IF(H12="","",VLOOKUP(F12,Berechnung2!$I$15:$J$25,2,FALSE))</f>
        <v/>
      </c>
      <c r="J12" s="237" t="str">
        <f t="shared" si="2"/>
        <v/>
      </c>
      <c r="L12" s="94" t="str">
        <f t="array" aca="1" ref="L12" ca="1">IF(ROW()-ROW($F$2:$F$57)+1&gt;ROWS($E$2:$E$57)-COUNTBLANK($E$2:$E$57),"",INDIRECT(ADDRESS(SMALL((IF($E$2:$E$57&gt;"",ROW($E$2:$E$57),ROW()+ROWS($E$2:$E$57))),ROW()-ROW($F$2:$F$57)+1),COLUMN($E$2:$E$57),4)))</f>
        <v/>
      </c>
      <c r="M12" s="94" t="str">
        <f t="array" aca="1" ref="M12" ca="1">IF(ROW()-ROW($G$2:$G$57)+1&gt;ROWS($F$2:$F$57)-COUNTBLANK($F$2:$F$57),"",INDIRECT(ADDRESS(SMALL((IF($F$2:$F$57&lt;&gt;"",ROW($F$2:$F$57),ROW()+ROWS($F$2:$F$57))),ROW()-ROW($G$2:$G$57)+1),COLUMN($F$2:$F$57),4)))</f>
        <v/>
      </c>
      <c r="N12" s="94" t="str">
        <f t="array" aca="1" ref="N12" ca="1">IF(ROW()-ROW($H$2:$H$57)+1&gt;ROWS($G$2:$G$57)-COUNTBLANK($G$2:$G$57),"",INDIRECT(ADDRESS(SMALL((IF($G$2:$G$57&lt;&gt;"",ROW($G$2:$G$57),ROW()+ROWS($G$2:$G$57))),ROW()-ROW($H$2:$H$57)+1),COLUMN($G$2:$G$57),4)))</f>
        <v/>
      </c>
      <c r="O12" s="184" t="str">
        <f t="array" aca="1" ref="O12" ca="1">IF(ROW()-ROW($I$2:$I$57)+1&gt;ROWS($H$2:$H$57)-COUNTBLANK($H$2:$H$57),"",INDIRECT(ADDRESS(SMALL((IF($H$2:$H$57&lt;&gt;"",ROW($H$2:$H$57),ROW()+ROWS($H$2:$H$57))),ROW()-ROW($I$2:$I$57)+1),COLUMN($H$2:$H$57),4)))</f>
        <v/>
      </c>
      <c r="P12" s="184" t="str">
        <f t="array" aca="1" ref="P12" ca="1">IF(ROW()-ROW($J$2:$J$57)+1&gt;ROWS($I$2:$I$57)-COUNTBLANK($I$2:$I$57),"",INDIRECT(ADDRESS(SMALL((IF($I$2:$I$57&lt;&gt;"",ROW($I$2:$I$57),ROW()+ROWS($I$2:$I$57))),ROW()-ROW($J$2:$J$57)+1),COLUMN($I$2:$I$57),4)))</f>
        <v/>
      </c>
    </row>
    <row r="13" spans="1:22" s="35" customFormat="1" ht="10.5" thickBot="1" x14ac:dyDescent="0.5">
      <c r="D13" s="144" t="s">
        <v>128</v>
      </c>
      <c r="E13" s="155" t="str">
        <f>IF(H13="","","2018")</f>
        <v/>
      </c>
      <c r="F13" s="155" t="str">
        <f t="shared" si="3"/>
        <v/>
      </c>
      <c r="G13" s="155" t="str">
        <f t="shared" si="1"/>
        <v/>
      </c>
      <c r="H13" s="185" t="s">
        <v>337</v>
      </c>
      <c r="I13" s="219" t="str">
        <f>IF(H13="","",VLOOKUP(F13,Berechnung2!$I$15:$J$25,2,FALSE))</f>
        <v/>
      </c>
      <c r="J13" s="220" t="str">
        <f t="shared" si="2"/>
        <v/>
      </c>
      <c r="L13" s="94" t="str">
        <f t="array" aca="1" ref="L13" ca="1">IF(ROW()-ROW($F$2:$F$57)+1&gt;ROWS($E$2:$E$57)-COUNTBLANK($E$2:$E$57),"",INDIRECT(ADDRESS(SMALL((IF($E$2:$E$57&gt;"",ROW($E$2:$E$57),ROW()+ROWS($E$2:$E$57))),ROW()-ROW($F$2:$F$57)+1),COLUMN($E$2:$E$57),4)))</f>
        <v/>
      </c>
      <c r="M13" s="94" t="str">
        <f t="array" aca="1" ref="M13" ca="1">IF(ROW()-ROW($G$2:$G$57)+1&gt;ROWS($F$2:$F$57)-COUNTBLANK($F$2:$F$57),"",INDIRECT(ADDRESS(SMALL((IF($F$2:$F$57&lt;&gt;"",ROW($F$2:$F$57),ROW()+ROWS($F$2:$F$57))),ROW()-ROW($G$2:$G$57)+1),COLUMN($F$2:$F$57),4)))</f>
        <v/>
      </c>
      <c r="N13" s="94" t="str">
        <f t="array" aca="1" ref="N13" ca="1">IF(ROW()-ROW($H$2:$H$57)+1&gt;ROWS($G$2:$G$57)-COUNTBLANK($G$2:$G$57),"",INDIRECT(ADDRESS(SMALL((IF($G$2:$G$57&lt;&gt;"",ROW($G$2:$G$57),ROW()+ROWS($G$2:$G$57))),ROW()-ROW($H$2:$H$57)+1),COLUMN($G$2:$G$57),4)))</f>
        <v/>
      </c>
      <c r="O13" s="184" t="str">
        <f t="array" aca="1" ref="O13" ca="1">IF(ROW()-ROW($I$2:$I$57)+1&gt;ROWS($H$2:$H$57)-COUNTBLANK($H$2:$H$57),"",INDIRECT(ADDRESS(SMALL((IF($H$2:$H$57&lt;&gt;"",ROW($H$2:$H$57),ROW()+ROWS($H$2:$H$57))),ROW()-ROW($I$2:$I$57)+1),COLUMN($H$2:$H$57),4)))</f>
        <v/>
      </c>
      <c r="P13" s="184" t="str">
        <f t="array" aca="1" ref="P13" ca="1">IF(ROW()-ROW($J$2:$J$57)+1&gt;ROWS($I$2:$I$57)-COUNTBLANK($I$2:$I$57),"",INDIRECT(ADDRESS(SMALL((IF($I$2:$I$57&lt;&gt;"",ROW($I$2:$I$57),ROW()+ROWS($I$2:$I$57))),ROW()-ROW($J$2:$J$57)+1),COLUMN($I$2:$I$57),4)))</f>
        <v/>
      </c>
    </row>
    <row r="14" spans="1:22" x14ac:dyDescent="0.45">
      <c r="D14" s="145" t="s">
        <v>314</v>
      </c>
      <c r="E14" s="156" t="str">
        <f>IF(H14="","","2013")</f>
        <v/>
      </c>
      <c r="F14" s="156" t="str">
        <f t="shared" ref="F14:F19" si="4">IF(H14="","","c")</f>
        <v/>
      </c>
      <c r="G14" s="156" t="str">
        <f t="shared" si="1"/>
        <v/>
      </c>
      <c r="H14" s="186" t="str">
        <f>IF(A2="relevant",IF('Matrix-Colon'!O23&lt;Berechnung2!$G$42,Berechnung2!$L$42,""),"")</f>
        <v/>
      </c>
      <c r="I14" s="239" t="str">
        <f>IF(H14="","",VLOOKUP(F14,Berechnung2!$I$15:$J$25,2,FALSE))</f>
        <v/>
      </c>
      <c r="J14" s="238" t="str">
        <f t="shared" si="2"/>
        <v/>
      </c>
      <c r="L14" s="94" t="str">
        <f t="array" aca="1" ref="L14" ca="1">IF(ROW()-ROW($F$2:$F$57)+1&gt;ROWS($E$2:$E$57)-COUNTBLANK($E$2:$E$57),"",INDIRECT(ADDRESS(SMALL((IF($E$2:$E$57&gt;"",ROW($E$2:$E$57),ROW()+ROWS($E$2:$E$57))),ROW()-ROW($F$2:$F$57)+1),COLUMN($E$2:$E$57),4)))</f>
        <v/>
      </c>
      <c r="M14" s="94" t="str">
        <f t="array" aca="1" ref="M14" ca="1">IF(ROW()-ROW($G$2:$G$57)+1&gt;ROWS($F$2:$F$57)-COUNTBLANK($F$2:$F$57),"",INDIRECT(ADDRESS(SMALL((IF($F$2:$F$57&lt;&gt;"",ROW($F$2:$F$57),ROW()+ROWS($F$2:$F$57))),ROW()-ROW($G$2:$G$57)+1),COLUMN($F$2:$F$57),4)))</f>
        <v/>
      </c>
      <c r="N14" s="94" t="str">
        <f t="array" aca="1" ref="N14" ca="1">IF(ROW()-ROW($H$2:$H$57)+1&gt;ROWS($G$2:$G$57)-COUNTBLANK($G$2:$G$57),"",INDIRECT(ADDRESS(SMALL((IF($G$2:$G$57&lt;&gt;"",ROW($G$2:$G$57),ROW()+ROWS($G$2:$G$57))),ROW()-ROW($H$2:$H$57)+1),COLUMN($G$2:$G$57),4)))</f>
        <v/>
      </c>
      <c r="O14" s="184" t="str">
        <f t="array" aca="1" ref="O14" ca="1">IF(ROW()-ROW($I$2:$I$57)+1&gt;ROWS($H$2:$H$57)-COUNTBLANK($H$2:$H$57),"",INDIRECT(ADDRESS(SMALL((IF($H$2:$H$57&lt;&gt;"",ROW($H$2:$H$57),ROW()+ROWS($H$2:$H$57))),ROW()-ROW($I$2:$I$57)+1),COLUMN($H$2:$H$57),4)))</f>
        <v/>
      </c>
      <c r="P14" s="184" t="str">
        <f t="array" aca="1" ref="P14" ca="1">IF(ROW()-ROW($J$2:$J$57)+1&gt;ROWS($I$2:$I$57)-COUNTBLANK($I$2:$I$57),"",INDIRECT(ADDRESS(SMALL((IF($I$2:$I$57&lt;&gt;"",ROW($I$2:$I$57),ROW()+ROWS($I$2:$I$57))),ROW()-ROW($J$2:$J$57)+1),COLUMN($I$2:$I$57),4)))</f>
        <v/>
      </c>
    </row>
    <row r="15" spans="1:22" x14ac:dyDescent="0.45">
      <c r="D15" s="913" t="s">
        <v>37</v>
      </c>
      <c r="E15" s="34" t="str">
        <f>IF(H15="","","2014")</f>
        <v/>
      </c>
      <c r="F15" s="34" t="str">
        <f t="shared" si="4"/>
        <v/>
      </c>
      <c r="G15" s="34" t="str">
        <f t="shared" si="1"/>
        <v/>
      </c>
      <c r="H15" s="173" t="str">
        <f>IF(A3="relevant",IF('Matrix-Colon'!O24&lt;Berechnung2!$G$42,Berechnung2!$L$42,""),"")</f>
        <v/>
      </c>
      <c r="I15" s="172" t="str">
        <f>IF(H15="","",VLOOKUP(F15,Berechnung2!$I$15:$J$25,2,FALSE))</f>
        <v/>
      </c>
      <c r="J15" s="237" t="str">
        <f t="shared" si="2"/>
        <v/>
      </c>
      <c r="L15" s="94" t="str">
        <f t="array" aca="1" ref="L15" ca="1">IF(ROW()-ROW($F$2:$F$57)+1&gt;ROWS($E$2:$E$57)-COUNTBLANK($E$2:$E$57),"",INDIRECT(ADDRESS(SMALL((IF($E$2:$E$57&gt;"",ROW($E$2:$E$57),ROW()+ROWS($E$2:$E$57))),ROW()-ROW($F$2:$F$57)+1),COLUMN($E$2:$E$57),4)))</f>
        <v/>
      </c>
      <c r="M15" s="94" t="str">
        <f t="array" aca="1" ref="M15" ca="1">IF(ROW()-ROW($G$2:$G$57)+1&gt;ROWS($F$2:$F$57)-COUNTBLANK($F$2:$F$57),"",INDIRECT(ADDRESS(SMALL((IF($F$2:$F$57&lt;&gt;"",ROW($F$2:$F$57),ROW()+ROWS($F$2:$F$57))),ROW()-ROW($G$2:$G$57)+1),COLUMN($F$2:$F$57),4)))</f>
        <v/>
      </c>
      <c r="N15" s="94" t="str">
        <f t="array" aca="1" ref="N15" ca="1">IF(ROW()-ROW($H$2:$H$57)+1&gt;ROWS($G$2:$G$57)-COUNTBLANK($G$2:$G$57),"",INDIRECT(ADDRESS(SMALL((IF($G$2:$G$57&lt;&gt;"",ROW($G$2:$G$57),ROW()+ROWS($G$2:$G$57))),ROW()-ROW($H$2:$H$57)+1),COLUMN($G$2:$G$57),4)))</f>
        <v/>
      </c>
      <c r="O15" s="184" t="str">
        <f t="array" aca="1" ref="O15" ca="1">IF(ROW()-ROW($I$2:$I$57)+1&gt;ROWS($H$2:$H$57)-COUNTBLANK($H$2:$H$57),"",INDIRECT(ADDRESS(SMALL((IF($H$2:$H$57&lt;&gt;"",ROW($H$2:$H$57),ROW()+ROWS($H$2:$H$57))),ROW()-ROW($I$2:$I$57)+1),COLUMN($H$2:$H$57),4)))</f>
        <v/>
      </c>
      <c r="P15" s="184" t="str">
        <f t="array" aca="1" ref="P15" ca="1">IF(ROW()-ROW($J$2:$J$57)+1&gt;ROWS($I$2:$I$57)-COUNTBLANK($I$2:$I$57),"",INDIRECT(ADDRESS(SMALL((IF($I$2:$I$57&lt;&gt;"",ROW($I$2:$I$57),ROW()+ROWS($I$2:$I$57))),ROW()-ROW($J$2:$J$57)+1),COLUMN($I$2:$I$57),4)))</f>
        <v/>
      </c>
    </row>
    <row r="16" spans="1:22" x14ac:dyDescent="0.45">
      <c r="D16" s="913"/>
      <c r="E16" s="34" t="str">
        <f>IF(H16="","","2015")</f>
        <v/>
      </c>
      <c r="F16" s="34" t="str">
        <f t="shared" si="4"/>
        <v/>
      </c>
      <c r="G16" s="34" t="str">
        <f t="shared" si="1"/>
        <v/>
      </c>
      <c r="H16" s="173" t="str">
        <f>IF(A4="relevant",IF('Matrix-Colon'!O25&lt;Berechnung2!$G$42,Berechnung2!$L$42,""),"")</f>
        <v/>
      </c>
      <c r="I16" s="172" t="str">
        <f>IF(H16="","",VLOOKUP(F16,Berechnung2!$I$15:$J$25,2,FALSE))</f>
        <v/>
      </c>
      <c r="J16" s="237" t="str">
        <f t="shared" si="2"/>
        <v/>
      </c>
      <c r="L16" s="94" t="str">
        <f t="array" aca="1" ref="L16" ca="1">IF(ROW()-ROW($F$2:$F$57)+1&gt;ROWS($E$2:$E$57)-COUNTBLANK($E$2:$E$57),"",INDIRECT(ADDRESS(SMALL((IF($E$2:$E$57&gt;"",ROW($E$2:$E$57),ROW()+ROWS($E$2:$E$57))),ROW()-ROW($F$2:$F$57)+1),COLUMN($E$2:$E$57),4)))</f>
        <v/>
      </c>
      <c r="M16" s="94" t="str">
        <f t="array" aca="1" ref="M16" ca="1">IF(ROW()-ROW($G$2:$G$57)+1&gt;ROWS($F$2:$F$57)-COUNTBLANK($F$2:$F$57),"",INDIRECT(ADDRESS(SMALL((IF($F$2:$F$57&lt;&gt;"",ROW($F$2:$F$57),ROW()+ROWS($F$2:$F$57))),ROW()-ROW($G$2:$G$57)+1),COLUMN($F$2:$F$57),4)))</f>
        <v/>
      </c>
      <c r="N16" s="94" t="str">
        <f t="array" aca="1" ref="N16" ca="1">IF(ROW()-ROW($H$2:$H$57)+1&gt;ROWS($G$2:$G$57)-COUNTBLANK($G$2:$G$57),"",INDIRECT(ADDRESS(SMALL((IF($G$2:$G$57&lt;&gt;"",ROW($G$2:$G$57),ROW()+ROWS($G$2:$G$57))),ROW()-ROW($H$2:$H$57)+1),COLUMN($G$2:$G$57),4)))</f>
        <v/>
      </c>
      <c r="O16" s="184" t="str">
        <f t="array" aca="1" ref="O16" ca="1">IF(ROW()-ROW($I$2:$I$57)+1&gt;ROWS($H$2:$H$57)-COUNTBLANK($H$2:$H$57),"",INDIRECT(ADDRESS(SMALL((IF($H$2:$H$57&lt;&gt;"",ROW($H$2:$H$57),ROW()+ROWS($H$2:$H$57))),ROW()-ROW($I$2:$I$57)+1),COLUMN($H$2:$H$57),4)))</f>
        <v/>
      </c>
      <c r="P16" s="184" t="str">
        <f t="array" aca="1" ref="P16" ca="1">IF(ROW()-ROW($J$2:$J$57)+1&gt;ROWS($I$2:$I$57)-COUNTBLANK($I$2:$I$57),"",INDIRECT(ADDRESS(SMALL((IF($I$2:$I$57&lt;&gt;"",ROW($I$2:$I$57),ROW()+ROWS($I$2:$I$57))),ROW()-ROW($J$2:$J$57)+1),COLUMN($I$2:$I$57),4)))</f>
        <v/>
      </c>
    </row>
    <row r="17" spans="4:16" x14ac:dyDescent="0.45">
      <c r="D17" s="913"/>
      <c r="E17" s="34" t="str">
        <f>IF(H17="","","2016")</f>
        <v/>
      </c>
      <c r="F17" s="34" t="str">
        <f t="shared" si="4"/>
        <v/>
      </c>
      <c r="G17" s="34" t="str">
        <f t="shared" si="1"/>
        <v/>
      </c>
      <c r="H17" s="173" t="str">
        <f>IF(A5="relevant",IF('Matrix-Colon'!O26&lt;Berechnung2!$G$42,Berechnung2!$L$42,""),"")</f>
        <v/>
      </c>
      <c r="I17" s="172" t="str">
        <f>IF(H17="","",VLOOKUP(F17,Berechnung2!$I$15:$J$25,2,FALSE))</f>
        <v/>
      </c>
      <c r="J17" s="237" t="str">
        <f t="shared" si="2"/>
        <v/>
      </c>
      <c r="L17" s="94" t="str">
        <f t="array" aca="1" ref="L17" ca="1">IF(ROW()-ROW($F$2:$F$57)+1&gt;ROWS($E$2:$E$57)-COUNTBLANK($E$2:$E$57),"",INDIRECT(ADDRESS(SMALL((IF($E$2:$E$57&gt;"",ROW($E$2:$E$57),ROW()+ROWS($E$2:$E$57))),ROW()-ROW($F$2:$F$57)+1),COLUMN($E$2:$E$57),4)))</f>
        <v/>
      </c>
      <c r="M17" s="94" t="str">
        <f t="array" aca="1" ref="M17" ca="1">IF(ROW()-ROW($G$2:$G$57)+1&gt;ROWS($F$2:$F$57)-COUNTBLANK($F$2:$F$57),"",INDIRECT(ADDRESS(SMALL((IF($F$2:$F$57&lt;&gt;"",ROW($F$2:$F$57),ROW()+ROWS($F$2:$F$57))),ROW()-ROW($G$2:$G$57)+1),COLUMN($F$2:$F$57),4)))</f>
        <v/>
      </c>
      <c r="N17" s="94" t="str">
        <f t="array" aca="1" ref="N17" ca="1">IF(ROW()-ROW($H$2:$H$57)+1&gt;ROWS($G$2:$G$57)-COUNTBLANK($G$2:$G$57),"",INDIRECT(ADDRESS(SMALL((IF($G$2:$G$57&lt;&gt;"",ROW($G$2:$G$57),ROW()+ROWS($G$2:$G$57))),ROW()-ROW($H$2:$H$57)+1),COLUMN($G$2:$G$57),4)))</f>
        <v/>
      </c>
      <c r="O17" s="184" t="str">
        <f t="array" aca="1" ref="O17" ca="1">IF(ROW()-ROW($I$2:$I$57)+1&gt;ROWS($H$2:$H$57)-COUNTBLANK($H$2:$H$57),"",INDIRECT(ADDRESS(SMALL((IF($H$2:$H$57&lt;&gt;"",ROW($H$2:$H$57),ROW()+ROWS($H$2:$H$57))),ROW()-ROW($I$2:$I$57)+1),COLUMN($H$2:$H$57),4)))</f>
        <v/>
      </c>
      <c r="P17" s="184" t="str">
        <f t="array" aca="1" ref="P17" ca="1">IF(ROW()-ROW($J$2:$J$57)+1&gt;ROWS($I$2:$I$57)-COUNTBLANK($I$2:$I$57),"",INDIRECT(ADDRESS(SMALL((IF($I$2:$I$57&lt;&gt;"",ROW($I$2:$I$57),ROW()+ROWS($I$2:$I$57))),ROW()-ROW($J$2:$J$57)+1),COLUMN($I$2:$I$57),4)))</f>
        <v/>
      </c>
    </row>
    <row r="18" spans="4:16" x14ac:dyDescent="0.45">
      <c r="D18" s="913"/>
      <c r="E18" s="34" t="str">
        <f>IF(H18="","","2017")</f>
        <v/>
      </c>
      <c r="F18" s="34" t="str">
        <f t="shared" si="4"/>
        <v/>
      </c>
      <c r="G18" s="34" t="str">
        <f t="shared" si="1"/>
        <v/>
      </c>
      <c r="H18" s="173" t="str">
        <f>IF(A6="relevant",IF('Matrix-Colon'!O27&lt;Berechnung2!$G$42,Berechnung2!$L$42,""),"")</f>
        <v/>
      </c>
      <c r="I18" s="172" t="str">
        <f>IF(H18="","",VLOOKUP(F18,Berechnung2!$I$15:$J$25,2,FALSE))</f>
        <v/>
      </c>
      <c r="J18" s="237" t="str">
        <f t="shared" si="2"/>
        <v/>
      </c>
      <c r="L18" s="94" t="str">
        <f t="array" aca="1" ref="L18" ca="1">IF(ROW()-ROW($F$2:$F$57)+1&gt;ROWS($E$2:$E$57)-COUNTBLANK($E$2:$E$57),"",INDIRECT(ADDRESS(SMALL((IF($E$2:$E$57&gt;"",ROW($E$2:$E$57),ROW()+ROWS($E$2:$E$57))),ROW()-ROW($F$2:$F$57)+1),COLUMN($E$2:$E$57),4)))</f>
        <v/>
      </c>
      <c r="M18" s="94" t="str">
        <f t="array" aca="1" ref="M18" ca="1">IF(ROW()-ROW($G$2:$G$57)+1&gt;ROWS($F$2:$F$57)-COUNTBLANK($F$2:$F$57),"",INDIRECT(ADDRESS(SMALL((IF($F$2:$F$57&lt;&gt;"",ROW($F$2:$F$57),ROW()+ROWS($F$2:$F$57))),ROW()-ROW($G$2:$G$57)+1),COLUMN($F$2:$F$57),4)))</f>
        <v/>
      </c>
      <c r="N18" s="94" t="str">
        <f t="array" aca="1" ref="N18" ca="1">IF(ROW()-ROW($H$2:$H$57)+1&gt;ROWS($G$2:$G$57)-COUNTBLANK($G$2:$G$57),"",INDIRECT(ADDRESS(SMALL((IF($G$2:$G$57&lt;&gt;"",ROW($G$2:$G$57),ROW()+ROWS($G$2:$G$57))),ROW()-ROW($H$2:$H$57)+1),COLUMN($G$2:$G$57),4)))</f>
        <v/>
      </c>
      <c r="O18" s="184" t="str">
        <f t="array" aca="1" ref="O18" ca="1">IF(ROW()-ROW($I$2:$I$57)+1&gt;ROWS($H$2:$H$57)-COUNTBLANK($H$2:$H$57),"",INDIRECT(ADDRESS(SMALL((IF($H$2:$H$57&lt;&gt;"",ROW($H$2:$H$57),ROW()+ROWS($H$2:$H$57))),ROW()-ROW($I$2:$I$57)+1),COLUMN($H$2:$H$57),4)))</f>
        <v/>
      </c>
      <c r="P18" s="184" t="str">
        <f t="array" aca="1" ref="P18" ca="1">IF(ROW()-ROW($J$2:$J$57)+1&gt;ROWS($I$2:$I$57)-COUNTBLANK($I$2:$I$57),"",INDIRECT(ADDRESS(SMALL((IF($I$2:$I$57&lt;&gt;"",ROW($I$2:$I$57),ROW()+ROWS($I$2:$I$57))),ROW()-ROW($J$2:$J$57)+1),COLUMN($I$2:$I$57),4)))</f>
        <v/>
      </c>
    </row>
    <row r="19" spans="4:16" ht="10.5" thickBot="1" x14ac:dyDescent="0.5">
      <c r="D19" s="174" t="s">
        <v>129</v>
      </c>
      <c r="E19" s="244" t="str">
        <f>IF(H19="","","2018")</f>
        <v/>
      </c>
      <c r="F19" s="244" t="str">
        <f t="shared" si="4"/>
        <v/>
      </c>
      <c r="G19" s="244" t="str">
        <f t="shared" si="1"/>
        <v/>
      </c>
      <c r="H19" s="242"/>
      <c r="I19" s="245" t="str">
        <f>IF(H19="","",VLOOKUP(F19,Berechnung2!$I$15:$J$25,2,FALSE))</f>
        <v/>
      </c>
      <c r="J19" s="246" t="str">
        <f t="shared" si="2"/>
        <v/>
      </c>
      <c r="L19" s="94" t="str">
        <f t="array" aca="1" ref="L19" ca="1">IF(ROW()-ROW($F$2:$F$57)+1&gt;ROWS($E$2:$E$57)-COUNTBLANK($E$2:$E$57),"",INDIRECT(ADDRESS(SMALL((IF($E$2:$E$57&gt;"",ROW($E$2:$E$57),ROW()+ROWS($E$2:$E$57))),ROW()-ROW($F$2:$F$57)+1),COLUMN($E$2:$E$57),4)))</f>
        <v/>
      </c>
      <c r="M19" s="94" t="str">
        <f t="array" aca="1" ref="M19" ca="1">IF(ROW()-ROW($G$2:$G$57)+1&gt;ROWS($F$2:$F$57)-COUNTBLANK($F$2:$F$57),"",INDIRECT(ADDRESS(SMALL((IF($F$2:$F$57&lt;&gt;"",ROW($F$2:$F$57),ROW()+ROWS($F$2:$F$57))),ROW()-ROW($G$2:$G$57)+1),COLUMN($F$2:$F$57),4)))</f>
        <v/>
      </c>
      <c r="N19" s="94" t="str">
        <f t="array" aca="1" ref="N19" ca="1">IF(ROW()-ROW($H$2:$H$57)+1&gt;ROWS($G$2:$G$57)-COUNTBLANK($G$2:$G$57),"",INDIRECT(ADDRESS(SMALL((IF($G$2:$G$57&lt;&gt;"",ROW($G$2:$G$57),ROW()+ROWS($G$2:$G$57))),ROW()-ROW($H$2:$H$57)+1),COLUMN($G$2:$G$57),4)))</f>
        <v/>
      </c>
      <c r="O19" s="184" t="str">
        <f t="array" aca="1" ref="O19" ca="1">IF(ROW()-ROW($I$2:$I$57)+1&gt;ROWS($H$2:$H$57)-COUNTBLANK($H$2:$H$57),"",INDIRECT(ADDRESS(SMALL((IF($H$2:$H$57&lt;&gt;"",ROW($H$2:$H$57),ROW()+ROWS($H$2:$H$57))),ROW()-ROW($I$2:$I$57)+1),COLUMN($H$2:$H$57),4)))</f>
        <v/>
      </c>
      <c r="P19" s="184" t="str">
        <f t="array" aca="1" ref="P19" ca="1">IF(ROW()-ROW($J$2:$J$57)+1&gt;ROWS($I$2:$I$57)-COUNTBLANK($I$2:$I$57),"",INDIRECT(ADDRESS(SMALL((IF($I$2:$I$57&lt;&gt;"",ROW($I$2:$I$57),ROW()+ROWS($I$2:$I$57))),ROW()-ROW($J$2:$J$57)+1),COLUMN($I$2:$I$57),4)))</f>
        <v/>
      </c>
    </row>
    <row r="20" spans="4:16" x14ac:dyDescent="0.45">
      <c r="D20" s="145" t="s">
        <v>314</v>
      </c>
      <c r="E20" s="156" t="str">
        <f>IF(H20="","","2013")</f>
        <v/>
      </c>
      <c r="F20" s="156" t="str">
        <f t="shared" ref="F20:F25" si="5">IF(H20="","","d")</f>
        <v/>
      </c>
      <c r="G20" s="156" t="str">
        <f t="shared" si="1"/>
        <v/>
      </c>
      <c r="H20" s="186" t="str">
        <f>IF(A2="relevant",IF(AND('Matrix-Colon'!Q23="",'Matrix-Colon'!R23="",'Matrix-Colon'!S23="",'Matrix-Colon'!T23=""),"",IF('Matrix-Colon'!Q23&lt;MAX('Matrix-Colon'!R23:T23),Berechnung2!$L$40,"")),"")</f>
        <v/>
      </c>
      <c r="I20" s="239" t="str">
        <f>IF(H20="","",VLOOKUP(F20,Berechnung2!$I$15:$J$25,2,FALSE))</f>
        <v/>
      </c>
      <c r="J20" s="238" t="str">
        <f t="shared" si="2"/>
        <v/>
      </c>
      <c r="L20" s="94" t="str">
        <f t="array" aca="1" ref="L20" ca="1">IF(ROW()-ROW($F$2:$F$57)+1&gt;ROWS($E$2:$E$57)-COUNTBLANK($E$2:$E$57),"",INDIRECT(ADDRESS(SMALL((IF($E$2:$E$57&gt;"",ROW($E$2:$E$57),ROW()+ROWS($E$2:$E$57))),ROW()-ROW($F$2:$F$57)+1),COLUMN($E$2:$E$57),4)))</f>
        <v/>
      </c>
      <c r="M20" s="94" t="str">
        <f t="array" aca="1" ref="M20" ca="1">IF(ROW()-ROW($G$2:$G$57)+1&gt;ROWS($F$2:$F$57)-COUNTBLANK($F$2:$F$57),"",INDIRECT(ADDRESS(SMALL((IF($F$2:$F$57&lt;&gt;"",ROW($F$2:$F$57),ROW()+ROWS($F$2:$F$57))),ROW()-ROW($G$2:$G$57)+1),COLUMN($F$2:$F$57),4)))</f>
        <v/>
      </c>
      <c r="N20" s="94" t="str">
        <f t="array" aca="1" ref="N20" ca="1">IF(ROW()-ROW($H$2:$H$57)+1&gt;ROWS($G$2:$G$57)-COUNTBLANK($G$2:$G$57),"",INDIRECT(ADDRESS(SMALL((IF($G$2:$G$57&lt;&gt;"",ROW($G$2:$G$57),ROW()+ROWS($G$2:$G$57))),ROW()-ROW($H$2:$H$57)+1),COLUMN($G$2:$G$57),4)))</f>
        <v/>
      </c>
      <c r="O20" s="184" t="str">
        <f t="array" aca="1" ref="O20" ca="1">IF(ROW()-ROW($I$2:$I$57)+1&gt;ROWS($H$2:$H$57)-COUNTBLANK($H$2:$H$57),"",INDIRECT(ADDRESS(SMALL((IF($H$2:$H$57&lt;&gt;"",ROW($H$2:$H$57),ROW()+ROWS($H$2:$H$57))),ROW()-ROW($I$2:$I$57)+1),COLUMN($H$2:$H$57),4)))</f>
        <v/>
      </c>
      <c r="P20" s="184" t="str">
        <f t="array" aca="1" ref="P20" ca="1">IF(ROW()-ROW($J$2:$J$57)+1&gt;ROWS($I$2:$I$57)-COUNTBLANK($I$2:$I$57),"",INDIRECT(ADDRESS(SMALL((IF($I$2:$I$57&lt;&gt;"",ROW($I$2:$I$57),ROW()+ROWS($I$2:$I$57))),ROW()-ROW($J$2:$J$57)+1),COLUMN($I$2:$I$57),4)))</f>
        <v/>
      </c>
    </row>
    <row r="21" spans="4:16" x14ac:dyDescent="0.45">
      <c r="D21" s="913" t="s">
        <v>388</v>
      </c>
      <c r="E21" s="34" t="str">
        <f>IF(H21="","","2014")</f>
        <v/>
      </c>
      <c r="F21" s="34" t="str">
        <f t="shared" si="5"/>
        <v/>
      </c>
      <c r="G21" s="34" t="str">
        <f t="shared" si="1"/>
        <v/>
      </c>
      <c r="H21" s="173" t="str">
        <f>IF(A3="relevant",IF(AND('Matrix-Colon'!Q24="",'Matrix-Colon'!R24="",'Matrix-Colon'!S24="",'Matrix-Colon'!T24=""),"",IF('Matrix-Colon'!Q24&lt;MAX('Matrix-Colon'!R24:T24),Berechnung2!$L$40,"")),"")</f>
        <v/>
      </c>
      <c r="I21" s="172" t="str">
        <f>IF(H21="","",VLOOKUP(F21,Berechnung2!$I$15:$J$25,2,FALSE))</f>
        <v/>
      </c>
      <c r="J21" s="237" t="str">
        <f t="shared" si="2"/>
        <v/>
      </c>
      <c r="L21" s="94" t="str">
        <f t="array" aca="1" ref="L21" ca="1">IF(ROW()-ROW($F$2:$F$57)+1&gt;ROWS($E$2:$E$57)-COUNTBLANK($E$2:$E$57),"",INDIRECT(ADDRESS(SMALL((IF($E$2:$E$57&gt;"",ROW($E$2:$E$57),ROW()+ROWS($E$2:$E$57))),ROW()-ROW($F$2:$F$57)+1),COLUMN($E$2:$E$57),4)))</f>
        <v/>
      </c>
      <c r="M21" s="94" t="str">
        <f t="array" aca="1" ref="M21" ca="1">IF(ROW()-ROW($G$2:$G$57)+1&gt;ROWS($F$2:$F$57)-COUNTBLANK($F$2:$F$57),"",INDIRECT(ADDRESS(SMALL((IF($F$2:$F$57&lt;&gt;"",ROW($F$2:$F$57),ROW()+ROWS($F$2:$F$57))),ROW()-ROW($G$2:$G$57)+1),COLUMN($F$2:$F$57),4)))</f>
        <v/>
      </c>
      <c r="N21" s="94" t="str">
        <f t="array" aca="1" ref="N21" ca="1">IF(ROW()-ROW($H$2:$H$57)+1&gt;ROWS($G$2:$G$57)-COUNTBLANK($G$2:$G$57),"",INDIRECT(ADDRESS(SMALL((IF($G$2:$G$57&lt;&gt;"",ROW($G$2:$G$57),ROW()+ROWS($G$2:$G$57))),ROW()-ROW($H$2:$H$57)+1),COLUMN($G$2:$G$57),4)))</f>
        <v/>
      </c>
      <c r="O21" s="184" t="str">
        <f t="array" aca="1" ref="O21" ca="1">IF(ROW()-ROW($I$2:$I$57)+1&gt;ROWS($H$2:$H$57)-COUNTBLANK($H$2:$H$57),"",INDIRECT(ADDRESS(SMALL((IF($H$2:$H$57&lt;&gt;"",ROW($H$2:$H$57),ROW()+ROWS($H$2:$H$57))),ROW()-ROW($I$2:$I$57)+1),COLUMN($H$2:$H$57),4)))</f>
        <v/>
      </c>
      <c r="P21" s="184" t="str">
        <f t="array" aca="1" ref="P21" ca="1">IF(ROW()-ROW($J$2:$J$57)+1&gt;ROWS($I$2:$I$57)-COUNTBLANK($I$2:$I$57),"",INDIRECT(ADDRESS(SMALL((IF($I$2:$I$57&lt;&gt;"",ROW($I$2:$I$57),ROW()+ROWS($I$2:$I$57))),ROW()-ROW($J$2:$J$57)+1),COLUMN($I$2:$I$57),4)))</f>
        <v/>
      </c>
    </row>
    <row r="22" spans="4:16" x14ac:dyDescent="0.45">
      <c r="D22" s="913"/>
      <c r="E22" s="34" t="str">
        <f>IF(H22="","","2015")</f>
        <v/>
      </c>
      <c r="F22" s="34" t="str">
        <f t="shared" si="5"/>
        <v/>
      </c>
      <c r="G22" s="34" t="str">
        <f t="shared" si="1"/>
        <v/>
      </c>
      <c r="H22" s="173" t="str">
        <f>IF(A4="relevant",IF(AND('Matrix-Colon'!Q25="",'Matrix-Colon'!R25="",'Matrix-Colon'!S25="",'Matrix-Colon'!T25=""),"",IF('Matrix-Colon'!Q25&lt;MAX('Matrix-Colon'!R25:T25),Berechnung2!$L$40,"")),"")</f>
        <v/>
      </c>
      <c r="I22" s="172" t="str">
        <f>IF(H22="","",VLOOKUP(F22,Berechnung2!$I$15:$J$25,2,FALSE))</f>
        <v/>
      </c>
      <c r="J22" s="237" t="str">
        <f t="shared" si="2"/>
        <v/>
      </c>
      <c r="L22" s="94" t="str">
        <f t="array" aca="1" ref="L22" ca="1">IF(ROW()-ROW($F$2:$F$57)+1&gt;ROWS($E$2:$E$57)-COUNTBLANK($E$2:$E$57),"",INDIRECT(ADDRESS(SMALL((IF($E$2:$E$57&gt;"",ROW($E$2:$E$57),ROW()+ROWS($E$2:$E$57))),ROW()-ROW($F$2:$F$57)+1),COLUMN($E$2:$E$57),4)))</f>
        <v/>
      </c>
      <c r="M22" s="94" t="str">
        <f t="array" aca="1" ref="M22" ca="1">IF(ROW()-ROW($G$2:$G$57)+1&gt;ROWS($F$2:$F$57)-COUNTBLANK($F$2:$F$57),"",INDIRECT(ADDRESS(SMALL((IF($F$2:$F$57&lt;&gt;"",ROW($F$2:$F$57),ROW()+ROWS($F$2:$F$57))),ROW()-ROW($G$2:$G$57)+1),COLUMN($F$2:$F$57),4)))</f>
        <v/>
      </c>
      <c r="N22" s="94" t="str">
        <f t="array" aca="1" ref="N22" ca="1">IF(ROW()-ROW($H$2:$H$57)+1&gt;ROWS($G$2:$G$57)-COUNTBLANK($G$2:$G$57),"",INDIRECT(ADDRESS(SMALL((IF($G$2:$G$57&lt;&gt;"",ROW($G$2:$G$57),ROW()+ROWS($G$2:$G$57))),ROW()-ROW($H$2:$H$57)+1),COLUMN($G$2:$G$57),4)))</f>
        <v/>
      </c>
      <c r="O22" s="184" t="str">
        <f t="array" aca="1" ref="O22" ca="1">IF(ROW()-ROW($I$2:$I$57)+1&gt;ROWS($H$2:$H$57)-COUNTBLANK($H$2:$H$57),"",INDIRECT(ADDRESS(SMALL((IF($H$2:$H$57&lt;&gt;"",ROW($H$2:$H$57),ROW()+ROWS($H$2:$H$57))),ROW()-ROW($I$2:$I$57)+1),COLUMN($H$2:$H$57),4)))</f>
        <v/>
      </c>
      <c r="P22" s="184" t="str">
        <f t="array" aca="1" ref="P22" ca="1">IF(ROW()-ROW($J$2:$J$57)+1&gt;ROWS($I$2:$I$57)-COUNTBLANK($I$2:$I$57),"",INDIRECT(ADDRESS(SMALL((IF($I$2:$I$57&lt;&gt;"",ROW($I$2:$I$57),ROW()+ROWS($I$2:$I$57))),ROW()-ROW($J$2:$J$57)+1),COLUMN($I$2:$I$57),4)))</f>
        <v/>
      </c>
    </row>
    <row r="23" spans="4:16" x14ac:dyDescent="0.45">
      <c r="D23" s="913"/>
      <c r="E23" s="34" t="str">
        <f>IF(H23="","","2016")</f>
        <v/>
      </c>
      <c r="F23" s="34" t="str">
        <f t="shared" si="5"/>
        <v/>
      </c>
      <c r="G23" s="34" t="str">
        <f t="shared" si="1"/>
        <v/>
      </c>
      <c r="H23" s="173" t="str">
        <f>IF(A5="relevant",IF(AND('Matrix-Colon'!Q26="",'Matrix-Colon'!R26="",'Matrix-Colon'!S26="",'Matrix-Colon'!T26=""),"",IF('Matrix-Colon'!Q26&lt;MAX('Matrix-Colon'!R26:T26),Berechnung2!$L$40,"")),"")</f>
        <v/>
      </c>
      <c r="I23" s="172" t="str">
        <f>IF(H23="","",VLOOKUP(F23,Berechnung2!$I$15:$J$25,2,FALSE))</f>
        <v/>
      </c>
      <c r="J23" s="237" t="str">
        <f t="shared" si="2"/>
        <v/>
      </c>
      <c r="L23" s="94" t="str">
        <f t="array" aca="1" ref="L23" ca="1">IF(ROW()-ROW($F$2:$F$57)+1&gt;ROWS($E$2:$E$57)-COUNTBLANK($E$2:$E$57),"",INDIRECT(ADDRESS(SMALL((IF($E$2:$E$57&gt;"",ROW($E$2:$E$57),ROW()+ROWS($E$2:$E$57))),ROW()-ROW($F$2:$F$57)+1),COLUMN($E$2:$E$57),4)))</f>
        <v/>
      </c>
      <c r="M23" s="94" t="str">
        <f t="array" aca="1" ref="M23" ca="1">IF(ROW()-ROW($G$2:$G$57)+1&gt;ROWS($F$2:$F$57)-COUNTBLANK($F$2:$F$57),"",INDIRECT(ADDRESS(SMALL((IF($F$2:$F$57&lt;&gt;"",ROW($F$2:$F$57),ROW()+ROWS($F$2:$F$57))),ROW()-ROW($G$2:$G$57)+1),COLUMN($F$2:$F$57),4)))</f>
        <v/>
      </c>
      <c r="N23" s="94" t="str">
        <f t="array" aca="1" ref="N23" ca="1">IF(ROW()-ROW($H$2:$H$57)+1&gt;ROWS($G$2:$G$57)-COUNTBLANK($G$2:$G$57),"",INDIRECT(ADDRESS(SMALL((IF($G$2:$G$57&lt;&gt;"",ROW($G$2:$G$57),ROW()+ROWS($G$2:$G$57))),ROW()-ROW($H$2:$H$57)+1),COLUMN($G$2:$G$57),4)))</f>
        <v/>
      </c>
      <c r="O23" s="184" t="str">
        <f t="array" aca="1" ref="O23" ca="1">IF(ROW()-ROW($I$2:$I$57)+1&gt;ROWS($H$2:$H$57)-COUNTBLANK($H$2:$H$57),"",INDIRECT(ADDRESS(SMALL((IF($H$2:$H$57&lt;&gt;"",ROW($H$2:$H$57),ROW()+ROWS($H$2:$H$57))),ROW()-ROW($I$2:$I$57)+1),COLUMN($H$2:$H$57),4)))</f>
        <v/>
      </c>
      <c r="P23" s="184" t="str">
        <f t="array" aca="1" ref="P23" ca="1">IF(ROW()-ROW($J$2:$J$57)+1&gt;ROWS($I$2:$I$57)-COUNTBLANK($I$2:$I$57),"",INDIRECT(ADDRESS(SMALL((IF($I$2:$I$57&lt;&gt;"",ROW($I$2:$I$57),ROW()+ROWS($I$2:$I$57))),ROW()-ROW($J$2:$J$57)+1),COLUMN($I$2:$I$57),4)))</f>
        <v/>
      </c>
    </row>
    <row r="24" spans="4:16" x14ac:dyDescent="0.45">
      <c r="D24" s="913"/>
      <c r="E24" s="34" t="str">
        <f>IF(H24="","","2017")</f>
        <v/>
      </c>
      <c r="F24" s="34" t="str">
        <f t="shared" si="5"/>
        <v/>
      </c>
      <c r="G24" s="34" t="str">
        <f t="shared" si="1"/>
        <v/>
      </c>
      <c r="H24" s="173" t="str">
        <f>IF(A6="relevant",IF(AND('Matrix-Colon'!Q27="",'Matrix-Colon'!R27="",'Matrix-Colon'!S27="",'Matrix-Colon'!T27=""),"",IF('Matrix-Colon'!Q27&lt;MAX('Matrix-Colon'!R27:T27),Berechnung2!$L$40,"")),"")</f>
        <v/>
      </c>
      <c r="I24" s="172" t="str">
        <f>IF(H24="","",VLOOKUP(F24,Berechnung2!$I$15:$J$25,2,FALSE))</f>
        <v/>
      </c>
      <c r="J24" s="237" t="str">
        <f t="shared" si="2"/>
        <v/>
      </c>
      <c r="L24" s="94" t="str">
        <f t="array" aca="1" ref="L24" ca="1">IF(ROW()-ROW($F$2:$F$57)+1&gt;ROWS($E$2:$E$57)-COUNTBLANK($E$2:$E$57),"",INDIRECT(ADDRESS(SMALL((IF($E$2:$E$57&gt;"",ROW($E$2:$E$57),ROW()+ROWS($E$2:$E$57))),ROW()-ROW($F$2:$F$57)+1),COLUMN($E$2:$E$57),4)))</f>
        <v/>
      </c>
      <c r="M24" s="94" t="str">
        <f t="array" aca="1" ref="M24" ca="1">IF(ROW()-ROW($G$2:$G$57)+1&gt;ROWS($F$2:$F$57)-COUNTBLANK($F$2:$F$57),"",INDIRECT(ADDRESS(SMALL((IF($F$2:$F$57&lt;&gt;"",ROW($F$2:$F$57),ROW()+ROWS($F$2:$F$57))),ROW()-ROW($G$2:$G$57)+1),COLUMN($F$2:$F$57),4)))</f>
        <v/>
      </c>
      <c r="N24" s="94" t="str">
        <f t="array" aca="1" ref="N24" ca="1">IF(ROW()-ROW($H$2:$H$57)+1&gt;ROWS($G$2:$G$57)-COUNTBLANK($G$2:$G$57),"",INDIRECT(ADDRESS(SMALL((IF($G$2:$G$57&lt;&gt;"",ROW($G$2:$G$57),ROW()+ROWS($G$2:$G$57))),ROW()-ROW($H$2:$H$57)+1),COLUMN($G$2:$G$57),4)))</f>
        <v/>
      </c>
      <c r="O24" s="184" t="str">
        <f t="array" aca="1" ref="O24" ca="1">IF(ROW()-ROW($I$2:$I$57)+1&gt;ROWS($H$2:$H$57)-COUNTBLANK($H$2:$H$57),"",INDIRECT(ADDRESS(SMALL((IF($H$2:$H$57&lt;&gt;"",ROW($H$2:$H$57),ROW()+ROWS($H$2:$H$57))),ROW()-ROW($I$2:$I$57)+1),COLUMN($H$2:$H$57),4)))</f>
        <v/>
      </c>
      <c r="P24" s="184" t="str">
        <f t="array" aca="1" ref="P24" ca="1">IF(ROW()-ROW($J$2:$J$57)+1&gt;ROWS($I$2:$I$57)-COUNTBLANK($I$2:$I$57),"",INDIRECT(ADDRESS(SMALL((IF($I$2:$I$57&lt;&gt;"",ROW($I$2:$I$57),ROW()+ROWS($I$2:$I$57))),ROW()-ROW($J$2:$J$57)+1),COLUMN($I$2:$I$57),4)))</f>
        <v/>
      </c>
    </row>
    <row r="25" spans="4:16" ht="10.5" thickBot="1" x14ac:dyDescent="0.5">
      <c r="D25" s="144" t="s">
        <v>131</v>
      </c>
      <c r="E25" s="155" t="str">
        <f>IF(H25="","","2018")</f>
        <v/>
      </c>
      <c r="F25" s="155" t="str">
        <f t="shared" si="5"/>
        <v/>
      </c>
      <c r="G25" s="155" t="str">
        <f t="shared" si="1"/>
        <v/>
      </c>
      <c r="H25" s="185" t="str">
        <f>IF(A7="relevant",IF(AND('Matrix-Colon'!Q28="",'Matrix-Colon'!R28="",'Matrix-Colon'!S28="",'Matrix-Colon'!T28=""),"",IF('Matrix-Colon'!Q28&lt;MAX('Matrix-Colon'!R28:T28),Berechnung2!$L$40,"")),"")</f>
        <v/>
      </c>
      <c r="I25" s="219" t="str">
        <f>IF(H25="","",VLOOKUP(F25,Berechnung2!$I$15:$J$25,2,FALSE))</f>
        <v/>
      </c>
      <c r="J25" s="220" t="str">
        <f t="shared" si="2"/>
        <v/>
      </c>
      <c r="L25" s="94" t="str">
        <f t="array" aca="1" ref="L25" ca="1">IF(ROW()-ROW($F$2:$F$57)+1&gt;ROWS($E$2:$E$57)-COUNTBLANK($E$2:$E$57),"",INDIRECT(ADDRESS(SMALL((IF($E$2:$E$57&gt;"",ROW($E$2:$E$57),ROW()+ROWS($E$2:$E$57))),ROW()-ROW($F$2:$F$57)+1),COLUMN($E$2:$E$57),4)))</f>
        <v/>
      </c>
      <c r="M25" s="94" t="str">
        <f t="array" aca="1" ref="M25" ca="1">IF(ROW()-ROW($G$2:$G$57)+1&gt;ROWS($F$2:$F$57)-COUNTBLANK($F$2:$F$57),"",INDIRECT(ADDRESS(SMALL((IF($F$2:$F$57&lt;&gt;"",ROW($F$2:$F$57),ROW()+ROWS($F$2:$F$57))),ROW()-ROW($G$2:$G$57)+1),COLUMN($F$2:$F$57),4)))</f>
        <v/>
      </c>
      <c r="N25" s="94" t="str">
        <f t="array" aca="1" ref="N25" ca="1">IF(ROW()-ROW($H$2:$H$57)+1&gt;ROWS($G$2:$G$57)-COUNTBLANK($G$2:$G$57),"",INDIRECT(ADDRESS(SMALL((IF($G$2:$G$57&lt;&gt;"",ROW($G$2:$G$57),ROW()+ROWS($G$2:$G$57))),ROW()-ROW($H$2:$H$57)+1),COLUMN($G$2:$G$57),4)))</f>
        <v/>
      </c>
      <c r="O25" s="184" t="str">
        <f t="array" aca="1" ref="O25" ca="1">IF(ROW()-ROW($I$2:$I$57)+1&gt;ROWS($H$2:$H$57)-COUNTBLANK($H$2:$H$57),"",INDIRECT(ADDRESS(SMALL((IF($H$2:$H$57&lt;&gt;"",ROW($H$2:$H$57),ROW()+ROWS($H$2:$H$57))),ROW()-ROW($I$2:$I$57)+1),COLUMN($H$2:$H$57),4)))</f>
        <v/>
      </c>
      <c r="P25" s="184" t="str">
        <f t="array" aca="1" ref="P25" ca="1">IF(ROW()-ROW($J$2:$J$57)+1&gt;ROWS($I$2:$I$57)-COUNTBLANK($I$2:$I$57),"",INDIRECT(ADDRESS(SMALL((IF($I$2:$I$57&lt;&gt;"",ROW($I$2:$I$57),ROW()+ROWS($I$2:$I$57))),ROW()-ROW($J$2:$J$57)+1),COLUMN($I$2:$I$57),4)))</f>
        <v/>
      </c>
    </row>
    <row r="26" spans="4:16" ht="30.75" thickBot="1" x14ac:dyDescent="0.5">
      <c r="D26" s="247" t="s">
        <v>130</v>
      </c>
      <c r="E26" s="248" t="str">
        <f>IF(H26="","","2-4 Jahre")</f>
        <v/>
      </c>
      <c r="F26" s="248" t="str">
        <f>IF(H26="","","e")</f>
        <v/>
      </c>
      <c r="G26" s="248" t="str">
        <f>IF(H26="","","5")</f>
        <v/>
      </c>
      <c r="H26" s="243" t="str">
        <f>IF(OR('Matrix-Colon'!$M$30="-----",'Matrix-Colon'!$M$30=""),"",IF(AND(ROUND('Matrix-Colon'!M30,4)&gt;=Berechnung2!G38,ROUND('Matrix-Colon'!M30,4)&lt;Berechnung2!J38),Berechnung2!L38,""))</f>
        <v/>
      </c>
      <c r="I26" s="249" t="str">
        <f>IF(H26="","",VLOOKUP(F26,Berechnung2!$I$15:$J$25,2,FALSE))</f>
        <v/>
      </c>
      <c r="J26" s="250" t="str">
        <f t="shared" si="2"/>
        <v/>
      </c>
      <c r="L26" s="94" t="str">
        <f t="array" aca="1" ref="L26" ca="1">IF(ROW()-ROW($F$2:$F$57)+1&gt;ROWS($E$2:$E$57)-COUNTBLANK($E$2:$E$57),"",INDIRECT(ADDRESS(SMALL((IF($E$2:$E$57&gt;"",ROW($E$2:$E$57),ROW()+ROWS($E$2:$E$57))),ROW()-ROW($F$2:$F$57)+1),COLUMN($E$2:$E$57),4)))</f>
        <v/>
      </c>
      <c r="M26" s="94" t="str">
        <f t="array" aca="1" ref="M26" ca="1">IF(ROW()-ROW($G$2:$G$57)+1&gt;ROWS($F$2:$F$57)-COUNTBLANK($F$2:$F$57),"",INDIRECT(ADDRESS(SMALL((IF($F$2:$F$57&lt;&gt;"",ROW($F$2:$F$57),ROW()+ROWS($F$2:$F$57))),ROW()-ROW($G$2:$G$57)+1),COLUMN($F$2:$F$57),4)))</f>
        <v/>
      </c>
      <c r="N26" s="94" t="str">
        <f t="array" aca="1" ref="N26" ca="1">IF(ROW()-ROW($H$2:$H$57)+1&gt;ROWS($G$2:$G$57)-COUNTBLANK($G$2:$G$57),"",INDIRECT(ADDRESS(SMALL((IF($G$2:$G$57&lt;&gt;"",ROW($G$2:$G$57),ROW()+ROWS($G$2:$G$57))),ROW()-ROW($H$2:$H$57)+1),COLUMN($G$2:$G$57),4)))</f>
        <v/>
      </c>
      <c r="O26" s="184" t="str">
        <f t="array" aca="1" ref="O26" ca="1">IF(ROW()-ROW($I$2:$I$57)+1&gt;ROWS($H$2:$H$57)-COUNTBLANK($H$2:$H$57),"",INDIRECT(ADDRESS(SMALL((IF($H$2:$H$57&lt;&gt;"",ROW($H$2:$H$57),ROW()+ROWS($H$2:$H$57))),ROW()-ROW($I$2:$I$57)+1),COLUMN($H$2:$H$57),4)))</f>
        <v/>
      </c>
      <c r="P26" s="184" t="str">
        <f t="array" aca="1" ref="P26" ca="1">IF(ROW()-ROW($J$2:$J$57)+1&gt;ROWS($I$2:$I$57)-COUNTBLANK($I$2:$I$57),"",INDIRECT(ADDRESS(SMALL((IF($I$2:$I$57&lt;&gt;"",ROW($I$2:$I$57),ROW()+ROWS($I$2:$I$57))),ROW()-ROW($J$2:$J$57)+1),COLUMN($I$2:$I$57),4)))</f>
        <v/>
      </c>
    </row>
    <row r="27" spans="4:16" x14ac:dyDescent="0.45">
      <c r="D27" s="143" t="s">
        <v>307</v>
      </c>
      <c r="E27" s="156" t="str">
        <f>IF(H27="","","2013")</f>
        <v/>
      </c>
      <c r="F27" s="156" t="str">
        <f t="shared" ref="F27:F32" si="6">IF(H27="","","f")</f>
        <v/>
      </c>
      <c r="G27" s="156" t="str">
        <f>IF(H27="","","6")</f>
        <v/>
      </c>
      <c r="H27" s="186" t="str">
        <f>IF(A2="relevant",IF('Matrix-Colon'!C23="","",IF('Matrix-Colon'!C23&lt;Berechnung2!$G$35,Berechnung2!$L$35,"")),"")</f>
        <v/>
      </c>
      <c r="I27" s="239" t="str">
        <f>IF(H27="","",VLOOKUP(F27,Berechnung2!$I$15:$J$25,2,FALSE))</f>
        <v/>
      </c>
      <c r="J27" s="238" t="str">
        <f t="shared" si="2"/>
        <v/>
      </c>
      <c r="L27" s="94" t="str">
        <f t="array" aca="1" ref="L27" ca="1">IF(ROW()-ROW($F$2:$F$57)+1&gt;ROWS($E$2:$E$57)-COUNTBLANK($E$2:$E$57),"",INDIRECT(ADDRESS(SMALL((IF($E$2:$E$57&gt;"",ROW($E$2:$E$57),ROW()+ROWS($E$2:$E$57))),ROW()-ROW($F$2:$F$57)+1),COLUMN($E$2:$E$57),4)))</f>
        <v/>
      </c>
      <c r="M27" s="94" t="str">
        <f t="array" aca="1" ref="M27" ca="1">IF(ROW()-ROW($G$2:$G$57)+1&gt;ROWS($F$2:$F$57)-COUNTBLANK($F$2:$F$57),"",INDIRECT(ADDRESS(SMALL((IF($F$2:$F$57&lt;&gt;"",ROW($F$2:$F$57),ROW()+ROWS($F$2:$F$57))),ROW()-ROW($G$2:$G$57)+1),COLUMN($F$2:$F$57),4)))</f>
        <v/>
      </c>
      <c r="N27" s="94" t="str">
        <f t="array" aca="1" ref="N27" ca="1">IF(ROW()-ROW($H$2:$H$57)+1&gt;ROWS($G$2:$G$57)-COUNTBLANK($G$2:$G$57),"",INDIRECT(ADDRESS(SMALL((IF($G$2:$G$57&lt;&gt;"",ROW($G$2:$G$57),ROW()+ROWS($G$2:$G$57))),ROW()-ROW($H$2:$H$57)+1),COLUMN($G$2:$G$57),4)))</f>
        <v/>
      </c>
      <c r="O27" s="184" t="str">
        <f t="array" aca="1" ref="O27" ca="1">IF(ROW()-ROW($I$2:$I$57)+1&gt;ROWS($H$2:$H$57)-COUNTBLANK($H$2:$H$57),"",INDIRECT(ADDRESS(SMALL((IF($H$2:$H$57&lt;&gt;"",ROW($H$2:$H$57),ROW()+ROWS($H$2:$H$57))),ROW()-ROW($I$2:$I$57)+1),COLUMN($H$2:$H$57),4)))</f>
        <v/>
      </c>
      <c r="P27" s="184" t="str">
        <f t="array" aca="1" ref="P27" ca="1">IF(ROW()-ROW($J$2:$J$57)+1&gt;ROWS($I$2:$I$57)-COUNTBLANK($I$2:$I$57),"",INDIRECT(ADDRESS(SMALL((IF($I$2:$I$57&lt;&gt;"",ROW($I$2:$I$57),ROW()+ROWS($I$2:$I$57))),ROW()-ROW($J$2:$J$57)+1),COLUMN($I$2:$I$57),4)))</f>
        <v/>
      </c>
    </row>
    <row r="28" spans="4:16" x14ac:dyDescent="0.45">
      <c r="D28" s="912" t="s">
        <v>353</v>
      </c>
      <c r="E28" s="34" t="str">
        <f>IF(H28="","","2014")</f>
        <v/>
      </c>
      <c r="F28" s="34" t="str">
        <f t="shared" si="6"/>
        <v/>
      </c>
      <c r="G28" s="34" t="str">
        <f t="shared" ref="G28:G57" si="7">IF(H28="","","6")</f>
        <v/>
      </c>
      <c r="H28" s="173" t="str">
        <f>IF(A3="relevant",IF('Matrix-Colon'!C24="","",IF('Matrix-Colon'!C24&lt;Berechnung2!$G$35,Berechnung2!$L$35,"")),"")</f>
        <v/>
      </c>
      <c r="I28" s="172" t="str">
        <f>IF(H28="","",VLOOKUP(F28,Berechnung2!$I$15:$J$25,2,FALSE))</f>
        <v/>
      </c>
      <c r="J28" s="237" t="str">
        <f t="shared" si="2"/>
        <v/>
      </c>
      <c r="L28" s="94" t="str">
        <f t="array" aca="1" ref="L28" ca="1">IF(ROW()-ROW($F$2:$F$57)+1&gt;ROWS($E$2:$E$57)-COUNTBLANK($E$2:$E$57),"",INDIRECT(ADDRESS(SMALL((IF($E$2:$E$57&gt;"",ROW($E$2:$E$57),ROW()+ROWS($E$2:$E$57))),ROW()-ROW($F$2:$F$57)+1),COLUMN($E$2:$E$57),4)))</f>
        <v/>
      </c>
      <c r="M28" s="94" t="str">
        <f t="array" aca="1" ref="M28" ca="1">IF(ROW()-ROW($G$2:$G$57)+1&gt;ROWS($F$2:$F$57)-COUNTBLANK($F$2:$F$57),"",INDIRECT(ADDRESS(SMALL((IF($F$2:$F$57&lt;&gt;"",ROW($F$2:$F$57),ROW()+ROWS($F$2:$F$57))),ROW()-ROW($G$2:$G$57)+1),COLUMN($F$2:$F$57),4)))</f>
        <v/>
      </c>
      <c r="N28" s="94" t="str">
        <f t="array" aca="1" ref="N28" ca="1">IF(ROW()-ROW($H$2:$H$57)+1&gt;ROWS($G$2:$G$57)-COUNTBLANK($G$2:$G$57),"",INDIRECT(ADDRESS(SMALL((IF($G$2:$G$57&lt;&gt;"",ROW($G$2:$G$57),ROW()+ROWS($G$2:$G$57))),ROW()-ROW($H$2:$H$57)+1),COLUMN($G$2:$G$57),4)))</f>
        <v/>
      </c>
      <c r="O28" s="184" t="str">
        <f t="array" aca="1" ref="O28" ca="1">IF(ROW()-ROW($I$2:$I$57)+1&gt;ROWS($H$2:$H$57)-COUNTBLANK($H$2:$H$57),"",INDIRECT(ADDRESS(SMALL((IF($H$2:$H$57&lt;&gt;"",ROW($H$2:$H$57),ROW()+ROWS($H$2:$H$57))),ROW()-ROW($I$2:$I$57)+1),COLUMN($H$2:$H$57),4)))</f>
        <v/>
      </c>
      <c r="P28" s="184" t="str">
        <f t="array" aca="1" ref="P28" ca="1">IF(ROW()-ROW($J$2:$J$57)+1&gt;ROWS($I$2:$I$57)-COUNTBLANK($I$2:$I$57),"",INDIRECT(ADDRESS(SMALL((IF($I$2:$I$57&lt;&gt;"",ROW($I$2:$I$57),ROW()+ROWS($I$2:$I$57))),ROW()-ROW($J$2:$J$57)+1),COLUMN($I$2:$I$57),4)))</f>
        <v/>
      </c>
    </row>
    <row r="29" spans="4:16" x14ac:dyDescent="0.45">
      <c r="D29" s="912"/>
      <c r="E29" s="34" t="str">
        <f>IF(H29="","","2015")</f>
        <v/>
      </c>
      <c r="F29" s="34" t="str">
        <f t="shared" si="6"/>
        <v/>
      </c>
      <c r="G29" s="34" t="str">
        <f t="shared" si="7"/>
        <v/>
      </c>
      <c r="H29" s="173" t="str">
        <f>IF(A4="relevant",IF('Matrix-Colon'!C25="","",IF('Matrix-Colon'!C25&lt;Berechnung2!$G$35,Berechnung2!$L$35,"")),"")</f>
        <v/>
      </c>
      <c r="I29" s="172" t="str">
        <f>IF(H29="","",VLOOKUP(F29,Berechnung2!$I$15:$J$25,2,FALSE))</f>
        <v/>
      </c>
      <c r="J29" s="237" t="str">
        <f t="shared" si="2"/>
        <v/>
      </c>
      <c r="L29" s="94" t="str">
        <f t="array" aca="1" ref="L29" ca="1">IF(ROW()-ROW($F$2:$F$57)+1&gt;ROWS($E$2:$E$57)-COUNTBLANK($E$2:$E$57),"",INDIRECT(ADDRESS(SMALL((IF($E$2:$E$57&gt;"",ROW($E$2:$E$57),ROW()+ROWS($E$2:$E$57))),ROW()-ROW($F$2:$F$57)+1),COLUMN($E$2:$E$57),4)))</f>
        <v/>
      </c>
      <c r="M29" s="94" t="str">
        <f t="array" aca="1" ref="M29" ca="1">IF(ROW()-ROW($G$2:$G$57)+1&gt;ROWS($F$2:$F$57)-COUNTBLANK($F$2:$F$57),"",INDIRECT(ADDRESS(SMALL((IF($F$2:$F$57&lt;&gt;"",ROW($F$2:$F$57),ROW()+ROWS($F$2:$F$57))),ROW()-ROW($G$2:$G$57)+1),COLUMN($F$2:$F$57),4)))</f>
        <v/>
      </c>
      <c r="N29" s="94" t="str">
        <f t="array" aca="1" ref="N29" ca="1">IF(ROW()-ROW($H$2:$H$57)+1&gt;ROWS($G$2:$G$57)-COUNTBLANK($G$2:$G$57),"",INDIRECT(ADDRESS(SMALL((IF($G$2:$G$57&lt;&gt;"",ROW($G$2:$G$57),ROW()+ROWS($G$2:$G$57))),ROW()-ROW($H$2:$H$57)+1),COLUMN($G$2:$G$57),4)))</f>
        <v/>
      </c>
      <c r="O29" s="184" t="str">
        <f t="array" aca="1" ref="O29" ca="1">IF(ROW()-ROW($I$2:$I$57)+1&gt;ROWS($H$2:$H$57)-COUNTBLANK($H$2:$H$57),"",INDIRECT(ADDRESS(SMALL((IF($H$2:$H$57&lt;&gt;"",ROW($H$2:$H$57),ROW()+ROWS($H$2:$H$57))),ROW()-ROW($I$2:$I$57)+1),COLUMN($H$2:$H$57),4)))</f>
        <v/>
      </c>
      <c r="P29" s="184" t="str">
        <f t="array" aca="1" ref="P29" ca="1">IF(ROW()-ROW($J$2:$J$57)+1&gt;ROWS($I$2:$I$57)-COUNTBLANK($I$2:$I$57),"",INDIRECT(ADDRESS(SMALL((IF($I$2:$I$57&lt;&gt;"",ROW($I$2:$I$57),ROW()+ROWS($I$2:$I$57))),ROW()-ROW($J$2:$J$57)+1),COLUMN($I$2:$I$57),4)))</f>
        <v/>
      </c>
    </row>
    <row r="30" spans="4:16" x14ac:dyDescent="0.45">
      <c r="D30" s="912"/>
      <c r="E30" s="34" t="str">
        <f>IF(H30="","","2016")</f>
        <v/>
      </c>
      <c r="F30" s="34" t="str">
        <f t="shared" si="6"/>
        <v/>
      </c>
      <c r="G30" s="34" t="str">
        <f t="shared" si="7"/>
        <v/>
      </c>
      <c r="H30" s="173" t="str">
        <f>IF(A5="relevant",IF('Matrix-Colon'!C26="","",IF('Matrix-Colon'!C26&lt;Berechnung2!$G$35,Berechnung2!$L$35,"")),"")</f>
        <v/>
      </c>
      <c r="I30" s="172" t="str">
        <f>IF(H30="","",VLOOKUP(F30,Berechnung2!$I$15:$J$25,2,FALSE))</f>
        <v/>
      </c>
      <c r="J30" s="237" t="str">
        <f t="shared" si="2"/>
        <v/>
      </c>
      <c r="L30" s="94" t="str">
        <f t="array" aca="1" ref="L30" ca="1">IF(ROW()-ROW($F$2:$F$57)+1&gt;ROWS($E$2:$E$57)-COUNTBLANK($E$2:$E$57),"",INDIRECT(ADDRESS(SMALL((IF($E$2:$E$57&gt;"",ROW($E$2:$E$57),ROW()+ROWS($E$2:$E$57))),ROW()-ROW($F$2:$F$57)+1),COLUMN($E$2:$E$57),4)))</f>
        <v/>
      </c>
      <c r="M30" s="94" t="str">
        <f t="array" aca="1" ref="M30" ca="1">IF(ROW()-ROW($G$2:$G$57)+1&gt;ROWS($F$2:$F$57)-COUNTBLANK($F$2:$F$57),"",INDIRECT(ADDRESS(SMALL((IF($F$2:$F$57&lt;&gt;"",ROW($F$2:$F$57),ROW()+ROWS($F$2:$F$57))),ROW()-ROW($G$2:$G$57)+1),COLUMN($F$2:$F$57),4)))</f>
        <v/>
      </c>
      <c r="N30" s="94" t="str">
        <f t="array" aca="1" ref="N30" ca="1">IF(ROW()-ROW($H$2:$H$57)+1&gt;ROWS($G$2:$G$57)-COUNTBLANK($G$2:$G$57),"",INDIRECT(ADDRESS(SMALL((IF($G$2:$G$57&lt;&gt;"",ROW($G$2:$G$57),ROW()+ROWS($G$2:$G$57))),ROW()-ROW($H$2:$H$57)+1),COLUMN($G$2:$G$57),4)))</f>
        <v/>
      </c>
      <c r="O30" s="184" t="str">
        <f t="array" aca="1" ref="O30" ca="1">IF(ROW()-ROW($I$2:$I$57)+1&gt;ROWS($H$2:$H$57)-COUNTBLANK($H$2:$H$57),"",INDIRECT(ADDRESS(SMALL((IF($H$2:$H$57&lt;&gt;"",ROW($H$2:$H$57),ROW()+ROWS($H$2:$H$57))),ROW()-ROW($I$2:$I$57)+1),COLUMN($H$2:$H$57),4)))</f>
        <v/>
      </c>
      <c r="P30" s="184" t="str">
        <f t="array" aca="1" ref="P30" ca="1">IF(ROW()-ROW($J$2:$J$57)+1&gt;ROWS($I$2:$I$57)-COUNTBLANK($I$2:$I$57),"",INDIRECT(ADDRESS(SMALL((IF($I$2:$I$57&lt;&gt;"",ROW($I$2:$I$57),ROW()+ROWS($I$2:$I$57))),ROW()-ROW($J$2:$J$57)+1),COLUMN($I$2:$I$57),4)))</f>
        <v/>
      </c>
    </row>
    <row r="31" spans="4:16" x14ac:dyDescent="0.45">
      <c r="D31" s="912"/>
      <c r="E31" s="34" t="str">
        <f>IF(H31="","","2017")</f>
        <v/>
      </c>
      <c r="F31" s="34" t="str">
        <f t="shared" si="6"/>
        <v/>
      </c>
      <c r="G31" s="34" t="str">
        <f t="shared" si="7"/>
        <v/>
      </c>
      <c r="H31" s="173" t="str">
        <f>IF(A6="relevant",IF('Matrix-Colon'!C27="","",IF('Matrix-Colon'!C27&lt;Berechnung2!$G$35,Berechnung2!$L$35,"")),"")</f>
        <v/>
      </c>
      <c r="I31" s="172" t="str">
        <f>IF(H31="","",VLOOKUP(F31,Berechnung2!$I$15:$J$25,2,FALSE))</f>
        <v/>
      </c>
      <c r="J31" s="237" t="str">
        <f t="shared" si="2"/>
        <v/>
      </c>
      <c r="L31" s="94" t="str">
        <f t="array" aca="1" ref="L31" ca="1">IF(ROW()-ROW($F$2:$F$57)+1&gt;ROWS($E$2:$E$57)-COUNTBLANK($E$2:$E$57),"",INDIRECT(ADDRESS(SMALL((IF($E$2:$E$57&gt;"",ROW($E$2:$E$57),ROW()+ROWS($E$2:$E$57))),ROW()-ROW($F$2:$F$57)+1),COLUMN($E$2:$E$57),4)))</f>
        <v/>
      </c>
      <c r="M31" s="94" t="str">
        <f t="array" aca="1" ref="M31" ca="1">IF(ROW()-ROW($G$2:$G$57)+1&gt;ROWS($F$2:$F$57)-COUNTBLANK($F$2:$F$57),"",INDIRECT(ADDRESS(SMALL((IF($F$2:$F$57&lt;&gt;"",ROW($F$2:$F$57),ROW()+ROWS($F$2:$F$57))),ROW()-ROW($G$2:$G$57)+1),COLUMN($F$2:$F$57),4)))</f>
        <v/>
      </c>
      <c r="N31" s="94" t="str">
        <f t="array" aca="1" ref="N31" ca="1">IF(ROW()-ROW($H$2:$H$57)+1&gt;ROWS($G$2:$G$57)-COUNTBLANK($G$2:$G$57),"",INDIRECT(ADDRESS(SMALL((IF($G$2:$G$57&lt;&gt;"",ROW($G$2:$G$57),ROW()+ROWS($G$2:$G$57))),ROW()-ROW($H$2:$H$57)+1),COLUMN($G$2:$G$57),4)))</f>
        <v/>
      </c>
      <c r="O31" s="184" t="str">
        <f t="array" aca="1" ref="O31" ca="1">IF(ROW()-ROW($I$2:$I$57)+1&gt;ROWS($H$2:$H$57)-COUNTBLANK($H$2:$H$57),"",INDIRECT(ADDRESS(SMALL((IF($H$2:$H$57&lt;&gt;"",ROW($H$2:$H$57),ROW()+ROWS($H$2:$H$57))),ROW()-ROW($I$2:$I$57)+1),COLUMN($H$2:$H$57),4)))</f>
        <v/>
      </c>
      <c r="P31" s="184" t="str">
        <f t="array" aca="1" ref="P31" ca="1">IF(ROW()-ROW($J$2:$J$57)+1&gt;ROWS($I$2:$I$57)-COUNTBLANK($I$2:$I$57),"",INDIRECT(ADDRESS(SMALL((IF($I$2:$I$57&lt;&gt;"",ROW($I$2:$I$57),ROW()+ROWS($I$2:$I$57))),ROW()-ROW($J$2:$J$57)+1),COLUMN($I$2:$I$57),4)))</f>
        <v/>
      </c>
    </row>
    <row r="32" spans="4:16" ht="10.5" thickBot="1" x14ac:dyDescent="0.5">
      <c r="D32" s="142" t="s">
        <v>132</v>
      </c>
      <c r="E32" s="155" t="str">
        <f>IF(H32="","","2018")</f>
        <v/>
      </c>
      <c r="F32" s="155" t="str">
        <f t="shared" si="6"/>
        <v/>
      </c>
      <c r="G32" s="155" t="str">
        <f t="shared" si="7"/>
        <v/>
      </c>
      <c r="H32" s="185" t="str">
        <f>IF(A7="relevant",IF('Matrix-Colon'!C28="","",IF('Matrix-Colon'!C28&lt;Berechnung2!$G$35,Berechnung2!$L$35,"")),"")</f>
        <v/>
      </c>
      <c r="I32" s="219" t="str">
        <f>IF(H32="","",VLOOKUP(F32,Berechnung2!$I$15:$J$25,2,FALSE))</f>
        <v/>
      </c>
      <c r="J32" s="220" t="str">
        <f t="shared" si="2"/>
        <v/>
      </c>
      <c r="L32" s="94" t="str">
        <f t="array" aca="1" ref="L32" ca="1">IF(ROW()-ROW($F$2:$F$57)+1&gt;ROWS($E$2:$E$57)-COUNTBLANK($E$2:$E$57),"",INDIRECT(ADDRESS(SMALL((IF($E$2:$E$57&gt;"",ROW($E$2:$E$57),ROW()+ROWS($E$2:$E$57))),ROW()-ROW($F$2:$F$57)+1),COLUMN($E$2:$E$57),4)))</f>
        <v/>
      </c>
      <c r="M32" s="94" t="str">
        <f t="array" aca="1" ref="M32" ca="1">IF(ROW()-ROW($G$2:$G$57)+1&gt;ROWS($F$2:$F$57)-COUNTBLANK($F$2:$F$57),"",INDIRECT(ADDRESS(SMALL((IF($F$2:$F$57&lt;&gt;"",ROW($F$2:$F$57),ROW()+ROWS($F$2:$F$57))),ROW()-ROW($G$2:$G$57)+1),COLUMN($F$2:$F$57),4)))</f>
        <v/>
      </c>
      <c r="N32" s="94" t="str">
        <f t="array" aca="1" ref="N32" ca="1">IF(ROW()-ROW($H$2:$H$57)+1&gt;ROWS($G$2:$G$57)-COUNTBLANK($G$2:$G$57),"",INDIRECT(ADDRESS(SMALL((IF($G$2:$G$57&lt;&gt;"",ROW($G$2:$G$57),ROW()+ROWS($G$2:$G$57))),ROW()-ROW($H$2:$H$57)+1),COLUMN($G$2:$G$57),4)))</f>
        <v/>
      </c>
      <c r="O32" s="184" t="str">
        <f t="array" aca="1" ref="O32" ca="1">IF(ROW()-ROW($I$2:$I$57)+1&gt;ROWS($H$2:$H$57)-COUNTBLANK($H$2:$H$57),"",INDIRECT(ADDRESS(SMALL((IF($H$2:$H$57&lt;&gt;"",ROW($H$2:$H$57),ROW()+ROWS($H$2:$H$57))),ROW()-ROW($I$2:$I$57)+1),COLUMN($H$2:$H$57),4)))</f>
        <v/>
      </c>
      <c r="P32" s="184" t="str">
        <f t="array" aca="1" ref="P32" ca="1">IF(ROW()-ROW($J$2:$J$57)+1&gt;ROWS($I$2:$I$57)-COUNTBLANK($I$2:$I$57),"",INDIRECT(ADDRESS(SMALL((IF($I$2:$I$57&lt;&gt;"",ROW($I$2:$I$57),ROW()+ROWS($I$2:$I$57))),ROW()-ROW($J$2:$J$57)+1),COLUMN($I$2:$I$57),4)))</f>
        <v/>
      </c>
    </row>
    <row r="33" spans="4:16" ht="20.65" thickBot="1" x14ac:dyDescent="0.5">
      <c r="D33" s="153" t="s">
        <v>133</v>
      </c>
      <c r="E33" s="154" t="str">
        <f>IF(H33="","","2-4 Jahre")</f>
        <v/>
      </c>
      <c r="F33" s="154" t="str">
        <f>IF(H33="","","g")</f>
        <v/>
      </c>
      <c r="G33" s="154" t="str">
        <f t="shared" si="7"/>
        <v/>
      </c>
      <c r="H33" s="221" t="str">
        <f>IF(OR('Matrix-Colon'!M30="-----",'Matrix-Colon'!M30=""),"",IF(ROUND('Matrix-Colon'!M30,4)&gt;Berechnung2!J39,Berechnung2!L39,""))</f>
        <v/>
      </c>
      <c r="I33" s="222" t="str">
        <f>IF(H33="","",VLOOKUP(F33,Berechnung2!$I$15:$J$25,2,FALSE))</f>
        <v/>
      </c>
      <c r="J33" s="223" t="str">
        <f t="shared" si="2"/>
        <v/>
      </c>
      <c r="L33" s="94" t="str">
        <f t="array" aca="1" ref="L33" ca="1">IF(ROW()-ROW($F$2:$F$57)+1&gt;ROWS($E$2:$E$57)-COUNTBLANK($E$2:$E$57),"",INDIRECT(ADDRESS(SMALL((IF($E$2:$E$57&gt;"",ROW($E$2:$E$57),ROW()+ROWS($E$2:$E$57))),ROW()-ROW($F$2:$F$57)+1),COLUMN($E$2:$E$57),4)))</f>
        <v/>
      </c>
      <c r="M33" s="94" t="str">
        <f t="array" aca="1" ref="M33" ca="1">IF(ROW()-ROW($G$2:$G$57)+1&gt;ROWS($F$2:$F$57)-COUNTBLANK($F$2:$F$57),"",INDIRECT(ADDRESS(SMALL((IF($F$2:$F$57&lt;&gt;"",ROW($F$2:$F$57),ROW()+ROWS($F$2:$F$57))),ROW()-ROW($G$2:$G$57)+1),COLUMN($F$2:$F$57),4)))</f>
        <v/>
      </c>
      <c r="N33" s="94" t="str">
        <f t="array" aca="1" ref="N33" ca="1">IF(ROW()-ROW($H$2:$H$57)+1&gt;ROWS($G$2:$G$57)-COUNTBLANK($G$2:$G$57),"",INDIRECT(ADDRESS(SMALL((IF($G$2:$G$57&lt;&gt;"",ROW($G$2:$G$57),ROW()+ROWS($G$2:$G$57))),ROW()-ROW($H$2:$H$57)+1),COLUMN($G$2:$G$57),4)))</f>
        <v/>
      </c>
      <c r="O33" s="184" t="str">
        <f t="array" aca="1" ref="O33" ca="1">IF(ROW()-ROW($I$2:$I$57)+1&gt;ROWS($H$2:$H$57)-COUNTBLANK($H$2:$H$57),"",INDIRECT(ADDRESS(SMALL((IF($H$2:$H$57&lt;&gt;"",ROW($H$2:$H$57),ROW()+ROWS($H$2:$H$57))),ROW()-ROW($I$2:$I$57)+1),COLUMN($H$2:$H$57),4)))</f>
        <v/>
      </c>
      <c r="P33" s="184" t="str">
        <f t="array" aca="1" ref="P33" ca="1">IF(ROW()-ROW($J$2:$J$57)+1&gt;ROWS($I$2:$I$57)-COUNTBLANK($I$2:$I$57),"",INDIRECT(ADDRESS(SMALL((IF($I$2:$I$57&lt;&gt;"",ROW($I$2:$I$57),ROW()+ROWS($I$2:$I$57))),ROW()-ROW($J$2:$J$57)+1),COLUMN($I$2:$I$57),4)))</f>
        <v/>
      </c>
    </row>
    <row r="34" spans="4:16" x14ac:dyDescent="0.45">
      <c r="D34" s="143" t="s">
        <v>307</v>
      </c>
      <c r="E34" s="156" t="str">
        <f>IF(H34="","","2013")</f>
        <v/>
      </c>
      <c r="F34" s="156" t="str">
        <f t="shared" ref="F34:F39" si="8">IF(H34="","","h")</f>
        <v/>
      </c>
      <c r="G34" s="156" t="str">
        <f t="shared" si="7"/>
        <v/>
      </c>
      <c r="H34" s="186" t="str">
        <f>IF(A2="relevant",IF('Matrix-Colon'!M23="","",IF(ROUND('Matrix-Colon'!M23,4)&lt;Berechnung2!$J$37,Berechnung2!$L$37,"")),"")</f>
        <v/>
      </c>
      <c r="I34" s="239" t="str">
        <f>IF(H34="","",VLOOKUP(F34,Berechnung2!$I$15:$J$25,2,FALSE))</f>
        <v/>
      </c>
      <c r="J34" s="238" t="str">
        <f t="shared" si="2"/>
        <v/>
      </c>
      <c r="L34" s="94" t="str">
        <f t="array" aca="1" ref="L34" ca="1">IF(ROW()-ROW($F$2:$F$57)+1&gt;ROWS($E$2:$E$57)-COUNTBLANK($E$2:$E$57),"",INDIRECT(ADDRESS(SMALL((IF($E$2:$E$57&gt;"",ROW($E$2:$E$57),ROW()+ROWS($E$2:$E$57))),ROW()-ROW($F$2:$F$57)+1),COLUMN($E$2:$E$57),4)))</f>
        <v/>
      </c>
      <c r="M34" s="94" t="str">
        <f t="array" aca="1" ref="M34" ca="1">IF(ROW()-ROW($G$2:$G$57)+1&gt;ROWS($F$2:$F$57)-COUNTBLANK($F$2:$F$57),"",INDIRECT(ADDRESS(SMALL((IF($F$2:$F$57&lt;&gt;"",ROW($F$2:$F$57),ROW()+ROWS($F$2:$F$57))),ROW()-ROW($G$2:$G$57)+1),COLUMN($F$2:$F$57),4)))</f>
        <v/>
      </c>
      <c r="N34" s="94" t="str">
        <f t="array" aca="1" ref="N34" ca="1">IF(ROW()-ROW($H$2:$H$57)+1&gt;ROWS($G$2:$G$57)-COUNTBLANK($G$2:$G$57),"",INDIRECT(ADDRESS(SMALL((IF($G$2:$G$57&lt;&gt;"",ROW($G$2:$G$57),ROW()+ROWS($G$2:$G$57))),ROW()-ROW($H$2:$H$57)+1),COLUMN($G$2:$G$57),4)))</f>
        <v/>
      </c>
      <c r="O34" s="184" t="str">
        <f t="array" aca="1" ref="O34" ca="1">IF(ROW()-ROW($I$2:$I$57)+1&gt;ROWS($H$2:$H$57)-COUNTBLANK($H$2:$H$57),"",INDIRECT(ADDRESS(SMALL((IF($H$2:$H$57&lt;&gt;"",ROW($H$2:$H$57),ROW()+ROWS($H$2:$H$57))),ROW()-ROW($I$2:$I$57)+1),COLUMN($H$2:$H$57),4)))</f>
        <v/>
      </c>
      <c r="P34" s="184" t="str">
        <f t="array" aca="1" ref="P34" ca="1">IF(ROW()-ROW($J$2:$J$57)+1&gt;ROWS($I$2:$I$57)-COUNTBLANK($I$2:$I$57),"",INDIRECT(ADDRESS(SMALL((IF($I$2:$I$57&lt;&gt;"",ROW($I$2:$I$57),ROW()+ROWS($I$2:$I$57))),ROW()-ROW($J$2:$J$57)+1),COLUMN($I$2:$I$57),4)))</f>
        <v/>
      </c>
    </row>
    <row r="35" spans="4:16" x14ac:dyDescent="0.45">
      <c r="D35" s="914" t="s">
        <v>32</v>
      </c>
      <c r="E35" s="34" t="str">
        <f>IF(H35="","","2014")</f>
        <v/>
      </c>
      <c r="F35" s="34" t="str">
        <f t="shared" si="8"/>
        <v/>
      </c>
      <c r="G35" s="34" t="str">
        <f t="shared" si="7"/>
        <v/>
      </c>
      <c r="H35" s="173" t="str">
        <f>IF(A3="relevant",IF('Matrix-Colon'!M24="","",IF(ROUND('Matrix-Colon'!M24,4)&lt;Berechnung2!$J$37,Berechnung2!$L$37,"")),"")</f>
        <v/>
      </c>
      <c r="I35" s="172" t="str">
        <f>IF(H35="","",VLOOKUP(F35,Berechnung2!$I$15:$J$25,2,FALSE))</f>
        <v/>
      </c>
      <c r="J35" s="237" t="str">
        <f t="shared" si="2"/>
        <v/>
      </c>
      <c r="L35" s="94" t="str">
        <f t="array" aca="1" ref="L35" ca="1">IF(ROW()-ROW($F$2:$F$57)+1&gt;ROWS($E$2:$E$57)-COUNTBLANK($E$2:$E$57),"",INDIRECT(ADDRESS(SMALL((IF($E$2:$E$57&gt;"",ROW($E$2:$E$57),ROW()+ROWS($E$2:$E$57))),ROW()-ROW($F$2:$F$57)+1),COLUMN($E$2:$E$57),4)))</f>
        <v/>
      </c>
      <c r="M35" s="94" t="str">
        <f t="array" aca="1" ref="M35" ca="1">IF(ROW()-ROW($G$2:$G$57)+1&gt;ROWS($F$2:$F$57)-COUNTBLANK($F$2:$F$57),"",INDIRECT(ADDRESS(SMALL((IF($F$2:$F$57&lt;&gt;"",ROW($F$2:$F$57),ROW()+ROWS($F$2:$F$57))),ROW()-ROW($G$2:$G$57)+1),COLUMN($F$2:$F$57),4)))</f>
        <v/>
      </c>
      <c r="N35" s="94" t="str">
        <f t="array" aca="1" ref="N35" ca="1">IF(ROW()-ROW($H$2:$H$57)+1&gt;ROWS($G$2:$G$57)-COUNTBLANK($G$2:$G$57),"",INDIRECT(ADDRESS(SMALL((IF($G$2:$G$57&lt;&gt;"",ROW($G$2:$G$57),ROW()+ROWS($G$2:$G$57))),ROW()-ROW($H$2:$H$57)+1),COLUMN($G$2:$G$57),4)))</f>
        <v/>
      </c>
      <c r="O35" s="184" t="str">
        <f t="array" aca="1" ref="O35" ca="1">IF(ROW()-ROW($I$2:$I$57)+1&gt;ROWS($H$2:$H$57)-COUNTBLANK($H$2:$H$57),"",INDIRECT(ADDRESS(SMALL((IF($H$2:$H$57&lt;&gt;"",ROW($H$2:$H$57),ROW()+ROWS($H$2:$H$57))),ROW()-ROW($I$2:$I$57)+1),COLUMN($H$2:$H$57),4)))</f>
        <v/>
      </c>
      <c r="P35" s="184" t="str">
        <f t="array" aca="1" ref="P35" ca="1">IF(ROW()-ROW($J$2:$J$57)+1&gt;ROWS($I$2:$I$57)-COUNTBLANK($I$2:$I$57),"",INDIRECT(ADDRESS(SMALL((IF($I$2:$I$57&lt;&gt;"",ROW($I$2:$I$57),ROW()+ROWS($I$2:$I$57))),ROW()-ROW($J$2:$J$57)+1),COLUMN($I$2:$I$57),4)))</f>
        <v/>
      </c>
    </row>
    <row r="36" spans="4:16" x14ac:dyDescent="0.45">
      <c r="D36" s="914"/>
      <c r="E36" s="34" t="str">
        <f>IF(H36="","","2015")</f>
        <v/>
      </c>
      <c r="F36" s="34" t="str">
        <f t="shared" si="8"/>
        <v/>
      </c>
      <c r="G36" s="34" t="str">
        <f t="shared" si="7"/>
        <v/>
      </c>
      <c r="H36" s="173" t="str">
        <f>IF(A4="relevant",IF('Matrix-Colon'!M25="","",IF(ROUND('Matrix-Colon'!M25,4)&lt;Berechnung2!$J$37,Berechnung2!$L$37,"")),"")</f>
        <v/>
      </c>
      <c r="I36" s="172" t="str">
        <f>IF(H36="","",VLOOKUP(F36,Berechnung2!$I$15:$J$25,2,FALSE))</f>
        <v/>
      </c>
      <c r="J36" s="237" t="str">
        <f t="shared" si="2"/>
        <v/>
      </c>
      <c r="L36" s="94" t="str">
        <f t="array" aca="1" ref="L36" ca="1">IF(ROW()-ROW($F$2:$F$57)+1&gt;ROWS($E$2:$E$57)-COUNTBLANK($E$2:$E$57),"",INDIRECT(ADDRESS(SMALL((IF($E$2:$E$57&gt;"",ROW($E$2:$E$57),ROW()+ROWS($E$2:$E$57))),ROW()-ROW($F$2:$F$57)+1),COLUMN($E$2:$E$57),4)))</f>
        <v/>
      </c>
      <c r="M36" s="94" t="str">
        <f t="array" aca="1" ref="M36" ca="1">IF(ROW()-ROW($G$2:$G$57)+1&gt;ROWS($F$2:$F$57)-COUNTBLANK($F$2:$F$57),"",INDIRECT(ADDRESS(SMALL((IF($F$2:$F$57&lt;&gt;"",ROW($F$2:$F$57),ROW()+ROWS($F$2:$F$57))),ROW()-ROW($G$2:$G$57)+1),COLUMN($F$2:$F$57),4)))</f>
        <v/>
      </c>
      <c r="N36" s="94" t="str">
        <f t="array" aca="1" ref="N36" ca="1">IF(ROW()-ROW($H$2:$H$57)+1&gt;ROWS($G$2:$G$57)-COUNTBLANK($G$2:$G$57),"",INDIRECT(ADDRESS(SMALL((IF($G$2:$G$57&lt;&gt;"",ROW($G$2:$G$57),ROW()+ROWS($G$2:$G$57))),ROW()-ROW($H$2:$H$57)+1),COLUMN($G$2:$G$57),4)))</f>
        <v/>
      </c>
      <c r="O36" s="184" t="str">
        <f t="array" aca="1" ref="O36" ca="1">IF(ROW()-ROW($I$2:$I$57)+1&gt;ROWS($H$2:$H$57)-COUNTBLANK($H$2:$H$57),"",INDIRECT(ADDRESS(SMALL((IF($H$2:$H$57&lt;&gt;"",ROW($H$2:$H$57),ROW()+ROWS($H$2:$H$57))),ROW()-ROW($I$2:$I$57)+1),COLUMN($H$2:$H$57),4)))</f>
        <v/>
      </c>
      <c r="P36" s="184" t="str">
        <f t="array" aca="1" ref="P36" ca="1">IF(ROW()-ROW($J$2:$J$57)+1&gt;ROWS($I$2:$I$57)-COUNTBLANK($I$2:$I$57),"",INDIRECT(ADDRESS(SMALL((IF($I$2:$I$57&lt;&gt;"",ROW($I$2:$I$57),ROW()+ROWS($I$2:$I$57))),ROW()-ROW($J$2:$J$57)+1),COLUMN($I$2:$I$57),4)))</f>
        <v/>
      </c>
    </row>
    <row r="37" spans="4:16" x14ac:dyDescent="0.45">
      <c r="D37" s="914"/>
      <c r="E37" s="34" t="str">
        <f>IF(H37="","","2016")</f>
        <v/>
      </c>
      <c r="F37" s="34" t="str">
        <f t="shared" si="8"/>
        <v/>
      </c>
      <c r="G37" s="34" t="str">
        <f t="shared" si="7"/>
        <v/>
      </c>
      <c r="H37" s="173" t="str">
        <f>IF(A5="relevant",IF('Matrix-Colon'!M26="","",IF(ROUND('Matrix-Colon'!M26,4)&lt;Berechnung2!$J$37,Berechnung2!$L$37,"")),"")</f>
        <v/>
      </c>
      <c r="I37" s="172" t="str">
        <f>IF(H37="","",VLOOKUP(F37,Berechnung2!$I$15:$J$25,2,FALSE))</f>
        <v/>
      </c>
      <c r="J37" s="237" t="str">
        <f t="shared" si="2"/>
        <v/>
      </c>
      <c r="L37" s="94" t="str">
        <f t="array" aca="1" ref="L37" ca="1">IF(ROW()-ROW($F$2:$F$57)+1&gt;ROWS($E$2:$E$57)-COUNTBLANK($E$2:$E$57),"",INDIRECT(ADDRESS(SMALL((IF($E$2:$E$57&gt;"",ROW($E$2:$E$57),ROW()+ROWS($E$2:$E$57))),ROW()-ROW($F$2:$F$57)+1),COLUMN($E$2:$E$57),4)))</f>
        <v/>
      </c>
      <c r="M37" s="94" t="str">
        <f t="array" aca="1" ref="M37" ca="1">IF(ROW()-ROW($G$2:$G$57)+1&gt;ROWS($F$2:$F$57)-COUNTBLANK($F$2:$F$57),"",INDIRECT(ADDRESS(SMALL((IF($F$2:$F$57&lt;&gt;"",ROW($F$2:$F$57),ROW()+ROWS($F$2:$F$57))),ROW()-ROW($G$2:$G$57)+1),COLUMN($F$2:$F$57),4)))</f>
        <v/>
      </c>
      <c r="N37" s="94" t="str">
        <f t="array" aca="1" ref="N37" ca="1">IF(ROW()-ROW($H$2:$H$57)+1&gt;ROWS($G$2:$G$57)-COUNTBLANK($G$2:$G$57),"",INDIRECT(ADDRESS(SMALL((IF($G$2:$G$57&lt;&gt;"",ROW($G$2:$G$57),ROW()+ROWS($G$2:$G$57))),ROW()-ROW($H$2:$H$57)+1),COLUMN($G$2:$G$57),4)))</f>
        <v/>
      </c>
      <c r="O37" s="184" t="str">
        <f t="array" aca="1" ref="O37" ca="1">IF(ROW()-ROW($I$2:$I$57)+1&gt;ROWS($H$2:$H$57)-COUNTBLANK($H$2:$H$57),"",INDIRECT(ADDRESS(SMALL((IF($H$2:$H$57&lt;&gt;"",ROW($H$2:$H$57),ROW()+ROWS($H$2:$H$57))),ROW()-ROW($I$2:$I$57)+1),COLUMN($H$2:$H$57),4)))</f>
        <v/>
      </c>
      <c r="P37" s="184" t="str">
        <f t="array" aca="1" ref="P37" ca="1">IF(ROW()-ROW($J$2:$J$57)+1&gt;ROWS($I$2:$I$57)-COUNTBLANK($I$2:$I$57),"",INDIRECT(ADDRESS(SMALL((IF($I$2:$I$57&lt;&gt;"",ROW($I$2:$I$57),ROW()+ROWS($I$2:$I$57))),ROW()-ROW($J$2:$J$57)+1),COLUMN($I$2:$I$57),4)))</f>
        <v/>
      </c>
    </row>
    <row r="38" spans="4:16" x14ac:dyDescent="0.45">
      <c r="D38" s="914"/>
      <c r="E38" s="34" t="str">
        <f>IF(H38="","","2017")</f>
        <v/>
      </c>
      <c r="F38" s="34" t="str">
        <f t="shared" si="8"/>
        <v/>
      </c>
      <c r="G38" s="34" t="str">
        <f t="shared" si="7"/>
        <v/>
      </c>
      <c r="H38" s="173" t="str">
        <f>IF(A6="relevant",IF('Matrix-Colon'!M27="","",IF(ROUND('Matrix-Colon'!M27,4)&lt;Berechnung2!$J$37,Berechnung2!$L$37,"")),"")</f>
        <v/>
      </c>
      <c r="I38" s="172" t="str">
        <f>IF(H38="","",VLOOKUP(F38,Berechnung2!$I$15:$J$25,2,FALSE))</f>
        <v/>
      </c>
      <c r="J38" s="237" t="str">
        <f t="shared" si="2"/>
        <v/>
      </c>
      <c r="L38" s="94" t="str">
        <f t="array" aca="1" ref="L38" ca="1">IF(ROW()-ROW($F$2:$F$57)+1&gt;ROWS($E$2:$E$57)-COUNTBLANK($E$2:$E$57),"",INDIRECT(ADDRESS(SMALL((IF($E$2:$E$57&gt;"",ROW($E$2:$E$57),ROW()+ROWS($E$2:$E$57))),ROW()-ROW($F$2:$F$57)+1),COLUMN($E$2:$E$57),4)))</f>
        <v/>
      </c>
      <c r="M38" s="94" t="str">
        <f t="array" aca="1" ref="M38" ca="1">IF(ROW()-ROW($G$2:$G$57)+1&gt;ROWS($F$2:$F$57)-COUNTBLANK($F$2:$F$57),"",INDIRECT(ADDRESS(SMALL((IF($F$2:$F$57&lt;&gt;"",ROW($F$2:$F$57),ROW()+ROWS($F$2:$F$57))),ROW()-ROW($G$2:$G$57)+1),COLUMN($F$2:$F$57),4)))</f>
        <v/>
      </c>
      <c r="N38" s="94" t="str">
        <f t="array" aca="1" ref="N38" ca="1">IF(ROW()-ROW($H$2:$H$57)+1&gt;ROWS($G$2:$G$57)-COUNTBLANK($G$2:$G$57),"",INDIRECT(ADDRESS(SMALL((IF($G$2:$G$57&lt;&gt;"",ROW($G$2:$G$57),ROW()+ROWS($G$2:$G$57))),ROW()-ROW($H$2:$H$57)+1),COLUMN($G$2:$G$57),4)))</f>
        <v/>
      </c>
      <c r="O38" s="184" t="str">
        <f t="array" aca="1" ref="O38" ca="1">IF(ROW()-ROW($I$2:$I$57)+1&gt;ROWS($H$2:$H$57)-COUNTBLANK($H$2:$H$57),"",INDIRECT(ADDRESS(SMALL((IF($H$2:$H$57&lt;&gt;"",ROW($H$2:$H$57),ROW()+ROWS($H$2:$H$57))),ROW()-ROW($I$2:$I$57)+1),COLUMN($H$2:$H$57),4)))</f>
        <v/>
      </c>
      <c r="P38" s="184" t="str">
        <f t="array" aca="1" ref="P38" ca="1">IF(ROW()-ROW($J$2:$J$57)+1&gt;ROWS($I$2:$I$57)-COUNTBLANK($I$2:$I$57),"",INDIRECT(ADDRESS(SMALL((IF($I$2:$I$57&lt;&gt;"",ROW($I$2:$I$57),ROW()+ROWS($I$2:$I$57))),ROW()-ROW($J$2:$J$57)+1),COLUMN($I$2:$I$57),4)))</f>
        <v/>
      </c>
    </row>
    <row r="39" spans="4:16" ht="10.5" thickBot="1" x14ac:dyDescent="0.5">
      <c r="D39" s="142" t="s">
        <v>134</v>
      </c>
      <c r="E39" s="155" t="str">
        <f>IF(H39="","","2018")</f>
        <v/>
      </c>
      <c r="F39" s="155" t="str">
        <f t="shared" si="8"/>
        <v/>
      </c>
      <c r="G39" s="155" t="str">
        <f t="shared" si="7"/>
        <v/>
      </c>
      <c r="H39" s="185"/>
      <c r="I39" s="219" t="str">
        <f>IF(H39="","",VLOOKUP(F39,Berechnung2!$I$15:$J$25,2,FALSE))</f>
        <v/>
      </c>
      <c r="J39" s="220" t="str">
        <f t="shared" si="2"/>
        <v/>
      </c>
      <c r="L39" s="94" t="str">
        <f t="array" aca="1" ref="L39" ca="1">IF(ROW()-ROW($F$2:$F$57)+1&gt;ROWS($E$2:$E$57)-COUNTBLANK($E$2:$E$57),"",INDIRECT(ADDRESS(SMALL((IF($E$2:$E$57&gt;"",ROW($E$2:$E$57),ROW()+ROWS($E$2:$E$57))),ROW()-ROW($F$2:$F$57)+1),COLUMN($E$2:$E$57),4)))</f>
        <v/>
      </c>
      <c r="M39" s="94" t="str">
        <f t="array" aca="1" ref="M39" ca="1">IF(ROW()-ROW($G$2:$G$57)+1&gt;ROWS($F$2:$F$57)-COUNTBLANK($F$2:$F$57),"",INDIRECT(ADDRESS(SMALL((IF($F$2:$F$57&lt;&gt;"",ROW($F$2:$F$57),ROW()+ROWS($F$2:$F$57))),ROW()-ROW($G$2:$G$57)+1),COLUMN($F$2:$F$57),4)))</f>
        <v/>
      </c>
      <c r="N39" s="94" t="str">
        <f t="array" aca="1" ref="N39" ca="1">IF(ROW()-ROW($H$2:$H$57)+1&gt;ROWS($G$2:$G$57)-COUNTBLANK($G$2:$G$57),"",INDIRECT(ADDRESS(SMALL((IF($G$2:$G$57&lt;&gt;"",ROW($G$2:$G$57),ROW()+ROWS($G$2:$G$57))),ROW()-ROW($H$2:$H$57)+1),COLUMN($G$2:$G$57),4)))</f>
        <v/>
      </c>
      <c r="O39" s="184" t="str">
        <f t="array" aca="1" ref="O39" ca="1">IF(ROW()-ROW($I$2:$I$57)+1&gt;ROWS($H$2:$H$57)-COUNTBLANK($H$2:$H$57),"",INDIRECT(ADDRESS(SMALL((IF($H$2:$H$57&lt;&gt;"",ROW($H$2:$H$57),ROW()+ROWS($H$2:$H$57))),ROW()-ROW($I$2:$I$57)+1),COLUMN($H$2:$H$57),4)))</f>
        <v/>
      </c>
      <c r="P39" s="184" t="str">
        <f t="array" aca="1" ref="P39" ca="1">IF(ROW()-ROW($J$2:$J$57)+1&gt;ROWS($I$2:$I$57)-COUNTBLANK($I$2:$I$57),"",INDIRECT(ADDRESS(SMALL((IF($I$2:$I$57&lt;&gt;"",ROW($I$2:$I$57),ROW()+ROWS($I$2:$I$57))),ROW()-ROW($J$2:$J$57)+1),COLUMN($I$2:$I$57),4)))</f>
        <v/>
      </c>
    </row>
    <row r="40" spans="4:16" x14ac:dyDescent="0.45">
      <c r="D40" s="143" t="s">
        <v>307</v>
      </c>
      <c r="E40" s="156" t="str">
        <f>IF(H40="","","2013")</f>
        <v/>
      </c>
      <c r="F40" s="156" t="str">
        <f t="shared" ref="F40:F45" si="9">IF(H40="","","i")</f>
        <v/>
      </c>
      <c r="G40" s="156" t="str">
        <f t="shared" si="7"/>
        <v/>
      </c>
      <c r="H40" s="186" t="str">
        <f>IF(A2="relevant",IF('Matrix-Colon'!P23="","",IF(AND(ROUND('Matrix-Colon'!P23,4)&lt;Berechnung2!$J$33,(ROUND('Matrix-Colon'!P23,4))&gt;=0),Berechnung2!$L$33,"")),"")</f>
        <v/>
      </c>
      <c r="I40" s="239" t="str">
        <f>IF(H40="","",VLOOKUP(F40,Berechnung2!$I$15:$J$25,2,FALSE))</f>
        <v/>
      </c>
      <c r="J40" s="238" t="str">
        <f t="shared" si="2"/>
        <v/>
      </c>
      <c r="L40" s="94" t="str">
        <f t="array" aca="1" ref="L40" ca="1">IF(ROW()-ROW($F$2:$F$57)+1&gt;ROWS($E$2:$E$57)-COUNTBLANK($E$2:$E$57),"",INDIRECT(ADDRESS(SMALL((IF($E$2:$E$57&gt;"",ROW($E$2:$E$57),ROW()+ROWS($E$2:$E$57))),ROW()-ROW($F$2:$F$57)+1),COLUMN($E$2:$E$57),4)))</f>
        <v/>
      </c>
      <c r="M40" s="94" t="str">
        <f t="array" aca="1" ref="M40" ca="1">IF(ROW()-ROW($G$2:$G$57)+1&gt;ROWS($F$2:$F$57)-COUNTBLANK($F$2:$F$57),"",INDIRECT(ADDRESS(SMALL((IF($F$2:$F$57&lt;&gt;"",ROW($F$2:$F$57),ROW()+ROWS($F$2:$F$57))),ROW()-ROW($G$2:$G$57)+1),COLUMN($F$2:$F$57),4)))</f>
        <v/>
      </c>
      <c r="N40" s="94" t="str">
        <f t="array" aca="1" ref="N40" ca="1">IF(ROW()-ROW($H$2:$H$57)+1&gt;ROWS($G$2:$G$57)-COUNTBLANK($G$2:$G$57),"",INDIRECT(ADDRESS(SMALL((IF($G$2:$G$57&lt;&gt;"",ROW($G$2:$G$57),ROW()+ROWS($G$2:$G$57))),ROW()-ROW($H$2:$H$57)+1),COLUMN($G$2:$G$57),4)))</f>
        <v/>
      </c>
      <c r="O40" s="184" t="str">
        <f t="array" aca="1" ref="O40" ca="1">IF(ROW()-ROW($I$2:$I$57)+1&gt;ROWS($H$2:$H$57)-COUNTBLANK($H$2:$H$57),"",INDIRECT(ADDRESS(SMALL((IF($H$2:$H$57&lt;&gt;"",ROW($H$2:$H$57),ROW()+ROWS($H$2:$H$57))),ROW()-ROW($I$2:$I$57)+1),COLUMN($H$2:$H$57),4)))</f>
        <v/>
      </c>
      <c r="P40" s="184" t="str">
        <f t="array" aca="1" ref="P40" ca="1">IF(ROW()-ROW($J$2:$J$57)+1&gt;ROWS($I$2:$I$57)-COUNTBLANK($I$2:$I$57),"",INDIRECT(ADDRESS(SMALL((IF($I$2:$I$57&lt;&gt;"",ROW($I$2:$I$57),ROW()+ROWS($I$2:$I$57))),ROW()-ROW($J$2:$J$57)+1),COLUMN($I$2:$I$57),4)))</f>
        <v/>
      </c>
    </row>
    <row r="41" spans="4:16" x14ac:dyDescent="0.45">
      <c r="D41" s="914" t="s">
        <v>352</v>
      </c>
      <c r="E41" s="34" t="str">
        <f>IF(H41="","","2014")</f>
        <v/>
      </c>
      <c r="F41" s="34" t="str">
        <f t="shared" si="9"/>
        <v/>
      </c>
      <c r="G41" s="34" t="str">
        <f t="shared" si="7"/>
        <v/>
      </c>
      <c r="H41" s="173" t="str">
        <f>IF(A3="relevant",IF('Matrix-Colon'!P24="","",IF(AND(ROUND('Matrix-Colon'!P24,4)&lt;Berechnung2!$J$33,(ROUND('Matrix-Colon'!P24,4))&gt;=0),Berechnung2!$L$33,"")),"")</f>
        <v/>
      </c>
      <c r="I41" s="172" t="str">
        <f>IF(H41="","",VLOOKUP(F41,Berechnung2!$I$15:$J$25,2,FALSE))</f>
        <v/>
      </c>
      <c r="J41" s="237" t="str">
        <f t="shared" si="2"/>
        <v/>
      </c>
      <c r="L41" s="94" t="str">
        <f t="array" aca="1" ref="L41" ca="1">IF(ROW()-ROW($F$2:$F$57)+1&gt;ROWS($E$2:$E$57)-COUNTBLANK($E$2:$E$57),"",INDIRECT(ADDRESS(SMALL((IF($E$2:$E$57&gt;"",ROW($E$2:$E$57),ROW()+ROWS($E$2:$E$57))),ROW()-ROW($F$2:$F$57)+1),COLUMN($E$2:$E$57),4)))</f>
        <v/>
      </c>
      <c r="M41" s="94" t="str">
        <f t="array" aca="1" ref="M41" ca="1">IF(ROW()-ROW($G$2:$G$57)+1&gt;ROWS($F$2:$F$57)-COUNTBLANK($F$2:$F$57),"",INDIRECT(ADDRESS(SMALL((IF($F$2:$F$57&lt;&gt;"",ROW($F$2:$F$57),ROW()+ROWS($F$2:$F$57))),ROW()-ROW($G$2:$G$57)+1),COLUMN($F$2:$F$57),4)))</f>
        <v/>
      </c>
      <c r="N41" s="94" t="str">
        <f t="array" aca="1" ref="N41" ca="1">IF(ROW()-ROW($H$2:$H$57)+1&gt;ROWS($G$2:$G$57)-COUNTBLANK($G$2:$G$57),"",INDIRECT(ADDRESS(SMALL((IF($G$2:$G$57&lt;&gt;"",ROW($G$2:$G$57),ROW()+ROWS($G$2:$G$57))),ROW()-ROW($H$2:$H$57)+1),COLUMN($G$2:$G$57),4)))</f>
        <v/>
      </c>
      <c r="O41" s="184" t="str">
        <f t="array" aca="1" ref="O41" ca="1">IF(ROW()-ROW($I$2:$I$57)+1&gt;ROWS($H$2:$H$57)-COUNTBLANK($H$2:$H$57),"",INDIRECT(ADDRESS(SMALL((IF($H$2:$H$57&lt;&gt;"",ROW($H$2:$H$57),ROW()+ROWS($H$2:$H$57))),ROW()-ROW($I$2:$I$57)+1),COLUMN($H$2:$H$57),4)))</f>
        <v/>
      </c>
      <c r="P41" s="184" t="str">
        <f t="array" aca="1" ref="P41" ca="1">IF(ROW()-ROW($J$2:$J$57)+1&gt;ROWS($I$2:$I$57)-COUNTBLANK($I$2:$I$57),"",INDIRECT(ADDRESS(SMALL((IF($I$2:$I$57&lt;&gt;"",ROW($I$2:$I$57),ROW()+ROWS($I$2:$I$57))),ROW()-ROW($J$2:$J$57)+1),COLUMN($I$2:$I$57),4)))</f>
        <v/>
      </c>
    </row>
    <row r="42" spans="4:16" x14ac:dyDescent="0.45">
      <c r="D42" s="914"/>
      <c r="E42" s="34" t="str">
        <f>IF(H42="","","2015")</f>
        <v/>
      </c>
      <c r="F42" s="34" t="str">
        <f t="shared" si="9"/>
        <v/>
      </c>
      <c r="G42" s="34" t="str">
        <f t="shared" si="7"/>
        <v/>
      </c>
      <c r="H42" s="173" t="str">
        <f>IF(A4="relevant",IF('Matrix-Colon'!P25="","",IF(AND(ROUND('Matrix-Colon'!P25,4)&lt;Berechnung2!$J$33,(ROUND('Matrix-Colon'!P25,4))&gt;=0),Berechnung2!$L$33,"")),"")</f>
        <v/>
      </c>
      <c r="I42" s="172" t="str">
        <f>IF(H42="","",VLOOKUP(F42,Berechnung2!$I$15:$J$25,2,FALSE))</f>
        <v/>
      </c>
      <c r="J42" s="237" t="str">
        <f t="shared" si="2"/>
        <v/>
      </c>
      <c r="L42" s="94" t="str">
        <f t="array" aca="1" ref="L42" ca="1">IF(ROW()-ROW($F$2:$F$57)+1&gt;ROWS($E$2:$E$57)-COUNTBLANK($E$2:$E$57),"",INDIRECT(ADDRESS(SMALL((IF($E$2:$E$57&gt;"",ROW($E$2:$E$57),ROW()+ROWS($E$2:$E$57))),ROW()-ROW($F$2:$F$57)+1),COLUMN($E$2:$E$57),4)))</f>
        <v/>
      </c>
      <c r="M42" s="94" t="str">
        <f t="array" aca="1" ref="M42" ca="1">IF(ROW()-ROW($G$2:$G$57)+1&gt;ROWS($F$2:$F$57)-COUNTBLANK($F$2:$F$57),"",INDIRECT(ADDRESS(SMALL((IF($F$2:$F$57&lt;&gt;"",ROW($F$2:$F$57),ROW()+ROWS($F$2:$F$57))),ROW()-ROW($G$2:$G$57)+1),COLUMN($F$2:$F$57),4)))</f>
        <v/>
      </c>
      <c r="N42" s="94" t="str">
        <f t="array" aca="1" ref="N42" ca="1">IF(ROW()-ROW($H$2:$H$57)+1&gt;ROWS($G$2:$G$57)-COUNTBLANK($G$2:$G$57),"",INDIRECT(ADDRESS(SMALL((IF($G$2:$G$57&lt;&gt;"",ROW($G$2:$G$57),ROW()+ROWS($G$2:$G$57))),ROW()-ROW($H$2:$H$57)+1),COLUMN($G$2:$G$57),4)))</f>
        <v/>
      </c>
      <c r="O42" s="184" t="str">
        <f t="array" aca="1" ref="O42" ca="1">IF(ROW()-ROW($I$2:$I$57)+1&gt;ROWS($H$2:$H$57)-COUNTBLANK($H$2:$H$57),"",INDIRECT(ADDRESS(SMALL((IF($H$2:$H$57&lt;&gt;"",ROW($H$2:$H$57),ROW()+ROWS($H$2:$H$57))),ROW()-ROW($I$2:$I$57)+1),COLUMN($H$2:$H$57),4)))</f>
        <v/>
      </c>
      <c r="P42" s="184" t="str">
        <f t="array" aca="1" ref="P42" ca="1">IF(ROW()-ROW($J$2:$J$57)+1&gt;ROWS($I$2:$I$57)-COUNTBLANK($I$2:$I$57),"",INDIRECT(ADDRESS(SMALL((IF($I$2:$I$57&lt;&gt;"",ROW($I$2:$I$57),ROW()+ROWS($I$2:$I$57))),ROW()-ROW($J$2:$J$57)+1),COLUMN($I$2:$I$57),4)))</f>
        <v/>
      </c>
    </row>
    <row r="43" spans="4:16" x14ac:dyDescent="0.45">
      <c r="D43" s="914"/>
      <c r="E43" s="34" t="str">
        <f>IF(H43="","","2016")</f>
        <v/>
      </c>
      <c r="F43" s="34" t="str">
        <f t="shared" si="9"/>
        <v/>
      </c>
      <c r="G43" s="34" t="str">
        <f t="shared" si="7"/>
        <v/>
      </c>
      <c r="H43" s="173" t="str">
        <f>IF(A5="relevant",IF('Matrix-Colon'!P26="","",IF(AND(ROUND('Matrix-Colon'!P26,4)&lt;Berechnung2!$J$33,(ROUND('Matrix-Colon'!P26,4))&gt;=0),Berechnung2!$L$33,"")),"")</f>
        <v/>
      </c>
      <c r="I43" s="172" t="str">
        <f>IF(H43="","",VLOOKUP(F43,Berechnung2!$I$15:$J$25,2,FALSE))</f>
        <v/>
      </c>
      <c r="J43" s="237" t="str">
        <f t="shared" si="2"/>
        <v/>
      </c>
      <c r="L43" s="94" t="str">
        <f t="array" aca="1" ref="L43" ca="1">IF(ROW()-ROW($F$2:$F$57)+1&gt;ROWS($E$2:$E$57)-COUNTBLANK($E$2:$E$57),"",INDIRECT(ADDRESS(SMALL((IF($E$2:$E$57&gt;"",ROW($E$2:$E$57),ROW()+ROWS($E$2:$E$57))),ROW()-ROW($F$2:$F$57)+1),COLUMN($E$2:$E$57),4)))</f>
        <v/>
      </c>
      <c r="M43" s="94" t="str">
        <f t="array" aca="1" ref="M43" ca="1">IF(ROW()-ROW($G$2:$G$57)+1&gt;ROWS($F$2:$F$57)-COUNTBLANK($F$2:$F$57),"",INDIRECT(ADDRESS(SMALL((IF($F$2:$F$57&lt;&gt;"",ROW($F$2:$F$57),ROW()+ROWS($F$2:$F$57))),ROW()-ROW($G$2:$G$57)+1),COLUMN($F$2:$F$57),4)))</f>
        <v/>
      </c>
      <c r="N43" s="94" t="str">
        <f t="array" aca="1" ref="N43" ca="1">IF(ROW()-ROW($H$2:$H$57)+1&gt;ROWS($G$2:$G$57)-COUNTBLANK($G$2:$G$57),"",INDIRECT(ADDRESS(SMALL((IF($G$2:$G$57&lt;&gt;"",ROW($G$2:$G$57),ROW()+ROWS($G$2:$G$57))),ROW()-ROW($H$2:$H$57)+1),COLUMN($G$2:$G$57),4)))</f>
        <v/>
      </c>
      <c r="O43" s="184" t="str">
        <f t="array" aca="1" ref="O43" ca="1">IF(ROW()-ROW($I$2:$I$57)+1&gt;ROWS($H$2:$H$57)-COUNTBLANK($H$2:$H$57),"",INDIRECT(ADDRESS(SMALL((IF($H$2:$H$57&lt;&gt;"",ROW($H$2:$H$57),ROW()+ROWS($H$2:$H$57))),ROW()-ROW($I$2:$I$57)+1),COLUMN($H$2:$H$57),4)))</f>
        <v/>
      </c>
      <c r="P43" s="184" t="str">
        <f t="array" aca="1" ref="P43" ca="1">IF(ROW()-ROW($J$2:$J$57)+1&gt;ROWS($I$2:$I$57)-COUNTBLANK($I$2:$I$57),"",INDIRECT(ADDRESS(SMALL((IF($I$2:$I$57&lt;&gt;"",ROW($I$2:$I$57),ROW()+ROWS($I$2:$I$57))),ROW()-ROW($J$2:$J$57)+1),COLUMN($I$2:$I$57),4)))</f>
        <v/>
      </c>
    </row>
    <row r="44" spans="4:16" x14ac:dyDescent="0.45">
      <c r="D44" s="914"/>
      <c r="E44" s="34" t="str">
        <f>IF(H44="","","2017")</f>
        <v/>
      </c>
      <c r="F44" s="34" t="str">
        <f t="shared" si="9"/>
        <v/>
      </c>
      <c r="G44" s="34" t="str">
        <f t="shared" si="7"/>
        <v/>
      </c>
      <c r="H44" s="173" t="str">
        <f>IF(A6="relevant",IF('Matrix-Colon'!P27="","",IF(AND(ROUND('Matrix-Colon'!P27,4)&lt;Berechnung2!$J$33,(ROUND('Matrix-Colon'!P27,4))&gt;=0),Berechnung2!$L$33,"")),"")</f>
        <v/>
      </c>
      <c r="I44" s="172" t="str">
        <f>IF(H44="","",VLOOKUP(F44,Berechnung2!$I$15:$J$25,2,FALSE))</f>
        <v/>
      </c>
      <c r="J44" s="237" t="str">
        <f t="shared" si="2"/>
        <v/>
      </c>
      <c r="L44" s="94" t="str">
        <f t="array" aca="1" ref="L44" ca="1">IF(ROW()-ROW($F$2:$F$57)+1&gt;ROWS($E$2:$E$57)-COUNTBLANK($E$2:$E$57),"",INDIRECT(ADDRESS(SMALL((IF($E$2:$E$57&gt;"",ROW($E$2:$E$57),ROW()+ROWS($E$2:$E$57))),ROW()-ROW($F$2:$F$57)+1),COLUMN($E$2:$E$57),4)))</f>
        <v/>
      </c>
      <c r="M44" s="94" t="str">
        <f t="array" aca="1" ref="M44" ca="1">IF(ROW()-ROW($G$2:$G$57)+1&gt;ROWS($F$2:$F$57)-COUNTBLANK($F$2:$F$57),"",INDIRECT(ADDRESS(SMALL((IF($F$2:$F$57&lt;&gt;"",ROW($F$2:$F$57),ROW()+ROWS($F$2:$F$57))),ROW()-ROW($G$2:$G$57)+1),COLUMN($F$2:$F$57),4)))</f>
        <v/>
      </c>
      <c r="N44" s="94" t="str">
        <f t="array" aca="1" ref="N44" ca="1">IF(ROW()-ROW($H$2:$H$57)+1&gt;ROWS($G$2:$G$57)-COUNTBLANK($G$2:$G$57),"",INDIRECT(ADDRESS(SMALL((IF($G$2:$G$57&lt;&gt;"",ROW($G$2:$G$57),ROW()+ROWS($G$2:$G$57))),ROW()-ROW($H$2:$H$57)+1),COLUMN($G$2:$G$57),4)))</f>
        <v/>
      </c>
      <c r="O44" s="184" t="str">
        <f t="array" aca="1" ref="O44" ca="1">IF(ROW()-ROW($I$2:$I$57)+1&gt;ROWS($H$2:$H$57)-COUNTBLANK($H$2:$H$57),"",INDIRECT(ADDRESS(SMALL((IF($H$2:$H$57&lt;&gt;"",ROW($H$2:$H$57),ROW()+ROWS($H$2:$H$57))),ROW()-ROW($I$2:$I$57)+1),COLUMN($H$2:$H$57),4)))</f>
        <v/>
      </c>
      <c r="P44" s="184" t="str">
        <f t="array" aca="1" ref="P44" ca="1">IF(ROW()-ROW($J$2:$J$57)+1&gt;ROWS($I$2:$I$57)-COUNTBLANK($I$2:$I$57),"",INDIRECT(ADDRESS(SMALL((IF($I$2:$I$57&lt;&gt;"",ROW($I$2:$I$57),ROW()+ROWS($I$2:$I$57))),ROW()-ROW($J$2:$J$57)+1),COLUMN($I$2:$I$57),4)))</f>
        <v/>
      </c>
    </row>
    <row r="45" spans="4:16" ht="10.5" thickBot="1" x14ac:dyDescent="0.5">
      <c r="D45" s="142" t="s">
        <v>135</v>
      </c>
      <c r="E45" s="155" t="str">
        <f>IF(H45="","","2018")</f>
        <v/>
      </c>
      <c r="F45" s="155" t="str">
        <f t="shared" si="9"/>
        <v/>
      </c>
      <c r="G45" s="155" t="str">
        <f t="shared" si="7"/>
        <v/>
      </c>
      <c r="H45" s="189"/>
      <c r="I45" s="219" t="str">
        <f>IF(H45="","",VLOOKUP(F45,Berechnung2!$I$15:$J$25,2,FALSE))</f>
        <v/>
      </c>
      <c r="J45" s="220" t="str">
        <f t="shared" si="2"/>
        <v/>
      </c>
      <c r="L45" s="94" t="str">
        <f t="array" aca="1" ref="L45" ca="1">IF(ROW()-ROW($F$2:$F$57)+1&gt;ROWS($E$2:$E$57)-COUNTBLANK($E$2:$E$57),"",INDIRECT(ADDRESS(SMALL((IF($E$2:$E$57&gt;"",ROW($E$2:$E$57),ROW()+ROWS($E$2:$E$57))),ROW()-ROW($F$2:$F$57)+1),COLUMN($E$2:$E$57),4)))</f>
        <v/>
      </c>
      <c r="M45" s="94" t="str">
        <f t="array" aca="1" ref="M45" ca="1">IF(ROW()-ROW($G$2:$G$57)+1&gt;ROWS($F$2:$F$57)-COUNTBLANK($F$2:$F$57),"",INDIRECT(ADDRESS(SMALL((IF($F$2:$F$57&lt;&gt;"",ROW($F$2:$F$57),ROW()+ROWS($F$2:$F$57))),ROW()-ROW($G$2:$G$57)+1),COLUMN($F$2:$F$57),4)))</f>
        <v/>
      </c>
      <c r="N45" s="94" t="str">
        <f t="array" aca="1" ref="N45" ca="1">IF(ROW()-ROW($H$2:$H$57)+1&gt;ROWS($G$2:$G$57)-COUNTBLANK($G$2:$G$57),"",INDIRECT(ADDRESS(SMALL((IF($G$2:$G$57&lt;&gt;"",ROW($G$2:$G$57),ROW()+ROWS($G$2:$G$57))),ROW()-ROW($H$2:$H$57)+1),COLUMN($G$2:$G$57),4)))</f>
        <v/>
      </c>
      <c r="O45" s="184" t="str">
        <f t="array" aca="1" ref="O45" ca="1">IF(ROW()-ROW($I$2:$I$57)+1&gt;ROWS($H$2:$H$57)-COUNTBLANK($H$2:$H$57),"",INDIRECT(ADDRESS(SMALL((IF($H$2:$H$57&lt;&gt;"",ROW($H$2:$H$57),ROW()+ROWS($H$2:$H$57))),ROW()-ROW($I$2:$I$57)+1),COLUMN($H$2:$H$57),4)))</f>
        <v/>
      </c>
      <c r="P45" s="184" t="str">
        <f t="array" aca="1" ref="P45" ca="1">IF(ROW()-ROW($J$2:$J$57)+1&gt;ROWS($I$2:$I$57)-COUNTBLANK($I$2:$I$57),"",INDIRECT(ADDRESS(SMALL((IF($I$2:$I$57&lt;&gt;"",ROW($I$2:$I$57),ROW()+ROWS($I$2:$I$57))),ROW()-ROW($J$2:$J$57)+1),COLUMN($I$2:$I$57),4)))</f>
        <v/>
      </c>
    </row>
    <row r="46" spans="4:16" x14ac:dyDescent="0.45">
      <c r="D46" s="143" t="s">
        <v>307</v>
      </c>
      <c r="E46" s="156" t="str">
        <f>IF(H46="","","2013")</f>
        <v/>
      </c>
      <c r="F46" s="156" t="str">
        <f t="shared" ref="F46:F51" si="10">IF(H46="","","j")</f>
        <v/>
      </c>
      <c r="G46" s="156" t="str">
        <f t="shared" si="7"/>
        <v/>
      </c>
      <c r="H46" s="186" t="str">
        <f>IF(A2="relevant",IF('Matrix-Colon'!Y23="","",IF(AND(ROUND('Matrix-Colon'!Y23,4)&gt;=Berechnung2!E47,ROUND('Matrix-Colon'!Y23,4)&lt;=Berechnung2!G47),Berechnung2!L47,IF(ROUND('Matrix-Colon'!Y23,4)&gt;Berechnung2!J47,Berechnung2!M47,""))),"")</f>
        <v/>
      </c>
      <c r="I46" s="239" t="str">
        <f>IF(H46="","",VLOOKUP(F46,Berechnung2!$I$15:$J$25,2,FALSE))</f>
        <v/>
      </c>
      <c r="J46" s="238" t="str">
        <f t="shared" si="2"/>
        <v/>
      </c>
      <c r="L46" s="94" t="str">
        <f t="array" aca="1" ref="L46" ca="1">IF(ROW()-ROW($F$2:$F$57)+1&gt;ROWS($E$2:$E$57)-COUNTBLANK($E$2:$E$57),"",INDIRECT(ADDRESS(SMALL((IF($E$2:$E$57&gt;"",ROW($E$2:$E$57),ROW()+ROWS($E$2:$E$57))),ROW()-ROW($F$2:$F$57)+1),COLUMN($E$2:$E$57),4)))</f>
        <v/>
      </c>
      <c r="M46" s="94" t="str">
        <f t="array" aca="1" ref="M46" ca="1">IF(ROW()-ROW($G$2:$G$57)+1&gt;ROWS($F$2:$F$57)-COUNTBLANK($F$2:$F$57),"",INDIRECT(ADDRESS(SMALL((IF($F$2:$F$57&lt;&gt;"",ROW($F$2:$F$57),ROW()+ROWS($F$2:$F$57))),ROW()-ROW($G$2:$G$57)+1),COLUMN($F$2:$F$57),4)))</f>
        <v/>
      </c>
      <c r="N46" s="94" t="str">
        <f t="array" aca="1" ref="N46" ca="1">IF(ROW()-ROW($H$2:$H$57)+1&gt;ROWS($G$2:$G$57)-COUNTBLANK($G$2:$G$57),"",INDIRECT(ADDRESS(SMALL((IF($G$2:$G$57&lt;&gt;"",ROW($G$2:$G$57),ROW()+ROWS($G$2:$G$57))),ROW()-ROW($H$2:$H$57)+1),COLUMN($G$2:$G$57),4)))</f>
        <v/>
      </c>
      <c r="O46" s="184" t="str">
        <f t="array" aca="1" ref="O46" ca="1">IF(ROW()-ROW($I$2:$I$57)+1&gt;ROWS($H$2:$H$57)-COUNTBLANK($H$2:$H$57),"",INDIRECT(ADDRESS(SMALL((IF($H$2:$H$57&lt;&gt;"",ROW($H$2:$H$57),ROW()+ROWS($H$2:$H$57))),ROW()-ROW($I$2:$I$57)+1),COLUMN($H$2:$H$57),4)))</f>
        <v/>
      </c>
      <c r="P46" s="184" t="str">
        <f t="array" aca="1" ref="P46" ca="1">IF(ROW()-ROW($J$2:$J$57)+1&gt;ROWS($I$2:$I$57)-COUNTBLANK($I$2:$I$57),"",INDIRECT(ADDRESS(SMALL((IF($I$2:$I$57&lt;&gt;"",ROW($I$2:$I$57),ROW()+ROWS($I$2:$I$57))),ROW()-ROW($J$2:$J$57)+1),COLUMN($I$2:$I$57),4)))</f>
        <v/>
      </c>
    </row>
    <row r="47" spans="4:16" x14ac:dyDescent="0.45">
      <c r="D47" s="912" t="s">
        <v>357</v>
      </c>
      <c r="E47" s="34" t="str">
        <f>IF(H47="","","2014")</f>
        <v/>
      </c>
      <c r="F47" s="34" t="str">
        <f t="shared" si="10"/>
        <v/>
      </c>
      <c r="G47" s="34" t="str">
        <f t="shared" si="7"/>
        <v/>
      </c>
      <c r="H47" s="173" t="str">
        <f>IF(A3="relevant",IF('Matrix-Colon'!Y24="","",IF(AND(ROUND('Matrix-Colon'!Y24,4)&gt;=Berechnung2!E48,ROUND('Matrix-Colon'!Y24,4)&lt;=Berechnung2!G48),Berechnung2!L48,IF(ROUND('Matrix-Colon'!Y24,4)&gt;Berechnung2!J48,Berechnung2!M48,""))),"")</f>
        <v/>
      </c>
      <c r="I47" s="172" t="str">
        <f>IF(H47="","",VLOOKUP(F47,Berechnung2!$I$15:$J$25,2,FALSE))</f>
        <v/>
      </c>
      <c r="J47" s="237" t="str">
        <f t="shared" si="2"/>
        <v/>
      </c>
      <c r="L47" s="94" t="str">
        <f t="array" aca="1" ref="L47" ca="1">IF(ROW()-ROW($F$2:$F$57)+1&gt;ROWS($E$2:$E$57)-COUNTBLANK($E$2:$E$57),"",INDIRECT(ADDRESS(SMALL((IF($E$2:$E$57&gt;"",ROW($E$2:$E$57),ROW()+ROWS($E$2:$E$57))),ROW()-ROW($F$2:$F$57)+1),COLUMN($E$2:$E$57),4)))</f>
        <v/>
      </c>
      <c r="M47" s="94" t="str">
        <f t="array" aca="1" ref="M47" ca="1">IF(ROW()-ROW($G$2:$G$57)+1&gt;ROWS($F$2:$F$57)-COUNTBLANK($F$2:$F$57),"",INDIRECT(ADDRESS(SMALL((IF($F$2:$F$57&lt;&gt;"",ROW($F$2:$F$57),ROW()+ROWS($F$2:$F$57))),ROW()-ROW($G$2:$G$57)+1),COLUMN($F$2:$F$57),4)))</f>
        <v/>
      </c>
      <c r="N47" s="94" t="str">
        <f t="array" aca="1" ref="N47" ca="1">IF(ROW()-ROW($H$2:$H$57)+1&gt;ROWS($G$2:$G$57)-COUNTBLANK($G$2:$G$57),"",INDIRECT(ADDRESS(SMALL((IF($G$2:$G$57&lt;&gt;"",ROW($G$2:$G$57),ROW()+ROWS($G$2:$G$57))),ROW()-ROW($H$2:$H$57)+1),COLUMN($G$2:$G$57),4)))</f>
        <v/>
      </c>
      <c r="O47" s="184" t="str">
        <f t="array" aca="1" ref="O47" ca="1">IF(ROW()-ROW($I$2:$I$57)+1&gt;ROWS($H$2:$H$57)-COUNTBLANK($H$2:$H$57),"",INDIRECT(ADDRESS(SMALL((IF($H$2:$H$57&lt;&gt;"",ROW($H$2:$H$57),ROW()+ROWS($H$2:$H$57))),ROW()-ROW($I$2:$I$57)+1),COLUMN($H$2:$H$57),4)))</f>
        <v/>
      </c>
      <c r="P47" s="184" t="str">
        <f t="array" aca="1" ref="P47" ca="1">IF(ROW()-ROW($J$2:$J$57)+1&gt;ROWS($I$2:$I$57)-COUNTBLANK($I$2:$I$57),"",INDIRECT(ADDRESS(SMALL((IF($I$2:$I$57&lt;&gt;"",ROW($I$2:$I$57),ROW()+ROWS($I$2:$I$57))),ROW()-ROW($J$2:$J$57)+1),COLUMN($I$2:$I$57),4)))</f>
        <v/>
      </c>
    </row>
    <row r="48" spans="4:16" x14ac:dyDescent="0.45">
      <c r="D48" s="912"/>
      <c r="E48" s="34" t="str">
        <f>IF(H48="","","2015")</f>
        <v/>
      </c>
      <c r="F48" s="34" t="str">
        <f t="shared" si="10"/>
        <v/>
      </c>
      <c r="G48" s="34" t="str">
        <f t="shared" si="7"/>
        <v/>
      </c>
      <c r="H48" s="173" t="str">
        <f>IF(A4="relevant",IF('Matrix-Colon'!Y25="","",IF(AND(ROUND('Matrix-Colon'!Y25,4)&gt;=Berechnung2!E49,ROUND('Matrix-Colon'!Y25,4)&lt;=Berechnung2!G49),Berechnung2!L49,IF(ROUND('Matrix-Colon'!Y25,4)&gt;Berechnung2!J49,Berechnung2!M49,""))),"")</f>
        <v/>
      </c>
      <c r="I48" s="172" t="str">
        <f>IF(H48="","",VLOOKUP(F48,Berechnung2!$I$15:$J$25,2,FALSE))</f>
        <v/>
      </c>
      <c r="J48" s="237" t="str">
        <f t="shared" si="2"/>
        <v/>
      </c>
      <c r="L48" s="94" t="str">
        <f t="array" aca="1" ref="L48" ca="1">IF(ROW()-ROW($F$2:$F$57)+1&gt;ROWS($E$2:$E$57)-COUNTBLANK($E$2:$E$57),"",INDIRECT(ADDRESS(SMALL((IF($E$2:$E$57&gt;"",ROW($E$2:$E$57),ROW()+ROWS($E$2:$E$57))),ROW()-ROW($F$2:$F$57)+1),COLUMN($E$2:$E$57),4)))</f>
        <v/>
      </c>
      <c r="M48" s="94" t="str">
        <f t="array" aca="1" ref="M48" ca="1">IF(ROW()-ROW($G$2:$G$57)+1&gt;ROWS($F$2:$F$57)-COUNTBLANK($F$2:$F$57),"",INDIRECT(ADDRESS(SMALL((IF($F$2:$F$57&lt;&gt;"",ROW($F$2:$F$57),ROW()+ROWS($F$2:$F$57))),ROW()-ROW($G$2:$G$57)+1),COLUMN($F$2:$F$57),4)))</f>
        <v/>
      </c>
      <c r="N48" s="94" t="str">
        <f t="array" aca="1" ref="N48" ca="1">IF(ROW()-ROW($H$2:$H$57)+1&gt;ROWS($G$2:$G$57)-COUNTBLANK($G$2:$G$57),"",INDIRECT(ADDRESS(SMALL((IF($G$2:$G$57&lt;&gt;"",ROW($G$2:$G$57),ROW()+ROWS($G$2:$G$57))),ROW()-ROW($H$2:$H$57)+1),COLUMN($G$2:$G$57),4)))</f>
        <v/>
      </c>
      <c r="O48" s="184" t="str">
        <f t="array" aca="1" ref="O48" ca="1">IF(ROW()-ROW($I$2:$I$57)+1&gt;ROWS($H$2:$H$57)-COUNTBLANK($H$2:$H$57),"",INDIRECT(ADDRESS(SMALL((IF($H$2:$H$57&lt;&gt;"",ROW($H$2:$H$57),ROW()+ROWS($H$2:$H$57))),ROW()-ROW($I$2:$I$57)+1),COLUMN($H$2:$H$57),4)))</f>
        <v/>
      </c>
      <c r="P48" s="184" t="str">
        <f t="array" aca="1" ref="P48" ca="1">IF(ROW()-ROW($J$2:$J$57)+1&gt;ROWS($I$2:$I$57)-COUNTBLANK($I$2:$I$57),"",INDIRECT(ADDRESS(SMALL((IF($I$2:$I$57&lt;&gt;"",ROW($I$2:$I$57),ROW()+ROWS($I$2:$I$57))),ROW()-ROW($J$2:$J$57)+1),COLUMN($I$2:$I$57),4)))</f>
        <v/>
      </c>
    </row>
    <row r="49" spans="4:16" x14ac:dyDescent="0.45">
      <c r="D49" s="912"/>
      <c r="E49" s="34" t="str">
        <f>IF(H49="","","2016")</f>
        <v/>
      </c>
      <c r="F49" s="34" t="str">
        <f t="shared" si="10"/>
        <v/>
      </c>
      <c r="G49" s="34" t="str">
        <f t="shared" si="7"/>
        <v/>
      </c>
      <c r="H49" s="173" t="str">
        <f>IF(A5="relevant",IF('Matrix-Colon'!Y26="","",IF(AND(ROUND('Matrix-Colon'!Y26,4)&gt;=Berechnung2!E50,ROUND('Matrix-Colon'!Y26,4)&lt;=Berechnung2!G50),Berechnung2!L50,IF(ROUND('Matrix-Colon'!Y26,4)&gt;Berechnung2!J50,Berechnung2!M50,""))),"")</f>
        <v/>
      </c>
      <c r="I49" s="172" t="str">
        <f>IF(H49="","",VLOOKUP(F49,Berechnung2!$I$15:$J$25,2,FALSE))</f>
        <v/>
      </c>
      <c r="J49" s="237" t="str">
        <f t="shared" si="2"/>
        <v/>
      </c>
      <c r="L49" s="94" t="str">
        <f t="array" aca="1" ref="L49" ca="1">IF(ROW()-ROW($F$2:$F$57)+1&gt;ROWS($E$2:$E$57)-COUNTBLANK($E$2:$E$57),"",INDIRECT(ADDRESS(SMALL((IF($E$2:$E$57&gt;"",ROW($E$2:$E$57),ROW()+ROWS($E$2:$E$57))),ROW()-ROW($F$2:$F$57)+1),COLUMN($E$2:$E$57),4)))</f>
        <v/>
      </c>
      <c r="M49" s="94" t="str">
        <f t="array" aca="1" ref="M49" ca="1">IF(ROW()-ROW($G$2:$G$57)+1&gt;ROWS($F$2:$F$57)-COUNTBLANK($F$2:$F$57),"",INDIRECT(ADDRESS(SMALL((IF($F$2:$F$57&lt;&gt;"",ROW($F$2:$F$57),ROW()+ROWS($F$2:$F$57))),ROW()-ROW($G$2:$G$57)+1),COLUMN($F$2:$F$57),4)))</f>
        <v/>
      </c>
      <c r="N49" s="94" t="str">
        <f t="array" aca="1" ref="N49" ca="1">IF(ROW()-ROW($H$2:$H$57)+1&gt;ROWS($G$2:$G$57)-COUNTBLANK($G$2:$G$57),"",INDIRECT(ADDRESS(SMALL((IF($G$2:$G$57&lt;&gt;"",ROW($G$2:$G$57),ROW()+ROWS($G$2:$G$57))),ROW()-ROW($H$2:$H$57)+1),COLUMN($G$2:$G$57),4)))</f>
        <v/>
      </c>
      <c r="O49" s="184" t="str">
        <f t="array" aca="1" ref="O49" ca="1">IF(ROW()-ROW($I$2:$I$57)+1&gt;ROWS($H$2:$H$57)-COUNTBLANK($H$2:$H$57),"",INDIRECT(ADDRESS(SMALL((IF($H$2:$H$57&lt;&gt;"",ROW($H$2:$H$57),ROW()+ROWS($H$2:$H$57))),ROW()-ROW($I$2:$I$57)+1),COLUMN($H$2:$H$57),4)))</f>
        <v/>
      </c>
      <c r="P49" s="184" t="str">
        <f t="array" aca="1" ref="P49" ca="1">IF(ROW()-ROW($J$2:$J$57)+1&gt;ROWS($I$2:$I$57)-COUNTBLANK($I$2:$I$57),"",INDIRECT(ADDRESS(SMALL((IF($I$2:$I$57&lt;&gt;"",ROW($I$2:$I$57),ROW()+ROWS($I$2:$I$57))),ROW()-ROW($J$2:$J$57)+1),COLUMN($I$2:$I$57),4)))</f>
        <v/>
      </c>
    </row>
    <row r="50" spans="4:16" x14ac:dyDescent="0.45">
      <c r="D50" s="912"/>
      <c r="E50" s="34" t="str">
        <f>IF(H50="","","2017")</f>
        <v/>
      </c>
      <c r="F50" s="34" t="str">
        <f t="shared" si="10"/>
        <v/>
      </c>
      <c r="G50" s="34" t="str">
        <f t="shared" si="7"/>
        <v/>
      </c>
      <c r="H50" s="173" t="str">
        <f>IF(A6="relevant",IF('Matrix-Colon'!Y27="","",IF(AND(ROUND('Matrix-Colon'!Y27,4)&gt;=Berechnung2!E51,ROUND('Matrix-Colon'!Y27,4)&lt;=Berechnung2!G51),Berechnung2!L51,IF(ROUND('Matrix-Colon'!Y27,4)&gt;Berechnung2!J51,Berechnung2!M51,""))),"")</f>
        <v/>
      </c>
      <c r="I50" s="172" t="str">
        <f>IF(H50="","",VLOOKUP(F50,Berechnung2!$I$15:$J$25,2,FALSE))</f>
        <v/>
      </c>
      <c r="J50" s="237" t="str">
        <f t="shared" si="2"/>
        <v/>
      </c>
      <c r="L50" s="94" t="str">
        <f t="array" aca="1" ref="L50" ca="1">IF(ROW()-ROW($F$2:$F$57)+1&gt;ROWS($E$2:$E$57)-COUNTBLANK($E$2:$E$57),"",INDIRECT(ADDRESS(SMALL((IF($E$2:$E$57&gt;"",ROW($E$2:$E$57),ROW()+ROWS($E$2:$E$57))),ROW()-ROW($F$2:$F$57)+1),COLUMN($E$2:$E$57),4)))</f>
        <v/>
      </c>
      <c r="M50" s="94" t="str">
        <f t="array" aca="1" ref="M50" ca="1">IF(ROW()-ROW($G$2:$G$57)+1&gt;ROWS($F$2:$F$57)-COUNTBLANK($F$2:$F$57),"",INDIRECT(ADDRESS(SMALL((IF($F$2:$F$57&lt;&gt;"",ROW($F$2:$F$57),ROW()+ROWS($F$2:$F$57))),ROW()-ROW($G$2:$G$57)+1),COLUMN($F$2:$F$57),4)))</f>
        <v/>
      </c>
      <c r="N50" s="94" t="str">
        <f t="array" aca="1" ref="N50" ca="1">IF(ROW()-ROW($H$2:$H$57)+1&gt;ROWS($G$2:$G$57)-COUNTBLANK($G$2:$G$57),"",INDIRECT(ADDRESS(SMALL((IF($G$2:$G$57&lt;&gt;"",ROW($G$2:$G$57),ROW()+ROWS($G$2:$G$57))),ROW()-ROW($H$2:$H$57)+1),COLUMN($G$2:$G$57),4)))</f>
        <v/>
      </c>
      <c r="O50" s="184" t="str">
        <f t="array" aca="1" ref="O50" ca="1">IF(ROW()-ROW($I$2:$I$57)+1&gt;ROWS($H$2:$H$57)-COUNTBLANK($H$2:$H$57),"",INDIRECT(ADDRESS(SMALL((IF($H$2:$H$57&lt;&gt;"",ROW($H$2:$H$57),ROW()+ROWS($H$2:$H$57))),ROW()-ROW($I$2:$I$57)+1),COLUMN($H$2:$H$57),4)))</f>
        <v/>
      </c>
      <c r="P50" s="184" t="str">
        <f t="array" aca="1" ref="P50" ca="1">IF(ROW()-ROW($J$2:$J$57)+1&gt;ROWS($I$2:$I$57)-COUNTBLANK($I$2:$I$57),"",INDIRECT(ADDRESS(SMALL((IF($I$2:$I$57&lt;&gt;"",ROW($I$2:$I$57),ROW()+ROWS($I$2:$I$57))),ROW()-ROW($J$2:$J$57)+1),COLUMN($I$2:$I$57),4)))</f>
        <v/>
      </c>
    </row>
    <row r="51" spans="4:16" ht="10.5" thickBot="1" x14ac:dyDescent="0.5">
      <c r="D51" s="142" t="s">
        <v>136</v>
      </c>
      <c r="E51" s="155" t="str">
        <f>IF(H51="","","2018")</f>
        <v/>
      </c>
      <c r="F51" s="155" t="str">
        <f t="shared" si="10"/>
        <v/>
      </c>
      <c r="G51" s="155" t="str">
        <f t="shared" si="7"/>
        <v/>
      </c>
      <c r="H51" s="189"/>
      <c r="I51" s="219" t="str">
        <f>IF(H51="","",VLOOKUP(F51,Berechnung2!$I$15:$J$25,2,FALSE))</f>
        <v/>
      </c>
      <c r="J51" s="220" t="str">
        <f t="shared" si="2"/>
        <v/>
      </c>
      <c r="L51" s="94" t="str">
        <f t="array" aca="1" ref="L51" ca="1">IF(ROW()-ROW($F$2:$F$57)+1&gt;ROWS($E$2:$E$57)-COUNTBLANK($E$2:$E$57),"",INDIRECT(ADDRESS(SMALL((IF($E$2:$E$57&gt;"",ROW($E$2:$E$57),ROW()+ROWS($E$2:$E$57))),ROW()-ROW($F$2:$F$57)+1),COLUMN($E$2:$E$57),4)))</f>
        <v/>
      </c>
      <c r="M51" s="94" t="str">
        <f t="array" aca="1" ref="M51" ca="1">IF(ROW()-ROW($G$2:$G$57)+1&gt;ROWS($F$2:$F$57)-COUNTBLANK($F$2:$F$57),"",INDIRECT(ADDRESS(SMALL((IF($F$2:$F$57&lt;&gt;"",ROW($F$2:$F$57),ROW()+ROWS($F$2:$F$57))),ROW()-ROW($G$2:$G$57)+1),COLUMN($F$2:$F$57),4)))</f>
        <v/>
      </c>
      <c r="N51" s="94" t="str">
        <f t="array" aca="1" ref="N51" ca="1">IF(ROW()-ROW($H$2:$H$57)+1&gt;ROWS($G$2:$G$57)-COUNTBLANK($G$2:$G$57),"",INDIRECT(ADDRESS(SMALL((IF($G$2:$G$57&lt;&gt;"",ROW($G$2:$G$57),ROW()+ROWS($G$2:$G$57))),ROW()-ROW($H$2:$H$57)+1),COLUMN($G$2:$G$57),4)))</f>
        <v/>
      </c>
      <c r="O51" s="184" t="str">
        <f t="array" aca="1" ref="O51" ca="1">IF(ROW()-ROW($I$2:$I$57)+1&gt;ROWS($H$2:$H$57)-COUNTBLANK($H$2:$H$57),"",INDIRECT(ADDRESS(SMALL((IF($H$2:$H$57&lt;&gt;"",ROW($H$2:$H$57),ROW()+ROWS($H$2:$H$57))),ROW()-ROW($I$2:$I$57)+1),COLUMN($H$2:$H$57),4)))</f>
        <v/>
      </c>
      <c r="P51" s="184" t="str">
        <f t="array" aca="1" ref="P51" ca="1">IF(ROW()-ROW($J$2:$J$57)+1&gt;ROWS($I$2:$I$57)-COUNTBLANK($I$2:$I$57),"",INDIRECT(ADDRESS(SMALL((IF($I$2:$I$57&lt;&gt;"",ROW($I$2:$I$57),ROW()+ROWS($I$2:$I$57))),ROW()-ROW($J$2:$J$57)+1),COLUMN($I$2:$I$57),4)))</f>
        <v/>
      </c>
    </row>
    <row r="52" spans="4:16" x14ac:dyDescent="0.45">
      <c r="D52" s="143" t="s">
        <v>307</v>
      </c>
      <c r="E52" s="156" t="str">
        <f>IF(H52="","","2013")</f>
        <v/>
      </c>
      <c r="F52" s="156" t="str">
        <f t="shared" ref="F52:F57" si="11">IF(H52="","","k")</f>
        <v/>
      </c>
      <c r="G52" s="156" t="str">
        <f t="shared" si="7"/>
        <v/>
      </c>
      <c r="H52" s="186" t="str">
        <f>IF(A2="relevant",IF('Matrix-Colon'!Z23="","",IF(AND(ROUND('Matrix-Colon'!Z23,4)&gt;=Berechnung2!E56,ROUND('Matrix-Colon'!Z23,4)&lt;=Berechnung2!G56),Berechnung2!L56,IF(ROUND('Matrix-Colon'!Z23,4)&gt;Berechnung2!J56,Berechnung2!M56,""))),"")</f>
        <v/>
      </c>
      <c r="I52" s="239" t="str">
        <f>IF(H52="","",VLOOKUP(F52,Berechnung2!$I$15:$J$25,2,FALSE))</f>
        <v/>
      </c>
      <c r="J52" s="238" t="str">
        <f t="shared" si="2"/>
        <v/>
      </c>
      <c r="L52" s="94" t="str">
        <f t="array" aca="1" ref="L52" ca="1">IF(ROW()-ROW($F$2:$F$57)+1&gt;ROWS($E$2:$E$57)-COUNTBLANK($E$2:$E$57),"",INDIRECT(ADDRESS(SMALL((IF($E$2:$E$57&gt;"",ROW($E$2:$E$57),ROW()+ROWS($E$2:$E$57))),ROW()-ROW($F$2:$F$57)+1),COLUMN($E$2:$E$57),4)))</f>
        <v/>
      </c>
      <c r="M52" s="94" t="str">
        <f t="array" aca="1" ref="M52" ca="1">IF(ROW()-ROW($G$2:$G$57)+1&gt;ROWS($F$2:$F$57)-COUNTBLANK($F$2:$F$57),"",INDIRECT(ADDRESS(SMALL((IF($F$2:$F$57&lt;&gt;"",ROW($F$2:$F$57),ROW()+ROWS($F$2:$F$57))),ROW()-ROW($G$2:$G$57)+1),COLUMN($F$2:$F$57),4)))</f>
        <v/>
      </c>
      <c r="N52" s="94" t="str">
        <f t="array" aca="1" ref="N52" ca="1">IF(ROW()-ROW($H$2:$H$57)+1&gt;ROWS($G$2:$G$57)-COUNTBLANK($G$2:$G$57),"",INDIRECT(ADDRESS(SMALL((IF($G$2:$G$57&lt;&gt;"",ROW($G$2:$G$57),ROW()+ROWS($G$2:$G$57))),ROW()-ROW($H$2:$H$57)+1),COLUMN($G$2:$G$57),4)))</f>
        <v/>
      </c>
      <c r="O52" s="184" t="str">
        <f t="array" aca="1" ref="O52" ca="1">IF(ROW()-ROW($I$2:$I$57)+1&gt;ROWS($H$2:$H$57)-COUNTBLANK($H$2:$H$57),"",INDIRECT(ADDRESS(SMALL((IF($H$2:$H$57&lt;&gt;"",ROW($H$2:$H$57),ROW()+ROWS($H$2:$H$57))),ROW()-ROW($I$2:$I$57)+1),COLUMN($H$2:$H$57),4)))</f>
        <v/>
      </c>
      <c r="P52" s="184" t="str">
        <f t="array" aca="1" ref="P52" ca="1">IF(ROW()-ROW($J$2:$J$57)+1&gt;ROWS($I$2:$I$57)-COUNTBLANK($I$2:$I$57),"",INDIRECT(ADDRESS(SMALL((IF($I$2:$I$57&lt;&gt;"",ROW($I$2:$I$57),ROW()+ROWS($I$2:$I$57))),ROW()-ROW($J$2:$J$57)+1),COLUMN($I$2:$I$57),4)))</f>
        <v/>
      </c>
    </row>
    <row r="53" spans="4:16" x14ac:dyDescent="0.45">
      <c r="D53" s="912" t="s">
        <v>358</v>
      </c>
      <c r="E53" s="34" t="str">
        <f>IF(H53="","","2014")</f>
        <v/>
      </c>
      <c r="F53" s="34" t="str">
        <f t="shared" si="11"/>
        <v/>
      </c>
      <c r="G53" s="34" t="str">
        <f t="shared" si="7"/>
        <v/>
      </c>
      <c r="H53" s="173" t="str">
        <f>IF(A3="relevant",IF('Matrix-Colon'!Z24="","",IF(AND(ROUND('Matrix-Colon'!Z24,4)&gt;=Berechnung2!E57,ROUND('Matrix-Colon'!Z24,4)&lt;=Berechnung2!G57),Berechnung2!L57,IF(ROUND('Matrix-Colon'!Z24,4)&gt;Berechnung2!J57,Berechnung2!M57,""))),"")</f>
        <v/>
      </c>
      <c r="I53" s="172" t="str">
        <f>IF(H53="","",VLOOKUP(F53,Berechnung2!$I$15:$J$25,2,FALSE))</f>
        <v/>
      </c>
      <c r="J53" s="237" t="str">
        <f t="shared" si="2"/>
        <v/>
      </c>
      <c r="L53" s="94" t="str">
        <f t="array" aca="1" ref="L53" ca="1">IF(ROW()-ROW($F$2:$F$57)+1&gt;ROWS($E$2:$E$57)-COUNTBLANK($E$2:$E$57),"",INDIRECT(ADDRESS(SMALL((IF($E$2:$E$57&gt;"",ROW($E$2:$E$57),ROW()+ROWS($E$2:$E$57))),ROW()-ROW($F$2:$F$57)+1),COLUMN($E$2:$E$57),4)))</f>
        <v/>
      </c>
      <c r="M53" s="94" t="str">
        <f t="array" aca="1" ref="M53" ca="1">IF(ROW()-ROW($G$2:$G$57)+1&gt;ROWS($F$2:$F$57)-COUNTBLANK($F$2:$F$57),"",INDIRECT(ADDRESS(SMALL((IF($F$2:$F$57&lt;&gt;"",ROW($F$2:$F$57),ROW()+ROWS($F$2:$F$57))),ROW()-ROW($G$2:$G$57)+1),COLUMN($F$2:$F$57),4)))</f>
        <v/>
      </c>
      <c r="N53" s="94" t="str">
        <f t="array" aca="1" ref="N53" ca="1">IF(ROW()-ROW($H$2:$H$57)+1&gt;ROWS($G$2:$G$57)-COUNTBLANK($G$2:$G$57),"",INDIRECT(ADDRESS(SMALL((IF($G$2:$G$57&lt;&gt;"",ROW($G$2:$G$57),ROW()+ROWS($G$2:$G$57))),ROW()-ROW($H$2:$H$57)+1),COLUMN($G$2:$G$57),4)))</f>
        <v/>
      </c>
      <c r="O53" s="184" t="str">
        <f t="array" aca="1" ref="O53" ca="1">IF(ROW()-ROW($I$2:$I$57)+1&gt;ROWS($H$2:$H$57)-COUNTBLANK($H$2:$H$57),"",INDIRECT(ADDRESS(SMALL((IF($H$2:$H$57&lt;&gt;"",ROW($H$2:$H$57),ROW()+ROWS($H$2:$H$57))),ROW()-ROW($I$2:$I$57)+1),COLUMN($H$2:$H$57),4)))</f>
        <v/>
      </c>
      <c r="P53" s="184" t="str">
        <f t="array" aca="1" ref="P53" ca="1">IF(ROW()-ROW($J$2:$J$57)+1&gt;ROWS($I$2:$I$57)-COUNTBLANK($I$2:$I$57),"",INDIRECT(ADDRESS(SMALL((IF($I$2:$I$57&lt;&gt;"",ROW($I$2:$I$57),ROW()+ROWS($I$2:$I$57))),ROW()-ROW($J$2:$J$57)+1),COLUMN($I$2:$I$57),4)))</f>
        <v/>
      </c>
    </row>
    <row r="54" spans="4:16" x14ac:dyDescent="0.45">
      <c r="D54" s="912"/>
      <c r="E54" s="34" t="str">
        <f>IF(H54="","","2015")</f>
        <v/>
      </c>
      <c r="F54" s="34" t="str">
        <f t="shared" si="11"/>
        <v/>
      </c>
      <c r="G54" s="34" t="str">
        <f t="shared" si="7"/>
        <v/>
      </c>
      <c r="H54" s="173" t="str">
        <f>IF(A4="relevant",IF('Matrix-Colon'!Z25="","",IF(AND(ROUND('Matrix-Colon'!Z25,4)&gt;=Berechnung2!E58,ROUND('Matrix-Colon'!Z25,4)&lt;=Berechnung2!G58),Berechnung2!L58,IF(ROUND('Matrix-Colon'!Z25,4)&gt;Berechnung2!J58,Berechnung2!M58,""))),"")</f>
        <v/>
      </c>
      <c r="I54" s="172" t="str">
        <f>IF(H54="","",VLOOKUP(F54,Berechnung2!$I$15:$J$25,2,FALSE))</f>
        <v/>
      </c>
      <c r="J54" s="237" t="str">
        <f t="shared" si="2"/>
        <v/>
      </c>
      <c r="L54" s="94" t="str">
        <f t="array" aca="1" ref="L54" ca="1">IF(ROW()-ROW($F$2:$F$57)+1&gt;ROWS($E$2:$E$57)-COUNTBLANK($E$2:$E$57),"",INDIRECT(ADDRESS(SMALL((IF($E$2:$E$57&gt;"",ROW($E$2:$E$57),ROW()+ROWS($E$2:$E$57))),ROW()-ROW($F$2:$F$57)+1),COLUMN($E$2:$E$57),4)))</f>
        <v/>
      </c>
      <c r="M54" s="94" t="str">
        <f t="array" aca="1" ref="M54" ca="1">IF(ROW()-ROW($G$2:$G$57)+1&gt;ROWS($F$2:$F$57)-COUNTBLANK($F$2:$F$57),"",INDIRECT(ADDRESS(SMALL((IF($F$2:$F$57&lt;&gt;"",ROW($F$2:$F$57),ROW()+ROWS($F$2:$F$57))),ROW()-ROW($G$2:$G$57)+1),COLUMN($F$2:$F$57),4)))</f>
        <v/>
      </c>
      <c r="N54" s="94" t="str">
        <f t="array" aca="1" ref="N54" ca="1">IF(ROW()-ROW($H$2:$H$57)+1&gt;ROWS($G$2:$G$57)-COUNTBLANK($G$2:$G$57),"",INDIRECT(ADDRESS(SMALL((IF($G$2:$G$57&lt;&gt;"",ROW($G$2:$G$57),ROW()+ROWS($G$2:$G$57))),ROW()-ROW($H$2:$H$57)+1),COLUMN($G$2:$G$57),4)))</f>
        <v/>
      </c>
      <c r="O54" s="184" t="str">
        <f t="array" aca="1" ref="O54" ca="1">IF(ROW()-ROW($I$2:$I$57)+1&gt;ROWS($H$2:$H$57)-COUNTBLANK($H$2:$H$57),"",INDIRECT(ADDRESS(SMALL((IF($H$2:$H$57&lt;&gt;"",ROW($H$2:$H$57),ROW()+ROWS($H$2:$H$57))),ROW()-ROW($I$2:$I$57)+1),COLUMN($H$2:$H$57),4)))</f>
        <v/>
      </c>
      <c r="P54" s="184" t="str">
        <f t="array" aca="1" ref="P54" ca="1">IF(ROW()-ROW($J$2:$J$57)+1&gt;ROWS($I$2:$I$57)-COUNTBLANK($I$2:$I$57),"",INDIRECT(ADDRESS(SMALL((IF($I$2:$I$57&lt;&gt;"",ROW($I$2:$I$57),ROW()+ROWS($I$2:$I$57))),ROW()-ROW($J$2:$J$57)+1),COLUMN($I$2:$I$57),4)))</f>
        <v/>
      </c>
    </row>
    <row r="55" spans="4:16" x14ac:dyDescent="0.45">
      <c r="D55" s="912"/>
      <c r="E55" s="34" t="str">
        <f>IF(H55="","","2016")</f>
        <v/>
      </c>
      <c r="F55" s="34" t="str">
        <f t="shared" si="11"/>
        <v/>
      </c>
      <c r="G55" s="34" t="str">
        <f t="shared" si="7"/>
        <v/>
      </c>
      <c r="H55" s="173" t="str">
        <f>IF(A5="relevant",IF('Matrix-Colon'!Z26="","",IF(AND(ROUND('Matrix-Colon'!Z26,4)&gt;=Berechnung2!E59,ROUND('Matrix-Colon'!Z26,4)&lt;=Berechnung2!G59),Berechnung2!L59,IF(ROUND('Matrix-Colon'!Z26,4)&gt;Berechnung2!J59,Berechnung2!M59,""))),"")</f>
        <v/>
      </c>
      <c r="I55" s="172" t="str">
        <f>IF(H55="","",VLOOKUP(F55,Berechnung2!$I$15:$J$25,2,FALSE))</f>
        <v/>
      </c>
      <c r="J55" s="237" t="str">
        <f t="shared" si="2"/>
        <v/>
      </c>
      <c r="L55" s="94" t="str">
        <f t="array" aca="1" ref="L55" ca="1">IF(ROW()-ROW($F$2:$F$57)+1&gt;ROWS($E$2:$E$57)-COUNTBLANK($E$2:$E$57),"",INDIRECT(ADDRESS(SMALL((IF($E$2:$E$57&gt;"",ROW($E$2:$E$57),ROW()+ROWS($E$2:$E$57))),ROW()-ROW($F$2:$F$57)+1),COLUMN($E$2:$E$57),4)))</f>
        <v/>
      </c>
      <c r="M55" s="94" t="str">
        <f t="array" aca="1" ref="M55" ca="1">IF(ROW()-ROW($G$2:$G$57)+1&gt;ROWS($F$2:$F$57)-COUNTBLANK($F$2:$F$57),"",INDIRECT(ADDRESS(SMALL((IF($F$2:$F$57&lt;&gt;"",ROW($F$2:$F$57),ROW()+ROWS($F$2:$F$57))),ROW()-ROW($G$2:$G$57)+1),COLUMN($F$2:$F$57),4)))</f>
        <v/>
      </c>
      <c r="N55" s="94" t="str">
        <f t="array" aca="1" ref="N55" ca="1">IF(ROW()-ROW($H$2:$H$57)+1&gt;ROWS($G$2:$G$57)-COUNTBLANK($G$2:$G$57),"",INDIRECT(ADDRESS(SMALL((IF($G$2:$G$57&lt;&gt;"",ROW($G$2:$G$57),ROW()+ROWS($G$2:$G$57))),ROW()-ROW($H$2:$H$57)+1),COLUMN($G$2:$G$57),4)))</f>
        <v/>
      </c>
      <c r="O55" s="184" t="str">
        <f t="array" aca="1" ref="O55" ca="1">IF(ROW()-ROW($I$2:$I$57)+1&gt;ROWS($H$2:$H$57)-COUNTBLANK($H$2:$H$57),"",INDIRECT(ADDRESS(SMALL((IF($H$2:$H$57&lt;&gt;"",ROW($H$2:$H$57),ROW()+ROWS($H$2:$H$57))),ROW()-ROW($I$2:$I$57)+1),COLUMN($H$2:$H$57),4)))</f>
        <v/>
      </c>
      <c r="P55" s="184" t="str">
        <f t="array" aca="1" ref="P55" ca="1">IF(ROW()-ROW($J$2:$J$57)+1&gt;ROWS($I$2:$I$57)-COUNTBLANK($I$2:$I$57),"",INDIRECT(ADDRESS(SMALL((IF($I$2:$I$57&lt;&gt;"",ROW($I$2:$I$57),ROW()+ROWS($I$2:$I$57))),ROW()-ROW($J$2:$J$57)+1),COLUMN($I$2:$I$57),4)))</f>
        <v/>
      </c>
    </row>
    <row r="56" spans="4:16" x14ac:dyDescent="0.45">
      <c r="D56" s="912"/>
      <c r="E56" s="34" t="str">
        <f>IF(H56="","","2017")</f>
        <v/>
      </c>
      <c r="F56" s="34" t="str">
        <f t="shared" si="11"/>
        <v/>
      </c>
      <c r="G56" s="34" t="str">
        <f t="shared" si="7"/>
        <v/>
      </c>
      <c r="H56" s="173" t="str">
        <f>IF(A6="relevant",IF('Matrix-Colon'!Z27="","",IF(AND(ROUND('Matrix-Colon'!Z27,4)&gt;=Berechnung2!E60,ROUND('Matrix-Colon'!Z27,4)&lt;=Berechnung2!G60),Berechnung2!L60,IF(ROUND('Matrix-Colon'!Z27,4)&gt;Berechnung2!J60,Berechnung2!M60,""))),"")</f>
        <v/>
      </c>
      <c r="I56" s="172" t="str">
        <f>IF(H56="","",VLOOKUP(F56,Berechnung2!$I$15:$J$25,2,FALSE))</f>
        <v/>
      </c>
      <c r="J56" s="237" t="str">
        <f t="shared" si="2"/>
        <v/>
      </c>
      <c r="L56" s="94" t="str">
        <f t="array" aca="1" ref="L56" ca="1">IF(ROW()-ROW($F$2:$F$57)+1&gt;ROWS($E$2:$E$57)-COUNTBLANK($E$2:$E$57),"",INDIRECT(ADDRESS(SMALL((IF($E$2:$E$57&gt;"",ROW($E$2:$E$57),ROW()+ROWS($E$2:$E$57))),ROW()-ROW($F$2:$F$57)+1),COLUMN($E$2:$E$57),4)))</f>
        <v/>
      </c>
      <c r="M56" s="94" t="str">
        <f t="array" aca="1" ref="M56" ca="1">IF(ROW()-ROW($G$2:$G$57)+1&gt;ROWS($F$2:$F$57)-COUNTBLANK($F$2:$F$57),"",INDIRECT(ADDRESS(SMALL((IF($F$2:$F$57&lt;&gt;"",ROW($F$2:$F$57),ROW()+ROWS($F$2:$F$57))),ROW()-ROW($G$2:$G$57)+1),COLUMN($F$2:$F$57),4)))</f>
        <v/>
      </c>
      <c r="N56" s="94" t="str">
        <f t="array" aca="1" ref="N56" ca="1">IF(ROW()-ROW($H$2:$H$57)+1&gt;ROWS($G$2:$G$57)-COUNTBLANK($G$2:$G$57),"",INDIRECT(ADDRESS(SMALL((IF($G$2:$G$57&lt;&gt;"",ROW($G$2:$G$57),ROW()+ROWS($G$2:$G$57))),ROW()-ROW($H$2:$H$57)+1),COLUMN($G$2:$G$57),4)))</f>
        <v/>
      </c>
      <c r="O56" s="184" t="str">
        <f t="array" aca="1" ref="O56" ca="1">IF(ROW()-ROW($I$2:$I$57)+1&gt;ROWS($H$2:$H$57)-COUNTBLANK($H$2:$H$57),"",INDIRECT(ADDRESS(SMALL((IF($H$2:$H$57&lt;&gt;"",ROW($H$2:$H$57),ROW()+ROWS($H$2:$H$57))),ROW()-ROW($I$2:$I$57)+1),COLUMN($H$2:$H$57),4)))</f>
        <v/>
      </c>
      <c r="P56" s="184" t="str">
        <f t="array" aca="1" ref="P56" ca="1">IF(ROW()-ROW($J$2:$J$57)+1&gt;ROWS($I$2:$I$57)-COUNTBLANK($I$2:$I$57),"",INDIRECT(ADDRESS(SMALL((IF($I$2:$I$57&lt;&gt;"",ROW($I$2:$I$57),ROW()+ROWS($I$2:$I$57))),ROW()-ROW($J$2:$J$57)+1),COLUMN($I$2:$I$57),4)))</f>
        <v/>
      </c>
    </row>
    <row r="57" spans="4:16" ht="10.5" thickBot="1" x14ac:dyDescent="0.5">
      <c r="D57" s="142" t="s">
        <v>137</v>
      </c>
      <c r="E57" s="155" t="str">
        <f>IF(H57="","","2018")</f>
        <v/>
      </c>
      <c r="F57" s="155" t="str">
        <f t="shared" si="11"/>
        <v/>
      </c>
      <c r="G57" s="155" t="str">
        <f t="shared" si="7"/>
        <v/>
      </c>
      <c r="H57" s="189"/>
      <c r="I57" s="219" t="str">
        <f>IF(H57="","",VLOOKUP(F57,Berechnung2!$I$15:$J$25,2,FALSE))</f>
        <v/>
      </c>
      <c r="J57" s="220" t="str">
        <f t="shared" si="2"/>
        <v/>
      </c>
      <c r="L57" s="94" t="str">
        <f t="array" aca="1" ref="L57" ca="1">IF(ROW()-ROW($F$2:$F$57)+1&gt;ROWS($E$2:$E$57)-COUNTBLANK($E$2:$E$57),"",INDIRECT(ADDRESS(SMALL((IF($E$2:$E$57&gt;"",ROW($E$2:$E$57),ROW()+ROWS($E$2:$E$57))),ROW()-ROW($F$2:$F$57)+1),COLUMN($E$2:$E$57),4)))</f>
        <v/>
      </c>
      <c r="M57" s="94" t="str">
        <f t="array" aca="1" ref="M57" ca="1">IF(ROW()-ROW($G$2:$G$57)+1&gt;ROWS($F$2:$F$57)-COUNTBLANK($F$2:$F$57),"",INDIRECT(ADDRESS(SMALL((IF($F$2:$F$57&lt;&gt;"",ROW($F$2:$F$57),ROW()+ROWS($F$2:$F$57))),ROW()-ROW($G$2:$G$57)+1),COLUMN($F$2:$F$57),4)))</f>
        <v/>
      </c>
      <c r="N57" s="94" t="str">
        <f t="array" aca="1" ref="N57" ca="1">IF(ROW()-ROW($H$2:$H$57)+1&gt;ROWS($G$2:$G$57)-COUNTBLANK($G$2:$G$57),"",INDIRECT(ADDRESS(SMALL((IF($G$2:$G$57&lt;&gt;"",ROW($G$2:$G$57),ROW()+ROWS($G$2:$G$57))),ROW()-ROW($H$2:$H$57)+1),COLUMN($G$2:$G$57),4)))</f>
        <v/>
      </c>
      <c r="O57" s="184" t="str">
        <f t="array" aca="1" ref="O57" ca="1">IF(ROW()-ROW($I$2:$I$57)+1&gt;ROWS($H$2:$H$57)-COUNTBLANK($H$2:$H$57),"",INDIRECT(ADDRESS(SMALL((IF($H$2:$H$57&lt;&gt;"",ROW($H$2:$H$57),ROW()+ROWS($H$2:$H$57))),ROW()-ROW($I$2:$I$57)+1),COLUMN($H$2:$H$57),4)))</f>
        <v/>
      </c>
      <c r="P57" s="184" t="str">
        <f t="array" aca="1" ref="P57" ca="1">IF(ROW()-ROW($J$2:$J$57)+1&gt;ROWS($I$2:$I$57)-COUNTBLANK($I$2:$I$57),"",INDIRECT(ADDRESS(SMALL((IF($I$2:$I$57&lt;&gt;"",ROW($I$2:$I$57),ROW()+ROWS($I$2:$I$57))),ROW()-ROW($J$2:$J$57)+1),COLUMN($I$2:$I$57),4)))</f>
        <v/>
      </c>
    </row>
    <row r="59" spans="4:16" x14ac:dyDescent="0.45">
      <c r="I59" s="225" t="s">
        <v>315</v>
      </c>
      <c r="J59" s="226">
        <f>IF(SUM(J2:J7)=0,0,SUM(J2:J7))</f>
        <v>0</v>
      </c>
    </row>
    <row r="60" spans="4:16" x14ac:dyDescent="0.45">
      <c r="I60" s="225" t="s">
        <v>314</v>
      </c>
      <c r="J60" s="227">
        <f>IF(SUM(J8:J25)=0,0,SUM(J8:J25))</f>
        <v>0</v>
      </c>
    </row>
    <row r="61" spans="4:16" x14ac:dyDescent="0.45">
      <c r="I61" s="228" t="s">
        <v>307</v>
      </c>
      <c r="J61" s="229">
        <f>IF(SUM(J27:J57)=0,0,SUM(J27:J57))</f>
        <v>0</v>
      </c>
    </row>
    <row r="62" spans="4:16" x14ac:dyDescent="0.45">
      <c r="I62" s="230" t="s">
        <v>179</v>
      </c>
      <c r="J62" s="231">
        <f>IF(J26="",0,J26)</f>
        <v>0</v>
      </c>
    </row>
  </sheetData>
  <mergeCells count="9">
    <mergeCell ref="D47:D50"/>
    <mergeCell ref="D53:D56"/>
    <mergeCell ref="D28:D31"/>
    <mergeCell ref="D3:D6"/>
    <mergeCell ref="D9:D12"/>
    <mergeCell ref="D15:D18"/>
    <mergeCell ref="D21:D24"/>
    <mergeCell ref="D35:D38"/>
    <mergeCell ref="D41:D44"/>
  </mergeCells>
  <phoneticPr fontId="75" type="noConversion"/>
  <conditionalFormatting sqref="B2:B7">
    <cfRule type="expression" dxfId="134" priority="10" stopIfTrue="1">
      <formula>OR($A2="EZ",$A2="nicht relevant")</formula>
    </cfRule>
  </conditionalFormatting>
  <conditionalFormatting sqref="E2:J7">
    <cfRule type="expression" dxfId="133" priority="9" stopIfTrue="1">
      <formula>OR($A2="EZ",$A2="nicht relevant")</formula>
    </cfRule>
  </conditionalFormatting>
  <conditionalFormatting sqref="E8:J13">
    <cfRule type="expression" dxfId="132" priority="8" stopIfTrue="1">
      <formula>OR($A2="EZ",$A2="nicht relevant")</formula>
    </cfRule>
  </conditionalFormatting>
  <conditionalFormatting sqref="E14:J19">
    <cfRule type="expression" dxfId="131" priority="7" stopIfTrue="1">
      <formula>OR($A2="EZ",$A2="nicht relevant")</formula>
    </cfRule>
  </conditionalFormatting>
  <conditionalFormatting sqref="E20:J25">
    <cfRule type="expression" dxfId="130" priority="6" stopIfTrue="1">
      <formula>OR($A2="EZ",$A2="nicht relevant")</formula>
    </cfRule>
  </conditionalFormatting>
  <conditionalFormatting sqref="E27:J32">
    <cfRule type="expression" dxfId="129" priority="5" stopIfTrue="1">
      <formula>OR($A2="EZ",$A2="nicht relevant")</formula>
    </cfRule>
  </conditionalFormatting>
  <conditionalFormatting sqref="E34:J39">
    <cfRule type="expression" dxfId="128" priority="4" stopIfTrue="1">
      <formula>OR($A2="EZ",$A2="nicht relevant")</formula>
    </cfRule>
  </conditionalFormatting>
  <conditionalFormatting sqref="E40:J45">
    <cfRule type="expression" dxfId="127" priority="3" stopIfTrue="1">
      <formula>OR($A2="EZ",$A2="nicht relevant")</formula>
    </cfRule>
  </conditionalFormatting>
  <conditionalFormatting sqref="E46:J51">
    <cfRule type="expression" dxfId="126" priority="2" stopIfTrue="1">
      <formula>OR($A2="EZ",$A2="nicht relevant")</formula>
    </cfRule>
  </conditionalFormatting>
  <conditionalFormatting sqref="E52:J57">
    <cfRule type="expression" dxfId="125" priority="1" stopIfTrue="1">
      <formula>OR($A2="EZ",$A2="nicht relevant")</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7"/>
  <sheetViews>
    <sheetView showGridLines="0" zoomScaleNormal="100" zoomScaleSheetLayoutView="100" workbookViewId="0">
      <selection activeCell="C19" sqref="C19:G19"/>
    </sheetView>
  </sheetViews>
  <sheetFormatPr baseColWidth="10" defaultColWidth="9" defaultRowHeight="13.5" x14ac:dyDescent="0.35"/>
  <cols>
    <col min="1" max="1" width="14.1328125" style="8" customWidth="1"/>
    <col min="2" max="2" width="22.86328125" style="8" customWidth="1"/>
    <col min="3" max="3" width="20.73046875" style="8" customWidth="1"/>
    <col min="4" max="4" width="24.73046875" style="8" customWidth="1"/>
    <col min="5" max="6" width="21.73046875" style="8" customWidth="1"/>
    <col min="7" max="182" width="11.3984375" style="8" customWidth="1"/>
    <col min="183" max="16384" width="9" style="8"/>
  </cols>
  <sheetData>
    <row r="1" spans="1:14" ht="9.9499999999999993" customHeight="1" x14ac:dyDescent="0.35">
      <c r="B1" s="31"/>
      <c r="E1" s="19"/>
    </row>
    <row r="2" spans="1:14" ht="12.95" customHeight="1" x14ac:dyDescent="0.35">
      <c r="A2" s="26" t="s">
        <v>812</v>
      </c>
      <c r="E2" s="19"/>
    </row>
    <row r="3" spans="1:14" ht="16.899999999999999" x14ac:dyDescent="0.5">
      <c r="A3" s="22" t="s">
        <v>385</v>
      </c>
      <c r="E3" s="19"/>
      <c r="F3" s="20"/>
    </row>
    <row r="4" spans="1:14" ht="16.899999999999999" x14ac:dyDescent="0.5">
      <c r="A4" s="22"/>
      <c r="J4" s="23"/>
    </row>
    <row r="5" spans="1:14" ht="15" customHeight="1" x14ac:dyDescent="0.4">
      <c r="D5" s="15"/>
      <c r="E5" s="15"/>
      <c r="F5" s="15"/>
      <c r="G5" s="15"/>
      <c r="H5" s="15"/>
      <c r="I5" s="15"/>
      <c r="J5" s="23"/>
    </row>
    <row r="6" spans="1:14" s="26" customFormat="1" ht="15" customHeight="1" x14ac:dyDescent="0.45">
      <c r="B6" s="29" t="s">
        <v>359</v>
      </c>
      <c r="C6" s="670" t="str">
        <f>IF('Basic data'!B8=0,"",'Basic data'!B8)</f>
        <v/>
      </c>
      <c r="D6" s="673"/>
      <c r="E6" s="673"/>
      <c r="F6" s="674"/>
      <c r="G6" s="15"/>
      <c r="H6" s="15"/>
      <c r="J6" s="23"/>
      <c r="K6" s="23"/>
      <c r="L6" s="21"/>
      <c r="M6" s="23"/>
      <c r="N6" s="23"/>
    </row>
    <row r="7" spans="1:14" s="26" customFormat="1" ht="6.95" customHeight="1" x14ac:dyDescent="0.4">
      <c r="B7" s="10"/>
      <c r="C7" s="15"/>
      <c r="D7" s="15"/>
      <c r="E7" s="15"/>
      <c r="F7" s="15"/>
      <c r="G7" s="15"/>
      <c r="H7" s="15"/>
      <c r="J7" s="23"/>
      <c r="K7" s="23"/>
      <c r="L7" s="21"/>
      <c r="M7" s="23"/>
      <c r="N7" s="23"/>
    </row>
    <row r="8" spans="1:14" s="26" customFormat="1" ht="15" customHeight="1" x14ac:dyDescent="0.4">
      <c r="B8" s="29" t="s">
        <v>308</v>
      </c>
      <c r="C8" s="38" t="str">
        <f>IF('Basic data'!B6=0,"",'Basic data'!B6)</f>
        <v>Not listed</v>
      </c>
      <c r="D8" s="23"/>
      <c r="E8" s="9" t="s">
        <v>306</v>
      </c>
      <c r="F8" s="37" t="str">
        <f>IF('Basic data'!G12=0,"",'Basic data'!G12)</f>
        <v/>
      </c>
      <c r="H8" s="8"/>
      <c r="J8" s="23"/>
      <c r="K8" s="23"/>
      <c r="L8" s="21"/>
      <c r="M8" s="23"/>
      <c r="N8" s="23"/>
    </row>
    <row r="9" spans="1:14" s="26" customFormat="1" ht="8.25" customHeight="1" x14ac:dyDescent="0.4">
      <c r="B9" s="28"/>
      <c r="C9" s="8"/>
      <c r="E9" s="8"/>
      <c r="I9" s="17"/>
      <c r="J9" s="24"/>
      <c r="K9" s="24"/>
      <c r="L9" s="24"/>
      <c r="M9" s="24"/>
      <c r="N9" s="24"/>
    </row>
    <row r="10" spans="1:14" ht="6.75" customHeight="1" x14ac:dyDescent="0.35">
      <c r="I10" s="18"/>
      <c r="J10" s="33"/>
      <c r="K10" s="33"/>
      <c r="L10" s="33"/>
      <c r="M10" s="33"/>
      <c r="N10" s="33"/>
    </row>
    <row r="11" spans="1:14" ht="13.9" x14ac:dyDescent="0.4">
      <c r="A11" s="32" t="s">
        <v>318</v>
      </c>
    </row>
    <row r="12" spans="1:14" ht="13.5" customHeight="1" x14ac:dyDescent="0.35">
      <c r="B12" s="73" t="str">
        <f>IF(OR(B13="",B13="Matrix kann eingereicht werden"),"In Ordnung",IF(B13="die inkorrekten und unvollständigen Einträge beheben","Nicht in Ordnung"))</f>
        <v>In Ordnung</v>
      </c>
      <c r="C12" s="58" t="s">
        <v>307</v>
      </c>
      <c r="D12" s="39" t="s">
        <v>179</v>
      </c>
      <c r="E12" s="44" t="s">
        <v>314</v>
      </c>
      <c r="F12" s="45" t="s">
        <v>389</v>
      </c>
    </row>
    <row r="13" spans="1:14" ht="18.75" customHeight="1" x14ac:dyDescent="0.35">
      <c r="B13" s="258" t="str">
        <f>Berechnung2!B6</f>
        <v/>
      </c>
      <c r="C13" s="64">
        <f>Berechnung2!C6</f>
        <v>0</v>
      </c>
      <c r="D13" s="65">
        <f>Berechnung2!D6</f>
        <v>0</v>
      </c>
      <c r="E13" s="85">
        <f>Berechnung2!E6</f>
        <v>0</v>
      </c>
      <c r="F13" s="86">
        <f>Berechnung2!F6</f>
        <v>0</v>
      </c>
    </row>
    <row r="14" spans="1:14" s="26" customFormat="1" ht="9.75" customHeight="1" x14ac:dyDescent="0.35">
      <c r="B14" s="16"/>
      <c r="C14" s="16"/>
    </row>
    <row r="15" spans="1:14" s="26" customFormat="1" ht="13.5" customHeight="1" x14ac:dyDescent="0.35">
      <c r="A15" s="47" t="str">
        <f>IF(SUM(C13:F13)&gt;0,IF(A19&gt;"","","FEHLER - Bearbeitungshinweise müssen beachtet werden!!! Siehe Tabellenblatt Matrix ab Zeile 45"),"")</f>
        <v/>
      </c>
      <c r="C15" s="16"/>
    </row>
    <row r="16" spans="1:14" s="26" customFormat="1" ht="6" customHeight="1" x14ac:dyDescent="0.35">
      <c r="B16" s="16"/>
      <c r="C16" s="16"/>
    </row>
    <row r="17" spans="1:7" ht="14.25" customHeight="1" x14ac:dyDescent="0.35">
      <c r="A17" s="915" t="s">
        <v>340</v>
      </c>
      <c r="B17" s="917" t="s">
        <v>265</v>
      </c>
      <c r="C17" s="918" t="s">
        <v>57</v>
      </c>
      <c r="D17" s="919"/>
      <c r="E17" s="919"/>
      <c r="F17" s="919"/>
      <c r="G17" s="920"/>
    </row>
    <row r="18" spans="1:7" ht="10.5" customHeight="1" x14ac:dyDescent="0.35">
      <c r="A18" s="916"/>
      <c r="B18" s="916"/>
      <c r="C18" s="919"/>
      <c r="D18" s="919"/>
      <c r="E18" s="919"/>
      <c r="F18" s="919"/>
      <c r="G18" s="920"/>
    </row>
    <row r="19" spans="1:7" ht="66" customHeight="1" x14ac:dyDescent="0.45">
      <c r="A19" s="34" t="str">
        <f>IF(ISERROR(Berechnung2!G15),"",Berechnung2!G15)</f>
        <v/>
      </c>
      <c r="B19" s="34" t="str">
        <f>IF(ISERROR(Berechnung2!H15),"",Berechnung2!H15)</f>
        <v/>
      </c>
      <c r="C19" s="921"/>
      <c r="D19" s="922"/>
      <c r="E19" s="922"/>
      <c r="F19" s="922"/>
      <c r="G19" s="923"/>
    </row>
    <row r="20" spans="1:7" ht="66" customHeight="1" x14ac:dyDescent="0.45">
      <c r="A20" s="34" t="str">
        <f>IF(ISERROR(Berechnung2!G16),"",Berechnung2!G16)</f>
        <v/>
      </c>
      <c r="B20" s="34" t="str">
        <f>IF(ISERROR(Berechnung2!H16),"",Berechnung2!H16)</f>
        <v/>
      </c>
      <c r="C20" s="921"/>
      <c r="D20" s="922"/>
      <c r="E20" s="922"/>
      <c r="F20" s="922"/>
      <c r="G20" s="924"/>
    </row>
    <row r="21" spans="1:7" ht="66" customHeight="1" x14ac:dyDescent="0.45">
      <c r="A21" s="34" t="str">
        <f>IF(ISERROR(Berechnung2!G17),"",Berechnung2!G17)</f>
        <v/>
      </c>
      <c r="B21" s="34" t="str">
        <f>IF(ISERROR(Berechnung2!H17),"",Berechnung2!H17)</f>
        <v/>
      </c>
      <c r="C21" s="921"/>
      <c r="D21" s="922"/>
      <c r="E21" s="922"/>
      <c r="F21" s="922"/>
      <c r="G21" s="924"/>
    </row>
    <row r="22" spans="1:7" ht="66" customHeight="1" x14ac:dyDescent="0.45">
      <c r="A22" s="34" t="str">
        <f>IF(ISERROR(Berechnung2!G18),"",Berechnung2!G18)</f>
        <v/>
      </c>
      <c r="B22" s="34" t="str">
        <f>IF(ISERROR(Berechnung2!H18),"",Berechnung2!H18)</f>
        <v/>
      </c>
      <c r="C22" s="921"/>
      <c r="D22" s="922"/>
      <c r="E22" s="922"/>
      <c r="F22" s="922"/>
      <c r="G22" s="924"/>
    </row>
    <row r="23" spans="1:7" ht="66" customHeight="1" x14ac:dyDescent="0.45">
      <c r="A23" s="34" t="str">
        <f>IF(ISERROR(Berechnung2!G19),"",Berechnung2!G19)</f>
        <v/>
      </c>
      <c r="B23" s="34" t="str">
        <f>IF(ISERROR(Berechnung2!H19),"",Berechnung2!H19)</f>
        <v/>
      </c>
      <c r="C23" s="921"/>
      <c r="D23" s="922"/>
      <c r="E23" s="922"/>
      <c r="F23" s="922"/>
      <c r="G23" s="924"/>
    </row>
    <row r="24" spans="1:7" ht="66" customHeight="1" x14ac:dyDescent="0.45">
      <c r="A24" s="34" t="str">
        <f>IF(ISERROR(Berechnung2!G20),"",Berechnung2!G20)</f>
        <v/>
      </c>
      <c r="B24" s="34" t="str">
        <f>IF(ISERROR(Berechnung2!H20),"",Berechnung2!H20)</f>
        <v/>
      </c>
      <c r="C24" s="921"/>
      <c r="D24" s="922"/>
      <c r="E24" s="922"/>
      <c r="F24" s="922"/>
      <c r="G24" s="924"/>
    </row>
    <row r="25" spans="1:7" ht="66" customHeight="1" x14ac:dyDescent="0.45">
      <c r="A25" s="34" t="str">
        <f>IF(ISERROR(Berechnung2!G21),"",Berechnung2!G21)</f>
        <v/>
      </c>
      <c r="B25" s="34" t="str">
        <f>IF(ISERROR(Berechnung2!H21),"",Berechnung2!H21)</f>
        <v/>
      </c>
      <c r="C25" s="921"/>
      <c r="D25" s="922"/>
      <c r="E25" s="922"/>
      <c r="F25" s="922"/>
      <c r="G25" s="924"/>
    </row>
    <row r="26" spans="1:7" ht="66" customHeight="1" x14ac:dyDescent="0.45">
      <c r="A26" s="34" t="str">
        <f>IF(ISERROR(Berechnung2!G22),"",Berechnung2!G22)</f>
        <v/>
      </c>
      <c r="B26" s="34" t="str">
        <f>IF(ISERROR(Berechnung2!H22),"",Berechnung2!H22)</f>
        <v/>
      </c>
      <c r="C26" s="921"/>
      <c r="D26" s="922"/>
      <c r="E26" s="922"/>
      <c r="F26" s="922"/>
      <c r="G26" s="924"/>
    </row>
    <row r="27" spans="1:7" ht="66" customHeight="1" x14ac:dyDescent="0.45">
      <c r="A27" s="34" t="str">
        <f>IF(ISERROR(Berechnung2!G23),"",Berechnung2!G23)</f>
        <v/>
      </c>
      <c r="B27" s="34" t="str">
        <f>IF(ISERROR(Berechnung2!H23),"",Berechnung2!H23)</f>
        <v/>
      </c>
      <c r="C27" s="921"/>
      <c r="D27" s="922"/>
      <c r="E27" s="922"/>
      <c r="F27" s="922"/>
      <c r="G27" s="924"/>
    </row>
  </sheetData>
  <sheetProtection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75" type="noConversion"/>
  <conditionalFormatting sqref="C19">
    <cfRule type="notContainsBlanks" dxfId="124" priority="23" stopIfTrue="1">
      <formula>LEN(TRIM(C19))&gt;0</formula>
    </cfRule>
    <cfRule type="expression" dxfId="123" priority="24" stopIfTrue="1">
      <formula>A19&lt;&gt;""</formula>
    </cfRule>
  </conditionalFormatting>
  <conditionalFormatting sqref="B19:B27">
    <cfRule type="expression" dxfId="122" priority="25" stopIfTrue="1">
      <formula>SEARCH("Unvollständig",$B19,1)</formula>
    </cfRule>
    <cfRule type="expression" dxfId="121" priority="26" stopIfTrue="1">
      <formula>SEARCH($D$12,$B19,1)</formula>
    </cfRule>
    <cfRule type="expression" dxfId="120" priority="27" stopIfTrue="1">
      <formula>SEARCH($C$12,$B19,1)</formula>
    </cfRule>
    <cfRule type="expression" dxfId="119" priority="28" stopIfTrue="1">
      <formula>SEARCH($E$12,$B19,1)</formula>
    </cfRule>
  </conditionalFormatting>
  <conditionalFormatting sqref="C20">
    <cfRule type="notContainsBlanks" dxfId="118" priority="21" stopIfTrue="1">
      <formula>LEN(TRIM(C20))&gt;0</formula>
    </cfRule>
    <cfRule type="expression" dxfId="117" priority="22" stopIfTrue="1">
      <formula>A20&lt;&gt;""</formula>
    </cfRule>
  </conditionalFormatting>
  <conditionalFormatting sqref="C21">
    <cfRule type="notContainsBlanks" dxfId="116" priority="19" stopIfTrue="1">
      <formula>LEN(TRIM(C21))&gt;0</formula>
    </cfRule>
    <cfRule type="expression" dxfId="115" priority="20" stopIfTrue="1">
      <formula>A21&lt;&gt;""</formula>
    </cfRule>
  </conditionalFormatting>
  <conditionalFormatting sqref="C22">
    <cfRule type="notContainsBlanks" dxfId="114" priority="17" stopIfTrue="1">
      <formula>LEN(TRIM(C22))&gt;0</formula>
    </cfRule>
    <cfRule type="expression" dxfId="113" priority="18" stopIfTrue="1">
      <formula>A22&lt;&gt;""</formula>
    </cfRule>
  </conditionalFormatting>
  <conditionalFormatting sqref="C23">
    <cfRule type="notContainsBlanks" dxfId="112" priority="15" stopIfTrue="1">
      <formula>LEN(TRIM(C23))&gt;0</formula>
    </cfRule>
    <cfRule type="expression" dxfId="111" priority="16" stopIfTrue="1">
      <formula>A23&lt;&gt;""</formula>
    </cfRule>
  </conditionalFormatting>
  <conditionalFormatting sqref="C24">
    <cfRule type="notContainsBlanks" dxfId="110" priority="13" stopIfTrue="1">
      <formula>LEN(TRIM(C24))&gt;0</formula>
    </cfRule>
    <cfRule type="expression" dxfId="109" priority="14" stopIfTrue="1">
      <formula>A24&lt;&gt;""</formula>
    </cfRule>
  </conditionalFormatting>
  <conditionalFormatting sqref="C25">
    <cfRule type="notContainsBlanks" dxfId="108" priority="11" stopIfTrue="1">
      <formula>LEN(TRIM(C25))&gt;0</formula>
    </cfRule>
    <cfRule type="expression" dxfId="107" priority="12" stopIfTrue="1">
      <formula>A25&lt;&gt;""</formula>
    </cfRule>
  </conditionalFormatting>
  <conditionalFormatting sqref="C26">
    <cfRule type="notContainsBlanks" dxfId="106" priority="9" stopIfTrue="1">
      <formula>LEN(TRIM(C26))&gt;0</formula>
    </cfRule>
    <cfRule type="expression" dxfId="105" priority="10" stopIfTrue="1">
      <formula>A26&lt;&gt;""</formula>
    </cfRule>
  </conditionalFormatting>
  <conditionalFormatting sqref="C27">
    <cfRule type="notContainsBlanks" dxfId="104" priority="7" stopIfTrue="1">
      <formula>LEN(TRIM(C27))&gt;0</formula>
    </cfRule>
    <cfRule type="expression" dxfId="103" priority="8" stopIfTrue="1">
      <formula>A27&lt;&gt;""</formula>
    </cfRule>
  </conditionalFormatting>
  <conditionalFormatting sqref="B12">
    <cfRule type="expression" dxfId="102" priority="2" stopIfTrue="1">
      <formula>$B$12="Nicht in Ordnung"</formula>
    </cfRule>
  </conditionalFormatting>
  <conditionalFormatting sqref="B13">
    <cfRule type="expression" dxfId="101" priority="1" stopIfTrue="1">
      <formula>$B$13="die inkorrekten und unvollständigen Einträge beheben"</formula>
    </cfRule>
  </conditionalFormatting>
  <dataValidations count="1">
    <dataValidation type="textLength" allowBlank="1" showErrorMessage="1" errorTitle="Zeichenlänge" error="Minimal 30 Zeichen und max. 450 Zeichen." sqref="C19:G19 C20:G20 C21:G21 C22:G22 C23:G23 C24:G27" xr:uid="{00000000-0002-0000-0E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AO119"/>
  <sheetViews>
    <sheetView showGridLines="0" showRuler="0" zoomScaleNormal="100" zoomScaleSheetLayoutView="100" workbookViewId="0">
      <selection activeCell="D23" sqref="D23"/>
    </sheetView>
  </sheetViews>
  <sheetFormatPr baseColWidth="10" defaultColWidth="9" defaultRowHeight="13.5" x14ac:dyDescent="0.35"/>
  <cols>
    <col min="1" max="1" width="12" style="8" customWidth="1"/>
    <col min="2" max="2" width="4.73046875" style="8" customWidth="1"/>
    <col min="3" max="7" width="5.73046875" style="8" customWidth="1"/>
    <col min="8" max="8" width="0.3984375" style="8" customWidth="1"/>
    <col min="9" max="9" width="4.73046875" style="8" customWidth="1"/>
    <col min="10" max="12" width="5.265625" style="8" customWidth="1"/>
    <col min="13" max="13" width="7.73046875" style="8" customWidth="1"/>
    <col min="14" max="14" width="0.3984375" style="8" customWidth="1"/>
    <col min="15" max="15" width="5.73046875" style="8" customWidth="1"/>
    <col min="16" max="16" width="6.73046875" style="8" hidden="1" customWidth="1"/>
    <col min="17" max="23" width="5.265625" style="8" customWidth="1"/>
    <col min="24" max="24" width="0.59765625" style="8" customWidth="1"/>
    <col min="25" max="25" width="7.3984375" style="8" customWidth="1"/>
    <col min="26" max="26" width="7.3984375" style="18" customWidth="1"/>
    <col min="27" max="211" width="11.3984375" style="8" customWidth="1"/>
    <col min="212" max="16384" width="9" style="8"/>
  </cols>
  <sheetData>
    <row r="1" spans="1:41" ht="9.9499999999999993" customHeight="1" x14ac:dyDescent="0.35">
      <c r="C1" s="31"/>
      <c r="J1" s="19"/>
      <c r="K1" s="19"/>
      <c r="L1" s="19"/>
      <c r="M1" s="19"/>
      <c r="N1" s="19"/>
      <c r="O1" s="19"/>
      <c r="P1" s="19"/>
      <c r="Q1" s="19"/>
      <c r="R1" s="19"/>
    </row>
    <row r="2" spans="1:41" ht="12.95" customHeight="1" x14ac:dyDescent="0.35">
      <c r="A2" s="17" t="str">
        <f>'Basic data'!A2</f>
        <v>Anlage EB M1.1 (Auditjahr 2023 / Kennzahlenjahr 2022)</v>
      </c>
      <c r="G2" s="41"/>
      <c r="J2" s="19"/>
      <c r="K2" s="19"/>
      <c r="L2" s="19"/>
      <c r="M2" s="19"/>
      <c r="N2" s="19"/>
      <c r="O2" s="19"/>
      <c r="P2" s="19"/>
      <c r="Q2" s="19"/>
      <c r="R2" s="19"/>
    </row>
    <row r="3" spans="1:41" ht="16.899999999999999" x14ac:dyDescent="0.5">
      <c r="A3" s="22" t="s">
        <v>384</v>
      </c>
      <c r="J3" s="19"/>
      <c r="K3" s="19"/>
      <c r="L3" s="19"/>
      <c r="M3" s="19"/>
      <c r="N3" s="19"/>
      <c r="O3" s="19"/>
      <c r="P3" s="19"/>
      <c r="R3" s="20"/>
      <c r="S3" s="20"/>
      <c r="T3" s="20"/>
      <c r="U3" s="20"/>
    </row>
    <row r="4" spans="1:41" ht="13.9" x14ac:dyDescent="0.4">
      <c r="A4" s="48" t="s">
        <v>369</v>
      </c>
      <c r="J4" s="19"/>
      <c r="K4" s="19"/>
      <c r="L4" s="19"/>
      <c r="M4" s="19"/>
      <c r="N4" s="19"/>
      <c r="O4" s="19"/>
      <c r="P4" s="19"/>
      <c r="R4" s="20"/>
      <c r="S4" s="20"/>
      <c r="T4" s="20"/>
      <c r="U4" s="20"/>
      <c r="AK4" s="42"/>
      <c r="AL4" s="42"/>
      <c r="AM4" s="42"/>
      <c r="AN4" s="42"/>
    </row>
    <row r="5" spans="1:41" ht="15" customHeight="1" x14ac:dyDescent="0.35">
      <c r="O5" s="19"/>
      <c r="P5" s="19"/>
      <c r="AK5" s="42"/>
      <c r="AL5" s="42"/>
      <c r="AM5" s="42"/>
      <c r="AN5" s="42"/>
    </row>
    <row r="6" spans="1:41" s="26" customFormat="1" ht="15" customHeight="1" x14ac:dyDescent="0.45">
      <c r="B6" s="29" t="s">
        <v>359</v>
      </c>
      <c r="D6" s="8"/>
      <c r="F6" s="670" t="str">
        <f>IF('Basic data'!B8=0,"",'Basic data'!B8)</f>
        <v/>
      </c>
      <c r="G6" s="836"/>
      <c r="H6" s="837"/>
      <c r="I6" s="837"/>
      <c r="J6" s="837"/>
      <c r="K6" s="837"/>
      <c r="L6" s="837"/>
      <c r="M6" s="837"/>
      <c r="N6" s="837"/>
      <c r="O6" s="673"/>
      <c r="P6" s="673"/>
      <c r="Q6" s="673"/>
      <c r="R6" s="673"/>
      <c r="S6" s="673"/>
      <c r="T6" s="673"/>
      <c r="U6" s="673"/>
      <c r="V6" s="673"/>
      <c r="W6" s="674"/>
      <c r="Z6" s="17"/>
      <c r="AK6" s="42"/>
      <c r="AL6" s="42"/>
      <c r="AM6" s="42"/>
      <c r="AN6" s="42"/>
    </row>
    <row r="7" spans="1:41" s="26" customFormat="1" ht="6.95" customHeight="1" x14ac:dyDescent="0.4">
      <c r="B7" s="10"/>
      <c r="C7" s="25"/>
      <c r="D7" s="8"/>
      <c r="E7" s="8"/>
      <c r="F7" s="8"/>
      <c r="G7" s="8"/>
      <c r="H7" s="23"/>
      <c r="I7" s="24"/>
      <c r="J7" s="24"/>
      <c r="K7" s="24"/>
      <c r="AK7" s="42"/>
      <c r="AL7" s="42"/>
      <c r="AM7" s="42"/>
      <c r="AN7" s="42"/>
    </row>
    <row r="8" spans="1:41" s="26" customFormat="1" ht="15" customHeight="1" x14ac:dyDescent="0.45">
      <c r="B8" s="27" t="s">
        <v>308</v>
      </c>
      <c r="C8" s="28"/>
      <c r="D8" s="8"/>
      <c r="F8" s="838" t="str">
        <f>IF('Basic data'!B6=0,"",'Basic data'!B6)</f>
        <v>Not listed</v>
      </c>
      <c r="G8" s="839"/>
      <c r="H8" s="673"/>
      <c r="I8" s="673"/>
      <c r="J8" s="674"/>
      <c r="Q8" s="9" t="s">
        <v>306</v>
      </c>
      <c r="T8" s="683" t="str">
        <f>IF('Basic data'!G12=0,"",'Basic data'!G12)</f>
        <v/>
      </c>
      <c r="U8" s="840"/>
      <c r="V8" s="840"/>
      <c r="W8" s="674"/>
      <c r="AK8" s="42"/>
      <c r="AL8" s="42"/>
      <c r="AM8" s="42"/>
      <c r="AN8" s="42"/>
    </row>
    <row r="9" spans="1:41" s="26" customFormat="1" ht="8.25" customHeight="1" x14ac:dyDescent="0.4">
      <c r="B9" s="27"/>
      <c r="C9" s="28"/>
      <c r="D9" s="8"/>
      <c r="F9" s="8"/>
      <c r="G9" s="8"/>
      <c r="H9" s="30"/>
      <c r="J9" s="24"/>
      <c r="K9" s="24"/>
      <c r="L9" s="8"/>
      <c r="M9" s="8"/>
      <c r="Z9" s="17"/>
      <c r="AK9" s="42"/>
      <c r="AL9" s="42"/>
      <c r="AM9" s="42"/>
      <c r="AN9" s="42"/>
    </row>
    <row r="10" spans="1:41" s="26" customFormat="1" ht="8.25" customHeight="1" x14ac:dyDescent="0.4">
      <c r="B10" s="27"/>
      <c r="C10" s="28"/>
      <c r="D10" s="8"/>
      <c r="F10" s="8"/>
      <c r="G10" s="8"/>
      <c r="H10" s="30"/>
      <c r="J10" s="24"/>
      <c r="K10" s="24"/>
      <c r="L10" s="8"/>
      <c r="M10" s="8"/>
      <c r="Z10" s="17"/>
      <c r="AK10" s="42"/>
      <c r="AL10" s="42"/>
      <c r="AM10" s="42"/>
      <c r="AN10" s="42"/>
    </row>
    <row r="11" spans="1:41" ht="6" customHeight="1" x14ac:dyDescent="0.35">
      <c r="A11" s="849"/>
      <c r="B11" s="849"/>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H11" s="42"/>
      <c r="AI11" s="42"/>
      <c r="AJ11" s="42"/>
      <c r="AK11" s="42"/>
      <c r="AL11" s="42"/>
      <c r="AM11" s="42"/>
    </row>
    <row r="12" spans="1:41" ht="13.9" x14ac:dyDescent="0.4">
      <c r="A12" s="32" t="s">
        <v>318</v>
      </c>
    </row>
    <row r="13" spans="1:41" ht="11.25" customHeight="1" x14ac:dyDescent="0.45">
      <c r="B13" s="841" t="str">
        <f>IF(OR(B14="",B14="Matrix kann eingereicht werden"),"In Ordnung",IF(B14="die inkorrekten und unvollständigen Einträge beheben","Nicht in Ordnung"))</f>
        <v>In Ordnung</v>
      </c>
      <c r="C13" s="841"/>
      <c r="D13" s="842"/>
      <c r="E13" s="842"/>
      <c r="F13" s="842"/>
      <c r="G13" s="843" t="s">
        <v>307</v>
      </c>
      <c r="H13" s="844"/>
      <c r="I13" s="844"/>
      <c r="J13" s="844"/>
      <c r="K13" s="844"/>
      <c r="L13" s="845" t="s">
        <v>179</v>
      </c>
      <c r="M13" s="846"/>
      <c r="N13" s="846"/>
      <c r="O13" s="846"/>
      <c r="P13" s="846"/>
      <c r="Q13" s="846"/>
      <c r="R13" s="846"/>
      <c r="S13" s="847" t="s">
        <v>314</v>
      </c>
      <c r="T13" s="848"/>
      <c r="U13" s="848"/>
      <c r="V13" s="848"/>
      <c r="W13" s="847" t="s">
        <v>389</v>
      </c>
      <c r="X13" s="844"/>
      <c r="Y13" s="844"/>
      <c r="Z13" s="844"/>
    </row>
    <row r="14" spans="1:41" ht="20.25" customHeight="1" x14ac:dyDescent="0.45">
      <c r="B14" s="828" t="str">
        <f>Berechnung4!B6</f>
        <v/>
      </c>
      <c r="C14" s="828"/>
      <c r="D14" s="829"/>
      <c r="E14" s="829"/>
      <c r="F14" s="829"/>
      <c r="G14" s="830">
        <f>Berechnung4!C6</f>
        <v>0</v>
      </c>
      <c r="H14" s="831"/>
      <c r="I14" s="831"/>
      <c r="J14" s="831"/>
      <c r="K14" s="831"/>
      <c r="L14" s="832">
        <f>Berechnung4!D6</f>
        <v>0</v>
      </c>
      <c r="M14" s="833"/>
      <c r="N14" s="833"/>
      <c r="O14" s="833"/>
      <c r="P14" s="833"/>
      <c r="Q14" s="833"/>
      <c r="R14" s="833"/>
      <c r="S14" s="834">
        <f>Berechnung4!E6</f>
        <v>0</v>
      </c>
      <c r="T14" s="835"/>
      <c r="U14" s="835"/>
      <c r="V14" s="835"/>
      <c r="W14" s="834">
        <f>Berechnung4!F6</f>
        <v>0</v>
      </c>
      <c r="X14" s="831"/>
      <c r="Y14" s="831"/>
      <c r="Z14" s="831"/>
    </row>
    <row r="15" spans="1:41" s="26" customFormat="1" ht="5.25" customHeight="1" x14ac:dyDescent="0.4">
      <c r="B15" s="10"/>
      <c r="C15" s="16"/>
      <c r="D15" s="16"/>
      <c r="E15" s="16"/>
      <c r="F15" s="16"/>
      <c r="G15" s="16"/>
      <c r="Z15" s="17"/>
      <c r="AL15" s="42"/>
      <c r="AM15" s="42"/>
      <c r="AN15" s="42"/>
      <c r="AO15" s="42"/>
    </row>
    <row r="16" spans="1:41" s="26" customFormat="1" ht="6" customHeight="1" x14ac:dyDescent="0.4">
      <c r="B16" s="10"/>
      <c r="C16" s="16"/>
      <c r="D16" s="16"/>
      <c r="E16" s="16"/>
      <c r="F16" s="16"/>
      <c r="G16" s="16"/>
      <c r="Z16" s="17"/>
      <c r="AL16" s="42"/>
      <c r="AM16" s="42"/>
      <c r="AN16" s="42"/>
      <c r="AO16" s="42"/>
    </row>
    <row r="17" spans="1:41" s="26" customFormat="1" ht="4.5" customHeight="1" x14ac:dyDescent="0.4">
      <c r="B17" s="10"/>
      <c r="C17" s="16"/>
      <c r="D17" s="16"/>
      <c r="E17" s="16"/>
      <c r="F17" s="16"/>
      <c r="G17" s="16"/>
      <c r="Z17" s="17"/>
      <c r="AL17" s="42"/>
      <c r="AM17" s="42"/>
      <c r="AN17" s="42"/>
      <c r="AO17" s="42"/>
    </row>
    <row r="18" spans="1:41" s="26" customFormat="1" ht="6" customHeight="1" thickBot="1" x14ac:dyDescent="0.45">
      <c r="B18" s="10"/>
      <c r="C18" s="16"/>
      <c r="D18" s="16"/>
      <c r="E18" s="16"/>
      <c r="F18" s="16"/>
      <c r="G18" s="16"/>
      <c r="Z18" s="17"/>
      <c r="AL18" s="42"/>
      <c r="AM18" s="42"/>
      <c r="AN18" s="42"/>
      <c r="AO18" s="42"/>
    </row>
    <row r="19" spans="1:41" ht="24" customHeight="1" thickTop="1" thickBot="1" x14ac:dyDescent="0.5">
      <c r="A19" s="49"/>
      <c r="B19" s="50"/>
      <c r="C19" s="822" t="s">
        <v>370</v>
      </c>
      <c r="D19" s="823"/>
      <c r="E19" s="823"/>
      <c r="F19" s="823"/>
      <c r="G19" s="823"/>
      <c r="H19" s="298"/>
      <c r="I19" s="824" t="s">
        <v>312</v>
      </c>
      <c r="J19" s="825"/>
      <c r="K19" s="825"/>
      <c r="L19" s="825"/>
      <c r="M19" s="825"/>
      <c r="N19" s="825"/>
      <c r="O19" s="825"/>
      <c r="P19" s="825"/>
      <c r="Q19" s="825"/>
      <c r="R19" s="825"/>
      <c r="S19" s="825"/>
      <c r="T19" s="825"/>
      <c r="U19" s="825"/>
      <c r="V19" s="825"/>
      <c r="W19" s="826"/>
      <c r="X19" s="297"/>
      <c r="Y19" s="824" t="s">
        <v>452</v>
      </c>
      <c r="Z19" s="827"/>
      <c r="AI19" s="42"/>
      <c r="AJ19" s="42"/>
      <c r="AK19" s="42"/>
      <c r="AL19" s="42"/>
      <c r="AM19" s="42"/>
      <c r="AN19" s="42"/>
    </row>
    <row r="20" spans="1:41" ht="13.9" thickBot="1" x14ac:dyDescent="0.4">
      <c r="A20" s="51" t="s">
        <v>354</v>
      </c>
      <c r="B20" s="51" t="s">
        <v>171</v>
      </c>
      <c r="C20" s="295" t="s">
        <v>180</v>
      </c>
      <c r="D20" s="1" t="s">
        <v>181</v>
      </c>
      <c r="E20" s="1" t="s">
        <v>182</v>
      </c>
      <c r="F20" s="1" t="s">
        <v>183</v>
      </c>
      <c r="G20" s="1" t="s">
        <v>184</v>
      </c>
      <c r="H20" s="296"/>
      <c r="I20" s="295" t="s">
        <v>185</v>
      </c>
      <c r="J20" s="322" t="s">
        <v>310</v>
      </c>
      <c r="K20" s="322" t="s">
        <v>371</v>
      </c>
      <c r="L20" s="322" t="s">
        <v>311</v>
      </c>
      <c r="M20" s="322" t="s">
        <v>372</v>
      </c>
      <c r="N20" s="311"/>
      <c r="O20" s="295" t="s">
        <v>186</v>
      </c>
      <c r="P20" s="322" t="s">
        <v>187</v>
      </c>
      <c r="Q20" s="322" t="s">
        <v>188</v>
      </c>
      <c r="R20" s="322" t="s">
        <v>267</v>
      </c>
      <c r="S20" s="322" t="s">
        <v>373</v>
      </c>
      <c r="T20" s="322" t="s">
        <v>189</v>
      </c>
      <c r="U20" s="322" t="s">
        <v>190</v>
      </c>
      <c r="V20" s="322" t="s">
        <v>191</v>
      </c>
      <c r="W20" s="322" t="s">
        <v>192</v>
      </c>
      <c r="X20" s="311"/>
      <c r="Y20" s="295" t="s">
        <v>193</v>
      </c>
      <c r="Z20" s="323" t="s">
        <v>194</v>
      </c>
      <c r="AI20" s="42"/>
      <c r="AJ20" s="42"/>
      <c r="AK20" s="42"/>
      <c r="AL20" s="42"/>
      <c r="AM20" s="42"/>
      <c r="AN20" s="42"/>
    </row>
    <row r="21" spans="1:41" ht="128.25" customHeight="1" thickBot="1" x14ac:dyDescent="0.4">
      <c r="A21" s="850" t="s">
        <v>262</v>
      </c>
      <c r="B21" s="850" t="s">
        <v>391</v>
      </c>
      <c r="C21" s="852" t="s">
        <v>374</v>
      </c>
      <c r="D21" s="852" t="s">
        <v>443</v>
      </c>
      <c r="E21" s="852" t="s">
        <v>444</v>
      </c>
      <c r="F21" s="852" t="s">
        <v>445</v>
      </c>
      <c r="G21" s="852" t="s">
        <v>446</v>
      </c>
      <c r="H21" s="296"/>
      <c r="I21" s="925" t="s">
        <v>447</v>
      </c>
      <c r="J21" s="856" t="s">
        <v>448</v>
      </c>
      <c r="K21" s="856" t="s">
        <v>449</v>
      </c>
      <c r="L21" s="856" t="s">
        <v>450</v>
      </c>
      <c r="M21" s="866" t="s">
        <v>375</v>
      </c>
      <c r="N21" s="300"/>
      <c r="O21" s="854" t="s">
        <v>25</v>
      </c>
      <c r="P21" s="869" t="s">
        <v>29</v>
      </c>
      <c r="Q21" s="871" t="s">
        <v>451</v>
      </c>
      <c r="R21" s="314" t="s">
        <v>376</v>
      </c>
      <c r="S21" s="314" t="s">
        <v>377</v>
      </c>
      <c r="T21" s="314" t="s">
        <v>378</v>
      </c>
      <c r="U21" s="854" t="s">
        <v>195</v>
      </c>
      <c r="V21" s="872" t="s">
        <v>22</v>
      </c>
      <c r="W21" s="854" t="s">
        <v>52</v>
      </c>
      <c r="X21" s="300"/>
      <c r="Y21" s="864" t="s">
        <v>196</v>
      </c>
      <c r="Z21" s="861" t="s">
        <v>175</v>
      </c>
      <c r="AI21" s="42"/>
      <c r="AJ21" s="42"/>
      <c r="AK21" s="42"/>
      <c r="AL21" s="42"/>
      <c r="AM21" s="42"/>
      <c r="AN21" s="42"/>
    </row>
    <row r="22" spans="1:41" ht="33" customHeight="1" thickBot="1" x14ac:dyDescent="0.4">
      <c r="A22" s="851"/>
      <c r="B22" s="851"/>
      <c r="C22" s="853"/>
      <c r="D22" s="853"/>
      <c r="E22" s="853"/>
      <c r="F22" s="853"/>
      <c r="G22" s="853"/>
      <c r="H22" s="296"/>
      <c r="I22" s="926"/>
      <c r="J22" s="857"/>
      <c r="K22" s="857"/>
      <c r="L22" s="857"/>
      <c r="M22" s="867"/>
      <c r="N22" s="300"/>
      <c r="O22" s="855"/>
      <c r="P22" s="870"/>
      <c r="Q22" s="868"/>
      <c r="R22" s="863" t="s">
        <v>197</v>
      </c>
      <c r="S22" s="863"/>
      <c r="T22" s="863"/>
      <c r="U22" s="855"/>
      <c r="V22" s="873"/>
      <c r="W22" s="855"/>
      <c r="X22" s="300"/>
      <c r="Y22" s="865"/>
      <c r="Z22" s="862"/>
      <c r="AI22" s="42"/>
      <c r="AJ22" s="42"/>
      <c r="AK22" s="42"/>
      <c r="AL22" s="42"/>
      <c r="AM22" s="42"/>
      <c r="AN22" s="42"/>
    </row>
    <row r="23" spans="1:41" ht="20.100000000000001" customHeight="1" thickBot="1" x14ac:dyDescent="0.4">
      <c r="A23" s="69" t="str">
        <f>IF(Datenquelle!$F$3&gt;5,IF(Datenquelle!$F$3=6,"EZ",IF(Datenquelle!$F$3&gt;6,"relevant","?")),"nicht relevant")</f>
        <v>nicht relevant</v>
      </c>
      <c r="B23" s="68">
        <v>2013</v>
      </c>
      <c r="C23" s="312">
        <f t="shared" ref="C23:C28" si="0">SUM(D23:G23)</f>
        <v>0</v>
      </c>
      <c r="D23" s="74"/>
      <c r="E23" s="74"/>
      <c r="F23" s="74"/>
      <c r="G23" s="74"/>
      <c r="H23" s="296"/>
      <c r="I23" s="61" t="str">
        <f>IF(SUM(J23:L23)=0,"",SUM(J23:L23))</f>
        <v/>
      </c>
      <c r="J23" s="74"/>
      <c r="K23" s="74"/>
      <c r="L23" s="74"/>
      <c r="M23" s="301" t="str">
        <f>IF(I23="","",IF(I23&gt;0,SUM(J23:K23) /I23,0))</f>
        <v/>
      </c>
      <c r="N23" s="300"/>
      <c r="O23" s="61" t="str">
        <f>IF(COUNTA(Q23:W23)&lt;7,"",SUM(J23+K23-Q23-V23-W23-U23))</f>
        <v/>
      </c>
      <c r="P23" s="52" t="str">
        <f>IF(AND(COUNTA(J23:K23)&gt;0,O23&lt;&gt;"",SUM(J23:K23)&gt;0),O23 /(J23+K23),"")</f>
        <v/>
      </c>
      <c r="Q23" s="74"/>
      <c r="R23" s="74"/>
      <c r="S23" s="74"/>
      <c r="T23" s="74"/>
      <c r="U23" s="74"/>
      <c r="V23" s="74"/>
      <c r="W23" s="74"/>
      <c r="X23" s="313"/>
      <c r="Y23" s="115"/>
      <c r="Z23" s="116"/>
      <c r="AI23" s="42"/>
      <c r="AJ23" s="42"/>
      <c r="AK23" s="42"/>
      <c r="AL23" s="42"/>
      <c r="AM23" s="42"/>
      <c r="AN23" s="42"/>
    </row>
    <row r="24" spans="1:41" s="16" customFormat="1" ht="20.100000000000001" customHeight="1" thickBot="1" x14ac:dyDescent="0.35">
      <c r="A24" s="70" t="str">
        <f>IF(Datenquelle!$F$3&gt;4,IF(Datenquelle!$F$3=5,"EZ",IF(Datenquelle!$F$3&gt;5,"relevant","?")),"nicht relevant")</f>
        <v>nicht relevant</v>
      </c>
      <c r="B24" s="66">
        <v>2014</v>
      </c>
      <c r="C24" s="312">
        <f t="shared" si="0"/>
        <v>0</v>
      </c>
      <c r="D24" s="74"/>
      <c r="E24" s="74"/>
      <c r="F24" s="74"/>
      <c r="G24" s="74"/>
      <c r="H24" s="296"/>
      <c r="I24" s="61" t="str">
        <f>IF(SUM(J24:L24)=0,"",SUM(J24:L24))</f>
        <v/>
      </c>
      <c r="J24" s="74"/>
      <c r="K24" s="74"/>
      <c r="L24" s="74"/>
      <c r="M24" s="301" t="str">
        <f>IF(I24="","",IF(I24&gt;0,SUM(J24:K24) /I24,0))</f>
        <v/>
      </c>
      <c r="N24" s="300"/>
      <c r="O24" s="61" t="str">
        <f>IF(COUNTA(Q24:W24)&lt;7,"",SUM(J24+K24-Q24-V24-W24-U24))</f>
        <v/>
      </c>
      <c r="P24" s="52" t="str">
        <f>IF(AND(COUNTA(J24:K24)&gt;0,O24&lt;&gt;"",SUM(J24:K24)&gt;0),O24 /(J24+K24),"")</f>
        <v/>
      </c>
      <c r="Q24" s="74"/>
      <c r="R24" s="74"/>
      <c r="S24" s="74"/>
      <c r="T24" s="74"/>
      <c r="U24" s="74"/>
      <c r="V24" s="74"/>
      <c r="W24" s="74"/>
      <c r="X24" s="313"/>
      <c r="Y24" s="115"/>
      <c r="Z24" s="116"/>
      <c r="AI24" s="42"/>
      <c r="AJ24" s="42"/>
      <c r="AK24" s="42"/>
      <c r="AL24" s="42"/>
      <c r="AM24" s="42"/>
      <c r="AN24" s="42"/>
    </row>
    <row r="25" spans="1:41" s="16" customFormat="1" ht="20.100000000000001" customHeight="1" thickBot="1" x14ac:dyDescent="0.35">
      <c r="A25" s="70" t="str">
        <f>IF(Datenquelle!$F$3&gt;3,IF(Datenquelle!$F$3=4,"EZ",IF(Datenquelle!$F$3&gt;4,"relevant","?")),"nicht relevant")</f>
        <v>nicht relevant</v>
      </c>
      <c r="B25" s="66">
        <v>2015</v>
      </c>
      <c r="C25" s="312">
        <f t="shared" si="0"/>
        <v>0</v>
      </c>
      <c r="D25" s="74"/>
      <c r="E25" s="74"/>
      <c r="F25" s="74"/>
      <c r="G25" s="74"/>
      <c r="H25" s="296"/>
      <c r="I25" s="61" t="str">
        <f>IF(SUM(J25:L25)=0,"",SUM(J25:L25))</f>
        <v/>
      </c>
      <c r="J25" s="74"/>
      <c r="K25" s="74"/>
      <c r="L25" s="74"/>
      <c r="M25" s="301" t="str">
        <f>IF(I25="","",IF(I25&gt;0,SUM(J25:K25) /I25,0))</f>
        <v/>
      </c>
      <c r="N25" s="300"/>
      <c r="O25" s="61" t="str">
        <f>IF(COUNTA(Q25:W25)&lt;7,"",SUM(J25+K25-Q25-V25-W25-U25))</f>
        <v/>
      </c>
      <c r="P25" s="52" t="str">
        <f>IF(AND(COUNTA(J25:K25)&gt;0,O25&lt;&gt;"",SUM(J25:K25)&gt;0),O25 /(J25+K25),"")</f>
        <v/>
      </c>
      <c r="Q25" s="74"/>
      <c r="R25" s="74"/>
      <c r="S25" s="74"/>
      <c r="T25" s="74"/>
      <c r="U25" s="74"/>
      <c r="V25" s="74"/>
      <c r="W25" s="74"/>
      <c r="X25" s="313"/>
      <c r="Y25" s="115"/>
      <c r="Z25" s="116"/>
      <c r="AI25" s="42"/>
      <c r="AJ25" s="42"/>
      <c r="AK25" s="42"/>
      <c r="AL25" s="42"/>
      <c r="AM25" s="42"/>
      <c r="AN25" s="42"/>
    </row>
    <row r="26" spans="1:41" s="16" customFormat="1" ht="20.100000000000001" customHeight="1" thickBot="1" x14ac:dyDescent="0.35">
      <c r="A26" s="70" t="str">
        <f>IF(Datenquelle!$F$3&gt;2,IF(Datenquelle!$F$3=3,"EZ",IF(Datenquelle!$F$3&gt;3,"relevant","?")),"nicht relevant")</f>
        <v>nicht relevant</v>
      </c>
      <c r="B26" s="66">
        <v>2016</v>
      </c>
      <c r="C26" s="312">
        <f t="shared" si="0"/>
        <v>0</v>
      </c>
      <c r="D26" s="74"/>
      <c r="E26" s="74"/>
      <c r="F26" s="74"/>
      <c r="G26" s="74"/>
      <c r="H26" s="296"/>
      <c r="I26" s="61" t="str">
        <f>IF(SUM(J26:L26)=0,"",SUM(J26:L26))</f>
        <v/>
      </c>
      <c r="J26" s="74"/>
      <c r="K26" s="74"/>
      <c r="L26" s="74"/>
      <c r="M26" s="301" t="str">
        <f>IF(I26="","",IF(I26&gt;0,SUM(J26:K26) /I26,0))</f>
        <v/>
      </c>
      <c r="N26" s="300"/>
      <c r="O26" s="61" t="str">
        <f>IF(COUNTA(Q26:W26)&lt;7,"",SUM(J26+K26-Q26-V26-W26-U26))</f>
        <v/>
      </c>
      <c r="P26" s="52" t="str">
        <f>IF(AND(COUNTA(J26:K26)&gt;0,O26&lt;&gt;"",SUM(J26:K26)&gt;0),O26 /(J26+K26),"")</f>
        <v/>
      </c>
      <c r="Q26" s="74"/>
      <c r="R26" s="74"/>
      <c r="S26" s="74"/>
      <c r="T26" s="74"/>
      <c r="U26" s="74"/>
      <c r="V26" s="74"/>
      <c r="W26" s="74"/>
      <c r="X26" s="313"/>
      <c r="Y26" s="115"/>
      <c r="Z26" s="116"/>
      <c r="AI26" s="42"/>
      <c r="AJ26" s="42"/>
      <c r="AK26" s="42"/>
      <c r="AL26" s="42"/>
      <c r="AM26" s="42"/>
      <c r="AN26" s="42"/>
    </row>
    <row r="27" spans="1:41" s="16" customFormat="1" ht="20.100000000000001" customHeight="1" thickBot="1" x14ac:dyDescent="0.35">
      <c r="A27" s="71" t="str">
        <f>IF(Datenquelle!$F$3&gt;1,IF(Datenquelle!$F$3=2,"EZ",IF(Datenquelle!$F$3&gt;2,"relevant","?")),"nicht relevant")</f>
        <v>nicht relevant</v>
      </c>
      <c r="B27" s="67" t="s">
        <v>819</v>
      </c>
      <c r="C27" s="60">
        <f t="shared" si="0"/>
        <v>0</v>
      </c>
      <c r="D27" s="75"/>
      <c r="E27" s="75"/>
      <c r="F27" s="75"/>
      <c r="G27" s="75"/>
      <c r="H27" s="296"/>
      <c r="I27" s="858"/>
      <c r="J27" s="858"/>
      <c r="K27" s="858"/>
      <c r="L27" s="858"/>
      <c r="M27" s="858"/>
      <c r="N27" s="300"/>
      <c r="O27" s="858"/>
      <c r="P27" s="858" t="str">
        <f>IF(AND(COUNTA(J27:K27)&gt;0,O27&lt;&gt;"",SUM(J27:K27)&gt;0),O27 /(J27+K27),"")</f>
        <v/>
      </c>
      <c r="Q27" s="858"/>
      <c r="R27" s="858"/>
      <c r="S27" s="858"/>
      <c r="T27" s="858"/>
      <c r="U27" s="858"/>
      <c r="V27" s="858"/>
      <c r="W27" s="858"/>
      <c r="X27" s="313"/>
      <c r="Y27" s="859"/>
      <c r="Z27" s="860"/>
      <c r="AI27" s="42"/>
      <c r="AJ27" s="42"/>
      <c r="AK27" s="42"/>
      <c r="AL27" s="42"/>
      <c r="AM27" s="42"/>
      <c r="AN27" s="42"/>
    </row>
    <row r="28" spans="1:41" s="16" customFormat="1" ht="20.100000000000001" customHeight="1" thickTop="1" thickBot="1" x14ac:dyDescent="0.35">
      <c r="A28" s="77" t="str">
        <f>IF(Datenquelle!$F$3&gt;0,IF(Datenquelle!$F$3=1,"EZ",IF(Datenquelle!$F$3&gt;1,"relevant","?")),"nicht relevant")</f>
        <v>nicht relevant</v>
      </c>
      <c r="B28" s="78" t="s">
        <v>818</v>
      </c>
      <c r="C28" s="79">
        <f t="shared" si="0"/>
        <v>0</v>
      </c>
      <c r="D28" s="80"/>
      <c r="E28" s="80"/>
      <c r="F28" s="80"/>
      <c r="G28" s="80"/>
      <c r="H28" s="81"/>
      <c r="I28" s="858"/>
      <c r="J28" s="858"/>
      <c r="K28" s="858"/>
      <c r="L28" s="858"/>
      <c r="M28" s="858"/>
      <c r="N28" s="62"/>
      <c r="O28" s="858"/>
      <c r="P28" s="858"/>
      <c r="Q28" s="858"/>
      <c r="R28" s="858"/>
      <c r="S28" s="858"/>
      <c r="T28" s="858"/>
      <c r="U28" s="858"/>
      <c r="V28" s="858"/>
      <c r="W28" s="858"/>
      <c r="X28" s="62"/>
      <c r="Y28" s="859"/>
      <c r="Z28" s="860"/>
      <c r="AI28" s="42"/>
      <c r="AJ28" s="42"/>
      <c r="AK28" s="42"/>
      <c r="AL28" s="42"/>
      <c r="AM28" s="42"/>
      <c r="AN28" s="42"/>
    </row>
    <row r="29" spans="1:41" ht="3" customHeight="1" thickTop="1" x14ac:dyDescent="0.45">
      <c r="A29"/>
      <c r="B29"/>
      <c r="C29"/>
      <c r="D29"/>
      <c r="E29"/>
      <c r="F29"/>
      <c r="G29"/>
      <c r="H29"/>
      <c r="I29"/>
      <c r="J29"/>
      <c r="K29"/>
      <c r="L29"/>
      <c r="M29"/>
      <c r="N29"/>
      <c r="O29"/>
      <c r="P29"/>
      <c r="Q29"/>
      <c r="R29"/>
      <c r="S29"/>
      <c r="T29"/>
      <c r="U29"/>
      <c r="V29"/>
      <c r="W29"/>
      <c r="X29"/>
      <c r="Y29"/>
      <c r="Z29"/>
      <c r="AI29" s="42"/>
      <c r="AJ29" s="42"/>
      <c r="AK29" s="42"/>
      <c r="AL29" s="42"/>
      <c r="AM29" s="42"/>
      <c r="AN29" s="42"/>
    </row>
    <row r="30" spans="1:41" ht="15" customHeight="1" x14ac:dyDescent="0.45">
      <c r="A30"/>
      <c r="B30"/>
      <c r="C30"/>
      <c r="D30"/>
      <c r="E30"/>
      <c r="F30" s="4" t="s">
        <v>432</v>
      </c>
      <c r="G30" s="82"/>
      <c r="H30"/>
      <c r="I30"/>
      <c r="J30"/>
      <c r="K30"/>
      <c r="L30"/>
      <c r="M30" s="304" t="str">
        <f>IF(A26="EZ","-----",IF(A26= "Nicht relevant","-----",IF(COUNTBLANK(M24:M26)=3,"",SUMIF(A24:A26,"relevant",M24:M26) /COUNTIF(A24:A26,"relevant"))))</f>
        <v>-----</v>
      </c>
      <c r="N30"/>
      <c r="O30"/>
      <c r="P30"/>
      <c r="Q30"/>
      <c r="R30"/>
      <c r="S30"/>
      <c r="T30"/>
      <c r="U30"/>
      <c r="V30"/>
      <c r="W30"/>
      <c r="X30"/>
      <c r="Y30"/>
      <c r="AI30" s="42"/>
      <c r="AJ30" s="42"/>
      <c r="AK30" s="42"/>
      <c r="AL30" s="42"/>
      <c r="AM30" s="42"/>
      <c r="AN30" s="42"/>
    </row>
    <row r="31" spans="1:41" ht="11.25" customHeight="1" x14ac:dyDescent="0.35">
      <c r="A31" s="53"/>
      <c r="B31" s="21"/>
      <c r="C31" s="21"/>
      <c r="D31" s="21"/>
      <c r="E31" s="21"/>
      <c r="F31" s="21"/>
      <c r="G31" s="21"/>
      <c r="H31" s="21"/>
      <c r="I31" s="21"/>
      <c r="J31" s="21"/>
      <c r="K31" s="21"/>
      <c r="L31" s="21"/>
      <c r="M31" s="21"/>
      <c r="N31" s="21"/>
      <c r="O31" s="21"/>
      <c r="P31" s="54"/>
      <c r="Q31" s="54"/>
      <c r="R31" s="21"/>
      <c r="S31" s="21"/>
      <c r="T31" s="21"/>
      <c r="U31" s="21"/>
      <c r="V31" s="21"/>
      <c r="W31" s="21"/>
      <c r="X31" s="21"/>
      <c r="AI31" s="42"/>
      <c r="AJ31" s="42"/>
      <c r="AK31" s="42"/>
      <c r="AL31" s="42"/>
      <c r="AM31" s="42"/>
      <c r="AN31" s="42"/>
    </row>
    <row r="32" spans="1:41" s="11" customFormat="1" ht="14.1" customHeight="1" x14ac:dyDescent="0.3">
      <c r="A32" s="819" t="s">
        <v>453</v>
      </c>
      <c r="B32" s="819"/>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row>
    <row r="33" spans="1:27" s="11" customFormat="1" ht="14.1" customHeight="1" x14ac:dyDescent="0.3">
      <c r="A33" s="819" t="s">
        <v>454</v>
      </c>
      <c r="B33" s="819"/>
      <c r="C33" s="819"/>
      <c r="D33" s="819"/>
      <c r="E33" s="819"/>
      <c r="F33" s="819"/>
      <c r="G33" s="819"/>
      <c r="H33" s="819"/>
      <c r="I33" s="819"/>
      <c r="J33" s="819"/>
      <c r="K33" s="819"/>
      <c r="L33" s="819"/>
      <c r="M33" s="819"/>
      <c r="N33" s="819"/>
      <c r="O33" s="819"/>
      <c r="P33" s="819"/>
      <c r="Q33" s="819"/>
      <c r="R33" s="819"/>
      <c r="S33" s="819"/>
      <c r="T33" s="819"/>
      <c r="U33" s="819"/>
      <c r="V33" s="819"/>
      <c r="W33" s="819"/>
      <c r="X33" s="819"/>
      <c r="Y33" s="819"/>
      <c r="Z33" s="819"/>
    </row>
    <row r="34" spans="1:27" s="11" customFormat="1" ht="23.25" customHeight="1" x14ac:dyDescent="0.3">
      <c r="A34" s="820" t="s">
        <v>455</v>
      </c>
      <c r="B34" s="820"/>
      <c r="C34" s="820"/>
      <c r="D34" s="820"/>
      <c r="E34" s="820"/>
      <c r="F34" s="820"/>
      <c r="G34" s="820"/>
      <c r="H34" s="820"/>
      <c r="I34" s="820"/>
      <c r="J34" s="820"/>
      <c r="K34" s="820"/>
      <c r="L34" s="820"/>
      <c r="M34" s="820"/>
      <c r="N34" s="820"/>
      <c r="O34" s="820"/>
      <c r="P34" s="820"/>
      <c r="Q34" s="820"/>
      <c r="R34" s="820"/>
      <c r="S34" s="820"/>
      <c r="T34" s="820"/>
      <c r="U34" s="820"/>
      <c r="V34" s="820"/>
      <c r="W34" s="820"/>
      <c r="X34" s="820"/>
      <c r="Y34" s="820"/>
      <c r="Z34" s="820"/>
    </row>
    <row r="35" spans="1:27" s="11" customFormat="1" ht="21.75" customHeight="1" x14ac:dyDescent="0.3">
      <c r="A35" s="820" t="s">
        <v>863</v>
      </c>
      <c r="B35" s="820"/>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372"/>
    </row>
    <row r="36" spans="1:27" s="11" customFormat="1" ht="14.1" customHeight="1" x14ac:dyDescent="0.3">
      <c r="A36" s="819" t="s">
        <v>456</v>
      </c>
      <c r="B36" s="819"/>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row>
    <row r="37" spans="1:27" s="11" customFormat="1" ht="14.1" customHeight="1" x14ac:dyDescent="0.3">
      <c r="A37" s="819" t="s">
        <v>457</v>
      </c>
      <c r="B37" s="819"/>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row>
    <row r="38" spans="1:27" s="11" customFormat="1" ht="14.1" customHeight="1" x14ac:dyDescent="0.3">
      <c r="A38" s="819" t="s">
        <v>458</v>
      </c>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row>
    <row r="39" spans="1:27" s="11" customFormat="1" ht="24" customHeight="1" x14ac:dyDescent="0.3">
      <c r="A39" s="820" t="s">
        <v>459</v>
      </c>
      <c r="B39" s="820"/>
      <c r="C39" s="820"/>
      <c r="D39" s="820"/>
      <c r="E39" s="820"/>
      <c r="F39" s="820"/>
      <c r="G39" s="820"/>
      <c r="H39" s="820"/>
      <c r="I39" s="820"/>
      <c r="J39" s="820"/>
      <c r="K39" s="820"/>
      <c r="L39" s="820"/>
      <c r="M39" s="820"/>
      <c r="N39" s="820"/>
      <c r="O39" s="820"/>
      <c r="P39" s="820"/>
      <c r="Q39" s="820"/>
      <c r="R39" s="820"/>
      <c r="S39" s="820"/>
      <c r="T39" s="820"/>
      <c r="U39" s="820"/>
      <c r="V39" s="820"/>
      <c r="W39" s="820"/>
      <c r="X39" s="820"/>
      <c r="Y39" s="820"/>
      <c r="Z39" s="820"/>
    </row>
    <row r="40" spans="1:27" s="11" customFormat="1" ht="14.1" customHeight="1" x14ac:dyDescent="0.3">
      <c r="A40" s="819" t="s">
        <v>393</v>
      </c>
      <c r="B40" s="819"/>
      <c r="C40" s="819"/>
      <c r="D40" s="819"/>
      <c r="E40" s="819"/>
      <c r="F40" s="819"/>
      <c r="G40" s="819"/>
      <c r="H40" s="819"/>
      <c r="I40" s="819"/>
      <c r="J40" s="819"/>
      <c r="K40" s="819"/>
      <c r="L40" s="819"/>
      <c r="M40" s="819"/>
      <c r="N40" s="819"/>
      <c r="O40" s="819"/>
      <c r="P40" s="819"/>
      <c r="Q40" s="819"/>
      <c r="R40" s="819"/>
      <c r="S40" s="819"/>
      <c r="T40" s="819"/>
      <c r="U40" s="819"/>
      <c r="V40" s="819"/>
      <c r="W40" s="819"/>
      <c r="X40" s="819"/>
      <c r="Y40" s="819"/>
      <c r="Z40" s="819"/>
    </row>
    <row r="41" spans="1:27" s="11" customFormat="1" ht="24.75" customHeight="1" x14ac:dyDescent="0.3">
      <c r="A41" s="821" t="s">
        <v>460</v>
      </c>
      <c r="B41" s="821"/>
      <c r="C41" s="821"/>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371"/>
    </row>
    <row r="42" spans="1:27" s="11" customFormat="1" ht="15.75" customHeight="1" x14ac:dyDescent="0.3">
      <c r="A42" s="35"/>
      <c r="Z42" s="4"/>
    </row>
    <row r="43" spans="1:27" s="11" customFormat="1" ht="14.1" customHeight="1" x14ac:dyDescent="0.3">
      <c r="A43" s="72" t="s">
        <v>305</v>
      </c>
      <c r="Z43" s="4"/>
    </row>
    <row r="44" spans="1:27" s="11" customFormat="1" ht="14.1" customHeight="1" x14ac:dyDescent="0.3">
      <c r="A44" s="35" t="s">
        <v>379</v>
      </c>
      <c r="Z44" s="4"/>
    </row>
    <row r="45" spans="1:27" s="35" customFormat="1" ht="14.1" customHeight="1" x14ac:dyDescent="0.45">
      <c r="A45" s="35" t="s">
        <v>380</v>
      </c>
    </row>
    <row r="46" spans="1:27" s="11" customFormat="1" ht="14.1" customHeight="1" x14ac:dyDescent="0.3">
      <c r="A46" s="87" t="s">
        <v>360</v>
      </c>
      <c r="B46" s="35" t="s">
        <v>865</v>
      </c>
      <c r="Z46" s="4"/>
    </row>
    <row r="47" spans="1:27" s="11" customFormat="1" ht="14.1" customHeight="1" x14ac:dyDescent="0.3">
      <c r="A47" s="87" t="s">
        <v>361</v>
      </c>
      <c r="B47" s="35" t="s">
        <v>416</v>
      </c>
      <c r="Z47" s="4"/>
    </row>
    <row r="48" spans="1:27" s="11" customFormat="1" ht="14.1" customHeight="1" x14ac:dyDescent="0.3">
      <c r="A48" s="87" t="s">
        <v>362</v>
      </c>
      <c r="B48" s="35" t="s">
        <v>394</v>
      </c>
      <c r="E48" s="88"/>
      <c r="Z48" s="4"/>
    </row>
    <row r="49" spans="1:36" s="11" customFormat="1" ht="14.1" customHeight="1" x14ac:dyDescent="0.3">
      <c r="A49" s="87" t="s">
        <v>363</v>
      </c>
      <c r="B49" s="35" t="s">
        <v>170</v>
      </c>
      <c r="Z49" s="4"/>
    </row>
    <row r="50" spans="1:36" s="11" customFormat="1" ht="14.1" customHeight="1" x14ac:dyDescent="0.3">
      <c r="A50" s="89" t="s">
        <v>364</v>
      </c>
      <c r="B50" s="35" t="s">
        <v>172</v>
      </c>
      <c r="Z50" s="4"/>
    </row>
    <row r="51" spans="1:36" s="11" customFormat="1" ht="14.1" customHeight="1" x14ac:dyDescent="0.3">
      <c r="A51" s="87" t="s">
        <v>367</v>
      </c>
      <c r="B51" s="35" t="s">
        <v>49</v>
      </c>
      <c r="Z51" s="4"/>
    </row>
    <row r="52" spans="1:36" s="11" customFormat="1" ht="18.75" customHeight="1" x14ac:dyDescent="0.3">
      <c r="A52" s="35"/>
      <c r="Z52" s="4"/>
    </row>
    <row r="53" spans="1:36" s="11" customFormat="1" ht="14.1" customHeight="1" x14ac:dyDescent="0.3">
      <c r="A53" s="72" t="s">
        <v>349</v>
      </c>
    </row>
    <row r="54" spans="1:36" s="11" customFormat="1" ht="14.1" customHeight="1" x14ac:dyDescent="0.3">
      <c r="A54" s="35" t="s">
        <v>350</v>
      </c>
    </row>
    <row r="55" spans="1:36" s="11" customFormat="1" ht="14.1" customHeight="1" x14ac:dyDescent="0.3">
      <c r="A55" s="35" t="s">
        <v>351</v>
      </c>
    </row>
    <row r="56" spans="1:36" s="11" customFormat="1" ht="14.1" customHeight="1" x14ac:dyDescent="0.3">
      <c r="A56" s="35" t="s">
        <v>50</v>
      </c>
      <c r="AE56" s="35"/>
      <c r="AF56" s="35"/>
      <c r="AG56" s="35"/>
      <c r="AH56" s="35"/>
      <c r="AI56" s="35"/>
      <c r="AJ56" s="35"/>
    </row>
    <row r="57" spans="1:36" s="11" customFormat="1" ht="14.1" customHeight="1" x14ac:dyDescent="0.3">
      <c r="A57" s="35"/>
    </row>
    <row r="58" spans="1:36" s="11" customFormat="1" ht="14.1" customHeight="1" x14ac:dyDescent="0.3">
      <c r="A58" s="90" t="s">
        <v>304</v>
      </c>
    </row>
    <row r="59" spans="1:36" s="11" customFormat="1" ht="21" customHeight="1" x14ac:dyDescent="0.3">
      <c r="A59" s="91" t="s">
        <v>56</v>
      </c>
      <c r="B59" s="891" t="s">
        <v>173</v>
      </c>
      <c r="C59" s="936"/>
      <c r="D59" s="937"/>
      <c r="E59" s="891" t="s">
        <v>265</v>
      </c>
      <c r="F59" s="936"/>
      <c r="G59" s="937"/>
      <c r="H59" s="933" t="s">
        <v>355</v>
      </c>
      <c r="I59" s="934"/>
      <c r="J59" s="934"/>
      <c r="K59" s="934"/>
      <c r="L59" s="934"/>
      <c r="M59" s="934"/>
      <c r="N59" s="934"/>
      <c r="O59" s="934"/>
      <c r="P59" s="934"/>
      <c r="Q59" s="934"/>
      <c r="R59" s="934"/>
      <c r="S59" s="934"/>
      <c r="T59" s="934"/>
      <c r="U59" s="934"/>
      <c r="V59" s="934"/>
      <c r="W59" s="934"/>
      <c r="X59" s="934"/>
      <c r="Y59" s="934"/>
      <c r="Z59" s="935"/>
    </row>
    <row r="60" spans="1:36" s="11" customFormat="1" ht="14.1" customHeight="1" x14ac:dyDescent="0.35">
      <c r="A60" s="94" t="s">
        <v>322</v>
      </c>
      <c r="B60" s="898" t="s">
        <v>169</v>
      </c>
      <c r="C60" s="901"/>
      <c r="D60" s="902"/>
      <c r="E60" s="887"/>
      <c r="F60" s="888"/>
      <c r="G60" s="889"/>
      <c r="H60" s="83"/>
      <c r="I60" s="95" t="s">
        <v>177</v>
      </c>
      <c r="J60" s="96"/>
      <c r="K60" s="96"/>
      <c r="L60" s="96"/>
      <c r="M60" s="96"/>
      <c r="N60" s="96"/>
      <c r="O60" s="96"/>
      <c r="P60" s="92"/>
      <c r="Q60" s="92"/>
      <c r="R60" s="92"/>
      <c r="S60" s="92"/>
      <c r="T60" s="92"/>
      <c r="U60" s="92"/>
      <c r="V60" s="92"/>
      <c r="W60" s="92"/>
      <c r="X60" s="92"/>
      <c r="Y60" s="92"/>
      <c r="Z60" s="93"/>
    </row>
    <row r="61" spans="1:36" s="11" customFormat="1" ht="14.1" customHeight="1" x14ac:dyDescent="0.35">
      <c r="A61" s="94" t="s">
        <v>322</v>
      </c>
      <c r="B61" s="898" t="s">
        <v>356</v>
      </c>
      <c r="C61" s="901"/>
      <c r="D61" s="902"/>
      <c r="E61" s="882"/>
      <c r="F61" s="883"/>
      <c r="G61" s="884"/>
      <c r="H61" s="83"/>
      <c r="I61" s="97" t="s">
        <v>40</v>
      </c>
      <c r="J61" s="98"/>
      <c r="K61" s="98"/>
      <c r="L61" s="98"/>
      <c r="M61" s="98"/>
      <c r="N61" s="98"/>
      <c r="O61" s="98"/>
      <c r="P61" s="99"/>
      <c r="Q61" s="99"/>
      <c r="R61" s="99"/>
      <c r="S61" s="99"/>
      <c r="T61" s="99"/>
      <c r="U61" s="99"/>
      <c r="V61" s="99"/>
      <c r="W61" s="99"/>
      <c r="X61" s="99"/>
      <c r="Y61" s="99"/>
      <c r="Z61" s="100"/>
    </row>
    <row r="62" spans="1:36" s="11" customFormat="1" ht="14.1" customHeight="1" x14ac:dyDescent="0.3">
      <c r="A62" s="94" t="s">
        <v>354</v>
      </c>
      <c r="B62" s="898" t="s">
        <v>174</v>
      </c>
      <c r="C62" s="901"/>
      <c r="D62" s="902"/>
      <c r="E62" s="930" t="s">
        <v>389</v>
      </c>
      <c r="F62" s="931"/>
      <c r="G62" s="932"/>
      <c r="H62" s="83"/>
      <c r="I62" s="97" t="s">
        <v>41</v>
      </c>
      <c r="J62" s="97"/>
      <c r="K62" s="97"/>
      <c r="L62" s="97"/>
      <c r="M62" s="97"/>
      <c r="N62" s="97"/>
      <c r="O62" s="97"/>
      <c r="P62" s="84"/>
      <c r="Q62" s="84"/>
      <c r="R62" s="84"/>
      <c r="S62" s="84"/>
      <c r="T62" s="84"/>
      <c r="U62" s="84"/>
      <c r="V62" s="84"/>
      <c r="W62" s="84"/>
      <c r="X62" s="84"/>
      <c r="Y62" s="84"/>
      <c r="Z62" s="101"/>
    </row>
    <row r="63" spans="1:36" s="11" customFormat="1" ht="14.1" customHeight="1" x14ac:dyDescent="0.3">
      <c r="A63" s="94" t="s">
        <v>185</v>
      </c>
      <c r="B63" s="898" t="s">
        <v>381</v>
      </c>
      <c r="C63" s="901"/>
      <c r="D63" s="902"/>
      <c r="E63" s="930" t="s">
        <v>314</v>
      </c>
      <c r="F63" s="931"/>
      <c r="G63" s="932"/>
      <c r="H63" s="83"/>
      <c r="I63" s="97" t="s">
        <v>392</v>
      </c>
      <c r="J63" s="97"/>
      <c r="K63" s="97"/>
      <c r="L63" s="97"/>
      <c r="M63" s="97"/>
      <c r="N63" s="97"/>
      <c r="O63" s="97"/>
      <c r="P63" s="84"/>
      <c r="Q63" s="84"/>
      <c r="R63" s="84"/>
      <c r="S63" s="84"/>
      <c r="T63" s="84"/>
      <c r="U63" s="84"/>
      <c r="V63" s="84"/>
      <c r="W63" s="84"/>
      <c r="X63" s="84"/>
      <c r="Y63" s="84"/>
      <c r="Z63" s="101"/>
    </row>
    <row r="64" spans="1:36" s="11" customFormat="1" ht="14.1" customHeight="1" x14ac:dyDescent="0.3">
      <c r="A64" s="94" t="s">
        <v>186</v>
      </c>
      <c r="B64" s="898" t="s">
        <v>26</v>
      </c>
      <c r="C64" s="901"/>
      <c r="D64" s="902"/>
      <c r="E64" s="930" t="s">
        <v>314</v>
      </c>
      <c r="F64" s="931"/>
      <c r="G64" s="932"/>
      <c r="H64" s="83"/>
      <c r="I64" s="97" t="s">
        <v>27</v>
      </c>
      <c r="J64" s="97"/>
      <c r="K64" s="97"/>
      <c r="L64" s="97"/>
      <c r="M64" s="97"/>
      <c r="N64" s="97"/>
      <c r="O64" s="97"/>
      <c r="P64" s="84"/>
      <c r="Q64" s="84"/>
      <c r="R64" s="84"/>
      <c r="S64" s="84"/>
      <c r="T64" s="84"/>
      <c r="U64" s="84"/>
      <c r="V64" s="84"/>
      <c r="W64" s="84"/>
      <c r="X64" s="84"/>
      <c r="Y64" s="84"/>
      <c r="Z64" s="101"/>
    </row>
    <row r="65" spans="1:26" s="11" customFormat="1" ht="14.1" customHeight="1" x14ac:dyDescent="0.3">
      <c r="A65" s="94" t="s">
        <v>382</v>
      </c>
      <c r="B65" s="898" t="s">
        <v>53</v>
      </c>
      <c r="C65" s="901"/>
      <c r="D65" s="902"/>
      <c r="E65" s="930" t="s">
        <v>314</v>
      </c>
      <c r="F65" s="931"/>
      <c r="G65" s="932"/>
      <c r="H65" s="83"/>
      <c r="I65" s="97" t="s">
        <v>30</v>
      </c>
      <c r="J65" s="97"/>
      <c r="K65" s="97"/>
      <c r="L65" s="97"/>
      <c r="M65" s="97"/>
      <c r="N65" s="97"/>
      <c r="O65" s="97"/>
      <c r="P65" s="84"/>
      <c r="Q65" s="84"/>
      <c r="R65" s="84"/>
      <c r="S65" s="84"/>
      <c r="T65" s="84"/>
      <c r="U65" s="84"/>
      <c r="V65" s="84"/>
      <c r="W65" s="84"/>
      <c r="X65" s="84"/>
      <c r="Y65" s="84"/>
      <c r="Z65" s="101"/>
    </row>
    <row r="66" spans="1:26" s="11" customFormat="1" ht="14.1" customHeight="1" x14ac:dyDescent="0.3">
      <c r="A66" s="94" t="s">
        <v>436</v>
      </c>
      <c r="B66" s="898" t="s">
        <v>437</v>
      </c>
      <c r="C66" s="901"/>
      <c r="D66" s="902"/>
      <c r="E66" s="927" t="s">
        <v>179</v>
      </c>
      <c r="F66" s="928"/>
      <c r="G66" s="929"/>
      <c r="H66" s="83"/>
      <c r="I66" s="97" t="s">
        <v>426</v>
      </c>
      <c r="J66" s="97"/>
      <c r="K66" s="97"/>
      <c r="L66" s="97"/>
      <c r="M66" s="97"/>
      <c r="N66" s="97"/>
      <c r="O66" s="97"/>
      <c r="P66" s="84"/>
      <c r="Q66" s="84"/>
      <c r="R66" s="84"/>
      <c r="S66" s="84"/>
      <c r="T66" s="84"/>
      <c r="U66" s="84"/>
      <c r="V66" s="84"/>
      <c r="W66" s="84"/>
      <c r="X66" s="84"/>
      <c r="Y66" s="84"/>
      <c r="Z66" s="101"/>
    </row>
    <row r="67" spans="1:26" s="11" customFormat="1" ht="14.1" customHeight="1" x14ac:dyDescent="0.3">
      <c r="A67" s="94" t="s">
        <v>180</v>
      </c>
      <c r="B67" s="898" t="s">
        <v>69</v>
      </c>
      <c r="C67" s="901"/>
      <c r="D67" s="902"/>
      <c r="E67" s="903" t="s">
        <v>307</v>
      </c>
      <c r="F67" s="904"/>
      <c r="G67" s="905"/>
      <c r="H67" s="83"/>
      <c r="I67" s="97" t="s">
        <v>374</v>
      </c>
      <c r="J67" s="97"/>
      <c r="K67" s="97"/>
      <c r="L67" s="97"/>
      <c r="M67" s="97"/>
      <c r="N67" s="97"/>
      <c r="O67" s="97"/>
      <c r="P67" s="84"/>
      <c r="Q67" s="84"/>
      <c r="R67" s="84"/>
      <c r="S67" s="84"/>
      <c r="T67" s="84"/>
      <c r="U67" s="84"/>
      <c r="V67" s="84"/>
      <c r="W67" s="84"/>
      <c r="X67" s="84"/>
      <c r="Y67" s="84"/>
      <c r="Z67" s="101"/>
    </row>
    <row r="68" spans="1:26" s="11" customFormat="1" ht="14.1" customHeight="1" x14ac:dyDescent="0.3">
      <c r="A68" s="94" t="s">
        <v>372</v>
      </c>
      <c r="B68" s="898" t="s">
        <v>39</v>
      </c>
      <c r="C68" s="901"/>
      <c r="D68" s="902"/>
      <c r="E68" s="903" t="s">
        <v>307</v>
      </c>
      <c r="F68" s="904"/>
      <c r="G68" s="905"/>
      <c r="H68" s="83"/>
      <c r="I68" s="97" t="s">
        <v>31</v>
      </c>
      <c r="J68" s="97"/>
      <c r="K68" s="97"/>
      <c r="L68" s="97"/>
      <c r="M68" s="97"/>
      <c r="N68" s="97"/>
      <c r="O68" s="97"/>
      <c r="P68" s="84"/>
      <c r="Q68" s="84"/>
      <c r="R68" s="84"/>
      <c r="S68" s="84"/>
      <c r="T68" s="84"/>
      <c r="U68" s="84"/>
      <c r="V68" s="84"/>
      <c r="W68" s="84"/>
      <c r="X68" s="84"/>
      <c r="Y68" s="84"/>
      <c r="Z68" s="101"/>
    </row>
    <row r="69" spans="1:26" s="11" customFormat="1" ht="14.1" customHeight="1" x14ac:dyDescent="0.3">
      <c r="A69" s="94" t="s">
        <v>436</v>
      </c>
      <c r="B69" s="898" t="s">
        <v>438</v>
      </c>
      <c r="C69" s="901"/>
      <c r="D69" s="902"/>
      <c r="E69" s="903" t="s">
        <v>307</v>
      </c>
      <c r="F69" s="904"/>
      <c r="G69" s="905"/>
      <c r="H69" s="83"/>
      <c r="I69" s="97" t="s">
        <v>425</v>
      </c>
      <c r="J69" s="97"/>
      <c r="K69" s="97"/>
      <c r="L69" s="97"/>
      <c r="M69" s="97"/>
      <c r="N69" s="97"/>
      <c r="O69" s="97"/>
      <c r="P69" s="84"/>
      <c r="Q69" s="84"/>
      <c r="R69" s="84"/>
      <c r="S69" s="84"/>
      <c r="T69" s="84"/>
      <c r="U69" s="84"/>
      <c r="V69" s="84"/>
      <c r="W69" s="84"/>
      <c r="X69" s="84"/>
      <c r="Y69" s="84"/>
      <c r="Z69" s="101"/>
    </row>
    <row r="70" spans="1:26" s="11" customFormat="1" ht="14.1" hidden="1" customHeight="1" x14ac:dyDescent="0.3">
      <c r="A70" s="94" t="s">
        <v>187</v>
      </c>
      <c r="B70" s="898" t="s">
        <v>18</v>
      </c>
      <c r="C70" s="901"/>
      <c r="D70" s="902"/>
      <c r="E70" s="903" t="s">
        <v>307</v>
      </c>
      <c r="F70" s="904"/>
      <c r="G70" s="905"/>
      <c r="H70" s="83"/>
      <c r="I70" s="97" t="s">
        <v>15</v>
      </c>
      <c r="J70" s="97"/>
      <c r="K70" s="97"/>
      <c r="L70" s="97"/>
      <c r="M70" s="97"/>
      <c r="N70" s="97"/>
      <c r="O70" s="97"/>
      <c r="P70" s="84"/>
      <c r="Q70" s="84"/>
      <c r="R70" s="84"/>
      <c r="S70" s="84"/>
      <c r="T70" s="84"/>
      <c r="U70" s="84"/>
      <c r="V70" s="84"/>
      <c r="W70" s="84"/>
      <c r="X70" s="84"/>
      <c r="Y70" s="84"/>
      <c r="Z70" s="101"/>
    </row>
    <row r="71" spans="1:26" s="11" customFormat="1" ht="14.1" customHeight="1" x14ac:dyDescent="0.3">
      <c r="A71" s="94" t="s">
        <v>42</v>
      </c>
      <c r="B71" s="898" t="s">
        <v>62</v>
      </c>
      <c r="C71" s="901"/>
      <c r="D71" s="902"/>
      <c r="E71" s="903" t="s">
        <v>307</v>
      </c>
      <c r="F71" s="904"/>
      <c r="G71" s="905"/>
      <c r="H71" s="83"/>
      <c r="I71" s="102" t="s">
        <v>357</v>
      </c>
      <c r="J71" s="97"/>
      <c r="K71" s="97"/>
      <c r="L71" s="97"/>
      <c r="M71" s="97"/>
      <c r="N71" s="97"/>
      <c r="O71" s="260" t="s">
        <v>150</v>
      </c>
      <c r="P71" s="84"/>
      <c r="Q71" s="264">
        <f>B23</f>
        <v>2013</v>
      </c>
      <c r="R71" s="84"/>
      <c r="S71" s="102"/>
      <c r="T71" s="84"/>
      <c r="U71" s="84"/>
      <c r="V71" s="84"/>
      <c r="W71" s="84"/>
      <c r="X71" s="84"/>
      <c r="Y71" s="84"/>
      <c r="Z71" s="101"/>
    </row>
    <row r="72" spans="1:26" s="11" customFormat="1" ht="14.1" customHeight="1" x14ac:dyDescent="0.3">
      <c r="A72" s="94" t="s">
        <v>43</v>
      </c>
      <c r="B72" s="898" t="s">
        <v>61</v>
      </c>
      <c r="C72" s="901"/>
      <c r="D72" s="902"/>
      <c r="E72" s="903" t="s">
        <v>307</v>
      </c>
      <c r="F72" s="904"/>
      <c r="G72" s="905"/>
      <c r="H72" s="83"/>
      <c r="I72" s="102" t="s">
        <v>357</v>
      </c>
      <c r="J72" s="97"/>
      <c r="K72" s="97"/>
      <c r="L72" s="97"/>
      <c r="M72" s="97"/>
      <c r="N72" s="97"/>
      <c r="O72" s="260" t="s">
        <v>150</v>
      </c>
      <c r="P72" s="84"/>
      <c r="Q72" s="264">
        <f>B24</f>
        <v>2014</v>
      </c>
      <c r="R72" s="84"/>
      <c r="S72" s="102"/>
      <c r="T72" s="84"/>
      <c r="U72" s="84"/>
      <c r="V72" s="84"/>
      <c r="W72" s="84"/>
      <c r="X72" s="84"/>
      <c r="Y72" s="84"/>
      <c r="Z72" s="101"/>
    </row>
    <row r="73" spans="1:26" s="11" customFormat="1" ht="14.1" customHeight="1" x14ac:dyDescent="0.3">
      <c r="A73" s="94" t="s">
        <v>23</v>
      </c>
      <c r="B73" s="898" t="s">
        <v>63</v>
      </c>
      <c r="C73" s="901"/>
      <c r="D73" s="902"/>
      <c r="E73" s="903" t="s">
        <v>307</v>
      </c>
      <c r="F73" s="904"/>
      <c r="G73" s="905"/>
      <c r="H73" s="83"/>
      <c r="I73" s="102" t="s">
        <v>357</v>
      </c>
      <c r="J73" s="97"/>
      <c r="K73" s="97"/>
      <c r="L73" s="97"/>
      <c r="M73" s="97"/>
      <c r="N73" s="97"/>
      <c r="O73" s="260" t="s">
        <v>150</v>
      </c>
      <c r="P73" s="84"/>
      <c r="Q73" s="264">
        <f>B25</f>
        <v>2015</v>
      </c>
      <c r="R73" s="84"/>
      <c r="S73" s="102"/>
      <c r="T73" s="84"/>
      <c r="U73" s="84"/>
      <c r="V73" s="84"/>
      <c r="W73" s="84"/>
      <c r="X73" s="84"/>
      <c r="Y73" s="84"/>
      <c r="Z73" s="101"/>
    </row>
    <row r="74" spans="1:26" s="11" customFormat="1" ht="14.1" customHeight="1" x14ac:dyDescent="0.3">
      <c r="A74" s="94" t="s">
        <v>439</v>
      </c>
      <c r="B74" s="898" t="s">
        <v>64</v>
      </c>
      <c r="C74" s="901"/>
      <c r="D74" s="902"/>
      <c r="E74" s="903" t="s">
        <v>307</v>
      </c>
      <c r="F74" s="904"/>
      <c r="G74" s="905"/>
      <c r="H74" s="83"/>
      <c r="I74" s="102" t="s">
        <v>357</v>
      </c>
      <c r="J74" s="97"/>
      <c r="K74" s="97"/>
      <c r="L74" s="97"/>
      <c r="M74" s="97"/>
      <c r="N74" s="97"/>
      <c r="O74" s="260" t="s">
        <v>150</v>
      </c>
      <c r="P74" s="84"/>
      <c r="Q74" s="264">
        <f>B26</f>
        <v>2016</v>
      </c>
      <c r="R74" s="84"/>
      <c r="S74" s="102"/>
      <c r="T74" s="84"/>
      <c r="U74" s="84"/>
      <c r="V74" s="84"/>
      <c r="W74" s="84"/>
      <c r="X74" s="84"/>
      <c r="Y74" s="84"/>
      <c r="Z74" s="101"/>
    </row>
    <row r="75" spans="1:26" s="11" customFormat="1" ht="14.1" customHeight="1" x14ac:dyDescent="0.3">
      <c r="A75" s="94" t="s">
        <v>44</v>
      </c>
      <c r="B75" s="898" t="s">
        <v>61</v>
      </c>
      <c r="C75" s="901"/>
      <c r="D75" s="902"/>
      <c r="E75" s="903" t="s">
        <v>307</v>
      </c>
      <c r="F75" s="904"/>
      <c r="G75" s="905"/>
      <c r="H75" s="83"/>
      <c r="I75" s="102" t="s">
        <v>358</v>
      </c>
      <c r="J75" s="97"/>
      <c r="K75" s="97"/>
      <c r="L75" s="97"/>
      <c r="M75" s="97"/>
      <c r="N75" s="97"/>
      <c r="O75" s="260" t="s">
        <v>150</v>
      </c>
      <c r="P75" s="84"/>
      <c r="Q75" s="264">
        <f>B23</f>
        <v>2013</v>
      </c>
      <c r="R75" s="84"/>
      <c r="S75" s="102"/>
      <c r="T75" s="84"/>
      <c r="U75" s="84"/>
      <c r="V75" s="84"/>
      <c r="W75" s="84"/>
      <c r="X75" s="84"/>
      <c r="Y75" s="84"/>
      <c r="Z75" s="101"/>
    </row>
    <row r="76" spans="1:26" s="11" customFormat="1" ht="14.1" customHeight="1" x14ac:dyDescent="0.3">
      <c r="A76" s="94" t="s">
        <v>45</v>
      </c>
      <c r="B76" s="898" t="s">
        <v>60</v>
      </c>
      <c r="C76" s="901"/>
      <c r="D76" s="902"/>
      <c r="E76" s="903" t="s">
        <v>307</v>
      </c>
      <c r="F76" s="904"/>
      <c r="G76" s="905"/>
      <c r="H76" s="83"/>
      <c r="I76" s="102" t="s">
        <v>358</v>
      </c>
      <c r="J76" s="97"/>
      <c r="K76" s="97"/>
      <c r="L76" s="97"/>
      <c r="M76" s="97"/>
      <c r="N76" s="97"/>
      <c r="O76" s="260" t="s">
        <v>150</v>
      </c>
      <c r="P76" s="84"/>
      <c r="Q76" s="264">
        <f>B24</f>
        <v>2014</v>
      </c>
      <c r="R76" s="84"/>
      <c r="S76" s="102"/>
      <c r="T76" s="84"/>
      <c r="U76" s="84"/>
      <c r="V76" s="84"/>
      <c r="W76" s="84"/>
      <c r="X76" s="84"/>
      <c r="Y76" s="84"/>
      <c r="Z76" s="101"/>
    </row>
    <row r="77" spans="1:26" s="11" customFormat="1" ht="14.1" customHeight="1" x14ac:dyDescent="0.3">
      <c r="A77" s="94" t="s">
        <v>24</v>
      </c>
      <c r="B77" s="898" t="s">
        <v>59</v>
      </c>
      <c r="C77" s="901"/>
      <c r="D77" s="902"/>
      <c r="E77" s="903" t="s">
        <v>307</v>
      </c>
      <c r="F77" s="904"/>
      <c r="G77" s="905"/>
      <c r="H77" s="83"/>
      <c r="I77" s="102" t="s">
        <v>358</v>
      </c>
      <c r="J77" s="97"/>
      <c r="K77" s="97"/>
      <c r="L77" s="97"/>
      <c r="M77" s="97"/>
      <c r="N77" s="97"/>
      <c r="O77" s="260" t="s">
        <v>150</v>
      </c>
      <c r="P77" s="84"/>
      <c r="Q77" s="264">
        <f>B25</f>
        <v>2015</v>
      </c>
      <c r="R77" s="84"/>
      <c r="S77" s="102"/>
      <c r="T77" s="84"/>
      <c r="U77" s="84"/>
      <c r="V77" s="84"/>
      <c r="W77" s="84"/>
      <c r="X77" s="84"/>
      <c r="Y77" s="84"/>
      <c r="Z77" s="101"/>
    </row>
    <row r="78" spans="1:26" s="11" customFormat="1" ht="14.1" customHeight="1" x14ac:dyDescent="0.3">
      <c r="A78" s="94" t="s">
        <v>440</v>
      </c>
      <c r="B78" s="898" t="s">
        <v>58</v>
      </c>
      <c r="C78" s="901"/>
      <c r="D78" s="902"/>
      <c r="E78" s="903" t="s">
        <v>307</v>
      </c>
      <c r="F78" s="904"/>
      <c r="G78" s="905"/>
      <c r="H78" s="83"/>
      <c r="I78" s="102" t="s">
        <v>358</v>
      </c>
      <c r="J78" s="97"/>
      <c r="K78" s="97"/>
      <c r="L78" s="97"/>
      <c r="M78" s="97"/>
      <c r="N78" s="97"/>
      <c r="O78" s="260" t="s">
        <v>150</v>
      </c>
      <c r="P78" s="84"/>
      <c r="Q78" s="264">
        <f>B26</f>
        <v>2016</v>
      </c>
      <c r="R78" s="84"/>
      <c r="S78" s="102"/>
      <c r="T78" s="84"/>
      <c r="U78" s="84"/>
      <c r="V78" s="84"/>
      <c r="W78" s="84"/>
      <c r="X78" s="84"/>
      <c r="Y78" s="84"/>
      <c r="Z78" s="101"/>
    </row>
    <row r="79" spans="1:26" s="11" customFormat="1" ht="10.15" x14ac:dyDescent="0.3">
      <c r="Z79" s="4"/>
    </row>
    <row r="82" spans="1:26" ht="17.25" hidden="1" customHeight="1" x14ac:dyDescent="0.35">
      <c r="B82" s="42" t="str">
        <f>Berechnung4!B29</f>
        <v>Matrix</v>
      </c>
      <c r="C82" s="42"/>
      <c r="D82" s="42"/>
      <c r="E82" s="43"/>
      <c r="F82" s="43"/>
      <c r="G82" s="43"/>
      <c r="H82" s="43"/>
      <c r="I82" s="43"/>
      <c r="J82" s="43"/>
      <c r="K82" s="43"/>
      <c r="L82" s="43"/>
      <c r="M82" s="43"/>
      <c r="N82" s="43"/>
      <c r="O82" s="42"/>
      <c r="P82" s="42"/>
    </row>
    <row r="83" spans="1:26" hidden="1" x14ac:dyDescent="0.35">
      <c r="A83" s="42" t="str">
        <f>Berechnung4!B30</f>
        <v>ART</v>
      </c>
      <c r="C83" s="42">
        <f>Berechnung4!C30</f>
        <v>0</v>
      </c>
      <c r="D83" s="42">
        <f>Berechnung4!D30</f>
        <v>0</v>
      </c>
      <c r="E83" s="43">
        <f>Berechnung4!E30</f>
        <v>0</v>
      </c>
      <c r="F83" s="43" t="str">
        <f>Berechnung4!F30</f>
        <v>Werte</v>
      </c>
      <c r="G83" s="43">
        <f>Berechnung4!G30</f>
        <v>0</v>
      </c>
      <c r="H83" s="43">
        <f>Berechnung4!H30</f>
        <v>0</v>
      </c>
      <c r="I83" s="43">
        <f>Berechnung4!I30</f>
        <v>0</v>
      </c>
      <c r="J83" s="43">
        <f>Berechnung4!J30</f>
        <v>0</v>
      </c>
      <c r="K83" s="43">
        <f>Berechnung4!K30</f>
        <v>0</v>
      </c>
      <c r="L83" s="43" t="str">
        <f>Berechnung4!L30</f>
        <v>Texte Matrix Datenquali</v>
      </c>
      <c r="M83" s="43">
        <f>Berechnung4!M30</f>
        <v>0</v>
      </c>
      <c r="N83" s="43" t="str">
        <f>Berechnung4!N30</f>
        <v>Fehlermeldungen Matrix</v>
      </c>
      <c r="O83" s="42"/>
      <c r="P83" s="42"/>
    </row>
    <row r="84" spans="1:26" hidden="1" x14ac:dyDescent="0.35">
      <c r="A84" s="42">
        <f>Berechnung4!B31</f>
        <v>0</v>
      </c>
      <c r="C84" s="42">
        <f>Berechnung4!C31</f>
        <v>0</v>
      </c>
      <c r="D84" s="42">
        <f>Berechnung4!D31</f>
        <v>0</v>
      </c>
      <c r="E84" s="55">
        <f>Berechnung4!E31</f>
        <v>0</v>
      </c>
      <c r="F84" s="55">
        <f>Berechnung4!F31</f>
        <v>0</v>
      </c>
      <c r="G84" s="55">
        <f>Berechnung4!G31</f>
        <v>0</v>
      </c>
      <c r="H84" s="55">
        <f>Berechnung4!H31</f>
        <v>0</v>
      </c>
      <c r="I84" s="55">
        <f>Berechnung4!I31</f>
        <v>0</v>
      </c>
      <c r="J84" s="55">
        <f>Berechnung4!J31</f>
        <v>0</v>
      </c>
      <c r="K84" s="43">
        <f>Berechnung4!K31</f>
        <v>0</v>
      </c>
      <c r="L84" s="43">
        <f>Berechnung4!L31</f>
        <v>0</v>
      </c>
      <c r="M84" s="43">
        <f>Berechnung4!M31</f>
        <v>0</v>
      </c>
      <c r="N84" s="43" t="str">
        <f>Berechnung4!N31</f>
        <v>Ganze Zahl zwischen 0 und 5000 eingeben</v>
      </c>
      <c r="O84" s="42"/>
      <c r="P84" s="42"/>
    </row>
    <row r="85" spans="1:26" hidden="1" x14ac:dyDescent="0.35">
      <c r="A85" s="42" t="str">
        <f>Berechnung4!B32</f>
        <v>relevante Nachsorgejahre nicht/unvollständig bearbeitet</v>
      </c>
      <c r="C85" s="42">
        <f>Berechnung4!C32</f>
        <v>0</v>
      </c>
      <c r="D85" s="42" t="str">
        <f>Berechnung4!D32</f>
        <v>unvollständig</v>
      </c>
      <c r="E85" s="55">
        <f>Berechnung4!E32</f>
        <v>0</v>
      </c>
      <c r="F85" s="55">
        <f>Berechnung4!F32</f>
        <v>0</v>
      </c>
      <c r="G85" s="55">
        <f>Berechnung4!G32</f>
        <v>0</v>
      </c>
      <c r="H85" s="55">
        <f>Berechnung4!H32</f>
        <v>0</v>
      </c>
      <c r="I85" s="55">
        <f>Berechnung4!I32</f>
        <v>0</v>
      </c>
      <c r="J85" s="55">
        <f>Berechnung4!J32</f>
        <v>0</v>
      </c>
      <c r="K85" s="43">
        <f>Berechnung4!K32</f>
        <v>0</v>
      </c>
      <c r="L85" s="43" t="str">
        <f>Berechnung4!L32</f>
        <v>relevante Nachsorgejahre nicht/unvollständig bearbeitet</v>
      </c>
      <c r="M85" s="43">
        <f>Berechnung4!M32</f>
        <v>0</v>
      </c>
      <c r="N85" s="43">
        <f>Berechnung4!N32</f>
        <v>0</v>
      </c>
      <c r="O85" s="42"/>
      <c r="P85" s="42"/>
    </row>
    <row r="86" spans="1:26" ht="14.25" hidden="1" customHeight="1" x14ac:dyDescent="0.35">
      <c r="A86" s="42" t="str">
        <f>Berechnung4!B33</f>
        <v>Relative Quote tumorfrei</v>
      </c>
      <c r="C86" s="42">
        <f>Berechnung4!C33</f>
        <v>0</v>
      </c>
      <c r="D86" s="42" t="str">
        <f>Berechnung4!D33</f>
        <v>plausi</v>
      </c>
      <c r="E86" s="55" t="str">
        <f>Berechnung4!E33</f>
        <v>nicht geprüft</v>
      </c>
      <c r="F86" s="55">
        <f>Berechnung4!F33</f>
        <v>-1</v>
      </c>
      <c r="G86" s="55">
        <f>Berechnung4!G33</f>
        <v>-1</v>
      </c>
      <c r="H86" s="55">
        <f>Berechnung4!H33</f>
        <v>-1</v>
      </c>
      <c r="I86" s="55">
        <f>Berechnung4!I33</f>
        <v>-1</v>
      </c>
      <c r="J86" s="55">
        <f>Berechnung4!J33</f>
        <v>-1</v>
      </c>
      <c r="K86" s="43">
        <f>Berechnung4!K33</f>
        <v>0</v>
      </c>
      <c r="L86" s="43" t="str">
        <f>Berechnung4!L33</f>
        <v>auffällig niedrige Quote tumorfreier Patienten</v>
      </c>
      <c r="M86" s="43">
        <f>Berechnung4!M33</f>
        <v>0</v>
      </c>
      <c r="N86" s="43">
        <f>Berechnung4!N33</f>
        <v>0</v>
      </c>
      <c r="O86" s="42"/>
      <c r="P86" s="42"/>
      <c r="Z86" s="8"/>
    </row>
    <row r="87" spans="1:26" ht="14.25" hidden="1" customHeight="1" x14ac:dyDescent="0.35">
      <c r="A87" s="42" t="str">
        <f>Berechnung4!B34</f>
        <v xml:space="preserve">nur Prozentwerte können eingegeben werden </v>
      </c>
      <c r="C87" s="42">
        <f>Berechnung4!C34</f>
        <v>0</v>
      </c>
      <c r="D87" s="42" t="str">
        <f>Berechnung4!D34</f>
        <v>inkorrekt</v>
      </c>
      <c r="E87" s="55" t="str">
        <f>Berechnung4!E34</f>
        <v>&gt;</v>
      </c>
      <c r="F87" s="55">
        <f>Berechnung4!F34</f>
        <v>0</v>
      </c>
      <c r="G87" s="55">
        <f>Berechnung4!G34</f>
        <v>0</v>
      </c>
      <c r="H87" s="55">
        <f>Berechnung4!H34</f>
        <v>0</v>
      </c>
      <c r="I87" s="55">
        <f>Berechnung4!I34</f>
        <v>0</v>
      </c>
      <c r="J87" s="55">
        <f>Berechnung4!J34</f>
        <v>1</v>
      </c>
      <c r="K87" s="43">
        <f>Berechnung4!K34</f>
        <v>0</v>
      </c>
      <c r="L87" s="43">
        <f>Berechnung4!L34</f>
        <v>0</v>
      </c>
      <c r="M87" s="43">
        <f>Berechnung4!M34</f>
        <v>0</v>
      </c>
      <c r="N87" s="43">
        <f>Berechnung4!N34</f>
        <v>0</v>
      </c>
      <c r="O87" s="42"/>
      <c r="P87" s="42"/>
      <c r="Z87" s="8"/>
    </row>
    <row r="88" spans="1:26" ht="14.25" hidden="1" customHeight="1" x14ac:dyDescent="0.35">
      <c r="A88" s="42" t="str">
        <f>Berechnung4!B35</f>
        <v>zu geringe Anzahl der Primärfälle</v>
      </c>
      <c r="C88" s="42">
        <f>Berechnung4!C35</f>
        <v>0</v>
      </c>
      <c r="D88" s="42" t="str">
        <f>Berechnung4!D35</f>
        <v>plausi</v>
      </c>
      <c r="E88" s="43" t="str">
        <f>Berechnung4!E35</f>
        <v>&lt;</v>
      </c>
      <c r="F88" s="43">
        <f>Berechnung4!F35</f>
        <v>0</v>
      </c>
      <c r="G88" s="43">
        <f>Berechnung4!G35</f>
        <v>16</v>
      </c>
      <c r="H88" s="43">
        <f>Berechnung4!H35</f>
        <v>0</v>
      </c>
      <c r="I88" s="43">
        <f>Berechnung4!I35</f>
        <v>0</v>
      </c>
      <c r="J88" s="43">
        <f>Berechnung4!J35</f>
        <v>0</v>
      </c>
      <c r="K88" s="43">
        <f>Berechnung4!K35</f>
        <v>0</v>
      </c>
      <c r="L88" s="43" t="str">
        <f>Berechnung4!L35</f>
        <v>zu wenig Primärfälle angegeben</v>
      </c>
      <c r="M88" s="43">
        <f>Berechnung4!M35</f>
        <v>0</v>
      </c>
      <c r="N88" s="43">
        <f>Berechnung4!N35</f>
        <v>0</v>
      </c>
      <c r="O88" s="42"/>
      <c r="P88" s="42"/>
      <c r="Z88" s="8"/>
    </row>
    <row r="89" spans="1:26" ht="14.25" hidden="1" customHeight="1" x14ac:dyDescent="0.35">
      <c r="A89" s="42" t="str">
        <f>Berechnung4!B36</f>
        <v>zu viele Patientinnen im Follow-Up</v>
      </c>
      <c r="C89" s="42">
        <f>Berechnung4!C36</f>
        <v>0</v>
      </c>
      <c r="D89" s="42" t="str">
        <f>Berechnung4!D36</f>
        <v>inkorrekt</v>
      </c>
      <c r="E89" s="56">
        <f>Berechnung4!E36</f>
        <v>0</v>
      </c>
      <c r="F89" s="56">
        <f>Berechnung4!F36</f>
        <v>0</v>
      </c>
      <c r="G89" s="56">
        <f>Berechnung4!G36</f>
        <v>0</v>
      </c>
      <c r="H89" s="56">
        <f>Berechnung4!H36</f>
        <v>0</v>
      </c>
      <c r="I89" s="56">
        <f>Berechnung4!I36</f>
        <v>0</v>
      </c>
      <c r="J89" s="56">
        <f>Berechnung4!J36</f>
        <v>0</v>
      </c>
      <c r="K89" s="43">
        <f>Berechnung4!K36</f>
        <v>0</v>
      </c>
      <c r="L89" s="43" t="str">
        <f>Berechnung4!L36</f>
        <v>zu viele Pat im Follow-Up</v>
      </c>
      <c r="M89" s="43">
        <f>Berechnung4!M36</f>
        <v>0</v>
      </c>
      <c r="N89" s="43" t="str">
        <f>Berechnung4!N36</f>
        <v>Anzahl Pat. Im Follow-Up zu hoch</v>
      </c>
      <c r="O89" s="42"/>
      <c r="P89" s="42"/>
      <c r="Z89" s="8"/>
    </row>
    <row r="90" spans="1:26" ht="14.25" hidden="1" customHeight="1" x14ac:dyDescent="0.35">
      <c r="A90" s="42" t="str">
        <f>Berechnung4!B37</f>
        <v>geringe Follow-Up Quote</v>
      </c>
      <c r="C90" s="42">
        <f>Berechnung4!C37</f>
        <v>0</v>
      </c>
      <c r="D90" s="42" t="str">
        <f>Berechnung4!D37</f>
        <v>plausi</v>
      </c>
      <c r="E90" s="56" t="str">
        <f>Berechnung4!E37</f>
        <v>&lt;</v>
      </c>
      <c r="F90" s="56">
        <f>Berechnung4!F37</f>
        <v>0</v>
      </c>
      <c r="G90" s="56">
        <f>Berechnung4!G37</f>
        <v>0</v>
      </c>
      <c r="H90" s="56">
        <f>Berechnung4!H37</f>
        <v>0</v>
      </c>
      <c r="I90" s="56">
        <f>Berechnung4!I37</f>
        <v>0.69999</v>
      </c>
      <c r="J90" s="56">
        <f>Berechnung4!J37</f>
        <v>0.69999</v>
      </c>
      <c r="K90" s="43">
        <f>Berechnung4!K37</f>
        <v>0</v>
      </c>
      <c r="L90" s="43" t="str">
        <f>Berechnung4!L37</f>
        <v>geringe Follow-Up Quote der Nachsorgejahre</v>
      </c>
      <c r="M90" s="43">
        <f>Berechnung4!M37</f>
        <v>0</v>
      </c>
      <c r="N90" s="43">
        <f>Berechnung4!N37</f>
        <v>0</v>
      </c>
      <c r="O90" s="42"/>
      <c r="P90" s="42"/>
      <c r="Z90" s="8"/>
    </row>
    <row r="91" spans="1:26" ht="14.25" hidden="1" customHeight="1" x14ac:dyDescent="0.35">
      <c r="A91" s="42" t="str">
        <f>Berechnung4!B38</f>
        <v>geringe Follow-Up Quote der letzten 2-4 Jahre</v>
      </c>
      <c r="C91" s="42">
        <f>Berechnung4!C38</f>
        <v>0</v>
      </c>
      <c r="D91" s="42" t="str">
        <f>Berechnung4!D38</f>
        <v>sollvorgabe</v>
      </c>
      <c r="E91" s="56" t="str">
        <f>Berechnung4!E38</f>
        <v>&lt;</v>
      </c>
      <c r="F91" s="56">
        <f>Berechnung4!F38</f>
        <v>0</v>
      </c>
      <c r="G91" s="56">
        <f>Berechnung4!G38</f>
        <v>0</v>
      </c>
      <c r="H91" s="56">
        <f>Berechnung4!H38</f>
        <v>0</v>
      </c>
      <c r="I91" s="56">
        <f>Berechnung4!I38</f>
        <v>0.79998999999999998</v>
      </c>
      <c r="J91" s="56">
        <f>Berechnung4!J38</f>
        <v>0.79998999999999998</v>
      </c>
      <c r="K91" s="43">
        <f>Berechnung4!K38</f>
        <v>0</v>
      </c>
      <c r="L91" s="43" t="str">
        <f>Berechnung4!L38</f>
        <v>durchschnittliche Follow-Up Quote &lt; 80%</v>
      </c>
      <c r="M91" s="43">
        <f>Berechnung4!M38</f>
        <v>0</v>
      </c>
      <c r="N91" s="43">
        <f>Berechnung4!N38</f>
        <v>0</v>
      </c>
      <c r="O91" s="42"/>
      <c r="P91" s="42"/>
      <c r="Z91" s="8"/>
    </row>
    <row r="92" spans="1:26" ht="14.25" hidden="1" customHeight="1" x14ac:dyDescent="0.35">
      <c r="A92" s="42" t="str">
        <f>Berechnung4!B39</f>
        <v>zu hohe Follow-Up Quote der letzten 2-4 Jahre</v>
      </c>
      <c r="C92" s="42">
        <f>Berechnung4!C39</f>
        <v>0</v>
      </c>
      <c r="D92" s="42" t="str">
        <f>Berechnung4!D39</f>
        <v>plausi</v>
      </c>
      <c r="E92" s="56" t="str">
        <f>Berechnung4!E39</f>
        <v>&gt;</v>
      </c>
      <c r="F92" s="56">
        <f>Berechnung4!F39</f>
        <v>0</v>
      </c>
      <c r="G92" s="56">
        <f>Berechnung4!G39</f>
        <v>0</v>
      </c>
      <c r="H92" s="56">
        <f>Berechnung4!H39</f>
        <v>0.99000999999999995</v>
      </c>
      <c r="I92" s="56">
        <f>Berechnung4!I39</f>
        <v>1</v>
      </c>
      <c r="J92" s="56">
        <f>Berechnung4!J39</f>
        <v>0.99000999999999995</v>
      </c>
      <c r="K92" s="43">
        <f>Berechnung4!K39</f>
        <v>0</v>
      </c>
      <c r="L92" s="43" t="str">
        <f>Berechnung4!L39</f>
        <v>durchschnittliche Follow-Up Quote &gt; 99%</v>
      </c>
      <c r="M92" s="43">
        <f>Berechnung4!M39</f>
        <v>0</v>
      </c>
      <c r="N92" s="43">
        <f>Berechnung4!N39</f>
        <v>0</v>
      </c>
      <c r="O92" s="42"/>
      <c r="P92" s="42"/>
      <c r="Z92" s="8"/>
    </row>
    <row r="93" spans="1:26" ht="14.25" hidden="1" customHeight="1" x14ac:dyDescent="0.35">
      <c r="A93" s="42" t="str">
        <f>Berechnung4!B40</f>
        <v xml:space="preserve">Fehler bei Ereignisse </v>
      </c>
      <c r="C93" s="42">
        <f>Berechnung4!C40</f>
        <v>0</v>
      </c>
      <c r="D93" s="42" t="str">
        <f>Berechnung4!D40</f>
        <v>inkorrekt</v>
      </c>
      <c r="E93" s="56">
        <f>Berechnung4!E40</f>
        <v>0</v>
      </c>
      <c r="F93" s="56">
        <f>Berechnung4!F40</f>
        <v>0</v>
      </c>
      <c r="G93" s="56">
        <f>Berechnung4!G40</f>
        <v>0</v>
      </c>
      <c r="H93" s="56">
        <f>Berechnung4!H40</f>
        <v>0</v>
      </c>
      <c r="I93" s="56">
        <f>Berechnung4!I40</f>
        <v>0</v>
      </c>
      <c r="J93" s="56">
        <f>Berechnung4!J40</f>
        <v>0</v>
      </c>
      <c r="K93" s="43">
        <f>Berechnung4!K40</f>
        <v>0</v>
      </c>
      <c r="L93" s="43" t="str">
        <f>Berechnung4!L40</f>
        <v>Werte in Spalte R,S,T dürfen den Wert Spalte Q nicht übersteigen</v>
      </c>
      <c r="M93" s="43">
        <f>Berechnung4!M40</f>
        <v>0</v>
      </c>
      <c r="N93" s="43" t="str">
        <f>Berechnung4!N40</f>
        <v>Eingabe kann nicht größer sein als Ereignisse Spalte Q</v>
      </c>
      <c r="O93" s="42"/>
      <c r="P93" s="42"/>
      <c r="Z93" s="8"/>
    </row>
    <row r="94" spans="1:26" ht="14.25" hidden="1" customHeight="1" x14ac:dyDescent="0.35">
      <c r="A94" s="42">
        <f>Berechnung4!B41</f>
        <v>0</v>
      </c>
      <c r="C94" s="42">
        <f>Berechnung4!C41</f>
        <v>0</v>
      </c>
      <c r="D94" s="42">
        <f>Berechnung4!D41</f>
        <v>0</v>
      </c>
      <c r="E94" s="56">
        <f>Berechnung4!E41</f>
        <v>0</v>
      </c>
      <c r="F94" s="56">
        <f>Berechnung4!F41</f>
        <v>0</v>
      </c>
      <c r="G94" s="56">
        <f>Berechnung4!G41</f>
        <v>0</v>
      </c>
      <c r="H94" s="56">
        <f>Berechnung4!H41</f>
        <v>0</v>
      </c>
      <c r="I94" s="56">
        <f>Berechnung4!I41</f>
        <v>0</v>
      </c>
      <c r="J94" s="56">
        <f>Berechnung4!J41</f>
        <v>0</v>
      </c>
      <c r="K94" s="43">
        <f>Berechnung4!K41</f>
        <v>0</v>
      </c>
      <c r="L94" s="43">
        <f>Berechnung4!L41</f>
        <v>0</v>
      </c>
      <c r="M94" s="43">
        <f>Berechnung4!M41</f>
        <v>0</v>
      </c>
      <c r="N94" s="43">
        <f>Berechnung4!N41</f>
        <v>0</v>
      </c>
      <c r="O94" s="42"/>
      <c r="P94" s="42"/>
      <c r="Z94" s="8"/>
    </row>
    <row r="95" spans="1:26" ht="14.25" hidden="1" customHeight="1" x14ac:dyDescent="0.35">
      <c r="A95" s="42" t="str">
        <f>Berechnung4!B42</f>
        <v>wenn sich Minuswerte berechnen</v>
      </c>
      <c r="C95" s="42">
        <f>Berechnung4!C42</f>
        <v>0</v>
      </c>
      <c r="D95" s="42" t="str">
        <f>Berechnung4!D42</f>
        <v>inkorrekt</v>
      </c>
      <c r="E95" s="56" t="str">
        <f>Berechnung4!E42</f>
        <v>&lt;</v>
      </c>
      <c r="F95" s="56">
        <f>Berechnung4!F42</f>
        <v>0</v>
      </c>
      <c r="G95" s="56">
        <f>Berechnung4!G42</f>
        <v>0</v>
      </c>
      <c r="H95" s="56">
        <f>Berechnung4!H42</f>
        <v>0</v>
      </c>
      <c r="I95" s="56">
        <f>Berechnung4!I42</f>
        <v>0</v>
      </c>
      <c r="J95" s="56">
        <f>Berechnung4!J42</f>
        <v>0</v>
      </c>
      <c r="K95" s="43">
        <f>Berechnung4!K42</f>
        <v>0</v>
      </c>
      <c r="L95" s="43" t="str">
        <f>Berechnung4!L42</f>
        <v>Zahlen in Spalte O dürfen keine negativen Werte annehmen</v>
      </c>
      <c r="M95" s="43">
        <f>Berechnung4!M42</f>
        <v>0</v>
      </c>
      <c r="N95" s="43"/>
      <c r="O95" s="42"/>
      <c r="P95" s="42"/>
      <c r="Z95" s="8"/>
    </row>
    <row r="96" spans="1:26" ht="14.25" hidden="1" customHeight="1" x14ac:dyDescent="0.35">
      <c r="A96" s="42">
        <f>Berechnung4!B43</f>
        <v>0</v>
      </c>
      <c r="C96" s="42">
        <f>Berechnung4!C43</f>
        <v>0</v>
      </c>
      <c r="D96" s="42">
        <f>Berechnung4!D43</f>
        <v>0</v>
      </c>
      <c r="E96" s="56">
        <f>Berechnung4!E43</f>
        <v>0</v>
      </c>
      <c r="F96" s="56">
        <f>Berechnung4!F43</f>
        <v>0</v>
      </c>
      <c r="G96" s="56">
        <f>Berechnung4!G43</f>
        <v>0</v>
      </c>
      <c r="H96" s="56">
        <f>Berechnung4!H43</f>
        <v>0</v>
      </c>
      <c r="I96" s="56">
        <f>Berechnung4!I43</f>
        <v>0</v>
      </c>
      <c r="J96" s="56">
        <f>Berechnung4!J43</f>
        <v>0</v>
      </c>
      <c r="K96" s="43">
        <f>Berechnung4!K43</f>
        <v>0</v>
      </c>
      <c r="L96" s="43">
        <f>Berechnung4!L43</f>
        <v>0</v>
      </c>
      <c r="M96" s="43">
        <f>Berechnung4!M43</f>
        <v>0</v>
      </c>
      <c r="N96" s="43">
        <f>Berechnung4!N43</f>
        <v>0</v>
      </c>
      <c r="O96" s="42"/>
      <c r="P96" s="42"/>
      <c r="Z96" s="8"/>
    </row>
    <row r="97" spans="1:26" ht="14.25" hidden="1" customHeight="1" x14ac:dyDescent="0.35">
      <c r="A97" s="42" t="str">
        <f>Berechnung4!B46</f>
        <v>DFS</v>
      </c>
      <c r="C97" s="42">
        <f>Berechnung4!C46</f>
        <v>0</v>
      </c>
      <c r="D97" s="42">
        <f>Berechnung4!D46</f>
        <v>0</v>
      </c>
      <c r="E97" s="42" t="str">
        <f>Berechnung4!E46</f>
        <v>von</v>
      </c>
      <c r="F97" s="42">
        <f>Berechnung4!F46</f>
        <v>0</v>
      </c>
      <c r="G97" s="57" t="str">
        <f>Berechnung4!G46</f>
        <v>untere Grenze</v>
      </c>
      <c r="H97" s="57">
        <f>Berechnung4!H46</f>
        <v>0</v>
      </c>
      <c r="I97" s="42">
        <f>Berechnung4!I46</f>
        <v>0</v>
      </c>
      <c r="J97" s="57" t="str">
        <f>Berechnung4!J46</f>
        <v>obere Grenze</v>
      </c>
      <c r="K97" s="42">
        <f>Berechnung4!K46</f>
        <v>0</v>
      </c>
      <c r="L97" s="42">
        <f>Berechnung4!L46</f>
        <v>0</v>
      </c>
      <c r="M97" s="42"/>
      <c r="N97" s="42">
        <f>Berechnung4!M46</f>
        <v>0</v>
      </c>
      <c r="O97" s="42"/>
      <c r="P97" s="42"/>
      <c r="Z97" s="8"/>
    </row>
    <row r="98" spans="1:26" ht="14.25" hidden="1" customHeight="1" x14ac:dyDescent="0.35">
      <c r="A98" s="42"/>
      <c r="C98" s="42"/>
      <c r="D98" s="42"/>
      <c r="E98" s="42"/>
      <c r="F98" s="42"/>
      <c r="G98" s="57"/>
      <c r="H98" s="57"/>
      <c r="I98" s="42"/>
      <c r="J98" s="57"/>
      <c r="K98" s="42"/>
      <c r="L98" s="42"/>
      <c r="M98" s="42"/>
      <c r="N98" s="42">
        <f>Berechnung4!M45</f>
        <v>0</v>
      </c>
      <c r="O98" s="42"/>
      <c r="P98" s="42"/>
      <c r="Z98" s="8"/>
    </row>
    <row r="99" spans="1:26" ht="14.25" hidden="1" customHeight="1" x14ac:dyDescent="0.35">
      <c r="A99" s="42"/>
      <c r="C99" s="42"/>
      <c r="D99" s="42"/>
      <c r="E99" s="42"/>
      <c r="F99" s="42"/>
      <c r="G99" s="57"/>
      <c r="H99" s="57"/>
      <c r="I99" s="42"/>
      <c r="J99" s="57"/>
      <c r="K99" s="42"/>
      <c r="L99" s="42"/>
      <c r="M99" s="42"/>
      <c r="N99" s="42" t="e">
        <f>Berechnung4!#REF!</f>
        <v>#REF!</v>
      </c>
      <c r="O99" s="42"/>
      <c r="P99" s="42"/>
      <c r="Z99" s="8"/>
    </row>
    <row r="100" spans="1:26" ht="14.25" hidden="1" customHeight="1" x14ac:dyDescent="0.35">
      <c r="A100" s="42" t="str">
        <f>Berechnung4!B47</f>
        <v>2013,</v>
      </c>
      <c r="C100" s="42">
        <f>Berechnung4!C47</f>
        <v>0</v>
      </c>
      <c r="D100" s="42">
        <f>Berechnung4!D47</f>
        <v>0</v>
      </c>
      <c r="E100" s="42">
        <f>Berechnung4!E47</f>
        <v>0</v>
      </c>
      <c r="F100" s="42">
        <f>Berechnung4!F47</f>
        <v>0.44999</v>
      </c>
      <c r="G100" s="57">
        <f>Berechnung4!G47</f>
        <v>0.44999</v>
      </c>
      <c r="H100" s="57">
        <f>Berechnung4!H47</f>
        <v>0</v>
      </c>
      <c r="I100" s="42">
        <f>Berechnung4!I47</f>
        <v>0.75000999999999995</v>
      </c>
      <c r="J100" s="57">
        <f>Berechnung4!J47</f>
        <v>0.75000999999999995</v>
      </c>
      <c r="K100" s="42">
        <f>Berechnung4!K47</f>
        <v>0</v>
      </c>
      <c r="L100" s="42" t="str">
        <f>Berechnung4!L47</f>
        <v>DFS auffällig niedrig oder hoch</v>
      </c>
      <c r="M100" s="42"/>
      <c r="N100" s="42" t="str">
        <f>Berechnung4!M47</f>
        <v>DFS auffällig niedrig oder hoch</v>
      </c>
      <c r="O100" s="42"/>
      <c r="P100" s="42"/>
      <c r="Z100" s="8"/>
    </row>
    <row r="101" spans="1:26" ht="14.25" hidden="1" customHeight="1" x14ac:dyDescent="0.35">
      <c r="A101" s="42" t="str">
        <f>Berechnung4!B48</f>
        <v xml:space="preserve">2014, </v>
      </c>
      <c r="C101" s="42">
        <f>Berechnung4!C48</f>
        <v>0</v>
      </c>
      <c r="D101" s="42">
        <f>Berechnung4!D48</f>
        <v>0</v>
      </c>
      <c r="E101" s="42">
        <f>Berechnung4!E48</f>
        <v>0</v>
      </c>
      <c r="F101" s="42">
        <f>Berechnung4!F48</f>
        <v>0.49998999999999999</v>
      </c>
      <c r="G101" s="57">
        <f>Berechnung4!G48</f>
        <v>0.49998999999999999</v>
      </c>
      <c r="H101" s="57">
        <f>Berechnung4!H48</f>
        <v>0</v>
      </c>
      <c r="I101" s="42">
        <f>Berechnung4!I48</f>
        <v>0.80001</v>
      </c>
      <c r="J101" s="57">
        <f>Berechnung4!J48</f>
        <v>0.80001</v>
      </c>
      <c r="K101" s="42">
        <f>Berechnung4!K48</f>
        <v>0</v>
      </c>
      <c r="L101" s="42" t="str">
        <f>Berechnung4!L48</f>
        <v>DFS auffällig niedrig oder hoch</v>
      </c>
      <c r="M101" s="42"/>
      <c r="N101" s="42" t="str">
        <f>Berechnung4!M48</f>
        <v>DFS auffällig niedrig oder hoch</v>
      </c>
      <c r="O101" s="42"/>
      <c r="P101" s="42"/>
      <c r="Z101" s="8"/>
    </row>
    <row r="102" spans="1:26" ht="14.25" hidden="1" customHeight="1" x14ac:dyDescent="0.35">
      <c r="A102" s="42" t="str">
        <f>Berechnung4!B49</f>
        <v xml:space="preserve">2015, </v>
      </c>
      <c r="C102" s="42">
        <f>Berechnung4!C49</f>
        <v>0</v>
      </c>
      <c r="D102" s="42">
        <f>Berechnung4!D49</f>
        <v>0</v>
      </c>
      <c r="E102" s="42">
        <f>Berechnung4!E49</f>
        <v>0</v>
      </c>
      <c r="F102" s="42">
        <f>Berechnung4!F49</f>
        <v>0.54998999999999998</v>
      </c>
      <c r="G102" s="57">
        <f>Berechnung4!G49</f>
        <v>0.54998999999999998</v>
      </c>
      <c r="H102" s="57">
        <f>Berechnung4!H49</f>
        <v>0</v>
      </c>
      <c r="I102" s="42">
        <f>Berechnung4!I49</f>
        <v>0.85001000000000004</v>
      </c>
      <c r="J102" s="57">
        <f>Berechnung4!J49</f>
        <v>0.85001000000000004</v>
      </c>
      <c r="K102" s="42">
        <f>Berechnung4!K49</f>
        <v>0</v>
      </c>
      <c r="L102" s="42" t="str">
        <f>Berechnung4!L49</f>
        <v>DFS auffällig niedrig oder hoch</v>
      </c>
      <c r="M102" s="42"/>
      <c r="N102" s="42" t="str">
        <f>Berechnung4!M49</f>
        <v>DFS auffällig niedrig oder hoch</v>
      </c>
      <c r="O102" s="42"/>
      <c r="P102" s="42"/>
      <c r="Z102" s="8"/>
    </row>
    <row r="103" spans="1:26" ht="14.25" hidden="1" customHeight="1" x14ac:dyDescent="0.35">
      <c r="A103" s="42" t="str">
        <f>Berechnung4!B50</f>
        <v xml:space="preserve">2016, </v>
      </c>
      <c r="C103" s="42">
        <f>Berechnung4!C50</f>
        <v>0</v>
      </c>
      <c r="D103" s="42">
        <f>Berechnung4!D50</f>
        <v>0</v>
      </c>
      <c r="E103" s="42">
        <f>Berechnung4!E50</f>
        <v>0</v>
      </c>
      <c r="F103" s="42">
        <f>Berechnung4!F50</f>
        <v>0.59999000000000002</v>
      </c>
      <c r="G103" s="57">
        <f>Berechnung4!G50</f>
        <v>0.59999000000000002</v>
      </c>
      <c r="H103" s="57">
        <f>Berechnung4!H50</f>
        <v>0</v>
      </c>
      <c r="I103" s="42">
        <f>Berechnung4!I50</f>
        <v>0.85001000000000004</v>
      </c>
      <c r="J103" s="57">
        <f>Berechnung4!J50</f>
        <v>0.85001000000000004</v>
      </c>
      <c r="K103" s="42">
        <f>Berechnung4!K50</f>
        <v>0</v>
      </c>
      <c r="L103" s="42" t="str">
        <f>Berechnung4!L50</f>
        <v>DFS auffällig niedrig oder hoch</v>
      </c>
      <c r="M103" s="42"/>
      <c r="N103" s="42" t="str">
        <f>Berechnung4!M50</f>
        <v>DFS auffällig niedrig oder hoch</v>
      </c>
      <c r="O103" s="42"/>
      <c r="P103" s="42"/>
      <c r="Z103" s="8"/>
    </row>
    <row r="104" spans="1:26" ht="14.25" hidden="1" customHeight="1" x14ac:dyDescent="0.35">
      <c r="A104" s="42" t="str">
        <f>Berechnung4!B51</f>
        <v xml:space="preserve">2017, </v>
      </c>
      <c r="C104" s="42">
        <f>Berechnung4!C51</f>
        <v>0</v>
      </c>
      <c r="D104" s="42">
        <f>Berechnung4!D51</f>
        <v>0</v>
      </c>
      <c r="E104" s="42">
        <f>Berechnung4!E51</f>
        <v>0</v>
      </c>
      <c r="F104" s="42">
        <f>Berechnung4!F51</f>
        <v>0.64998999999999996</v>
      </c>
      <c r="G104" s="57">
        <f>Berechnung4!G51</f>
        <v>0.64998999999999996</v>
      </c>
      <c r="H104" s="57">
        <f>Berechnung4!H51</f>
        <v>0</v>
      </c>
      <c r="I104" s="42">
        <f>Berechnung4!I51</f>
        <v>0.90000999999999998</v>
      </c>
      <c r="J104" s="57">
        <f>Berechnung4!J51</f>
        <v>0.90000999999999998</v>
      </c>
      <c r="K104" s="42">
        <f>Berechnung4!K51</f>
        <v>0</v>
      </c>
      <c r="L104" s="42" t="str">
        <f>Berechnung4!L51</f>
        <v>DFS auffällig niedrig oder hoch</v>
      </c>
      <c r="M104" s="42"/>
      <c r="N104" s="42" t="str">
        <f>Berechnung4!M51</f>
        <v>DFS auffällig niedrig oder hoch</v>
      </c>
      <c r="O104" s="42"/>
      <c r="P104" s="42"/>
      <c r="Z104" s="8"/>
    </row>
    <row r="105" spans="1:26" ht="14.25" hidden="1" customHeight="1" x14ac:dyDescent="0.35">
      <c r="A105" s="42">
        <f>Berechnung4!B52</f>
        <v>0</v>
      </c>
      <c r="C105" s="42">
        <f>Berechnung4!D52</f>
        <v>0</v>
      </c>
      <c r="D105" s="42">
        <f>Berechnung4!E52</f>
        <v>0</v>
      </c>
      <c r="E105" s="42">
        <f>Berechnung4!E52</f>
        <v>0</v>
      </c>
      <c r="F105" s="42">
        <f>Berechnung4!F52</f>
        <v>0</v>
      </c>
      <c r="G105" s="42">
        <f>Berechnung4!G52</f>
        <v>0</v>
      </c>
      <c r="H105" s="42">
        <f>Berechnung4!H52</f>
        <v>0</v>
      </c>
      <c r="I105" s="42">
        <f>Berechnung4!I52</f>
        <v>0</v>
      </c>
      <c r="J105" s="57">
        <f>Berechnung4!J52</f>
        <v>0</v>
      </c>
      <c r="K105" s="42">
        <f>Berechnung4!K52</f>
        <v>0</v>
      </c>
      <c r="L105" s="42">
        <f>Berechnung4!L52</f>
        <v>0</v>
      </c>
      <c r="M105" s="42"/>
      <c r="N105" s="42">
        <f>Berechnung4!M52</f>
        <v>0</v>
      </c>
      <c r="O105" s="42"/>
      <c r="P105" s="42"/>
      <c r="Z105" s="8"/>
    </row>
    <row r="106" spans="1:26" ht="14.25" hidden="1" customHeight="1" x14ac:dyDescent="0.35">
      <c r="A106" s="42" t="str">
        <f>Berechnung4!B55</f>
        <v>OAS</v>
      </c>
      <c r="C106" s="42">
        <f>Berechnung4!D55</f>
        <v>0</v>
      </c>
      <c r="D106" s="42">
        <f>Berechnung4!E55</f>
        <v>0</v>
      </c>
      <c r="E106" s="42">
        <f>Berechnung4!E55</f>
        <v>0</v>
      </c>
      <c r="F106" s="42">
        <f>Berechnung4!F55</f>
        <v>0</v>
      </c>
      <c r="G106" s="57" t="str">
        <f>Berechnung4!G55</f>
        <v>untere Grenze</v>
      </c>
      <c r="H106" s="57">
        <f>Berechnung4!H55</f>
        <v>0</v>
      </c>
      <c r="I106" s="42">
        <f>Berechnung4!I55</f>
        <v>0</v>
      </c>
      <c r="J106" s="57" t="str">
        <f>Berechnung4!J55</f>
        <v>obere Grenze</v>
      </c>
      <c r="K106" s="42">
        <f>Berechnung4!K53</f>
        <v>0</v>
      </c>
      <c r="L106" s="42">
        <f>Berechnung4!L53</f>
        <v>0</v>
      </c>
      <c r="M106" s="42"/>
      <c r="N106" s="42">
        <f>Berechnung4!M53</f>
        <v>0</v>
      </c>
      <c r="O106" s="42"/>
      <c r="P106" s="42"/>
      <c r="Z106" s="8"/>
    </row>
    <row r="107" spans="1:26" ht="14.25" hidden="1" customHeight="1" x14ac:dyDescent="0.35">
      <c r="A107" s="42"/>
      <c r="C107" s="42"/>
      <c r="D107" s="42"/>
      <c r="E107" s="42"/>
      <c r="F107" s="42"/>
      <c r="G107" s="57"/>
      <c r="H107" s="57"/>
      <c r="I107" s="42"/>
      <c r="J107" s="57"/>
      <c r="K107" s="42"/>
      <c r="L107" s="42"/>
      <c r="M107" s="42"/>
      <c r="N107" s="42">
        <f>Berechnung4!M54</f>
        <v>0</v>
      </c>
      <c r="O107" s="42"/>
      <c r="P107" s="42"/>
      <c r="Z107" s="8"/>
    </row>
    <row r="108" spans="1:26" ht="14.25" hidden="1" customHeight="1" x14ac:dyDescent="0.35">
      <c r="A108" s="42"/>
      <c r="C108" s="42"/>
      <c r="D108" s="42"/>
      <c r="E108" s="42"/>
      <c r="F108" s="42"/>
      <c r="G108" s="57"/>
      <c r="H108" s="57"/>
      <c r="I108" s="42"/>
      <c r="J108" s="57"/>
      <c r="K108" s="42"/>
      <c r="L108" s="42"/>
      <c r="M108" s="42"/>
      <c r="N108" s="42">
        <f>Berechnung4!M55</f>
        <v>0</v>
      </c>
      <c r="O108" s="42"/>
      <c r="P108" s="42"/>
      <c r="Z108" s="8"/>
    </row>
    <row r="109" spans="1:26" ht="14.25" hidden="1" customHeight="1" x14ac:dyDescent="0.35">
      <c r="A109" s="42" t="str">
        <f>Berechnung4!B56</f>
        <v>2013,</v>
      </c>
      <c r="C109" s="42">
        <f>Berechnung4!C56</f>
        <v>0</v>
      </c>
      <c r="D109" s="42">
        <f>Berechnung4!D56</f>
        <v>0</v>
      </c>
      <c r="E109" s="42">
        <f>Berechnung4!E56</f>
        <v>0</v>
      </c>
      <c r="F109" s="42">
        <f>Berechnung4!F56</f>
        <v>0.49998999999999999</v>
      </c>
      <c r="G109" s="57">
        <f>Berechnung4!G56</f>
        <v>0.49998999999999999</v>
      </c>
      <c r="H109" s="57">
        <f>Berechnung4!H56</f>
        <v>0</v>
      </c>
      <c r="I109" s="42">
        <f>Berechnung4!I56</f>
        <v>0.80001</v>
      </c>
      <c r="J109" s="57">
        <f>Berechnung4!J56</f>
        <v>0.80001</v>
      </c>
      <c r="K109" s="42">
        <f>Berechnung4!K56</f>
        <v>0</v>
      </c>
      <c r="L109" s="42" t="str">
        <f>Berechnung4!L56</f>
        <v>OAS auffällig niedrig oder hoch</v>
      </c>
      <c r="M109" s="42"/>
      <c r="N109" s="42" t="str">
        <f>Berechnung4!M56</f>
        <v>OAS auffällig niedrig oder hoch</v>
      </c>
      <c r="O109" s="42"/>
      <c r="P109" s="42"/>
      <c r="Z109" s="8"/>
    </row>
    <row r="110" spans="1:26" ht="14.25" hidden="1" customHeight="1" x14ac:dyDescent="0.35">
      <c r="A110" s="42" t="str">
        <f>Berechnung4!B57</f>
        <v xml:space="preserve">2014, </v>
      </c>
      <c r="C110" s="42">
        <f>Berechnung4!C57</f>
        <v>0</v>
      </c>
      <c r="D110" s="42">
        <f>Berechnung4!D57</f>
        <v>0</v>
      </c>
      <c r="E110" s="42">
        <f>Berechnung4!E57</f>
        <v>0</v>
      </c>
      <c r="F110" s="42">
        <f>Berechnung4!F57</f>
        <v>0.54998999999999998</v>
      </c>
      <c r="G110" s="57">
        <f>Berechnung4!G57</f>
        <v>0.54998999999999998</v>
      </c>
      <c r="H110" s="57">
        <f>Berechnung4!H57</f>
        <v>0</v>
      </c>
      <c r="I110" s="42">
        <f>Berechnung4!I57</f>
        <v>0.90000999999999998</v>
      </c>
      <c r="J110" s="57">
        <f>Berechnung4!J57</f>
        <v>0.90000999999999998</v>
      </c>
      <c r="K110" s="42">
        <f>Berechnung4!K57</f>
        <v>0</v>
      </c>
      <c r="L110" s="42" t="str">
        <f>Berechnung4!L57</f>
        <v>OAS auffällig niedrig oder hoch</v>
      </c>
      <c r="M110" s="42"/>
      <c r="N110" s="42" t="str">
        <f>Berechnung4!M57</f>
        <v>OAS auffällig niedrig oder hoch</v>
      </c>
      <c r="O110" s="42"/>
      <c r="P110" s="42"/>
      <c r="Z110" s="8"/>
    </row>
    <row r="111" spans="1:26" ht="14.25" hidden="1" customHeight="1" x14ac:dyDescent="0.35">
      <c r="A111" s="42" t="str">
        <f>Berechnung4!B58</f>
        <v xml:space="preserve">2015, </v>
      </c>
      <c r="C111" s="42">
        <f>Berechnung4!C58</f>
        <v>0</v>
      </c>
      <c r="D111" s="42">
        <f>Berechnung4!D58</f>
        <v>0</v>
      </c>
      <c r="E111" s="42">
        <f>Berechnung4!E58</f>
        <v>0</v>
      </c>
      <c r="F111" s="42">
        <f>Berechnung4!F58</f>
        <v>0.59999000000000002</v>
      </c>
      <c r="G111" s="57">
        <f>Berechnung4!G58</f>
        <v>0.59999000000000002</v>
      </c>
      <c r="H111" s="57">
        <f>Berechnung4!H58</f>
        <v>0</v>
      </c>
      <c r="I111" s="42">
        <f>Berechnung4!I58</f>
        <v>0.90000999999999998</v>
      </c>
      <c r="J111" s="57">
        <f>Berechnung4!J58</f>
        <v>0.90000999999999998</v>
      </c>
      <c r="K111" s="42">
        <f>Berechnung4!K58</f>
        <v>0</v>
      </c>
      <c r="L111" s="42" t="str">
        <f>Berechnung4!L58</f>
        <v>OAS auffällig niedrig oder hoch</v>
      </c>
      <c r="M111" s="42"/>
      <c r="N111" s="42" t="str">
        <f>Berechnung4!M58</f>
        <v>OAS auffällig niedrig oder hoch</v>
      </c>
      <c r="O111" s="42"/>
      <c r="P111" s="42"/>
      <c r="Z111" s="8"/>
    </row>
    <row r="112" spans="1:26" ht="14.25" hidden="1" customHeight="1" x14ac:dyDescent="0.35">
      <c r="A112" s="42" t="str">
        <f>Berechnung4!B59</f>
        <v xml:space="preserve">2016, </v>
      </c>
      <c r="C112" s="42">
        <f>Berechnung4!C59</f>
        <v>0</v>
      </c>
      <c r="D112" s="42">
        <f>Berechnung4!D59</f>
        <v>0</v>
      </c>
      <c r="E112" s="42">
        <f>Berechnung4!E59</f>
        <v>0</v>
      </c>
      <c r="F112" s="42">
        <f>Berechnung4!F59</f>
        <v>0.64998999999999996</v>
      </c>
      <c r="G112" s="57">
        <f>Berechnung4!G59</f>
        <v>0.64998999999999996</v>
      </c>
      <c r="H112" s="57">
        <f>Berechnung4!H59</f>
        <v>0</v>
      </c>
      <c r="I112" s="42">
        <f>Berechnung4!I59</f>
        <v>0.95001000000000002</v>
      </c>
      <c r="J112" s="57">
        <f>Berechnung4!J59</f>
        <v>0.95001000000000002</v>
      </c>
      <c r="K112" s="42">
        <f>Berechnung4!K59</f>
        <v>0</v>
      </c>
      <c r="L112" s="42" t="str">
        <f>Berechnung4!L59</f>
        <v>OAS auffällig niedrig oder hoch</v>
      </c>
      <c r="M112" s="42"/>
      <c r="N112" s="42" t="str">
        <f>Berechnung4!M59</f>
        <v>OAS auffällig niedrig oder hoch</v>
      </c>
      <c r="O112" s="42"/>
      <c r="P112" s="42"/>
      <c r="Z112" s="8"/>
    </row>
    <row r="113" spans="1:26" ht="14.25" hidden="1" customHeight="1" x14ac:dyDescent="0.35">
      <c r="A113" s="42" t="str">
        <f>Berechnung4!B60</f>
        <v xml:space="preserve">2017, </v>
      </c>
      <c r="C113" s="42">
        <f>Berechnung4!C60</f>
        <v>0</v>
      </c>
      <c r="D113" s="42">
        <f>Berechnung4!D60</f>
        <v>0</v>
      </c>
      <c r="E113" s="42">
        <f>Berechnung4!E60</f>
        <v>0</v>
      </c>
      <c r="F113" s="42">
        <f>Berechnung4!F60</f>
        <v>0.84999000000000002</v>
      </c>
      <c r="G113" s="57">
        <f>Berechnung4!G60</f>
        <v>0.84999000000000002</v>
      </c>
      <c r="H113" s="57">
        <f>Berechnung4!H60</f>
        <v>0</v>
      </c>
      <c r="I113" s="42">
        <f>Berechnung4!I60</f>
        <v>0.99000999999999995</v>
      </c>
      <c r="J113" s="57">
        <f>Berechnung4!J60</f>
        <v>0.99000999999999995</v>
      </c>
      <c r="K113" s="42">
        <f>Berechnung4!K60</f>
        <v>0</v>
      </c>
      <c r="L113" s="42" t="str">
        <f>Berechnung4!L60</f>
        <v>OAS auffällig niedrig oder hoch</v>
      </c>
      <c r="M113" s="42"/>
      <c r="N113" s="42" t="str">
        <f>Berechnung4!M60</f>
        <v>OAS auffällig niedrig oder hoch</v>
      </c>
      <c r="O113" s="42"/>
      <c r="P113" s="42"/>
      <c r="Z113" s="8"/>
    </row>
    <row r="114" spans="1:26" ht="14.25" hidden="1" customHeight="1" x14ac:dyDescent="0.35">
      <c r="A114" s="42" t="str">
        <f>Berechnung4!B59</f>
        <v xml:space="preserve">2016, </v>
      </c>
      <c r="C114" s="42">
        <f>Berechnung4!C59</f>
        <v>0</v>
      </c>
      <c r="D114" s="42">
        <f>Berechnung4!D59</f>
        <v>0</v>
      </c>
      <c r="E114" s="42">
        <f>Berechnung4!E59</f>
        <v>0</v>
      </c>
      <c r="F114" s="42">
        <f>Berechnung4!F59</f>
        <v>0.64998999999999996</v>
      </c>
      <c r="G114" s="57">
        <f>Berechnung4!G59</f>
        <v>0.64998999999999996</v>
      </c>
      <c r="H114" s="57">
        <f>Berechnung4!H59</f>
        <v>0</v>
      </c>
      <c r="I114" s="42">
        <f>Berechnung4!I59</f>
        <v>0.95001000000000002</v>
      </c>
      <c r="J114" s="57">
        <f>Berechnung4!J59</f>
        <v>0.95001000000000002</v>
      </c>
      <c r="K114" s="42">
        <f>Berechnung4!K59</f>
        <v>0</v>
      </c>
      <c r="L114" s="42" t="str">
        <f>Berechnung4!L59</f>
        <v>OAS auffällig niedrig oder hoch</v>
      </c>
      <c r="M114" s="42"/>
      <c r="N114" s="42" t="str">
        <f>Berechnung4!M59</f>
        <v>OAS auffällig niedrig oder hoch</v>
      </c>
      <c r="O114" s="42"/>
      <c r="P114" s="42"/>
      <c r="Z114" s="8"/>
    </row>
    <row r="115" spans="1:26" ht="14.25" hidden="1" customHeight="1" x14ac:dyDescent="0.35">
      <c r="A115" s="42" t="str">
        <f>Berechnung4!B60</f>
        <v xml:space="preserve">2017, </v>
      </c>
      <c r="C115" s="42">
        <f>Berechnung4!C60</f>
        <v>0</v>
      </c>
      <c r="D115" s="42">
        <f>Berechnung4!D60</f>
        <v>0</v>
      </c>
      <c r="E115" s="42">
        <f>Berechnung4!E60</f>
        <v>0</v>
      </c>
      <c r="F115" s="42">
        <f>Berechnung4!F60</f>
        <v>0.84999000000000002</v>
      </c>
      <c r="G115" s="57">
        <f>Berechnung4!G60</f>
        <v>0.84999000000000002</v>
      </c>
      <c r="H115" s="57">
        <f>Berechnung4!H60</f>
        <v>0</v>
      </c>
      <c r="I115" s="42">
        <f>Berechnung4!I60</f>
        <v>0.99000999999999995</v>
      </c>
      <c r="J115" s="57">
        <f>Berechnung4!J60</f>
        <v>0.99000999999999995</v>
      </c>
      <c r="K115" s="42">
        <f>Berechnung4!K60</f>
        <v>0</v>
      </c>
      <c r="L115" s="42" t="str">
        <f>Berechnung4!L60</f>
        <v>OAS auffällig niedrig oder hoch</v>
      </c>
      <c r="M115" s="42"/>
      <c r="N115" s="42" t="str">
        <f>Berechnung4!M60</f>
        <v>OAS auffällig niedrig oder hoch</v>
      </c>
      <c r="O115" s="42"/>
      <c r="P115" s="42"/>
      <c r="Z115" s="8"/>
    </row>
    <row r="116" spans="1:26" ht="14.25" customHeight="1" x14ac:dyDescent="0.35">
      <c r="Z116" s="8"/>
    </row>
    <row r="117" spans="1:26" ht="14.25" customHeight="1" x14ac:dyDescent="0.35">
      <c r="Z117" s="8"/>
    </row>
    <row r="118" spans="1:26" ht="14.25" customHeight="1" x14ac:dyDescent="0.35">
      <c r="Z118" s="8"/>
    </row>
    <row r="119" spans="1:26" ht="14.25" customHeight="1" x14ac:dyDescent="0.35">
      <c r="Z119" s="8"/>
    </row>
  </sheetData>
  <sheetProtection selectLockedCells="1"/>
  <dataConsolidate/>
  <mergeCells count="95">
    <mergeCell ref="E60:G60"/>
    <mergeCell ref="B61:D61"/>
    <mergeCell ref="E61:G61"/>
    <mergeCell ref="B64:D64"/>
    <mergeCell ref="B66:D66"/>
    <mergeCell ref="E62:G62"/>
    <mergeCell ref="B63:D63"/>
    <mergeCell ref="E63:G63"/>
    <mergeCell ref="B70:D70"/>
    <mergeCell ref="E70:G70"/>
    <mergeCell ref="E71:G71"/>
    <mergeCell ref="E72:G72"/>
    <mergeCell ref="E75:G75"/>
    <mergeCell ref="E78:G78"/>
    <mergeCell ref="B77:D77"/>
    <mergeCell ref="E77:G77"/>
    <mergeCell ref="B75:D75"/>
    <mergeCell ref="B76:D76"/>
    <mergeCell ref="B78:D78"/>
    <mergeCell ref="E67:G67"/>
    <mergeCell ref="H59:Z59"/>
    <mergeCell ref="B59:D59"/>
    <mergeCell ref="E59:G59"/>
    <mergeCell ref="E76:G76"/>
    <mergeCell ref="B73:D73"/>
    <mergeCell ref="B62:D62"/>
    <mergeCell ref="E74:G74"/>
    <mergeCell ref="B74:D74"/>
    <mergeCell ref="B65:D65"/>
    <mergeCell ref="B67:D67"/>
    <mergeCell ref="E73:G73"/>
    <mergeCell ref="B68:D68"/>
    <mergeCell ref="E68:G68"/>
    <mergeCell ref="B72:D72"/>
    <mergeCell ref="E65:G65"/>
    <mergeCell ref="F21:F22"/>
    <mergeCell ref="B71:D71"/>
    <mergeCell ref="B69:D69"/>
    <mergeCell ref="W21:W22"/>
    <mergeCell ref="Y21:Y22"/>
    <mergeCell ref="I21:I22"/>
    <mergeCell ref="J21:J22"/>
    <mergeCell ref="K21:K22"/>
    <mergeCell ref="L21:L22"/>
    <mergeCell ref="O21:O22"/>
    <mergeCell ref="V21:V22"/>
    <mergeCell ref="E69:G69"/>
    <mergeCell ref="E66:G66"/>
    <mergeCell ref="Y28:Z28"/>
    <mergeCell ref="E64:G64"/>
    <mergeCell ref="B60:D60"/>
    <mergeCell ref="A21:A22"/>
    <mergeCell ref="B21:B22"/>
    <mergeCell ref="C21:C22"/>
    <mergeCell ref="D21:D22"/>
    <mergeCell ref="E21:E22"/>
    <mergeCell ref="M21:M22"/>
    <mergeCell ref="Q21:Q22"/>
    <mergeCell ref="Z21:Z22"/>
    <mergeCell ref="Y19:Z19"/>
    <mergeCell ref="W14:Z14"/>
    <mergeCell ref="I19:W19"/>
    <mergeCell ref="U21:U22"/>
    <mergeCell ref="P21:P22"/>
    <mergeCell ref="S14:V14"/>
    <mergeCell ref="L14:R14"/>
    <mergeCell ref="R22:T22"/>
    <mergeCell ref="G14:K14"/>
    <mergeCell ref="G21:G22"/>
    <mergeCell ref="F6:W6"/>
    <mergeCell ref="F8:J8"/>
    <mergeCell ref="T8:W8"/>
    <mergeCell ref="C19:G19"/>
    <mergeCell ref="B13:F13"/>
    <mergeCell ref="G13:K13"/>
    <mergeCell ref="L13:R13"/>
    <mergeCell ref="S13:V13"/>
    <mergeCell ref="W13:Z13"/>
    <mergeCell ref="B14:F14"/>
    <mergeCell ref="A11:Z11"/>
    <mergeCell ref="A41:Z41"/>
    <mergeCell ref="A32:Z32"/>
    <mergeCell ref="A33:Z33"/>
    <mergeCell ref="A36:Z36"/>
    <mergeCell ref="A37:Z37"/>
    <mergeCell ref="A38:Z38"/>
    <mergeCell ref="A40:Z40"/>
    <mergeCell ref="A34:Z34"/>
    <mergeCell ref="A35:Z35"/>
    <mergeCell ref="A39:Z39"/>
    <mergeCell ref="I27:M27"/>
    <mergeCell ref="O27:W27"/>
    <mergeCell ref="Y27:Z27"/>
    <mergeCell ref="I28:M28"/>
    <mergeCell ref="O28:W28"/>
  </mergeCells>
  <phoneticPr fontId="75" type="noConversion"/>
  <conditionalFormatting sqref="B23:B28">
    <cfRule type="expression" dxfId="100" priority="203" stopIfTrue="1">
      <formula>OR(A23="nicht relevant",A23="EZ")</formula>
    </cfRule>
  </conditionalFormatting>
  <conditionalFormatting sqref="X23:X27 N23:N27 H23:H27">
    <cfRule type="expression" dxfId="99" priority="204" stopIfTrue="1">
      <formula>OR($A23="nicht relevant",$A23="EZ")</formula>
    </cfRule>
  </conditionalFormatting>
  <conditionalFormatting sqref="J23:L26 D24:G28 G23">
    <cfRule type="expression" dxfId="98" priority="202" stopIfTrue="1">
      <formula>OR($A23="nicht relevant",$A23="EZ")</formula>
    </cfRule>
    <cfRule type="expression" dxfId="97" priority="207" stopIfTrue="1">
      <formula>LEN(TRIM(D23))=0</formula>
    </cfRule>
  </conditionalFormatting>
  <conditionalFormatting sqref="I23:I26">
    <cfRule type="expression" dxfId="96" priority="205" stopIfTrue="1">
      <formula>OR($A23="nicht relevant",$A23="EZ")</formula>
    </cfRule>
    <cfRule type="expression" dxfId="95" priority="208" stopIfTrue="1">
      <formula>LEN(TRIM(I23))=0</formula>
    </cfRule>
    <cfRule type="cellIs" dxfId="94" priority="209" stopIfTrue="1" operator="greaterThan">
      <formula>$C23-$G23</formula>
    </cfRule>
  </conditionalFormatting>
  <conditionalFormatting sqref="O23:O26">
    <cfRule type="expression" dxfId="93" priority="206" stopIfTrue="1">
      <formula>OR($A23="nicht relevant",$A23="EZ")</formula>
    </cfRule>
    <cfRule type="cellIs" dxfId="92" priority="210" stopIfTrue="1" operator="lessThan">
      <formula>0</formula>
    </cfRule>
  </conditionalFormatting>
  <conditionalFormatting sqref="U23:W23 Q23">
    <cfRule type="expression" dxfId="91" priority="75" stopIfTrue="1">
      <formula>OR($A23="nicht relevant",$A23="EZ")</formula>
    </cfRule>
    <cfRule type="expression" dxfId="90" priority="76" stopIfTrue="1">
      <formula>LEN(TRIM(Q23))=0</formula>
    </cfRule>
  </conditionalFormatting>
  <conditionalFormatting sqref="R23:T23">
    <cfRule type="expression" dxfId="89" priority="77" stopIfTrue="1">
      <formula>OR($A23="nicht relevant",$A23="EZ")</formula>
    </cfRule>
    <cfRule type="expression" dxfId="88" priority="78" stopIfTrue="1">
      <formula>LEN(TRIM(R23))=0</formula>
    </cfRule>
    <cfRule type="cellIs" dxfId="87" priority="79" stopIfTrue="1" operator="greaterThan">
      <formula>$Q23</formula>
    </cfRule>
  </conditionalFormatting>
  <conditionalFormatting sqref="U24:W24 Q24">
    <cfRule type="expression" dxfId="86" priority="50" stopIfTrue="1">
      <formula>OR($A24="nicht relevant",$A24="EZ")</formula>
    </cfRule>
    <cfRule type="expression" dxfId="85" priority="51" stopIfTrue="1">
      <formula>LEN(TRIM(Q24))=0</formula>
    </cfRule>
  </conditionalFormatting>
  <conditionalFormatting sqref="R24:T24">
    <cfRule type="expression" dxfId="84" priority="52" stopIfTrue="1">
      <formula>OR($A24="nicht relevant",$A24="EZ")</formula>
    </cfRule>
    <cfRule type="expression" dxfId="83" priority="53" stopIfTrue="1">
      <formula>LEN(TRIM(R24))=0</formula>
    </cfRule>
    <cfRule type="cellIs" dxfId="82" priority="54" stopIfTrue="1" operator="greaterThan">
      <formula>$Q24</formula>
    </cfRule>
  </conditionalFormatting>
  <conditionalFormatting sqref="U25:W25 Q25">
    <cfRule type="expression" dxfId="81" priority="45" stopIfTrue="1">
      <formula>OR($A25="nicht relevant",$A25="EZ")</formula>
    </cfRule>
    <cfRule type="expression" dxfId="80" priority="46" stopIfTrue="1">
      <formula>LEN(TRIM(Q25))=0</formula>
    </cfRule>
  </conditionalFormatting>
  <conditionalFormatting sqref="R25:T25">
    <cfRule type="expression" dxfId="79" priority="47" stopIfTrue="1">
      <formula>OR($A25="nicht relevant",$A25="EZ")</formula>
    </cfRule>
    <cfRule type="expression" dxfId="78" priority="48" stopIfTrue="1">
      <formula>LEN(TRIM(R25))=0</formula>
    </cfRule>
    <cfRule type="cellIs" dxfId="77" priority="49" stopIfTrue="1" operator="greaterThan">
      <formula>$Q25</formula>
    </cfRule>
  </conditionalFormatting>
  <conditionalFormatting sqref="U26:W26 Q26">
    <cfRule type="expression" dxfId="76" priority="40" stopIfTrue="1">
      <formula>OR($A26="nicht relevant",$A26="EZ")</formula>
    </cfRule>
    <cfRule type="expression" dxfId="75" priority="41" stopIfTrue="1">
      <formula>LEN(TRIM(Q26))=0</formula>
    </cfRule>
  </conditionalFormatting>
  <conditionalFormatting sqref="R26:T26">
    <cfRule type="expression" dxfId="74" priority="42" stopIfTrue="1">
      <formula>OR($A26="nicht relevant",$A26="EZ")</formula>
    </cfRule>
    <cfRule type="expression" dxfId="73" priority="43" stopIfTrue="1">
      <formula>LEN(TRIM(R26))=0</formula>
    </cfRule>
    <cfRule type="cellIs" dxfId="72" priority="44" stopIfTrue="1" operator="greaterThan">
      <formula>$Q26</formula>
    </cfRule>
  </conditionalFormatting>
  <conditionalFormatting sqref="B13:F13">
    <cfRule type="expression" dxfId="71" priority="34" stopIfTrue="1">
      <formula>$B$13="Nicht in Ordnung"</formula>
    </cfRule>
  </conditionalFormatting>
  <conditionalFormatting sqref="B14:F14">
    <cfRule type="expression" dxfId="70" priority="33" stopIfTrue="1">
      <formula>$B$14="die inkorrekten und unvollständigen Einträge beheben"</formula>
    </cfRule>
  </conditionalFormatting>
  <conditionalFormatting sqref="M30">
    <cfRule type="cellIs" dxfId="69" priority="300" stopIfTrue="1" operator="between">
      <formula>$G$91</formula>
      <formula>$I$91</formula>
    </cfRule>
    <cfRule type="cellIs" dxfId="68" priority="301" stopIfTrue="1" operator="between">
      <formula>$H$92</formula>
      <formula>$I$92</formula>
    </cfRule>
    <cfRule type="cellIs" dxfId="67" priority="302" stopIfTrue="1" operator="equal">
      <formula>"---"</formula>
    </cfRule>
  </conditionalFormatting>
  <conditionalFormatting sqref="Y23">
    <cfRule type="expression" dxfId="66" priority="3" stopIfTrue="1">
      <formula>LEN(TRIM(Y23))=0</formula>
    </cfRule>
    <cfRule type="cellIs" dxfId="65" priority="4" stopIfTrue="1" operator="between">
      <formula>$D$100</formula>
      <formula>$F$100</formula>
    </cfRule>
    <cfRule type="cellIs" dxfId="64" priority="5" stopIfTrue="1" operator="greaterThan">
      <formula>$J100</formula>
    </cfRule>
  </conditionalFormatting>
  <conditionalFormatting sqref="Y24">
    <cfRule type="expression" dxfId="63" priority="6" stopIfTrue="1">
      <formula>LEN(TRIM(Y24))=0</formula>
    </cfRule>
    <cfRule type="cellIs" dxfId="62" priority="7" stopIfTrue="1" operator="between">
      <formula>$D$101</formula>
      <formula>$F$101</formula>
    </cfRule>
    <cfRule type="cellIs" dxfId="61" priority="8" stopIfTrue="1" operator="greaterThan">
      <formula>$J$101</formula>
    </cfRule>
  </conditionalFormatting>
  <conditionalFormatting sqref="Y25">
    <cfRule type="expression" dxfId="60" priority="9" stopIfTrue="1">
      <formula>LEN(TRIM(Y25))=0</formula>
    </cfRule>
    <cfRule type="cellIs" dxfId="59" priority="10" stopIfTrue="1" operator="between">
      <formula>$D$102</formula>
      <formula>$F$102</formula>
    </cfRule>
    <cfRule type="cellIs" dxfId="58" priority="11" stopIfTrue="1" operator="greaterThan">
      <formula>$J$102</formula>
    </cfRule>
  </conditionalFormatting>
  <conditionalFormatting sqref="Y26">
    <cfRule type="expression" dxfId="57" priority="12" stopIfTrue="1">
      <formula>LEN(TRIM(Y26))=0</formula>
    </cfRule>
    <cfRule type="cellIs" dxfId="56" priority="13" stopIfTrue="1" operator="between">
      <formula>$D$103</formula>
      <formula>$F$103</formula>
    </cfRule>
    <cfRule type="cellIs" dxfId="55" priority="14" stopIfTrue="1" operator="greaterThan">
      <formula>$J$103</formula>
    </cfRule>
  </conditionalFormatting>
  <conditionalFormatting sqref="Z23">
    <cfRule type="expression" dxfId="54" priority="18" stopIfTrue="1">
      <formula>LEN(TRIM(Z23))=0</formula>
    </cfRule>
    <cfRule type="cellIs" dxfId="53" priority="19" stopIfTrue="1" operator="between">
      <formula>$D$109</formula>
      <formula>$F$109</formula>
    </cfRule>
    <cfRule type="cellIs" dxfId="52" priority="20" stopIfTrue="1" operator="greaterThan">
      <formula>$J$109</formula>
    </cfRule>
  </conditionalFormatting>
  <conditionalFormatting sqref="Z24">
    <cfRule type="expression" dxfId="51" priority="21" stopIfTrue="1">
      <formula>LEN(TRIM(Z24))=0</formula>
    </cfRule>
    <cfRule type="cellIs" dxfId="50" priority="22" stopIfTrue="1" operator="between">
      <formula>$D$109</formula>
      <formula>$F$110</formula>
    </cfRule>
    <cfRule type="cellIs" dxfId="49" priority="23" stopIfTrue="1" operator="greaterThan">
      <formula>$J$110</formula>
    </cfRule>
  </conditionalFormatting>
  <conditionalFormatting sqref="Z25">
    <cfRule type="expression" dxfId="48" priority="24" stopIfTrue="1">
      <formula>LEN(TRIM(Z25))=0</formula>
    </cfRule>
    <cfRule type="cellIs" dxfId="47" priority="25" stopIfTrue="1" operator="between">
      <formula>$D109</formula>
      <formula>$F111</formula>
    </cfRule>
    <cfRule type="cellIs" dxfId="46" priority="26" stopIfTrue="1" operator="greaterThan">
      <formula>$J111</formula>
    </cfRule>
  </conditionalFormatting>
  <conditionalFormatting sqref="Z26">
    <cfRule type="expression" dxfId="45" priority="27" stopIfTrue="1">
      <formula>LEN(TRIM(Z26))=0</formula>
    </cfRule>
    <cfRule type="cellIs" dxfId="44" priority="28" stopIfTrue="1" operator="between">
      <formula>$D109</formula>
      <formula>$F112</formula>
    </cfRule>
    <cfRule type="cellIs" dxfId="43" priority="29" stopIfTrue="1" operator="greaterThan">
      <formula>$J112</formula>
    </cfRule>
  </conditionalFormatting>
  <conditionalFormatting sqref="D23:F23">
    <cfRule type="expression" dxfId="42" priority="1" stopIfTrue="1">
      <formula>OR($A23="nicht relevant",$A23="EZ")</formula>
    </cfRule>
    <cfRule type="expression" dxfId="41" priority="2" stopIfTrue="1">
      <formula>LEN(TRIM(D23))=0</formula>
    </cfRule>
  </conditionalFormatting>
  <conditionalFormatting sqref="M23:M26">
    <cfRule type="expression" dxfId="40" priority="522" stopIfTrue="1">
      <formula>OR($A23="nicht relevant",$A23="EZ")</formula>
    </cfRule>
    <cfRule type="expression" dxfId="39" priority="523" stopIfTrue="1">
      <formula>LEN(TRIM(M23))=0</formula>
    </cfRule>
    <cfRule type="cellIs" dxfId="38" priority="524" stopIfTrue="1" operator="between">
      <formula>$G$90</formula>
      <formula>$I$90</formula>
    </cfRule>
  </conditionalFormatting>
  <conditionalFormatting sqref="P23:P26">
    <cfRule type="expression" dxfId="37" priority="525" stopIfTrue="1">
      <formula>OR($A23="nicht relevant",$A23="EZ")</formula>
    </cfRule>
    <cfRule type="cellIs" dxfId="36" priority="526" stopIfTrue="1" operator="between">
      <formula>$G$86</formula>
      <formula>$I$86</formula>
    </cfRule>
  </conditionalFormatting>
  <conditionalFormatting sqref="C23:C28">
    <cfRule type="expression" dxfId="35" priority="527" stopIfTrue="1">
      <formula>OR($A23="nicht relevant",$A23="EZ")</formula>
    </cfRule>
    <cfRule type="cellIs" dxfId="34" priority="528" stopIfTrue="1" operator="lessThan">
      <formula>$G$88</formula>
    </cfRule>
  </conditionalFormatting>
  <dataValidations count="13">
    <dataValidation type="whole" showInputMessage="1" showErrorMessage="1" errorTitle="Eingabefehler" error="Anzahl Pat. im Follow-Up zu hoch." sqref="L23:L27" xr:uid="{00000000-0002-0000-0F00-000000000000}">
      <formula1>0</formula1>
      <formula2>C23-G23-J23-K23</formula2>
    </dataValidation>
    <dataValidation type="whole" showInputMessage="1" showErrorMessage="1" errorTitle="Eingabefehler" error="Anzahl Pat. im Follow-Up zu hoch." sqref="K23:K27" xr:uid="{00000000-0002-0000-0F00-000001000000}">
      <formula1>0</formula1>
      <formula2>C23-G23-J23-L23</formula2>
    </dataValidation>
    <dataValidation type="whole" showInputMessage="1" showErrorMessage="1" errorTitle="Eingabefehler" error="Anzahl Pat. im Follow-Up zu hoch." sqref="J23:J27" xr:uid="{00000000-0002-0000-0F00-000002000000}">
      <formula1>0</formula1>
      <formula2>C23-G23-K23-L23</formula2>
    </dataValidation>
    <dataValidation type="whole" allowBlank="1" showInputMessage="1" showErrorMessage="1" errorTitle="Eingabefehler" error="Ganze Zahl zwischen 0 und 5000 eingeben." sqref="D23:G28" xr:uid="{00000000-0002-0000-0F00-000003000000}">
      <formula1>0</formula1>
      <formula2>5000</formula2>
    </dataValidation>
    <dataValidation type="whole" operator="greaterThanOrEqual" allowBlank="1" showInputMessage="1" showErrorMessage="1" errorTitle="Error" error="Minuszahlen..." sqref="C23:C28" xr:uid="{00000000-0002-0000-0F00-000004000000}">
      <formula1>0</formula1>
    </dataValidation>
    <dataValidation type="whole" errorStyle="information" allowBlank="1" showInputMessage="1" showErrorMessage="1" errorTitle="Ausfüllhinweis" error="Nur postive ganze Zahlen verwenden." sqref="H23:H28" xr:uid="{00000000-0002-0000-0F00-000005000000}">
      <formula1>0</formula1>
      <formula2>5000</formula2>
    </dataValidation>
    <dataValidation type="whole" showInputMessage="1" showErrorMessage="1" errorTitle="Eingabefehler" error="Eingabe kann nicht größer sein als Ereignisse Spalte Q._x000a_" sqref="R23:R27" xr:uid="{00000000-0002-0000-0F00-000006000000}">
      <formula1>0</formula1>
      <formula2>$Q23</formula2>
    </dataValidation>
    <dataValidation type="whole" showInputMessage="1" showErrorMessage="1" errorTitle="Eingabefehler" error="Eingabe kann nicht größer sein als Ereignisse Spalte Q." sqref="S23:T27" xr:uid="{00000000-0002-0000-0F00-000007000000}">
      <formula1>0</formula1>
      <formula2>$Q23</formula2>
    </dataValidation>
    <dataValidation type="decimal" allowBlank="1" showInputMessage="1" showErrorMessage="1" errorTitle="Aufüllhinweis" error="Nur Prozentwerte zwischen 0% und 100% können verwendet werden." sqref="Y23:Z27" xr:uid="{00000000-0002-0000-0F00-000008000000}">
      <formula1>0</formula1>
      <formula2>1</formula2>
    </dataValidation>
    <dataValidation type="whole" showInputMessage="1" showErrorMessage="1" errorTitle="Eingabefehler" error="Summe Spalten Q+U+V+W (Patienten mit Ereignisse) darf nicht größer als Summe Spalten J+K (Patientenrückmeldungen) sein." sqref="Q23:Q27" xr:uid="{00000000-0002-0000-0F00-000009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0F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0F00-00000B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0F00-00000C000000}">
      <formula1>0</formula1>
      <formula2>SUM($J23:$K23)-$U23-$V23-$Q23</formula2>
    </dataValidation>
  </dataValidations>
  <pageMargins left="0.39370078740157483" right="3.937007874015748E-2" top="0.59055118110236227" bottom="0.39370078740157483" header="0.11811023622047245" footer="0.11811023622047245"/>
  <pageSetup paperSize="9" scale="98" orientation="landscape" r:id="rId1"/>
  <headerFooter>
    <oddFooter>&amp;L&amp;"Arial,Standard"&amp;7&amp;F&amp;C&amp;"Arial,Standard"&amp;7 © DKG  Alle Rechte vorbehalten&amp;R&amp;"Arial,Standard"&amp;7&amp;P</oddFooter>
  </headerFooter>
  <rowBreaks count="2" manualBreakCount="2">
    <brk id="31" max="16383" man="1"/>
    <brk id="56"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AH61"/>
  <sheetViews>
    <sheetView topLeftCell="A21" zoomScaleNormal="100" workbookViewId="0">
      <selection activeCell="B61" sqref="B61"/>
    </sheetView>
  </sheetViews>
  <sheetFormatPr baseColWidth="10" defaultColWidth="9" defaultRowHeight="10.15" x14ac:dyDescent="0.45"/>
  <cols>
    <col min="1" max="1" width="20.73046875" style="35" customWidth="1"/>
    <col min="2" max="2" width="25.1328125" style="35" customWidth="1"/>
    <col min="3" max="3" width="27.73046875" style="35" customWidth="1"/>
    <col min="4" max="4" width="23.265625" style="35" customWidth="1"/>
    <col min="5" max="5" width="29.73046875" style="35" customWidth="1"/>
    <col min="6" max="6" width="31.3984375" style="35" customWidth="1"/>
    <col min="7" max="7" width="25.1328125" style="170" customWidth="1"/>
    <col min="8" max="8" width="25.59765625" style="203" customWidth="1"/>
    <col min="9" max="9" width="30.73046875" style="165" customWidth="1"/>
    <col min="10" max="10" width="34.59765625" style="195" customWidth="1"/>
    <col min="11" max="11" width="29.86328125" style="35" customWidth="1"/>
    <col min="12" max="12" width="32.86328125" style="35" customWidth="1"/>
    <col min="13" max="13" width="30.265625" style="35" customWidth="1"/>
    <col min="14" max="14" width="24.3984375" style="35" customWidth="1"/>
    <col min="15" max="15" width="14.73046875" style="35" customWidth="1"/>
    <col min="16" max="16" width="11.3984375" style="35" customWidth="1"/>
    <col min="17" max="17" width="27.59765625" style="35" customWidth="1"/>
    <col min="18" max="131" width="11.3984375" style="35" customWidth="1"/>
    <col min="132" max="16384" width="9" style="35"/>
  </cols>
  <sheetData>
    <row r="1" spans="1:34" x14ac:dyDescent="0.45">
      <c r="G1" s="35"/>
      <c r="H1" s="195"/>
      <c r="I1" s="35"/>
    </row>
    <row r="2" spans="1:34" ht="12.75" customHeight="1" x14ac:dyDescent="0.45">
      <c r="A2" s="90" t="s">
        <v>318</v>
      </c>
      <c r="G2" s="35"/>
      <c r="H2" s="195"/>
      <c r="I2" s="35"/>
      <c r="AG2" s="170"/>
    </row>
    <row r="3" spans="1:34" ht="14.25" customHeight="1" x14ac:dyDescent="0.45">
      <c r="AG3" s="170"/>
    </row>
    <row r="4" spans="1:34" x14ac:dyDescent="0.45">
      <c r="G4" s="35"/>
      <c r="H4" s="195"/>
      <c r="I4" s="35"/>
      <c r="AG4" s="170"/>
    </row>
    <row r="5" spans="1:34" ht="15" customHeight="1" x14ac:dyDescent="0.45">
      <c r="B5" s="161" t="s">
        <v>313</v>
      </c>
      <c r="C5" s="129" t="s">
        <v>307</v>
      </c>
      <c r="D5" s="162" t="s">
        <v>179</v>
      </c>
      <c r="E5" s="163" t="s">
        <v>314</v>
      </c>
      <c r="F5" s="164" t="s">
        <v>315</v>
      </c>
      <c r="G5" s="35"/>
      <c r="H5" s="195"/>
      <c r="I5" s="35"/>
      <c r="AF5" s="159"/>
    </row>
    <row r="6" spans="1:34" x14ac:dyDescent="0.45">
      <c r="B6" s="240" t="str">
        <f>IF(AND(E6=0,F6=0,Berechnung5!A7="relevant"),B8,IF(OR(Berechnung5!A7="nicht relevant",Berechnung5!A7="EZ"),"",B9))</f>
        <v/>
      </c>
      <c r="C6" s="166">
        <f>Berechnung5!J61</f>
        <v>0</v>
      </c>
      <c r="D6" s="167">
        <f>Berechnung5!J62</f>
        <v>0</v>
      </c>
      <c r="E6" s="168">
        <f>Berechnung5!J60</f>
        <v>0</v>
      </c>
      <c r="F6" s="169">
        <f>Berechnung5!J59</f>
        <v>0</v>
      </c>
      <c r="G6" s="35"/>
      <c r="H6" s="195"/>
      <c r="I6" s="35"/>
    </row>
    <row r="7" spans="1:34" x14ac:dyDescent="0.45">
      <c r="G7" s="35"/>
      <c r="H7" s="195"/>
      <c r="I7" s="35"/>
    </row>
    <row r="8" spans="1:34" x14ac:dyDescent="0.45">
      <c r="A8" s="90" t="s">
        <v>166</v>
      </c>
      <c r="B8" s="35" t="s">
        <v>365</v>
      </c>
      <c r="G8" s="35"/>
      <c r="H8" s="195"/>
      <c r="I8" s="35"/>
    </row>
    <row r="9" spans="1:34" x14ac:dyDescent="0.45">
      <c r="B9" s="35" t="s">
        <v>176</v>
      </c>
      <c r="G9" s="35"/>
      <c r="H9" s="195"/>
      <c r="I9" s="35"/>
    </row>
    <row r="10" spans="1:34" x14ac:dyDescent="0.45">
      <c r="G10" s="35"/>
      <c r="H10" s="195"/>
      <c r="I10" s="35"/>
    </row>
    <row r="11" spans="1:34" x14ac:dyDescent="0.45">
      <c r="A11" s="165"/>
      <c r="B11" s="90" t="s">
        <v>339</v>
      </c>
      <c r="G11" s="35"/>
      <c r="H11" s="195"/>
      <c r="I11" s="35"/>
    </row>
    <row r="12" spans="1:34" x14ac:dyDescent="0.45">
      <c r="A12" s="165"/>
      <c r="G12" s="35"/>
      <c r="H12" s="195"/>
      <c r="I12" s="35"/>
    </row>
    <row r="13" spans="1:34" x14ac:dyDescent="0.45">
      <c r="A13" s="165"/>
      <c r="B13" s="906" t="s">
        <v>324</v>
      </c>
      <c r="C13" s="908" t="s">
        <v>341</v>
      </c>
      <c r="D13" s="890" t="s">
        <v>323</v>
      </c>
      <c r="E13" s="910" t="s">
        <v>138</v>
      </c>
      <c r="G13" s="35"/>
      <c r="H13" s="195"/>
      <c r="I13" s="35"/>
    </row>
    <row r="14" spans="1:34" x14ac:dyDescent="0.45">
      <c r="A14" s="165"/>
      <c r="B14" s="907"/>
      <c r="C14" s="909"/>
      <c r="D14" s="890"/>
      <c r="E14" s="911"/>
      <c r="G14" s="35"/>
      <c r="H14" s="195"/>
      <c r="I14" s="120" t="s">
        <v>138</v>
      </c>
      <c r="J14" s="91" t="s">
        <v>139</v>
      </c>
    </row>
    <row r="15" spans="1:34" ht="38.1" customHeight="1" x14ac:dyDescent="0.45">
      <c r="A15" s="159" t="s">
        <v>338</v>
      </c>
      <c r="B15" s="157" t="str">
        <f>CONCATENATE(IF(Berechnung5!$H$2=Berechnung4!$L$32,Berechnung5!$B$2,""),IF(Berechnung5!$H$3=Berechnung4!$L$32,Berechnung5!$B$3,""),IF(Berechnung5!$H$4=Berechnung4!$L$32,Berechnung5!$B$4,""),IF(Berechnung5!$H$5=Berechnung4!$L$32,Berechnung5!$B$5,""),IF(Berechnung5!$H$6=Berechnung4!$L$32,Berechnung5!$B$6,""),IF(Berechnung5!$H$7=Berechnung4!$L$32,Berechnung5!$B$7,""))</f>
        <v/>
      </c>
      <c r="C15" s="34">
        <f>IF(LEN(B15)&gt;0,"X",0)</f>
        <v>0</v>
      </c>
      <c r="D15" s="34" t="str">
        <f>IF(COUNTIF(Berechnung5!$H$2:$H$7,Berechnung4!$L$32)&gt;0,CONCATENATE(Berechnung4!$F$5,"                                     ",Berechnung4!$L$32),"")</f>
        <v/>
      </c>
      <c r="E15" s="34" t="str">
        <f>IF(COUNTIF(Berechnung5!$H$2:$H$7,Berechnung4!$L$32)&gt;0,"a","")</f>
        <v/>
      </c>
      <c r="G15" s="125" t="e">
        <f t="array" ref="G15">INDEX(B:B,SMALL(IF($C$15:$C$25="X",ROW($15:$25)),1))</f>
        <v>#NUM!</v>
      </c>
      <c r="H15" s="234" t="e">
        <f t="array" ref="H15">INDEX(D:D,SMALL(IF($C$15:$C$25="X",ROW($15:$25)),1))</f>
        <v>#NUM!</v>
      </c>
      <c r="I15" s="94" t="e">
        <f t="array" ref="I15">INDEX(E:E,SMALL(IF($C$15:$C$25="X",ROW($15:$25)),1))</f>
        <v>#NUM!</v>
      </c>
      <c r="J15" s="34" t="e">
        <f>IF(AND('Data deficit_Matrix-Rectum'!C19="",I15&lt;&gt;""),"Anmerkung OnkoZert : Keine Erläuterung vorhanden",'Data deficit_Matrix-Rectum'!C19)</f>
        <v>#NUM!</v>
      </c>
    </row>
    <row r="16" spans="1:34" ht="38.1" customHeight="1" x14ac:dyDescent="0.45">
      <c r="A16" s="159" t="s">
        <v>343</v>
      </c>
      <c r="B16" s="157" t="str">
        <f>CONCATENATE(IF(Berechnung5!$H$8=Berechnung4!$L$36,Berechnung5!$B$2,""),IF(Berechnung5!$H$9=Berechnung4!$L$36,Berechnung5!$B$3,""),IF(Berechnung5!$H$10=Berechnung4!$L$36,Berechnung5!$B$4,""),IF(Berechnung5!$H$11=Berechnung4!$L$36,Berechnung5!$B$5,""),IF(Berechnung5!$H$12=Berechnung4!$L$36,Berechnung5!$B$6,""),IF(Berechnung5!$H$13=Berechnung4!$L$36,Berechnung5!$B$7,""))</f>
        <v/>
      </c>
      <c r="C16" s="34">
        <f>IF(LEN(B16)&gt;0,"X",0)</f>
        <v>0</v>
      </c>
      <c r="D16" s="34" t="str">
        <f>IF(COUNTIF(Berechnung5!$H$8:$H$12,Berechnung4!$L$36)&gt;0,CONCATENATE(Berechnung4!$E$5,"                                     ",Berechnung4!$L$36),"")</f>
        <v/>
      </c>
      <c r="E16" s="34" t="str">
        <f>IF(COUNTIF(Berechnung5!$H$8:$H$12,Berechnung4!$L$36)&gt;0,"b","")</f>
        <v/>
      </c>
      <c r="G16" s="125" t="e">
        <f t="array" ref="G16">INDEX(B:B,SMALL(IF($C$15:$C$25="X",ROW($15:$25)),2))</f>
        <v>#NUM!</v>
      </c>
      <c r="H16" s="234" t="e">
        <f t="array" ref="H16">INDEX(D:D,SMALL(IF($C$15:$C$25="X",ROW($15:$25)),2))</f>
        <v>#NUM!</v>
      </c>
      <c r="I16" s="94" t="e">
        <f t="array" ref="I16">INDEX(E:E,SMALL(IF($C$15:$C$25="X",ROW($15:$25)),2))</f>
        <v>#NUM!</v>
      </c>
      <c r="J16" s="34" t="e">
        <f>IF(AND('Data deficit_Matrix-Rectum'!C20="",I16&lt;&gt;""),"Anmerkung OnkoZert : Keine Erläuterung vorhanden",'Data deficit_Matrix-Rectum'!C20)</f>
        <v>#NUM!</v>
      </c>
      <c r="AH16" s="171"/>
    </row>
    <row r="17" spans="1:34" ht="38.1" customHeight="1" x14ac:dyDescent="0.45">
      <c r="A17" s="159" t="s">
        <v>344</v>
      </c>
      <c r="B17" s="157" t="str">
        <f>CONCATENATE(IF(Berechnung5!$H$14=Berechnung4!$L$42,Berechnung5!$B$2,""),IF(Berechnung5!$H$15=Berechnung4!$L$42,Berechnung5!$B$3,""),IF(Berechnung5!$H$16=Berechnung4!$L$42,Berechnung5!$B$4,""),IF(Berechnung5!$H$17=Berechnung4!$L$42,Berechnung5!$B$5,""),IF(Berechnung5!$H$18=Berechnung4!$L$42,Berechnung5!$B$6,""),IF(Berechnung5!$H$19=Berechnung4!$L$42,Berechnung5!$B$7,""))</f>
        <v/>
      </c>
      <c r="C17" s="34">
        <f>IF(LEN(B17)&gt;0,"X",0)</f>
        <v>0</v>
      </c>
      <c r="D17" s="34" t="str">
        <f>IF(COUNTIF(Berechnung5!$H$14:$H$18,Berechnung4!$L$42)&gt;0,CONCATENATE(Berechnung4!$E$5,"                                     ",Berechnung4!$L$42),"")</f>
        <v/>
      </c>
      <c r="E17" s="34" t="str">
        <f>IF(COUNTIF(Berechnung5!$H$14:$H$18,Berechnung4!$L$42)&gt;0,"c","")</f>
        <v/>
      </c>
      <c r="G17" s="125" t="e">
        <f t="array" ref="G17">INDEX(B:B,SMALL(IF($C$15:$C$25="X",ROW($15:$25)),3))</f>
        <v>#NUM!</v>
      </c>
      <c r="H17" s="234" t="e">
        <f t="array" ref="H17">INDEX(D:D,SMALL(IF($C$15:$C$25="X",ROW($15:$25)),3))</f>
        <v>#NUM!</v>
      </c>
      <c r="I17" s="94" t="e">
        <f t="array" ref="I17">INDEX(E:E,SMALL(IF($C$15:$C$25="X",ROW($15:$25)),3))</f>
        <v>#NUM!</v>
      </c>
      <c r="J17" s="34" t="e">
        <f>IF(AND('Data deficit_Matrix-Rectum'!C21="",I17&lt;&gt;""),"Anmerkung OnkoZert : Keine Erläuterung vorhanden",'Data deficit_Matrix-Rectum'!C21)</f>
        <v>#NUM!</v>
      </c>
    </row>
    <row r="18" spans="1:34" ht="38.1" customHeight="1" x14ac:dyDescent="0.45">
      <c r="A18" s="159" t="s">
        <v>342</v>
      </c>
      <c r="B18" s="157" t="str">
        <f>CONCATENATE(IF(Berechnung5!$H$20=Berechnung4!$L$40,Berechnung5!$B$2,""),IF(Berechnung5!$H$21=Berechnung4!$L$40,Berechnung5!$B$3,""),IF(Berechnung5!$H$22=Berechnung4!$L$40,Berechnung5!$B$4,""),IF(Berechnung5!$H$23=Berechnung4!$L$40,Berechnung5!$B$5,""),IF(Berechnung5!$H$24=Berechnung4!$L$40,Berechnung5!$B$6,""),IF(Berechnung5!$H$25=Berechnung4!$L$40,Berechnung5!$B$7,""))</f>
        <v/>
      </c>
      <c r="C18" s="34">
        <f>IF(LEN(B18)&gt;0,"X",0)</f>
        <v>0</v>
      </c>
      <c r="D18" s="34" t="str">
        <f>IF(COUNTIF(Berechnung5!$H$20:$H$24,Berechnung4!$L$40)&gt;0,CONCATENATE(Berechnung4!$E$5,"                                     ",Berechnung4!$L$40),"")</f>
        <v/>
      </c>
      <c r="E18" s="34" t="str">
        <f>IF(COUNTIF(Berechnung5!$H$20:$H$24,Berechnung4!$L$40)&gt;0,"d","")</f>
        <v/>
      </c>
      <c r="G18" s="125" t="e">
        <f t="array" ref="G18">INDEX(B:B,SMALL(IF($C$15:$C$25="X",ROW($15:$25)),4))</f>
        <v>#NUM!</v>
      </c>
      <c r="H18" s="234" t="e">
        <f t="array" ref="H18">INDEX(D:D,SMALL(IF($C$15:$C$25="X",ROW($15:$25)),4))</f>
        <v>#NUM!</v>
      </c>
      <c r="I18" s="94" t="e">
        <f t="array" ref="I18">INDEX(E:E,SMALL(IF($C$15:$C$25="X",ROW($15:$25)),4))</f>
        <v>#NUM!</v>
      </c>
      <c r="J18" s="34" t="e">
        <f>IF(AND('Data deficit_Matrix-Rectum'!C22="",I18&lt;&gt;""),"Anmerkung OnkoZert : Keine Erläuterung vorhanden",'Data deficit_Matrix-Rectum'!C22)</f>
        <v>#NUM!</v>
      </c>
      <c r="AH18" s="170"/>
    </row>
    <row r="19" spans="1:34" ht="38.1" customHeight="1" x14ac:dyDescent="0.45">
      <c r="A19" s="159" t="s">
        <v>178</v>
      </c>
      <c r="B19" s="34" t="s">
        <v>427</v>
      </c>
      <c r="C19" s="34">
        <f>IF(LEN(D19)&gt;0,"X",0)</f>
        <v>0</v>
      </c>
      <c r="D19" s="34" t="str">
        <f>IF(COUNTIF(Berechnung5!$H$26,Berechnung4!$L$38)&gt;0,CONCATENATE(Berechnung4!$D$5,"                                     ",Berechnung4!$L$38),"")</f>
        <v/>
      </c>
      <c r="E19" s="34" t="str">
        <f>IF(COUNTIF(Berechnung5!$H$26,Berechnung4!$L$38)&gt;0,"e","")</f>
        <v/>
      </c>
      <c r="G19" s="125" t="e">
        <f t="array" ref="G19">INDEX(B:B,SMALL(IF($C$15:$C$25="X",ROW($15:$25)),5))</f>
        <v>#NUM!</v>
      </c>
      <c r="H19" s="234" t="e">
        <f t="array" ref="H19">INDEX(D:D,SMALL(IF($C$15:$C$25="X",ROW($15:$25)),5))</f>
        <v>#NUM!</v>
      </c>
      <c r="I19" s="94" t="e">
        <f t="array" ref="I19">INDEX(E:E,SMALL(IF($C$15:$C$25="X",ROW($15:$25)),5))</f>
        <v>#NUM!</v>
      </c>
      <c r="J19" s="34" t="e">
        <f>IF(AND('Data deficit_Matrix-Rectum'!C23="",I19&lt;&gt;""),"Anmerkung OnkoZert : Keine Erläuterung vorhanden",'Data deficit_Matrix-Rectum'!C23)</f>
        <v>#NUM!</v>
      </c>
    </row>
    <row r="20" spans="1:34" ht="38.1" customHeight="1" x14ac:dyDescent="0.45">
      <c r="A20" s="159" t="s">
        <v>345</v>
      </c>
      <c r="B20" s="157" t="str">
        <f>CONCATENATE(IF(Berechnung5!$H$27=Berechnung4!$L$35,Berechnung5!$B$2,""),IF(Berechnung5!$H$28=Berechnung4!$L$35,Berechnung5!$B$3,""),IF(Berechnung5!$H$29=Berechnung4!$L$35,Berechnung5!$B$4,""),IF(Berechnung5!$H$30=Berechnung4!$L$35,Berechnung5!$B$5,""),IF(Berechnung5!$H$31=Berechnung4!$L$35,Berechnung5!$B$6,""),IF(Berechnung5!$H$32=Berechnung4!$L$35,Berechnung5!$B$7,""))</f>
        <v/>
      </c>
      <c r="C20" s="34">
        <f>IF(LEN(B20)&gt;0,"X",0)</f>
        <v>0</v>
      </c>
      <c r="D20" s="34" t="str">
        <f>IF(COUNTIF(Berechnung5!$H$27:$H$32,Berechnung4!$L$35)&gt;0,CONCATENATE(Berechnung4!$C$5,"                                     ",Berechnung4!$L$35),"")</f>
        <v/>
      </c>
      <c r="E20" s="34" t="str">
        <f>IF(COUNTIF(Berechnung5!$H$27:$H$32,Berechnung4!$L$35)&gt;0,"f","")</f>
        <v/>
      </c>
      <c r="G20" s="125" t="e">
        <f t="array" ref="G20">INDEX(B:B,SMALL(IF($C$15:$C$25="X",ROW($15:$25)),6))</f>
        <v>#NUM!</v>
      </c>
      <c r="H20" s="234" t="e">
        <f t="array" ref="H20">INDEX(D:D,SMALL(IF($C$15:$C$25="X",ROW($15:$25)),6))</f>
        <v>#NUM!</v>
      </c>
      <c r="I20" s="94" t="e">
        <f t="array" ref="I20">INDEX(E:E,SMALL(IF($C$15:$C$25="X",ROW($15:$25)),6))</f>
        <v>#NUM!</v>
      </c>
      <c r="J20" s="34" t="e">
        <f>IF(AND('Data deficit_Matrix-Rectum'!C24="",I20&lt;&gt;""),"Anmerkung OnkoZert : Keine Erläuterung vorhanden",'Data deficit_Matrix-Rectum'!C24)</f>
        <v>#NUM!</v>
      </c>
    </row>
    <row r="21" spans="1:34" ht="38.1" customHeight="1" x14ac:dyDescent="0.45">
      <c r="A21" s="159"/>
      <c r="B21" s="34" t="s">
        <v>427</v>
      </c>
      <c r="C21" s="34">
        <f>IF(LEN(D21)&gt;0,"X",0)</f>
        <v>0</v>
      </c>
      <c r="D21" s="34" t="str">
        <f>IF(COUNTIF(Berechnung5!$H$33,Berechnung4!$L$39),CONCATENATE(Berechnung4!$C$5,"                                     ",Berechnung4!$L$39),"")</f>
        <v/>
      </c>
      <c r="E21" s="34" t="str">
        <f>IF(COUNTIF(Berechnung5!$H$33,Berechnung4!$L$39)&gt;0,"g","")</f>
        <v/>
      </c>
      <c r="G21" s="125" t="e">
        <f t="array" ref="G21">INDEX(B:B,SMALL(IF($C$15:$C$25="X",ROW($15:$25)),7))</f>
        <v>#NUM!</v>
      </c>
      <c r="H21" s="234" t="e">
        <f t="array" ref="H21">INDEX(D:D,SMALL(IF($C$15:$C$25="X",ROW($15:$25)),7))</f>
        <v>#NUM!</v>
      </c>
      <c r="I21" s="94" t="e">
        <f t="array" ref="I21">INDEX(E:E,SMALL(IF($C$15:$C$25="X",ROW($15:$25)),7))</f>
        <v>#NUM!</v>
      </c>
      <c r="J21" s="34" t="e">
        <f>IF(AND('Data deficit_Matrix-Rectum'!C25="",I21&lt;&gt;""),"Anmerkung OnkoZert : Keine Erläuterung vorhanden",'Data deficit_Matrix-Rectum'!C25)</f>
        <v>#NUM!</v>
      </c>
    </row>
    <row r="22" spans="1:34" ht="38.1" customHeight="1" x14ac:dyDescent="0.45">
      <c r="A22" s="159" t="s">
        <v>346</v>
      </c>
      <c r="B22" s="157" t="str">
        <f>CONCATENATE(IF(Berechnung5!$H$34=Berechnung4!$L$37,Berechnung5!$B$2,""),IF(Berechnung5!$H$35=Berechnung4!$L$37,Berechnung5!$B$3,""),IF(Berechnung5!$H$36=Berechnung4!$L$37,Berechnung5!$B$4,""),IF(Berechnung5!$H$37=Berechnung4!$L$37,Berechnung5!$B$5,""),IF(Berechnung5!$H$38=Berechnung4!$L$37,Berechnung5!$B$6,""),IF(Berechnung5!$H$39=Berechnung4!$L$37,Berechnung5!$B$7,""))</f>
        <v/>
      </c>
      <c r="C22" s="34">
        <f>IF(LEN(B22)&gt;0,"X",0)</f>
        <v>0</v>
      </c>
      <c r="D22" s="34" t="str">
        <f>IF(COUNTIF(Berechnung5!H34:H38,Berechnung4!$L$37)&gt;0,CONCATENATE(Berechnung4!$C$5,"                                     ",Berechnung4!$L$37),"")</f>
        <v/>
      </c>
      <c r="E22" s="34" t="str">
        <f>IF(COUNTIF(Berechnung5!H34:H38,Berechnung4!$L$37)&gt;0,"h","")</f>
        <v/>
      </c>
      <c r="G22" s="125" t="e">
        <f t="array" ref="G22">INDEX(B:B,SMALL(IF($C$15:$C$25="X",ROW($15:$25)),8))</f>
        <v>#NUM!</v>
      </c>
      <c r="H22" s="234" t="e">
        <f t="array" ref="H22">INDEX(D:D,SMALL(IF($C$15:$C$25="X",ROW($15:$25)),8))</f>
        <v>#NUM!</v>
      </c>
      <c r="I22" s="94" t="e">
        <f t="array" ref="I22">INDEX(E:E,SMALL(IF($C$15:$C$25="X",ROW($15:$25)),8))</f>
        <v>#NUM!</v>
      </c>
      <c r="J22" s="34" t="e">
        <f>IF(AND('Data deficit_Matrix-Rectum'!C26="",I22&lt;&gt;""),"Anmerkung OnkoZert : Keine Erläuterung vorhanden",'Data deficit_Matrix-Rectum'!C26)</f>
        <v>#NUM!</v>
      </c>
    </row>
    <row r="23" spans="1:34" ht="38.1" customHeight="1" x14ac:dyDescent="0.45">
      <c r="A23" s="159" t="s">
        <v>347</v>
      </c>
      <c r="B23" s="157" t="str">
        <f>CONCATENATE(IF(Berechnung5!$H$40=Berechnung4!$L$33,Berechnung5!$B$2,""),IF(Berechnung5!$H$41=Berechnung4!$L$33,Berechnung5!$B$3,""),IF(Berechnung5!$H$42=Berechnung4!$L$33,Berechnung5!$B$4,""),IF(Berechnung5!$H$43=Berechnung4!$L$33,Berechnung5!$B$5,""),IF(Berechnung5!$H$44=Berechnung4!$L$33,Berechnung5!$B$6,""),IF(Berechnung5!$H$45=Berechnung4!$L$33,Berechnung5!$B$7,""))</f>
        <v/>
      </c>
      <c r="C23" s="34">
        <f>IF(LEN(B23)&gt;0,"X",0)</f>
        <v>0</v>
      </c>
      <c r="D23" s="34" t="str">
        <f>IF(COUNTIF(Berechnung5!$H$40:$H$44,Berechnung4!$L$33)&gt;0,CONCATENATE(Berechnung4!$C$5,"                                     ",Berechnung4!$L$33),"")</f>
        <v/>
      </c>
      <c r="E23" s="34" t="str">
        <f>IF(COUNTIF(Berechnung5!$H$40:$H$44,Berechnung4!$L$33)&gt;0,"i","")</f>
        <v/>
      </c>
      <c r="G23" s="125" t="e">
        <f t="array" ref="G23">INDEX(B:B,SMALL(IF($C$15:$C$25="X",ROW($15:$25)),9))</f>
        <v>#NUM!</v>
      </c>
      <c r="H23" s="234" t="e">
        <f t="array" ref="H23">INDEX(D:D,SMALL(IF($C$15:$C$25="X",ROW($15:$25)),9))</f>
        <v>#NUM!</v>
      </c>
      <c r="I23" s="94" t="e">
        <f t="array" ref="I23">INDEX(E:E,SMALL(IF($C$15:$C$25="X",ROW($15:$25)),9))</f>
        <v>#NUM!</v>
      </c>
      <c r="J23" s="34" t="e">
        <f>IF(AND('Data deficit_Matrix-Rectum'!C27="",I23&lt;&gt;""),"Anmerkung OnkoZert : Keine Erläuterung vorhanden",'Data deficit_Matrix-Rectum'!C27)</f>
        <v>#NUM!</v>
      </c>
    </row>
    <row r="24" spans="1:34" ht="38.1" customHeight="1" x14ac:dyDescent="0.45">
      <c r="A24" s="159" t="s">
        <v>316</v>
      </c>
      <c r="B24" s="34" t="str">
        <f>CONCATENATE(IF(Berechnung5!$H$46=Berechnung4!$L$47,Berechnung5!$B$2,""),IF(Berechnung5!$H$47=Berechnung4!$L$47,Berechnung5!$B$3,""),IF(Berechnung5!$H$48=Berechnung4!$L$47,Berechnung5!$B$4,""),IF(Berechnung5!$H$49=Berechnung4!$L$47,Berechnung5!$B$5,""),IF(Berechnung5!$H$50=Berechnung4!$L$47,Berechnung5!$B$6,""),IF(Berechnung5!$H$51=Berechnung4!$L$47,Berechnung5!$B$7,""))</f>
        <v/>
      </c>
      <c r="C24" s="34">
        <f>IF(LEN(B24)&gt;0,"X",0)</f>
        <v>0</v>
      </c>
      <c r="D24" s="34" t="str">
        <f>IF(COUNTIF(Berechnung5!$H$46:$H$50,Berechnung4!$L$47)&gt;0,CONCATENATE(Berechnung4!$C$5,"                  ",Berechnung4!$L$47),"")</f>
        <v/>
      </c>
      <c r="E24" s="34" t="str">
        <f>IF(COUNTIF(Berechnung5!$H$46:$H$50,Berechnung4!$L$47)&gt;0,"j","")</f>
        <v/>
      </c>
      <c r="G24" s="125" t="e">
        <f t="array" ref="G24">INDEX(B:B,SMALL(IF($C$15:$C$25="X",ROW($15:$25)),10))</f>
        <v>#NUM!</v>
      </c>
      <c r="H24" s="234" t="e">
        <f t="array" ref="H24">INDEX(D:D,SMALL(IF($C$15:$C$25="X",ROW($15:$25)),10))</f>
        <v>#NUM!</v>
      </c>
      <c r="I24" s="94" t="e">
        <f t="array" ref="I24">INDEX(E:E,SMALL(IF($C$15:$C$25="X",ROW($15:$25)),10))</f>
        <v>#NUM!</v>
      </c>
      <c r="J24" s="34" t="e">
        <f>IF(AND('Data deficit_Matrix-Rectum'!C28="",I24&lt;&gt;""),"Anmerkung OnkoZert : Keine Erläuterung vorhanden",'Data deficit_Matrix-Rectum'!C28)</f>
        <v>#NUM!</v>
      </c>
    </row>
    <row r="25" spans="1:34" ht="38.1" customHeight="1" x14ac:dyDescent="0.45">
      <c r="A25" s="159" t="s">
        <v>264</v>
      </c>
      <c r="B25" s="34" t="str">
        <f>CONCATENATE(IF(Berechnung5!H52=Berechnung4!$L$56,Berechnung5!$B$2,""),IF(Berechnung5!$H$53=Berechnung4!$L$56,Berechnung5!$B$3,""),IF(Berechnung5!$H$54=Berechnung4!$L$56,Berechnung5!$B$4,""),IF(Berechnung5!$H$55=Berechnung4!$L$56,Berechnung5!$B$5,""),IF(Berechnung5!$H$56=Berechnung4!$L$56,Berechnung5!$B$6,""),IF(Berechnung5!$H$57=Berechnung4!$L$56,Berechnung5!$B$7,""))</f>
        <v/>
      </c>
      <c r="C25" s="34">
        <f>IF(LEN(B25)&gt;0,"X",0)</f>
        <v>0</v>
      </c>
      <c r="D25" s="34" t="str">
        <f>IF(COUNTIF(Berechnung5!$H$52:$H$56,Berechnung4!$L$56)&gt;0,CONCATENATE(Berechnung4!$C$5,"                 ",Berechnung4!$L$56),"")</f>
        <v/>
      </c>
      <c r="E25" s="34" t="str">
        <f>IF(COUNTIF(Berechnung5!$H$52:$H$56,Berechnung4!$L$56)&gt;0,"k","")</f>
        <v/>
      </c>
      <c r="G25" s="125" t="e">
        <f t="array" ref="G25">INDEX(B:B,SMALL(IF($C$15:$C$25="X",ROW($15:$25)),11))</f>
        <v>#NUM!</v>
      </c>
      <c r="H25" s="234" t="e">
        <f t="array" ref="H25">INDEX(D:D,SMALL(IF($C$15:$C$25="X",ROW($15:$25)),11))</f>
        <v>#NUM!</v>
      </c>
      <c r="I25" s="94" t="e">
        <f t="array" ref="I25">INDEX(E:E,SMALL(IF($C$15:$C$25="X",ROW($15:$25)),11))</f>
        <v>#NUM!</v>
      </c>
      <c r="J25" s="34" t="e">
        <f>IF(AND('Data deficit_Matrix-Rectum'!C29="",I25&lt;&gt;""),"Anmerkung OnkoZert : Keine Erläuterung vorhanden",'Data deficit_Matrix-Rectum'!C29)</f>
        <v>#NUM!</v>
      </c>
    </row>
    <row r="26" spans="1:34" x14ac:dyDescent="0.45">
      <c r="A26" s="165"/>
      <c r="F26" s="124"/>
      <c r="G26" s="124"/>
      <c r="H26" s="195"/>
      <c r="I26" s="35"/>
    </row>
    <row r="27" spans="1:34" x14ac:dyDescent="0.45">
      <c r="G27" s="35"/>
      <c r="H27" s="195"/>
    </row>
    <row r="29" spans="1:34" s="134" customFormat="1" x14ac:dyDescent="0.45">
      <c r="B29" s="90" t="s">
        <v>322</v>
      </c>
      <c r="H29" s="196"/>
      <c r="J29" s="196"/>
    </row>
    <row r="30" spans="1:34" x14ac:dyDescent="0.45">
      <c r="A30" s="134"/>
      <c r="B30" s="141" t="s">
        <v>334</v>
      </c>
      <c r="C30" s="140"/>
      <c r="D30" s="140"/>
      <c r="E30" s="103"/>
      <c r="F30" s="126" t="s">
        <v>332</v>
      </c>
      <c r="G30" s="120"/>
      <c r="H30" s="91"/>
      <c r="I30" s="120"/>
      <c r="J30" s="197"/>
      <c r="K30" s="139"/>
      <c r="L30" s="141" t="s">
        <v>167</v>
      </c>
      <c r="M30" s="140"/>
      <c r="N30" s="141" t="s">
        <v>168</v>
      </c>
      <c r="O30" s="139"/>
      <c r="P30" s="134"/>
    </row>
    <row r="31" spans="1:34" x14ac:dyDescent="0.45">
      <c r="A31" s="134"/>
      <c r="B31" s="141"/>
      <c r="C31" s="140"/>
      <c r="D31" s="140"/>
      <c r="E31" s="103"/>
      <c r="F31" s="126"/>
      <c r="G31" s="120"/>
      <c r="H31" s="91"/>
      <c r="I31" s="120"/>
      <c r="J31" s="197"/>
      <c r="K31" s="139"/>
      <c r="M31" s="140"/>
      <c r="N31" s="138" t="s">
        <v>35</v>
      </c>
      <c r="O31" s="139"/>
      <c r="P31" s="134"/>
    </row>
    <row r="32" spans="1:34" x14ac:dyDescent="0.45">
      <c r="B32" s="137" t="s">
        <v>36</v>
      </c>
      <c r="C32" s="136"/>
      <c r="D32" s="236" t="s">
        <v>338</v>
      </c>
      <c r="E32" s="111"/>
      <c r="F32" s="127"/>
      <c r="G32" s="217"/>
      <c r="H32" s="201"/>
      <c r="I32" s="217"/>
      <c r="J32" s="198"/>
      <c r="K32" s="111"/>
      <c r="L32" s="97" t="s">
        <v>36</v>
      </c>
      <c r="M32" s="97"/>
      <c r="N32" s="138"/>
      <c r="O32" s="133"/>
      <c r="P32" s="134"/>
    </row>
    <row r="33" spans="1:16" x14ac:dyDescent="0.45">
      <c r="B33" s="319" t="s">
        <v>321</v>
      </c>
      <c r="C33" s="320"/>
      <c r="D33" s="272" t="s">
        <v>335</v>
      </c>
      <c r="E33" s="316" t="s">
        <v>38</v>
      </c>
      <c r="F33" s="109">
        <v>-1</v>
      </c>
      <c r="G33" s="112">
        <v>-1</v>
      </c>
      <c r="H33" s="208">
        <v>-1</v>
      </c>
      <c r="I33" s="317">
        <v>-1</v>
      </c>
      <c r="J33" s="199">
        <v>-1</v>
      </c>
      <c r="K33" s="316"/>
      <c r="L33" s="97" t="s">
        <v>352</v>
      </c>
      <c r="M33" s="97"/>
      <c r="N33" s="138"/>
      <c r="O33" s="133"/>
      <c r="P33" s="134"/>
    </row>
    <row r="34" spans="1:16" x14ac:dyDescent="0.45">
      <c r="B34" s="137" t="s">
        <v>325</v>
      </c>
      <c r="C34" s="136"/>
      <c r="D34" s="236" t="s">
        <v>317</v>
      </c>
      <c r="E34" s="111" t="s">
        <v>319</v>
      </c>
      <c r="F34" s="127">
        <v>0</v>
      </c>
      <c r="G34" s="113">
        <v>0</v>
      </c>
      <c r="H34" s="209"/>
      <c r="I34" s="217"/>
      <c r="J34" s="198">
        <v>1</v>
      </c>
      <c r="K34" s="111"/>
      <c r="L34" s="97"/>
      <c r="M34" s="97"/>
      <c r="N34" s="138"/>
      <c r="O34" s="133"/>
      <c r="P34" s="134"/>
    </row>
    <row r="35" spans="1:16" x14ac:dyDescent="0.45">
      <c r="B35" s="137" t="s">
        <v>326</v>
      </c>
      <c r="C35" s="136"/>
      <c r="D35" s="236" t="s">
        <v>335</v>
      </c>
      <c r="E35" s="111" t="s">
        <v>320</v>
      </c>
      <c r="F35" s="217"/>
      <c r="G35" s="217">
        <v>16</v>
      </c>
      <c r="H35" s="201"/>
      <c r="I35" s="217"/>
      <c r="J35" s="198"/>
      <c r="K35" s="111"/>
      <c r="L35" s="97" t="s">
        <v>353</v>
      </c>
      <c r="M35" s="97"/>
      <c r="N35" s="138"/>
      <c r="O35" s="133"/>
      <c r="P35" s="134"/>
    </row>
    <row r="36" spans="1:16" x14ac:dyDescent="0.45">
      <c r="B36" s="137" t="s">
        <v>327</v>
      </c>
      <c r="C36" s="136"/>
      <c r="D36" s="236" t="s">
        <v>317</v>
      </c>
      <c r="E36" s="111"/>
      <c r="F36" s="217"/>
      <c r="G36" s="217"/>
      <c r="H36" s="201"/>
      <c r="I36" s="217"/>
      <c r="J36" s="198"/>
      <c r="K36" s="111"/>
      <c r="L36" s="97" t="s">
        <v>387</v>
      </c>
      <c r="M36" s="97"/>
      <c r="N36" s="138" t="s">
        <v>34</v>
      </c>
      <c r="O36" s="133"/>
      <c r="P36" s="134"/>
    </row>
    <row r="37" spans="1:16" x14ac:dyDescent="0.45">
      <c r="B37" s="137" t="s">
        <v>46</v>
      </c>
      <c r="C37" s="136"/>
      <c r="D37" s="236" t="s">
        <v>335</v>
      </c>
      <c r="E37" s="111" t="s">
        <v>320</v>
      </c>
      <c r="F37" s="127">
        <v>0</v>
      </c>
      <c r="G37" s="113">
        <v>0</v>
      </c>
      <c r="H37" s="209"/>
      <c r="I37" s="315">
        <v>0.69999</v>
      </c>
      <c r="J37" s="198">
        <v>0.69999</v>
      </c>
      <c r="K37" s="111"/>
      <c r="L37" s="97" t="s">
        <v>32</v>
      </c>
      <c r="M37" s="97"/>
      <c r="N37" s="138"/>
      <c r="O37" s="133"/>
      <c r="P37" s="134"/>
    </row>
    <row r="38" spans="1:16" x14ac:dyDescent="0.45">
      <c r="B38" s="138" t="s">
        <v>428</v>
      </c>
      <c r="C38" s="136"/>
      <c r="D38" s="236" t="s">
        <v>336</v>
      </c>
      <c r="E38" s="111" t="s">
        <v>320</v>
      </c>
      <c r="F38" s="127">
        <v>0</v>
      </c>
      <c r="G38" s="113">
        <v>0</v>
      </c>
      <c r="H38" s="209"/>
      <c r="I38" s="315">
        <v>0.79998999999999998</v>
      </c>
      <c r="J38" s="200">
        <v>0.79998999999999998</v>
      </c>
      <c r="K38" s="111"/>
      <c r="L38" s="97" t="s">
        <v>47</v>
      </c>
      <c r="M38" s="97"/>
      <c r="N38" s="138"/>
      <c r="O38" s="133"/>
      <c r="P38" s="134"/>
    </row>
    <row r="39" spans="1:16" x14ac:dyDescent="0.45">
      <c r="B39" s="138" t="s">
        <v>429</v>
      </c>
      <c r="C39" s="136"/>
      <c r="D39" s="236" t="s">
        <v>335</v>
      </c>
      <c r="E39" s="111" t="s">
        <v>319</v>
      </c>
      <c r="F39" s="217"/>
      <c r="G39" s="127">
        <v>0</v>
      </c>
      <c r="H39" s="380">
        <v>0.99000999999999995</v>
      </c>
      <c r="I39" s="160">
        <v>1</v>
      </c>
      <c r="J39" s="198">
        <v>0.99000999999999995</v>
      </c>
      <c r="K39" s="111"/>
      <c r="L39" s="97" t="s">
        <v>48</v>
      </c>
      <c r="M39" s="97"/>
      <c r="N39" s="138"/>
      <c r="O39" s="133"/>
      <c r="P39" s="134"/>
    </row>
    <row r="40" spans="1:16" x14ac:dyDescent="0.45">
      <c r="B40" s="137" t="s">
        <v>328</v>
      </c>
      <c r="C40" s="136"/>
      <c r="D40" s="236" t="s">
        <v>317</v>
      </c>
      <c r="E40" s="111"/>
      <c r="F40" s="217"/>
      <c r="G40" s="217"/>
      <c r="H40" s="201"/>
      <c r="I40" s="217"/>
      <c r="J40" s="198"/>
      <c r="K40" s="111"/>
      <c r="L40" s="97" t="s">
        <v>388</v>
      </c>
      <c r="M40" s="97"/>
      <c r="N40" s="138" t="s">
        <v>33</v>
      </c>
      <c r="O40" s="133"/>
      <c r="P40" s="134"/>
    </row>
    <row r="41" spans="1:16" x14ac:dyDescent="0.45">
      <c r="B41" s="137"/>
      <c r="C41" s="136"/>
      <c r="D41" s="236"/>
      <c r="E41" s="111"/>
      <c r="F41" s="217"/>
      <c r="G41" s="217"/>
      <c r="H41" s="201"/>
      <c r="I41" s="217"/>
      <c r="J41" s="198"/>
      <c r="K41" s="111"/>
      <c r="L41" s="97"/>
      <c r="M41" s="97"/>
      <c r="N41" s="138"/>
      <c r="O41" s="133"/>
      <c r="P41" s="134"/>
    </row>
    <row r="42" spans="1:16" x14ac:dyDescent="0.45">
      <c r="B42" s="137" t="s">
        <v>329</v>
      </c>
      <c r="C42" s="136"/>
      <c r="D42" s="236" t="s">
        <v>317</v>
      </c>
      <c r="E42" s="111" t="s">
        <v>320</v>
      </c>
      <c r="F42" s="217"/>
      <c r="G42" s="303">
        <v>0</v>
      </c>
      <c r="H42" s="201"/>
      <c r="I42" s="217"/>
      <c r="J42" s="198"/>
      <c r="K42" s="111"/>
      <c r="L42" s="97" t="s">
        <v>37</v>
      </c>
      <c r="M42" s="97"/>
      <c r="N42" s="138" t="s">
        <v>54</v>
      </c>
      <c r="O42" s="133"/>
      <c r="P42" s="134"/>
    </row>
    <row r="43" spans="1:16" x14ac:dyDescent="0.45">
      <c r="A43" s="134"/>
      <c r="B43" s="135"/>
      <c r="C43" s="134"/>
      <c r="D43" s="134"/>
      <c r="E43" s="114"/>
      <c r="F43" s="114"/>
      <c r="G43" s="114"/>
      <c r="H43" s="207"/>
      <c r="I43" s="114"/>
      <c r="J43" s="207"/>
      <c r="K43" s="134"/>
      <c r="N43" s="138"/>
      <c r="O43" s="133"/>
      <c r="P43" s="134"/>
    </row>
    <row r="44" spans="1:16" x14ac:dyDescent="0.45">
      <c r="A44" s="134"/>
      <c r="B44" s="137"/>
      <c r="C44" s="136"/>
      <c r="D44" s="133"/>
      <c r="E44" s="217"/>
      <c r="F44" s="217"/>
      <c r="G44" s="217"/>
      <c r="H44" s="201"/>
      <c r="I44" s="217"/>
      <c r="J44" s="201"/>
      <c r="K44" s="133"/>
      <c r="L44" s="97"/>
      <c r="M44" s="97"/>
      <c r="N44" s="138" t="s">
        <v>55</v>
      </c>
      <c r="O44" s="139"/>
      <c r="P44" s="134"/>
    </row>
    <row r="45" spans="1:16" x14ac:dyDescent="0.45">
      <c r="A45" s="134"/>
      <c r="B45" s="137"/>
      <c r="C45" s="113"/>
      <c r="D45" s="128"/>
      <c r="E45" s="128"/>
      <c r="F45" s="315"/>
      <c r="G45" s="160"/>
      <c r="H45" s="206"/>
      <c r="I45" s="315"/>
      <c r="J45" s="202"/>
      <c r="K45" s="133"/>
      <c r="L45" s="97"/>
      <c r="M45" s="97"/>
      <c r="N45" s="138"/>
      <c r="O45" s="133"/>
      <c r="P45" s="134"/>
    </row>
    <row r="46" spans="1:16" x14ac:dyDescent="0.45">
      <c r="A46" s="134"/>
      <c r="B46" s="137" t="s">
        <v>316</v>
      </c>
      <c r="C46" s="113"/>
      <c r="D46" s="128"/>
      <c r="E46" s="128" t="s">
        <v>333</v>
      </c>
      <c r="F46" s="315"/>
      <c r="G46" s="160" t="s">
        <v>330</v>
      </c>
      <c r="H46" s="206"/>
      <c r="I46" s="315"/>
      <c r="J46" s="202" t="s">
        <v>331</v>
      </c>
      <c r="K46" s="133"/>
      <c r="L46" s="97"/>
      <c r="M46" s="97"/>
      <c r="N46" s="138"/>
      <c r="O46" s="133"/>
      <c r="P46" s="134"/>
    </row>
    <row r="47" spans="1:16" x14ac:dyDescent="0.45">
      <c r="A47" s="134"/>
      <c r="B47" s="147" t="s">
        <v>821</v>
      </c>
      <c r="C47" s="113"/>
      <c r="D47" s="128"/>
      <c r="E47" s="128">
        <v>0</v>
      </c>
      <c r="F47" s="315">
        <v>0.44999</v>
      </c>
      <c r="G47" s="315">
        <v>0.44999</v>
      </c>
      <c r="H47" s="206"/>
      <c r="I47" s="315">
        <v>0.75000999999999995</v>
      </c>
      <c r="J47" s="381">
        <v>0.75000999999999995</v>
      </c>
      <c r="K47" s="133"/>
      <c r="L47" s="97" t="s">
        <v>357</v>
      </c>
      <c r="M47" s="97" t="s">
        <v>357</v>
      </c>
      <c r="N47" s="138"/>
      <c r="O47" s="133"/>
      <c r="P47" s="134"/>
    </row>
    <row r="48" spans="1:16" x14ac:dyDescent="0.45">
      <c r="A48" s="134"/>
      <c r="B48" s="147" t="s">
        <v>413</v>
      </c>
      <c r="C48" s="113"/>
      <c r="D48" s="128"/>
      <c r="E48" s="128">
        <v>0</v>
      </c>
      <c r="F48" s="315">
        <v>0.49998999999999999</v>
      </c>
      <c r="G48" s="315">
        <v>0.49998999999999999</v>
      </c>
      <c r="H48" s="206"/>
      <c r="I48" s="315">
        <v>0.80001</v>
      </c>
      <c r="J48" s="381">
        <v>0.80001</v>
      </c>
      <c r="K48" s="133"/>
      <c r="L48" s="97" t="s">
        <v>357</v>
      </c>
      <c r="M48" s="97" t="s">
        <v>357</v>
      </c>
      <c r="N48" s="138"/>
      <c r="O48" s="133"/>
      <c r="P48" s="134"/>
    </row>
    <row r="49" spans="1:16" x14ac:dyDescent="0.45">
      <c r="A49" s="134"/>
      <c r="B49" s="147" t="s">
        <v>424</v>
      </c>
      <c r="C49" s="113"/>
      <c r="D49" s="128"/>
      <c r="E49" s="128">
        <v>0</v>
      </c>
      <c r="F49" s="315">
        <v>0.54998999999999998</v>
      </c>
      <c r="G49" s="315">
        <v>0.54998999999999998</v>
      </c>
      <c r="H49" s="206"/>
      <c r="I49" s="315">
        <v>0.85001000000000004</v>
      </c>
      <c r="J49" s="381">
        <v>0.85001000000000004</v>
      </c>
      <c r="K49" s="133"/>
      <c r="L49" s="97" t="s">
        <v>357</v>
      </c>
      <c r="M49" s="97" t="s">
        <v>357</v>
      </c>
      <c r="N49" s="138"/>
      <c r="O49" s="133"/>
      <c r="P49" s="134"/>
    </row>
    <row r="50" spans="1:16" x14ac:dyDescent="0.45">
      <c r="A50" s="134"/>
      <c r="B50" s="147" t="s">
        <v>431</v>
      </c>
      <c r="C50" s="113"/>
      <c r="D50" s="128"/>
      <c r="E50" s="128">
        <v>0</v>
      </c>
      <c r="F50" s="315">
        <v>0.59999000000000002</v>
      </c>
      <c r="G50" s="315">
        <v>0.59999000000000002</v>
      </c>
      <c r="H50" s="206"/>
      <c r="I50" s="315">
        <v>0.85001000000000004</v>
      </c>
      <c r="J50" s="381">
        <v>0.85001000000000004</v>
      </c>
      <c r="K50" s="133"/>
      <c r="L50" s="97" t="s">
        <v>357</v>
      </c>
      <c r="M50" s="97" t="s">
        <v>357</v>
      </c>
      <c r="N50" s="138"/>
      <c r="O50" s="133"/>
      <c r="P50" s="134"/>
    </row>
    <row r="51" spans="1:16" x14ac:dyDescent="0.45">
      <c r="A51" s="134"/>
      <c r="B51" s="147" t="s">
        <v>461</v>
      </c>
      <c r="C51" s="113"/>
      <c r="D51" s="128"/>
      <c r="E51" s="128">
        <v>0</v>
      </c>
      <c r="F51" s="315">
        <v>0.64998999999999996</v>
      </c>
      <c r="G51" s="315">
        <v>0.64998999999999996</v>
      </c>
      <c r="H51" s="206"/>
      <c r="I51" s="315">
        <v>0.90000999999999998</v>
      </c>
      <c r="J51" s="381">
        <v>0.90000999999999998</v>
      </c>
      <c r="K51" s="133"/>
      <c r="L51" s="97" t="s">
        <v>357</v>
      </c>
      <c r="M51" s="97" t="s">
        <v>357</v>
      </c>
      <c r="N51" s="138"/>
      <c r="O51" s="133"/>
      <c r="P51" s="134"/>
    </row>
    <row r="52" spans="1:16" x14ac:dyDescent="0.45">
      <c r="A52" s="134"/>
      <c r="B52" s="135"/>
      <c r="C52" s="134"/>
      <c r="D52" s="114"/>
      <c r="E52" s="114"/>
      <c r="F52" s="114"/>
      <c r="G52" s="383"/>
      <c r="H52" s="207"/>
      <c r="I52" s="114"/>
      <c r="J52" s="384"/>
      <c r="K52" s="134"/>
      <c r="N52" s="138"/>
      <c r="O52" s="133"/>
      <c r="P52" s="134"/>
    </row>
    <row r="53" spans="1:16" x14ac:dyDescent="0.45">
      <c r="A53" s="134"/>
      <c r="B53" s="137"/>
      <c r="C53" s="136"/>
      <c r="D53" s="217"/>
      <c r="E53" s="217"/>
      <c r="F53" s="217"/>
      <c r="G53" s="315"/>
      <c r="H53" s="201"/>
      <c r="I53" s="217"/>
      <c r="J53" s="198"/>
      <c r="K53" s="133"/>
      <c r="L53" s="97"/>
      <c r="M53" s="97"/>
      <c r="N53" s="138"/>
      <c r="O53" s="133"/>
      <c r="P53" s="134"/>
    </row>
    <row r="54" spans="1:16" x14ac:dyDescent="0.45">
      <c r="A54" s="134"/>
      <c r="B54" s="137"/>
      <c r="C54" s="113"/>
      <c r="D54" s="128"/>
      <c r="E54" s="128"/>
      <c r="F54" s="315"/>
      <c r="G54" s="315"/>
      <c r="H54" s="206"/>
      <c r="I54" s="315"/>
      <c r="J54" s="381"/>
      <c r="K54" s="133"/>
      <c r="L54" s="97"/>
      <c r="M54" s="97"/>
      <c r="N54" s="138"/>
      <c r="O54" s="133"/>
      <c r="P54" s="134"/>
    </row>
    <row r="55" spans="1:16" x14ac:dyDescent="0.45">
      <c r="A55" s="134"/>
      <c r="B55" s="137" t="s">
        <v>264</v>
      </c>
      <c r="C55" s="113"/>
      <c r="D55" s="128"/>
      <c r="E55" s="128"/>
      <c r="F55" s="315"/>
      <c r="G55" s="315" t="s">
        <v>330</v>
      </c>
      <c r="H55" s="206"/>
      <c r="I55" s="315"/>
      <c r="J55" s="381" t="s">
        <v>331</v>
      </c>
      <c r="K55" s="133"/>
      <c r="L55" s="97"/>
      <c r="M55" s="97"/>
      <c r="N55" s="138"/>
      <c r="O55" s="133"/>
      <c r="P55" s="134"/>
    </row>
    <row r="56" spans="1:16" x14ac:dyDescent="0.45">
      <c r="A56" s="134"/>
      <c r="B56" s="147" t="s">
        <v>821</v>
      </c>
      <c r="C56" s="113"/>
      <c r="D56" s="128"/>
      <c r="E56" s="128">
        <v>0</v>
      </c>
      <c r="F56" s="315">
        <v>0.49998999999999999</v>
      </c>
      <c r="G56" s="315">
        <v>0.49998999999999999</v>
      </c>
      <c r="H56" s="206"/>
      <c r="I56" s="315">
        <v>0.80001</v>
      </c>
      <c r="J56" s="381">
        <v>0.80001</v>
      </c>
      <c r="K56" s="133"/>
      <c r="L56" s="97" t="s">
        <v>358</v>
      </c>
      <c r="M56" s="97" t="s">
        <v>358</v>
      </c>
      <c r="N56" s="138"/>
      <c r="O56" s="133"/>
      <c r="P56" s="134"/>
    </row>
    <row r="57" spans="1:16" x14ac:dyDescent="0.45">
      <c r="A57" s="134"/>
      <c r="B57" s="147" t="s">
        <v>413</v>
      </c>
      <c r="C57" s="113"/>
      <c r="D57" s="128"/>
      <c r="E57" s="128">
        <v>0</v>
      </c>
      <c r="F57" s="315">
        <v>0.54998999999999998</v>
      </c>
      <c r="G57" s="315">
        <v>0.54998999999999998</v>
      </c>
      <c r="H57" s="206"/>
      <c r="I57" s="315">
        <v>0.90000999999999998</v>
      </c>
      <c r="J57" s="381">
        <v>0.90000999999999998</v>
      </c>
      <c r="K57" s="133"/>
      <c r="L57" s="97" t="s">
        <v>358</v>
      </c>
      <c r="M57" s="97" t="s">
        <v>358</v>
      </c>
      <c r="N57" s="138"/>
      <c r="O57" s="133"/>
      <c r="P57" s="134"/>
    </row>
    <row r="58" spans="1:16" x14ac:dyDescent="0.45">
      <c r="A58" s="134"/>
      <c r="B58" s="147" t="s">
        <v>424</v>
      </c>
      <c r="C58" s="113"/>
      <c r="D58" s="128"/>
      <c r="E58" s="128">
        <v>0</v>
      </c>
      <c r="F58" s="315">
        <v>0.59999000000000002</v>
      </c>
      <c r="G58" s="315">
        <v>0.59999000000000002</v>
      </c>
      <c r="H58" s="206"/>
      <c r="I58" s="315">
        <v>0.90000999999999998</v>
      </c>
      <c r="J58" s="381">
        <v>0.90000999999999998</v>
      </c>
      <c r="K58" s="133"/>
      <c r="L58" s="97" t="s">
        <v>358</v>
      </c>
      <c r="M58" s="97" t="s">
        <v>358</v>
      </c>
      <c r="N58" s="138"/>
      <c r="O58" s="133"/>
      <c r="P58" s="134"/>
    </row>
    <row r="59" spans="1:16" x14ac:dyDescent="0.45">
      <c r="A59" s="134"/>
      <c r="B59" s="147" t="s">
        <v>431</v>
      </c>
      <c r="C59" s="113"/>
      <c r="D59" s="128"/>
      <c r="E59" s="128">
        <v>0</v>
      </c>
      <c r="F59" s="315">
        <v>0.64998999999999996</v>
      </c>
      <c r="G59" s="315">
        <v>0.64998999999999996</v>
      </c>
      <c r="H59" s="206"/>
      <c r="I59" s="315">
        <v>0.95001000000000002</v>
      </c>
      <c r="J59" s="381">
        <v>0.95001000000000002</v>
      </c>
      <c r="K59" s="133"/>
      <c r="L59" s="97" t="s">
        <v>358</v>
      </c>
      <c r="M59" s="97" t="s">
        <v>358</v>
      </c>
      <c r="N59" s="138"/>
      <c r="O59" s="133"/>
      <c r="P59" s="134"/>
    </row>
    <row r="60" spans="1:16" x14ac:dyDescent="0.45">
      <c r="A60" s="134"/>
      <c r="B60" s="147" t="s">
        <v>461</v>
      </c>
      <c r="C60" s="113"/>
      <c r="D60" s="128"/>
      <c r="E60" s="128">
        <v>0</v>
      </c>
      <c r="F60" s="315">
        <v>0.84999000000000002</v>
      </c>
      <c r="G60" s="315">
        <v>0.84999000000000002</v>
      </c>
      <c r="H60" s="206"/>
      <c r="I60" s="315">
        <v>0.99000999999999995</v>
      </c>
      <c r="J60" s="381">
        <v>0.99000999999999995</v>
      </c>
      <c r="K60" s="133"/>
      <c r="L60" s="97" t="s">
        <v>358</v>
      </c>
      <c r="M60" s="97" t="s">
        <v>358</v>
      </c>
      <c r="N60" s="138"/>
      <c r="O60" s="133"/>
      <c r="P60" s="134"/>
    </row>
    <row r="61" spans="1:16" x14ac:dyDescent="0.45">
      <c r="F61" s="170"/>
      <c r="G61" s="165"/>
      <c r="I61" s="35"/>
    </row>
  </sheetData>
  <mergeCells count="4">
    <mergeCell ref="B13:B14"/>
    <mergeCell ref="C13:C14"/>
    <mergeCell ref="D13:D14"/>
    <mergeCell ref="E13:E14"/>
  </mergeCells>
  <phoneticPr fontId="75" type="noConversion"/>
  <pageMargins left="0.31496062992125984" right="0.11811023622047245" top="0.39370078740157483"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R62"/>
  <sheetViews>
    <sheetView topLeftCell="A28" zoomScaleNormal="100" workbookViewId="0">
      <selection activeCell="E58" sqref="E58"/>
    </sheetView>
  </sheetViews>
  <sheetFormatPr baseColWidth="10" defaultColWidth="9.1328125" defaultRowHeight="14.25" x14ac:dyDescent="0.45"/>
  <cols>
    <col min="1" max="3" width="9.1328125" style="182" customWidth="1"/>
    <col min="4" max="4" width="28.59765625" style="182" customWidth="1"/>
    <col min="5" max="5" width="10.1328125" style="182" customWidth="1"/>
    <col min="6" max="6" width="8.86328125" style="182" customWidth="1"/>
    <col min="7" max="7" width="9" style="182" customWidth="1"/>
    <col min="8" max="8" width="24" style="182" customWidth="1"/>
    <col min="9" max="9" width="20.265625" style="182" customWidth="1"/>
    <col min="10" max="10" width="8" style="76" customWidth="1"/>
    <col min="11" max="11" width="20.265625" style="182" customWidth="1"/>
    <col min="12" max="12" width="15.86328125" style="182" customWidth="1"/>
    <col min="13" max="13" width="12.86328125" style="182" customWidth="1"/>
    <col min="14" max="14" width="19" style="182" customWidth="1"/>
    <col min="15" max="15" width="54.59765625" style="182" customWidth="1"/>
    <col min="16" max="16" width="55.265625" style="182" customWidth="1"/>
    <col min="17" max="16384" width="9.1328125" style="182"/>
  </cols>
  <sheetData>
    <row r="1" spans="1:18" s="35" customFormat="1" ht="20.65" thickBot="1" x14ac:dyDescent="0.5">
      <c r="A1" s="134"/>
      <c r="B1" s="134"/>
      <c r="C1" s="188"/>
      <c r="D1" s="235"/>
      <c r="E1" s="134"/>
      <c r="F1" s="134"/>
      <c r="G1" s="134"/>
      <c r="J1" s="159"/>
      <c r="L1" s="224" t="s">
        <v>340</v>
      </c>
      <c r="M1" s="224" t="s">
        <v>138</v>
      </c>
      <c r="N1" s="224" t="s">
        <v>140</v>
      </c>
      <c r="O1" s="224" t="s">
        <v>265</v>
      </c>
      <c r="P1" s="224" t="s">
        <v>57</v>
      </c>
    </row>
    <row r="2" spans="1:18" s="35" customFormat="1" ht="10.15" x14ac:dyDescent="0.45">
      <c r="A2" s="172" t="str">
        <f>IF(Datenquelle!$F$3&gt;5,IF(Datenquelle!$F$3=6,"EZ",IF(Datenquelle!$F$3&gt;6,"relevant","?")),"nicht relevant")</f>
        <v>nicht relevant</v>
      </c>
      <c r="B2" s="147" t="s">
        <v>151</v>
      </c>
      <c r="C2" s="146"/>
      <c r="D2" s="145" t="s">
        <v>315</v>
      </c>
      <c r="E2" s="156" t="str">
        <f>IF(H2="","","2013")</f>
        <v/>
      </c>
      <c r="F2" s="156" t="str">
        <f t="shared" ref="F2:F7" si="0">IF(H2="","","a")</f>
        <v/>
      </c>
      <c r="G2" s="156" t="str">
        <f>IF(H2="","","1")</f>
        <v/>
      </c>
      <c r="H2" s="186" t="str">
        <f>IF(A2="relevant",IF(COUNTIF('Matrix-Rectum'!C23:W23,"")&gt;2,Berechnung4!$L$32,""),"")</f>
        <v/>
      </c>
      <c r="I2" s="239" t="str">
        <f>IF(H2="","",VLOOKUP(F2,Berechnung4!$I$15:$J$25,2,FALSE))</f>
        <v/>
      </c>
      <c r="J2" s="238" t="str">
        <f>IF(H2&lt;&gt;"",1,"")</f>
        <v/>
      </c>
      <c r="L2" s="94" t="str">
        <f t="array" aca="1" ref="L2" ca="1">IF(ROW()-ROW($F$2:$F$57)+1&gt;ROWS($E$2:$E$57)-COUNTBLANK($E$2:$E$57),"",INDIRECT(ADDRESS(SMALL((IF($E$2:$E$57&gt;"",ROW($E$2:$E$57),ROW()+ROWS($E$2:$E$57))),ROW()-ROW($F$2:$F$57)+1),COLUMN($E$2:$E$57),4)))</f>
        <v/>
      </c>
      <c r="M2" s="94" t="str">
        <f t="array" aca="1" ref="M2" ca="1">IF(ROW()-ROW($G$2:$G$57)+1&gt;ROWS($F$2:$F$57)-COUNTBLANK($F$2:$F$57),"",INDIRECT(ADDRESS(SMALL((IF($F$2:$F$57&lt;&gt;"",ROW($F$2:$F$57),ROW()+ROWS($F$2:$F$57))),ROW()-ROW($G$2:$G$57)+1),COLUMN($F$2:$F$57),4)))</f>
        <v/>
      </c>
      <c r="N2" s="94" t="str">
        <f t="array" aca="1" ref="N2" ca="1">IF(ROW()-ROW($H$2:$H$57)+1&gt;ROWS($G$2:$G$57)-COUNTBLANK($G$2:$G$57),"",INDIRECT(ADDRESS(SMALL((IF($G$2:$G$57&lt;&gt;"",ROW($G$2:$G$57),ROW()+ROWS($G$2:$G$57))),ROW()-ROW($H$2:$H$57)+1),COLUMN($G$2:$G$57),4)))</f>
        <v/>
      </c>
      <c r="O2" s="184" t="str">
        <f t="array" aca="1" ref="O2" ca="1">IF(ROW()-ROW($I$2:$I$57)+1&gt;ROWS($H$2:$H$57)-COUNTBLANK($H$2:$H$57),"",INDIRECT(ADDRESS(SMALL((IF($H$2:$H$57&lt;&gt;"",ROW($H$2:$H$57),ROW()+ROWS($H$2:$H$57))),ROW()-ROW($I$2:$I$57)+1),COLUMN($H$2:$H$57),4)))</f>
        <v/>
      </c>
      <c r="P2" s="184" t="str">
        <f t="array" aca="1" ref="P2" ca="1">IF(ROW()-ROW($J$2:$J$57)+1&gt;ROWS($I$2:$I$57)-COUNTBLANK($I$2:$I$57),"",INDIRECT(ADDRESS(SMALL((IF($I$2:$I$57&lt;&gt;"",ROW($I$2:$I$57),ROW()+ROWS($I$2:$I$57))),ROW()-ROW($J$2:$J$57)+1),COLUMN($I$2:$I$57),4)))</f>
        <v/>
      </c>
    </row>
    <row r="3" spans="1:18" s="35" customFormat="1" ht="10.15" x14ac:dyDescent="0.45">
      <c r="A3" s="172" t="str">
        <f>IF(Datenquelle!$F$3&gt;4,IF(Datenquelle!$F$3=5,"EZ",IF(Datenquelle!$F$3&gt;5,"relevant","?")),"nicht relevant")</f>
        <v>nicht relevant</v>
      </c>
      <c r="B3" s="147" t="s">
        <v>413</v>
      </c>
      <c r="C3" s="146"/>
      <c r="D3" s="913" t="s">
        <v>36</v>
      </c>
      <c r="E3" s="34" t="str">
        <f>IF(H3="","","2014")</f>
        <v/>
      </c>
      <c r="F3" s="34" t="str">
        <f t="shared" si="0"/>
        <v/>
      </c>
      <c r="G3" s="34" t="str">
        <f t="shared" ref="G3:G25" si="1">IF(H3="","","1")</f>
        <v/>
      </c>
      <c r="H3" s="173" t="str">
        <f>IF(A3="relevant",IF(COUNTIF('Matrix-Rectum'!C24:W24,"")&gt;2,Berechnung4!$L$32,""),"")</f>
        <v/>
      </c>
      <c r="I3" s="172" t="str">
        <f>IF(H3="","",VLOOKUP(F3,Berechnung4!$I$15:$J$25,2,FALSE))</f>
        <v/>
      </c>
      <c r="J3" s="237" t="str">
        <f t="shared" ref="J3:J56" si="2">IF(H3&lt;&gt;"",1,"")</f>
        <v/>
      </c>
      <c r="L3" s="94" t="str">
        <f t="array" aca="1" ref="L3" ca="1">IF(ROW()-ROW($F$2:$F$57)+1&gt;ROWS($E$2:$E$57)-COUNTBLANK($E$2:$E$57),"",INDIRECT(ADDRESS(SMALL((IF($E$2:$E$57&gt;"",ROW($E$2:$E$57),ROW()+ROWS($E$2:$E$57))),ROW()-ROW($F$2:$F$57)+1),COLUMN($E$2:$E$57),4)))</f>
        <v/>
      </c>
      <c r="M3" s="94" t="str">
        <f t="array" aca="1" ref="M3" ca="1">IF(ROW()-ROW($G$2:$G$57)+1&gt;ROWS($F$2:$F$57)-COUNTBLANK($F$2:$F$57),"",INDIRECT(ADDRESS(SMALL((IF($F$2:$F$57&lt;&gt;"",ROW($F$2:$F$57),ROW()+ROWS($F$2:$F$57))),ROW()-ROW($G$2:$G$57)+1),COLUMN($F$2:$F$57),4)))</f>
        <v/>
      </c>
      <c r="N3" s="94" t="str">
        <f t="array" aca="1" ref="N3" ca="1">IF(ROW()-ROW($H$2:$H$57)+1&gt;ROWS($G$2:$G$57)-COUNTBLANK($G$2:$G$57),"",INDIRECT(ADDRESS(SMALL((IF($G$2:$G$57&lt;&gt;"",ROW($G$2:$G$57),ROW()+ROWS($G$2:$G$57))),ROW()-ROW($H$2:$H$57)+1),COLUMN($G$2:$G$57),4)))</f>
        <v/>
      </c>
      <c r="O3" s="184" t="str">
        <f t="array" aca="1" ref="O3" ca="1">IF(ROW()-ROW($I$2:$I$57)+1&gt;ROWS($H$2:$H$57)-COUNTBLANK($H$2:$H$57),"",INDIRECT(ADDRESS(SMALL((IF($H$2:$H$57&lt;&gt;"",ROW($H$2:$H$57),ROW()+ROWS($H$2:$H$57))),ROW()-ROW($I$2:$I$57)+1),COLUMN($H$2:$H$57),4)))</f>
        <v/>
      </c>
      <c r="P3" s="184" t="str">
        <f t="array" aca="1" ref="P3" ca="1">IF(ROW()-ROW($J$2:$J$57)+1&gt;ROWS($I$2:$I$57)-COUNTBLANK($I$2:$I$57),"",INDIRECT(ADDRESS(SMALL((IF($I$2:$I$57&lt;&gt;"",ROW($I$2:$I$57),ROW()+ROWS($I$2:$I$57))),ROW()-ROW($J$2:$J$57)+1),COLUMN($I$2:$I$57),4)))</f>
        <v/>
      </c>
    </row>
    <row r="4" spans="1:18" s="35" customFormat="1" ht="10.15" x14ac:dyDescent="0.45">
      <c r="A4" s="172" t="str">
        <f>IF(Datenquelle!$F$3&gt;3,IF(Datenquelle!$F$3=4,"EZ",IF(Datenquelle!$F$3&gt;4,"relevant","?")),"nicht relevant")</f>
        <v>nicht relevant</v>
      </c>
      <c r="B4" s="147" t="s">
        <v>424</v>
      </c>
      <c r="C4" s="146"/>
      <c r="D4" s="913"/>
      <c r="E4" s="34" t="str">
        <f>IF(H4="","","2015")</f>
        <v/>
      </c>
      <c r="F4" s="34" t="str">
        <f t="shared" si="0"/>
        <v/>
      </c>
      <c r="G4" s="34" t="str">
        <f t="shared" si="1"/>
        <v/>
      </c>
      <c r="H4" s="173" t="str">
        <f>IF(A4="relevant",IF(COUNTIF('Matrix-Rectum'!C25:W25,"")&gt;2,Berechnung4!$L$32,""),"")</f>
        <v/>
      </c>
      <c r="I4" s="172" t="str">
        <f>IF(H4="","",VLOOKUP(F4,Berechnung4!$I$15:$J$25,2,FALSE))</f>
        <v/>
      </c>
      <c r="J4" s="237" t="str">
        <f t="shared" si="2"/>
        <v/>
      </c>
      <c r="L4" s="94" t="str">
        <f t="array" aca="1" ref="L4" ca="1">IF(ROW()-ROW($F$2:$F$57)+1&gt;ROWS($E$2:$E$57)-COUNTBLANK($E$2:$E$57),"",INDIRECT(ADDRESS(SMALL((IF($E$2:$E$57&gt;"",ROW($E$2:$E$57),ROW()+ROWS($E$2:$E$57))),ROW()-ROW($F$2:$F$57)+1),COLUMN($E$2:$E$57),4)))</f>
        <v/>
      </c>
      <c r="M4" s="94" t="str">
        <f t="array" aca="1" ref="M4" ca="1">IF(ROW()-ROW($G$2:$G$57)+1&gt;ROWS($F$2:$F$57)-COUNTBLANK($F$2:$F$57),"",INDIRECT(ADDRESS(SMALL((IF($F$2:$F$57&lt;&gt;"",ROW($F$2:$F$57),ROW()+ROWS($F$2:$F$57))),ROW()-ROW($G$2:$G$57)+1),COLUMN($F$2:$F$57),4)))</f>
        <v/>
      </c>
      <c r="N4" s="94" t="str">
        <f t="array" aca="1" ref="N4" ca="1">IF(ROW()-ROW($H$2:$H$57)+1&gt;ROWS($G$2:$G$57)-COUNTBLANK($G$2:$G$57),"",INDIRECT(ADDRESS(SMALL((IF($G$2:$G$57&lt;&gt;"",ROW($G$2:$G$57),ROW()+ROWS($G$2:$G$57))),ROW()-ROW($H$2:$H$57)+1),COLUMN($G$2:$G$57),4)))</f>
        <v/>
      </c>
      <c r="O4" s="184" t="str">
        <f t="array" aca="1" ref="O4" ca="1">IF(ROW()-ROW($I$2:$I$57)+1&gt;ROWS($H$2:$H$57)-COUNTBLANK($H$2:$H$57),"",INDIRECT(ADDRESS(SMALL((IF($H$2:$H$57&lt;&gt;"",ROW($H$2:$H$57),ROW()+ROWS($H$2:$H$57))),ROW()-ROW($I$2:$I$57)+1),COLUMN($H$2:$H$57),4)))</f>
        <v/>
      </c>
      <c r="P4" s="184" t="str">
        <f t="array" aca="1" ref="P4" ca="1">IF(ROW()-ROW($J$2:$J$57)+1&gt;ROWS($I$2:$I$57)-COUNTBLANK($I$2:$I$57),"",INDIRECT(ADDRESS(SMALL((IF($I$2:$I$57&lt;&gt;"",ROW($I$2:$I$57),ROW()+ROWS($I$2:$I$57))),ROW()-ROW($J$2:$J$57)+1),COLUMN($I$2:$I$57),4)))</f>
        <v/>
      </c>
    </row>
    <row r="5" spans="1:18" s="35" customFormat="1" ht="10.15" x14ac:dyDescent="0.45">
      <c r="A5" s="172" t="str">
        <f>IF(Datenquelle!$F$3&gt;2,IF(Datenquelle!$F$3=3,"EZ",IF(Datenquelle!$F$3&gt;3,"relevant","?")),"nicht relevant")</f>
        <v>nicht relevant</v>
      </c>
      <c r="B5" s="147" t="s">
        <v>431</v>
      </c>
      <c r="C5" s="146"/>
      <c r="D5" s="913"/>
      <c r="E5" s="34" t="str">
        <f>IF(H5="","","2016")</f>
        <v/>
      </c>
      <c r="F5" s="34" t="str">
        <f t="shared" si="0"/>
        <v/>
      </c>
      <c r="G5" s="34" t="str">
        <f t="shared" si="1"/>
        <v/>
      </c>
      <c r="H5" s="173" t="str">
        <f>IF(A5="relevant",IF(COUNTIF('Matrix-Rectum'!C26:W26,"")&gt;2,Berechnung4!$L$32,""),"")</f>
        <v/>
      </c>
      <c r="I5" s="172" t="str">
        <f>IF(H5="","",VLOOKUP(F5,Berechnung4!$I$15:$J$25,2,FALSE))</f>
        <v/>
      </c>
      <c r="J5" s="237" t="str">
        <f t="shared" si="2"/>
        <v/>
      </c>
      <c r="L5" s="94" t="str">
        <f t="array" aca="1" ref="L5" ca="1">IF(ROW()-ROW($F$2:$F$57)+1&gt;ROWS($E$2:$E$57)-COUNTBLANK($E$2:$E$57),"",INDIRECT(ADDRESS(SMALL((IF($E$2:$E$57&gt;"",ROW($E$2:$E$57),ROW()+ROWS($E$2:$E$57))),ROW()-ROW($F$2:$F$57)+1),COLUMN($E$2:$E$57),4)))</f>
        <v/>
      </c>
      <c r="M5" s="94" t="str">
        <f t="array" aca="1" ref="M5" ca="1">IF(ROW()-ROW($G$2:$G$57)+1&gt;ROWS($F$2:$F$57)-COUNTBLANK($F$2:$F$57),"",INDIRECT(ADDRESS(SMALL((IF($F$2:$F$57&lt;&gt;"",ROW($F$2:$F$57),ROW()+ROWS($F$2:$F$57))),ROW()-ROW($G$2:$G$57)+1),COLUMN($F$2:$F$57),4)))</f>
        <v/>
      </c>
      <c r="N5" s="94" t="str">
        <f t="array" aca="1" ref="N5" ca="1">IF(ROW()-ROW($H$2:$H$57)+1&gt;ROWS($G$2:$G$57)-COUNTBLANK($G$2:$G$57),"",INDIRECT(ADDRESS(SMALL((IF($G$2:$G$57&lt;&gt;"",ROW($G$2:$G$57),ROW()+ROWS($G$2:$G$57))),ROW()-ROW($H$2:$H$57)+1),COLUMN($G$2:$G$57),4)))</f>
        <v/>
      </c>
      <c r="O5" s="184" t="str">
        <f t="array" aca="1" ref="O5" ca="1">IF(ROW()-ROW($I$2:$I$57)+1&gt;ROWS($H$2:$H$57)-COUNTBLANK($H$2:$H$57),"",INDIRECT(ADDRESS(SMALL((IF($H$2:$H$57&lt;&gt;"",ROW($H$2:$H$57),ROW()+ROWS($H$2:$H$57))),ROW()-ROW($I$2:$I$57)+1),COLUMN($H$2:$H$57),4)))</f>
        <v/>
      </c>
      <c r="P5" s="184" t="str">
        <f t="array" aca="1" ref="P5" ca="1">IF(ROW()-ROW($J$2:$J$57)+1&gt;ROWS($I$2:$I$57)-COUNTBLANK($I$2:$I$57),"",INDIRECT(ADDRESS(SMALL((IF($I$2:$I$57&lt;&gt;"",ROW($I$2:$I$57),ROW()+ROWS($I$2:$I$57))),ROW()-ROW($J$2:$J$57)+1),COLUMN($I$2:$I$57),4)))</f>
        <v/>
      </c>
    </row>
    <row r="6" spans="1:18" s="35" customFormat="1" ht="10.15" x14ac:dyDescent="0.45">
      <c r="A6" s="172" t="str">
        <f>IF(Datenquelle!$F$3&gt;1,IF(Datenquelle!$F$3=2,"EZ",IF(Datenquelle!$F$3&gt;2,"relevant","?")),"nicht relevant")</f>
        <v>nicht relevant</v>
      </c>
      <c r="B6" s="147" t="s">
        <v>461</v>
      </c>
      <c r="C6" s="146"/>
      <c r="D6" s="913"/>
      <c r="E6" s="34" t="str">
        <f>IF(H6="","","2017")</f>
        <v/>
      </c>
      <c r="F6" s="34" t="str">
        <f t="shared" si="0"/>
        <v/>
      </c>
      <c r="G6" s="34" t="str">
        <f t="shared" si="1"/>
        <v/>
      </c>
      <c r="H6" s="173" t="str">
        <f>IF(A6="relevant",IF(COUNTIF('Matrix-Rectum'!C27:G27,"")&gt;0,Berechnung4!$L$32,""),"")</f>
        <v/>
      </c>
      <c r="I6" s="172" t="str">
        <f>IF(H6="","",VLOOKUP(F6,Berechnung4!$I$15:$J$25,2,FALSE))</f>
        <v/>
      </c>
      <c r="J6" s="237" t="str">
        <f t="shared" si="2"/>
        <v/>
      </c>
      <c r="L6" s="94" t="str">
        <f t="array" aca="1" ref="L6" ca="1">IF(ROW()-ROW($F$2:$F$57)+1&gt;ROWS($E$2:$E$57)-COUNTBLANK($E$2:$E$57),"",INDIRECT(ADDRESS(SMALL((IF($E$2:$E$57&gt;"",ROW($E$2:$E$57),ROW()+ROWS($E$2:$E$57))),ROW()-ROW($F$2:$F$57)+1),COLUMN($E$2:$E$57),4)))</f>
        <v/>
      </c>
      <c r="M6" s="94" t="str">
        <f t="array" aca="1" ref="M6" ca="1">IF(ROW()-ROW($G$2:$G$57)+1&gt;ROWS($F$2:$F$57)-COUNTBLANK($F$2:$F$57),"",INDIRECT(ADDRESS(SMALL((IF($F$2:$F$57&lt;&gt;"",ROW($F$2:$F$57),ROW()+ROWS($F$2:$F$57))),ROW()-ROW($G$2:$G$57)+1),COLUMN($F$2:$F$57),4)))</f>
        <v/>
      </c>
      <c r="N6" s="94" t="str">
        <f t="array" aca="1" ref="N6" ca="1">IF(ROW()-ROW($H$2:$H$57)+1&gt;ROWS($G$2:$G$57)-COUNTBLANK($G$2:$G$57),"",INDIRECT(ADDRESS(SMALL((IF($G$2:$G$57&lt;&gt;"",ROW($G$2:$G$57),ROW()+ROWS($G$2:$G$57))),ROW()-ROW($H$2:$H$57)+1),COLUMN($G$2:$G$57),4)))</f>
        <v/>
      </c>
      <c r="O6" s="184" t="str">
        <f t="array" aca="1" ref="O6" ca="1">IF(ROW()-ROW($I$2:$I$57)+1&gt;ROWS($H$2:$H$57)-COUNTBLANK($H$2:$H$57),"",INDIRECT(ADDRESS(SMALL((IF($H$2:$H$57&lt;&gt;"",ROW($H$2:$H$57),ROW()+ROWS($H$2:$H$57))),ROW()-ROW($I$2:$I$57)+1),COLUMN($H$2:$H$57),4)))</f>
        <v/>
      </c>
      <c r="P6" s="184" t="str">
        <f t="array" aca="1" ref="P6" ca="1">IF(ROW()-ROW($J$2:$J$57)+1&gt;ROWS($I$2:$I$57)-COUNTBLANK($I$2:$I$57),"",INDIRECT(ADDRESS(SMALL((IF($I$2:$I$57&lt;&gt;"",ROW($I$2:$I$57),ROW()+ROWS($I$2:$I$57))),ROW()-ROW($J$2:$J$57)+1),COLUMN($I$2:$I$57),4)))</f>
        <v/>
      </c>
    </row>
    <row r="7" spans="1:18" s="35" customFormat="1" ht="10.5" thickBot="1" x14ac:dyDescent="0.5">
      <c r="A7" s="172" t="str">
        <f>IF(Datenquelle!$F$3&gt;0,IF(Datenquelle!$F$3=1,"EZ",IF(Datenquelle!$F$3&gt;1,"relevant","?")),"nicht relevant")</f>
        <v>nicht relevant</v>
      </c>
      <c r="B7" s="147" t="s">
        <v>820</v>
      </c>
      <c r="C7" s="146"/>
      <c r="D7" s="144" t="s">
        <v>127</v>
      </c>
      <c r="E7" s="155" t="str">
        <f>IF(H7="","","2018")</f>
        <v/>
      </c>
      <c r="F7" s="155" t="str">
        <f t="shared" si="0"/>
        <v/>
      </c>
      <c r="G7" s="155" t="str">
        <f t="shared" si="1"/>
        <v/>
      </c>
      <c r="H7" s="185" t="str">
        <f>IF(A7="relevant",IF(COUNTIF('Matrix-Rectum'!C28:G28,"")&gt;0,Berechnung4!$L$32,""),"")</f>
        <v/>
      </c>
      <c r="I7" s="219" t="str">
        <f>IF(H7="","",VLOOKUP(F7,Berechnung4!$I$15:$J$25,2,FALSE))</f>
        <v/>
      </c>
      <c r="J7" s="220" t="str">
        <f t="shared" si="2"/>
        <v/>
      </c>
      <c r="L7" s="94" t="str">
        <f t="array" aca="1" ref="L7" ca="1">IF(ROW()-ROW($F$2:$F$57)+1&gt;ROWS($E$2:$E$57)-COUNTBLANK($E$2:$E$57),"",INDIRECT(ADDRESS(SMALL((IF($E$2:$E$57&gt;"",ROW($E$2:$E$57),ROW()+ROWS($E$2:$E$57))),ROW()-ROW($F$2:$F$57)+1),COLUMN($E$2:$E$57),4)))</f>
        <v/>
      </c>
      <c r="M7" s="94" t="str">
        <f t="array" aca="1" ref="M7" ca="1">IF(ROW()-ROW($G$2:$G$57)+1&gt;ROWS($F$2:$F$57)-COUNTBLANK($F$2:$F$57),"",INDIRECT(ADDRESS(SMALL((IF($F$2:$F$57&lt;&gt;"",ROW($F$2:$F$57),ROW()+ROWS($F$2:$F$57))),ROW()-ROW($G$2:$G$57)+1),COLUMN($F$2:$F$57),4)))</f>
        <v/>
      </c>
      <c r="N7" s="94" t="str">
        <f t="array" aca="1" ref="N7" ca="1">IF(ROW()-ROW($H$2:$H$57)+1&gt;ROWS($G$2:$G$57)-COUNTBLANK($G$2:$G$57),"",INDIRECT(ADDRESS(SMALL((IF($G$2:$G$57&lt;&gt;"",ROW($G$2:$G$57),ROW()+ROWS($G$2:$G$57))),ROW()-ROW($H$2:$H$57)+1),COLUMN($G$2:$G$57),4)))</f>
        <v/>
      </c>
      <c r="O7" s="184" t="str">
        <f t="array" aca="1" ref="O7" ca="1">IF(ROW()-ROW($I$2:$I$57)+1&gt;ROWS($H$2:$H$57)-COUNTBLANK($H$2:$H$57),"",INDIRECT(ADDRESS(SMALL((IF($H$2:$H$57&lt;&gt;"",ROW($H$2:$H$57),ROW()+ROWS($H$2:$H$57))),ROW()-ROW($I$2:$I$57)+1),COLUMN($H$2:$H$57),4)))</f>
        <v/>
      </c>
      <c r="P7" s="184" t="str">
        <f t="array" aca="1" ref="P7" ca="1">IF(ROW()-ROW($J$2:$J$57)+1&gt;ROWS($I$2:$I$57)-COUNTBLANK($I$2:$I$57),"",INDIRECT(ADDRESS(SMALL((IF($I$2:$I$57&lt;&gt;"",ROW($I$2:$I$57),ROW()+ROWS($I$2:$I$57))),ROW()-ROW($J$2:$J$57)+1),COLUMN($I$2:$I$57),4)))</f>
        <v/>
      </c>
      <c r="Q7" s="134"/>
      <c r="R7" s="134"/>
    </row>
    <row r="8" spans="1:18" s="35" customFormat="1" ht="10.15" x14ac:dyDescent="0.45">
      <c r="D8" s="145" t="s">
        <v>314</v>
      </c>
      <c r="E8" s="156" t="str">
        <f>IF(H8="","","2013")</f>
        <v/>
      </c>
      <c r="F8" s="156" t="str">
        <f t="shared" ref="F8:F13" si="3">IF(H8="","","b")</f>
        <v/>
      </c>
      <c r="G8" s="156" t="str">
        <f t="shared" si="1"/>
        <v/>
      </c>
      <c r="H8" s="186" t="str">
        <f>IF(A2="relevant",IF('Matrix-Rectum'!I23="","",IF('Matrix-Rectum'!I23&gt;('Matrix-Rectum'!C23-'Matrix-Rectum'!G23),Berechnung4!$L$36,"")),"")</f>
        <v/>
      </c>
      <c r="I8" s="239" t="str">
        <f>IF(H8="","",VLOOKUP(F8,Berechnung4!$I$15:$J$25,2,FALSE))</f>
        <v/>
      </c>
      <c r="J8" s="238" t="str">
        <f t="shared" si="2"/>
        <v/>
      </c>
      <c r="L8" s="94" t="str">
        <f t="array" aca="1" ref="L8" ca="1">IF(ROW()-ROW($F$2:$F$57)+1&gt;ROWS($E$2:$E$57)-COUNTBLANK($E$2:$E$57),"",INDIRECT(ADDRESS(SMALL((IF($E$2:$E$57&gt;"",ROW($E$2:$E$57),ROW()+ROWS($E$2:$E$57))),ROW()-ROW($F$2:$F$57)+1),COLUMN($E$2:$E$57),4)))</f>
        <v/>
      </c>
      <c r="M8" s="94" t="str">
        <f t="array" aca="1" ref="M8" ca="1">IF(ROW()-ROW($G$2:$G$57)+1&gt;ROWS($F$2:$F$57)-COUNTBLANK($F$2:$F$57),"",INDIRECT(ADDRESS(SMALL((IF($F$2:$F$57&lt;&gt;"",ROW($F$2:$F$57),ROW()+ROWS($F$2:$F$57))),ROW()-ROW($G$2:$G$57)+1),COLUMN($F$2:$F$57),4)))</f>
        <v/>
      </c>
      <c r="N8" s="94" t="str">
        <f t="array" aca="1" ref="N8" ca="1">IF(ROW()-ROW($H$2:$H$57)+1&gt;ROWS($G$2:$G$57)-COUNTBLANK($G$2:$G$57),"",INDIRECT(ADDRESS(SMALL((IF($G$2:$G$57&lt;&gt;"",ROW($G$2:$G$57),ROW()+ROWS($G$2:$G$57))),ROW()-ROW($H$2:$H$57)+1),COLUMN($G$2:$G$57),4)))</f>
        <v/>
      </c>
      <c r="O8" s="184" t="str">
        <f t="array" aca="1" ref="O8" ca="1">IF(ROW()-ROW($I$2:$I$57)+1&gt;ROWS($H$2:$H$57)-COUNTBLANK($H$2:$H$57),"",INDIRECT(ADDRESS(SMALL((IF($H$2:$H$57&lt;&gt;"",ROW($H$2:$H$57),ROW()+ROWS($H$2:$H$57))),ROW()-ROW($I$2:$I$57)+1),COLUMN($H$2:$H$57),4)))</f>
        <v/>
      </c>
      <c r="P8" s="184" t="str">
        <f t="array" aca="1" ref="P8" ca="1">IF(ROW()-ROW($J$2:$J$57)+1&gt;ROWS($I$2:$I$57)-COUNTBLANK($I$2:$I$57),"",INDIRECT(ADDRESS(SMALL((IF($I$2:$I$57&lt;&gt;"",ROW($I$2:$I$57),ROW()+ROWS($I$2:$I$57))),ROW()-ROW($J$2:$J$57)+1),COLUMN($I$2:$I$57),4)))</f>
        <v/>
      </c>
    </row>
    <row r="9" spans="1:18" s="35" customFormat="1" ht="10.15" x14ac:dyDescent="0.45">
      <c r="D9" s="913" t="s">
        <v>387</v>
      </c>
      <c r="E9" s="34" t="str">
        <f>IF(H9="","","2014")</f>
        <v/>
      </c>
      <c r="F9" s="34" t="str">
        <f t="shared" si="3"/>
        <v/>
      </c>
      <c r="G9" s="34" t="str">
        <f t="shared" si="1"/>
        <v/>
      </c>
      <c r="H9" s="173" t="str">
        <f>IF(A3="relevant",IF('Matrix-Rectum'!I24="","",IF('Matrix-Rectum'!I24&gt;('Matrix-Rectum'!C24-'Matrix-Rectum'!G24),Berechnung4!$L$36,"")),"")</f>
        <v/>
      </c>
      <c r="I9" s="172" t="str">
        <f>IF(H9="","",VLOOKUP(F9,Berechnung4!$I$15:$J$25,2,FALSE))</f>
        <v/>
      </c>
      <c r="J9" s="237" t="str">
        <f t="shared" si="2"/>
        <v/>
      </c>
      <c r="L9" s="94" t="str">
        <f t="array" aca="1" ref="L9" ca="1">IF(ROW()-ROW($F$2:$F$57)+1&gt;ROWS($E$2:$E$57)-COUNTBLANK($E$2:$E$57),"",INDIRECT(ADDRESS(SMALL((IF($E$2:$E$57&gt;"",ROW($E$2:$E$57),ROW()+ROWS($E$2:$E$57))),ROW()-ROW($F$2:$F$57)+1),COLUMN($E$2:$E$57),4)))</f>
        <v/>
      </c>
      <c r="M9" s="94" t="str">
        <f t="array" aca="1" ref="M9" ca="1">IF(ROW()-ROW($G$2:$G$57)+1&gt;ROWS($F$2:$F$57)-COUNTBLANK($F$2:$F$57),"",INDIRECT(ADDRESS(SMALL((IF($F$2:$F$57&lt;&gt;"",ROW($F$2:$F$57),ROW()+ROWS($F$2:$F$57))),ROW()-ROW($G$2:$G$57)+1),COLUMN($F$2:$F$57),4)))</f>
        <v/>
      </c>
      <c r="N9" s="94" t="str">
        <f t="array" aca="1" ref="N9" ca="1">IF(ROW()-ROW($H$2:$H$57)+1&gt;ROWS($G$2:$G$57)-COUNTBLANK($G$2:$G$57),"",INDIRECT(ADDRESS(SMALL((IF($G$2:$G$57&lt;&gt;"",ROW($G$2:$G$57),ROW()+ROWS($G$2:$G$57))),ROW()-ROW($H$2:$H$57)+1),COLUMN($G$2:$G$57),4)))</f>
        <v/>
      </c>
      <c r="O9" s="184" t="str">
        <f t="array" aca="1" ref="O9" ca="1">IF(ROW()-ROW($I$2:$I$57)+1&gt;ROWS($H$2:$H$57)-COUNTBLANK($H$2:$H$57),"",INDIRECT(ADDRESS(SMALL((IF($H$2:$H$57&lt;&gt;"",ROW($H$2:$H$57),ROW()+ROWS($H$2:$H$57))),ROW()-ROW($I$2:$I$57)+1),COLUMN($H$2:$H$57),4)))</f>
        <v/>
      </c>
      <c r="P9" s="184" t="str">
        <f t="array" aca="1" ref="P9" ca="1">IF(ROW()-ROW($J$2:$J$57)+1&gt;ROWS($I$2:$I$57)-COUNTBLANK($I$2:$I$57),"",INDIRECT(ADDRESS(SMALL((IF($I$2:$I$57&lt;&gt;"",ROW($I$2:$I$57),ROW()+ROWS($I$2:$I$57))),ROW()-ROW($J$2:$J$57)+1),COLUMN($I$2:$I$57),4)))</f>
        <v/>
      </c>
    </row>
    <row r="10" spans="1:18" s="35" customFormat="1" ht="10.15" x14ac:dyDescent="0.45">
      <c r="D10" s="913"/>
      <c r="E10" s="34" t="str">
        <f>IF(H10="","","2015")</f>
        <v/>
      </c>
      <c r="F10" s="34" t="str">
        <f t="shared" si="3"/>
        <v/>
      </c>
      <c r="G10" s="34" t="str">
        <f t="shared" si="1"/>
        <v/>
      </c>
      <c r="H10" s="173" t="str">
        <f>IF(A4="relevant",IF('Matrix-Rectum'!I25="","",IF('Matrix-Rectum'!I25&gt;('Matrix-Rectum'!C25-'Matrix-Rectum'!G25),Berechnung4!$L$36,"")),"")</f>
        <v/>
      </c>
      <c r="I10" s="172" t="str">
        <f>IF(H10="","",VLOOKUP(F10,Berechnung4!$I$15:$J$25,2,FALSE))</f>
        <v/>
      </c>
      <c r="J10" s="237" t="str">
        <f t="shared" si="2"/>
        <v/>
      </c>
      <c r="L10" s="94" t="str">
        <f t="array" aca="1" ref="L10" ca="1">IF(ROW()-ROW($F$2:$F$57)+1&gt;ROWS($E$2:$E$57)-COUNTBLANK($E$2:$E$57),"",INDIRECT(ADDRESS(SMALL((IF($E$2:$E$57&gt;"",ROW($E$2:$E$57),ROW()+ROWS($E$2:$E$57))),ROW()-ROW($F$2:$F$57)+1),COLUMN($E$2:$E$57),4)))</f>
        <v/>
      </c>
      <c r="M10" s="94" t="str">
        <f t="array" aca="1" ref="M10" ca="1">IF(ROW()-ROW($G$2:$G$57)+1&gt;ROWS($F$2:$F$57)-COUNTBLANK($F$2:$F$57),"",INDIRECT(ADDRESS(SMALL((IF($F$2:$F$57&lt;&gt;"",ROW($F$2:$F$57),ROW()+ROWS($F$2:$F$57))),ROW()-ROW($G$2:$G$57)+1),COLUMN($F$2:$F$57),4)))</f>
        <v/>
      </c>
      <c r="N10" s="94" t="str">
        <f t="array" aca="1" ref="N10" ca="1">IF(ROW()-ROW($H$2:$H$57)+1&gt;ROWS($G$2:$G$57)-COUNTBLANK($G$2:$G$57),"",INDIRECT(ADDRESS(SMALL((IF($G$2:$G$57&lt;&gt;"",ROW($G$2:$G$57),ROW()+ROWS($G$2:$G$57))),ROW()-ROW($H$2:$H$57)+1),COLUMN($G$2:$G$57),4)))</f>
        <v/>
      </c>
      <c r="O10" s="184" t="str">
        <f t="array" aca="1" ref="O10" ca="1">IF(ROW()-ROW($I$2:$I$57)+1&gt;ROWS($H$2:$H$57)-COUNTBLANK($H$2:$H$57),"",INDIRECT(ADDRESS(SMALL((IF($H$2:$H$57&lt;&gt;"",ROW($H$2:$H$57),ROW()+ROWS($H$2:$H$57))),ROW()-ROW($I$2:$I$57)+1),COLUMN($H$2:$H$57),4)))</f>
        <v/>
      </c>
      <c r="P10" s="184" t="str">
        <f t="array" aca="1" ref="P10" ca="1">IF(ROW()-ROW($J$2:$J$57)+1&gt;ROWS($I$2:$I$57)-COUNTBLANK($I$2:$I$57),"",INDIRECT(ADDRESS(SMALL((IF($I$2:$I$57&lt;&gt;"",ROW($I$2:$I$57),ROW()+ROWS($I$2:$I$57))),ROW()-ROW($J$2:$J$57)+1),COLUMN($I$2:$I$57),4)))</f>
        <v/>
      </c>
    </row>
    <row r="11" spans="1:18" s="35" customFormat="1" ht="10.15" x14ac:dyDescent="0.45">
      <c r="D11" s="913"/>
      <c r="E11" s="34" t="str">
        <f>IF(H11="","","2016")</f>
        <v/>
      </c>
      <c r="F11" s="34" t="str">
        <f t="shared" si="3"/>
        <v/>
      </c>
      <c r="G11" s="34" t="str">
        <f t="shared" si="1"/>
        <v/>
      </c>
      <c r="H11" s="173" t="str">
        <f>IF(A5="relevant",IF('Matrix-Rectum'!I26="","",IF('Matrix-Rectum'!I26&gt;('Matrix-Rectum'!C26-'Matrix-Rectum'!G26),Berechnung4!$L$36,"")),"")</f>
        <v/>
      </c>
      <c r="I11" s="172" t="str">
        <f>IF(H11="","",VLOOKUP(F11,Berechnung4!$I$15:$J$25,2,FALSE))</f>
        <v/>
      </c>
      <c r="J11" s="237" t="str">
        <f t="shared" si="2"/>
        <v/>
      </c>
      <c r="L11" s="94" t="str">
        <f t="array" aca="1" ref="L11" ca="1">IF(ROW()-ROW($F$2:$F$57)+1&gt;ROWS($E$2:$E$57)-COUNTBLANK($E$2:$E$57),"",INDIRECT(ADDRESS(SMALL((IF($E$2:$E$57&gt;"",ROW($E$2:$E$57),ROW()+ROWS($E$2:$E$57))),ROW()-ROW($F$2:$F$57)+1),COLUMN($E$2:$E$57),4)))</f>
        <v/>
      </c>
      <c r="M11" s="94" t="str">
        <f t="array" aca="1" ref="M11" ca="1">IF(ROW()-ROW($G$2:$G$57)+1&gt;ROWS($F$2:$F$57)-COUNTBLANK($F$2:$F$57),"",INDIRECT(ADDRESS(SMALL((IF($F$2:$F$57&lt;&gt;"",ROW($F$2:$F$57),ROW()+ROWS($F$2:$F$57))),ROW()-ROW($G$2:$G$57)+1),COLUMN($F$2:$F$57),4)))</f>
        <v/>
      </c>
      <c r="N11" s="94" t="str">
        <f t="array" aca="1" ref="N11" ca="1">IF(ROW()-ROW($H$2:$H$57)+1&gt;ROWS($G$2:$G$57)-COUNTBLANK($G$2:$G$57),"",INDIRECT(ADDRESS(SMALL((IF($G$2:$G$57&lt;&gt;"",ROW($G$2:$G$57),ROW()+ROWS($G$2:$G$57))),ROW()-ROW($H$2:$H$57)+1),COLUMN($G$2:$G$57),4)))</f>
        <v/>
      </c>
      <c r="O11" s="184" t="str">
        <f t="array" aca="1" ref="O11" ca="1">IF(ROW()-ROW($I$2:$I$57)+1&gt;ROWS($H$2:$H$57)-COUNTBLANK($H$2:$H$57),"",INDIRECT(ADDRESS(SMALL((IF($H$2:$H$57&lt;&gt;"",ROW($H$2:$H$57),ROW()+ROWS($H$2:$H$57))),ROW()-ROW($I$2:$I$57)+1),COLUMN($H$2:$H$57),4)))</f>
        <v/>
      </c>
      <c r="P11" s="184" t="str">
        <f t="array" aca="1" ref="P11" ca="1">IF(ROW()-ROW($J$2:$J$57)+1&gt;ROWS($I$2:$I$57)-COUNTBLANK($I$2:$I$57),"",INDIRECT(ADDRESS(SMALL((IF($I$2:$I$57&lt;&gt;"",ROW($I$2:$I$57),ROW()+ROWS($I$2:$I$57))),ROW()-ROW($J$2:$J$57)+1),COLUMN($I$2:$I$57),4)))</f>
        <v/>
      </c>
    </row>
    <row r="12" spans="1:18" s="35" customFormat="1" ht="10.15" x14ac:dyDescent="0.45">
      <c r="D12" s="913"/>
      <c r="E12" s="34" t="str">
        <f>IF(H12="","","2017")</f>
        <v/>
      </c>
      <c r="F12" s="34" t="str">
        <f t="shared" si="3"/>
        <v/>
      </c>
      <c r="G12" s="34" t="str">
        <f t="shared" si="1"/>
        <v/>
      </c>
      <c r="H12" s="173" t="str">
        <f>IF(A6="relevant",IF('Matrix-Rectum'!I27="","",IF('Matrix-Rectum'!I27&gt;('Matrix-Rectum'!C27-'Matrix-Rectum'!G27),Berechnung4!$L$36,"")),"")</f>
        <v/>
      </c>
      <c r="I12" s="172" t="str">
        <f>IF(H12="","",VLOOKUP(F12,Berechnung4!$I$15:$J$25,2,FALSE))</f>
        <v/>
      </c>
      <c r="J12" s="237" t="str">
        <f t="shared" si="2"/>
        <v/>
      </c>
      <c r="L12" s="94" t="str">
        <f t="array" aca="1" ref="L12" ca="1">IF(ROW()-ROW($F$2:$F$57)+1&gt;ROWS($E$2:$E$57)-COUNTBLANK($E$2:$E$57),"",INDIRECT(ADDRESS(SMALL((IF($E$2:$E$57&gt;"",ROW($E$2:$E$57),ROW()+ROWS($E$2:$E$57))),ROW()-ROW($F$2:$F$57)+1),COLUMN($E$2:$E$57),4)))</f>
        <v/>
      </c>
      <c r="M12" s="94" t="str">
        <f t="array" aca="1" ref="M12" ca="1">IF(ROW()-ROW($G$2:$G$57)+1&gt;ROWS($F$2:$F$57)-COUNTBLANK($F$2:$F$57),"",INDIRECT(ADDRESS(SMALL((IF($F$2:$F$57&lt;&gt;"",ROW($F$2:$F$57),ROW()+ROWS($F$2:$F$57))),ROW()-ROW($G$2:$G$57)+1),COLUMN($F$2:$F$57),4)))</f>
        <v/>
      </c>
      <c r="N12" s="94" t="str">
        <f t="array" aca="1" ref="N12" ca="1">IF(ROW()-ROW($H$2:$H$57)+1&gt;ROWS($G$2:$G$57)-COUNTBLANK($G$2:$G$57),"",INDIRECT(ADDRESS(SMALL((IF($G$2:$G$57&lt;&gt;"",ROW($G$2:$G$57),ROW()+ROWS($G$2:$G$57))),ROW()-ROW($H$2:$H$57)+1),COLUMN($G$2:$G$57),4)))</f>
        <v/>
      </c>
      <c r="O12" s="184" t="str">
        <f t="array" aca="1" ref="O12" ca="1">IF(ROW()-ROW($I$2:$I$57)+1&gt;ROWS($H$2:$H$57)-COUNTBLANK($H$2:$H$57),"",INDIRECT(ADDRESS(SMALL((IF($H$2:$H$57&lt;&gt;"",ROW($H$2:$H$57),ROW()+ROWS($H$2:$H$57))),ROW()-ROW($I$2:$I$57)+1),COLUMN($H$2:$H$57),4)))</f>
        <v/>
      </c>
      <c r="P12" s="184" t="str">
        <f t="array" aca="1" ref="P12" ca="1">IF(ROW()-ROW($J$2:$J$57)+1&gt;ROWS($I$2:$I$57)-COUNTBLANK($I$2:$I$57),"",INDIRECT(ADDRESS(SMALL((IF($I$2:$I$57&lt;&gt;"",ROW($I$2:$I$57),ROW()+ROWS($I$2:$I$57))),ROW()-ROW($J$2:$J$57)+1),COLUMN($I$2:$I$57),4)))</f>
        <v/>
      </c>
    </row>
    <row r="13" spans="1:18" s="35" customFormat="1" ht="10.5" thickBot="1" x14ac:dyDescent="0.5">
      <c r="D13" s="144" t="s">
        <v>128</v>
      </c>
      <c r="E13" s="155" t="str">
        <f>IF(H13="","","2018")</f>
        <v/>
      </c>
      <c r="F13" s="155" t="str">
        <f t="shared" si="3"/>
        <v/>
      </c>
      <c r="G13" s="155" t="str">
        <f t="shared" si="1"/>
        <v/>
      </c>
      <c r="H13" s="185" t="s">
        <v>337</v>
      </c>
      <c r="I13" s="219" t="str">
        <f>IF(H13="","",VLOOKUP(F13,Berechnung4!$I$15:$J$25,2,FALSE))</f>
        <v/>
      </c>
      <c r="J13" s="220" t="str">
        <f t="shared" si="2"/>
        <v/>
      </c>
      <c r="L13" s="94" t="str">
        <f t="array" aca="1" ref="L13" ca="1">IF(ROW()-ROW($F$2:$F$57)+1&gt;ROWS($E$2:$E$57)-COUNTBLANK($E$2:$E$57),"",INDIRECT(ADDRESS(SMALL((IF($E$2:$E$57&gt;"",ROW($E$2:$E$57),ROW()+ROWS($E$2:$E$57))),ROW()-ROW($F$2:$F$57)+1),COLUMN($E$2:$E$57),4)))</f>
        <v/>
      </c>
      <c r="M13" s="94" t="str">
        <f t="array" aca="1" ref="M13" ca="1">IF(ROW()-ROW($G$2:$G$57)+1&gt;ROWS($F$2:$F$57)-COUNTBLANK($F$2:$F$57),"",INDIRECT(ADDRESS(SMALL((IF($F$2:$F$57&lt;&gt;"",ROW($F$2:$F$57),ROW()+ROWS($F$2:$F$57))),ROW()-ROW($G$2:$G$57)+1),COLUMN($F$2:$F$57),4)))</f>
        <v/>
      </c>
      <c r="N13" s="94" t="str">
        <f t="array" aca="1" ref="N13" ca="1">IF(ROW()-ROW($H$2:$H$57)+1&gt;ROWS($G$2:$G$57)-COUNTBLANK($G$2:$G$57),"",INDIRECT(ADDRESS(SMALL((IF($G$2:$G$57&lt;&gt;"",ROW($G$2:$G$57),ROW()+ROWS($G$2:$G$57))),ROW()-ROW($H$2:$H$57)+1),COLUMN($G$2:$G$57),4)))</f>
        <v/>
      </c>
      <c r="O13" s="184" t="str">
        <f t="array" aca="1" ref="O13" ca="1">IF(ROW()-ROW($I$2:$I$57)+1&gt;ROWS($H$2:$H$57)-COUNTBLANK($H$2:$H$57),"",INDIRECT(ADDRESS(SMALL((IF($H$2:$H$57&lt;&gt;"",ROW($H$2:$H$57),ROW()+ROWS($H$2:$H$57))),ROW()-ROW($I$2:$I$57)+1),COLUMN($H$2:$H$57),4)))</f>
        <v/>
      </c>
      <c r="P13" s="184" t="str">
        <f t="array" aca="1" ref="P13" ca="1">IF(ROW()-ROW($J$2:$J$57)+1&gt;ROWS($I$2:$I$57)-COUNTBLANK($I$2:$I$57),"",INDIRECT(ADDRESS(SMALL((IF($I$2:$I$57&lt;&gt;"",ROW($I$2:$I$57),ROW()+ROWS($I$2:$I$57))),ROW()-ROW($J$2:$J$57)+1),COLUMN($I$2:$I$57),4)))</f>
        <v/>
      </c>
    </row>
    <row r="14" spans="1:18" x14ac:dyDescent="0.45">
      <c r="D14" s="145" t="s">
        <v>314</v>
      </c>
      <c r="E14" s="156" t="str">
        <f>IF(H14="","","2013")</f>
        <v/>
      </c>
      <c r="F14" s="156" t="str">
        <f t="shared" ref="F14:F19" si="4">IF(H14="","","c")</f>
        <v/>
      </c>
      <c r="G14" s="156" t="str">
        <f t="shared" si="1"/>
        <v/>
      </c>
      <c r="H14" s="186" t="str">
        <f>IF(A2="relevant",IF('Matrix-Rectum'!O23&lt;Berechnung4!$G$42,Berechnung4!$L$42,""),"")</f>
        <v/>
      </c>
      <c r="I14" s="239" t="str">
        <f>IF(H14="","",VLOOKUP(F14,Berechnung4!$I$15:$J$25,2,FALSE))</f>
        <v/>
      </c>
      <c r="J14" s="238" t="str">
        <f t="shared" si="2"/>
        <v/>
      </c>
      <c r="L14" s="94" t="str">
        <f t="array" aca="1" ref="L14" ca="1">IF(ROW()-ROW($F$2:$F$57)+1&gt;ROWS($E$2:$E$57)-COUNTBLANK($E$2:$E$57),"",INDIRECT(ADDRESS(SMALL((IF($E$2:$E$57&gt;"",ROW($E$2:$E$57),ROW()+ROWS($E$2:$E$57))),ROW()-ROW($F$2:$F$57)+1),COLUMN($E$2:$E$57),4)))</f>
        <v/>
      </c>
      <c r="M14" s="94" t="str">
        <f t="array" aca="1" ref="M14" ca="1">IF(ROW()-ROW($G$2:$G$57)+1&gt;ROWS($F$2:$F$57)-COUNTBLANK($F$2:$F$57),"",INDIRECT(ADDRESS(SMALL((IF($F$2:$F$57&lt;&gt;"",ROW($F$2:$F$57),ROW()+ROWS($F$2:$F$57))),ROW()-ROW($G$2:$G$57)+1),COLUMN($F$2:$F$57),4)))</f>
        <v/>
      </c>
      <c r="N14" s="94" t="str">
        <f t="array" aca="1" ref="N14" ca="1">IF(ROW()-ROW($H$2:$H$57)+1&gt;ROWS($G$2:$G$57)-COUNTBLANK($G$2:$G$57),"",INDIRECT(ADDRESS(SMALL((IF($G$2:$G$57&lt;&gt;"",ROW($G$2:$G$57),ROW()+ROWS($G$2:$G$57))),ROW()-ROW($H$2:$H$57)+1),COLUMN($G$2:$G$57),4)))</f>
        <v/>
      </c>
      <c r="O14" s="184" t="str">
        <f t="array" aca="1" ref="O14" ca="1">IF(ROW()-ROW($I$2:$I$57)+1&gt;ROWS($H$2:$H$57)-COUNTBLANK($H$2:$H$57),"",INDIRECT(ADDRESS(SMALL((IF($H$2:$H$57&lt;&gt;"",ROW($H$2:$H$57),ROW()+ROWS($H$2:$H$57))),ROW()-ROW($I$2:$I$57)+1),COLUMN($H$2:$H$57),4)))</f>
        <v/>
      </c>
      <c r="P14" s="184" t="str">
        <f t="array" aca="1" ref="P14" ca="1">IF(ROW()-ROW($J$2:$J$57)+1&gt;ROWS($I$2:$I$57)-COUNTBLANK($I$2:$I$57),"",INDIRECT(ADDRESS(SMALL((IF($I$2:$I$57&lt;&gt;"",ROW($I$2:$I$57),ROW()+ROWS($I$2:$I$57))),ROW()-ROW($J$2:$J$57)+1),COLUMN($I$2:$I$57),4)))</f>
        <v/>
      </c>
    </row>
    <row r="15" spans="1:18" x14ac:dyDescent="0.45">
      <c r="D15" s="913" t="s">
        <v>37</v>
      </c>
      <c r="E15" s="34" t="str">
        <f>IF(H15="","","2014")</f>
        <v/>
      </c>
      <c r="F15" s="34" t="str">
        <f t="shared" si="4"/>
        <v/>
      </c>
      <c r="G15" s="34" t="str">
        <f t="shared" si="1"/>
        <v/>
      </c>
      <c r="H15" s="173" t="str">
        <f>IF(A3="relevant",IF('Matrix-Rectum'!O24&lt;Berechnung4!$G$42,Berechnung4!$L$42,""),"")</f>
        <v/>
      </c>
      <c r="I15" s="172" t="str">
        <f>IF(H15="","",VLOOKUP(F15,Berechnung4!$I$15:$J$25,2,FALSE))</f>
        <v/>
      </c>
      <c r="J15" s="237" t="str">
        <f t="shared" si="2"/>
        <v/>
      </c>
      <c r="L15" s="94" t="str">
        <f t="array" aca="1" ref="L15" ca="1">IF(ROW()-ROW($F$2:$F$57)+1&gt;ROWS($E$2:$E$57)-COUNTBLANK($E$2:$E$57),"",INDIRECT(ADDRESS(SMALL((IF($E$2:$E$57&gt;"",ROW($E$2:$E$57),ROW()+ROWS($E$2:$E$57))),ROW()-ROW($F$2:$F$57)+1),COLUMN($E$2:$E$57),4)))</f>
        <v/>
      </c>
      <c r="M15" s="94" t="str">
        <f t="array" aca="1" ref="M15" ca="1">IF(ROW()-ROW($G$2:$G$57)+1&gt;ROWS($F$2:$F$57)-COUNTBLANK($F$2:$F$57),"",INDIRECT(ADDRESS(SMALL((IF($F$2:$F$57&lt;&gt;"",ROW($F$2:$F$57),ROW()+ROWS($F$2:$F$57))),ROW()-ROW($G$2:$G$57)+1),COLUMN($F$2:$F$57),4)))</f>
        <v/>
      </c>
      <c r="N15" s="94" t="str">
        <f t="array" aca="1" ref="N15" ca="1">IF(ROW()-ROW($H$2:$H$57)+1&gt;ROWS($G$2:$G$57)-COUNTBLANK($G$2:$G$57),"",INDIRECT(ADDRESS(SMALL((IF($G$2:$G$57&lt;&gt;"",ROW($G$2:$G$57),ROW()+ROWS($G$2:$G$57))),ROW()-ROW($H$2:$H$57)+1),COLUMN($G$2:$G$57),4)))</f>
        <v/>
      </c>
      <c r="O15" s="184" t="str">
        <f t="array" aca="1" ref="O15" ca="1">IF(ROW()-ROW($I$2:$I$57)+1&gt;ROWS($H$2:$H$57)-COUNTBLANK($H$2:$H$57),"",INDIRECT(ADDRESS(SMALL((IF($H$2:$H$57&lt;&gt;"",ROW($H$2:$H$57),ROW()+ROWS($H$2:$H$57))),ROW()-ROW($I$2:$I$57)+1),COLUMN($H$2:$H$57),4)))</f>
        <v/>
      </c>
      <c r="P15" s="184" t="str">
        <f t="array" aca="1" ref="P15" ca="1">IF(ROW()-ROW($J$2:$J$57)+1&gt;ROWS($I$2:$I$57)-COUNTBLANK($I$2:$I$57),"",INDIRECT(ADDRESS(SMALL((IF($I$2:$I$57&lt;&gt;"",ROW($I$2:$I$57),ROW()+ROWS($I$2:$I$57))),ROW()-ROW($J$2:$J$57)+1),COLUMN($I$2:$I$57),4)))</f>
        <v/>
      </c>
    </row>
    <row r="16" spans="1:18" x14ac:dyDescent="0.45">
      <c r="D16" s="913"/>
      <c r="E16" s="34" t="str">
        <f>IF(H16="","","2015")</f>
        <v/>
      </c>
      <c r="F16" s="34" t="str">
        <f t="shared" si="4"/>
        <v/>
      </c>
      <c r="G16" s="34" t="str">
        <f t="shared" si="1"/>
        <v/>
      </c>
      <c r="H16" s="173" t="str">
        <f>IF(A4="relevant",IF('Matrix-Rectum'!O25&lt;Berechnung4!$G$42,Berechnung4!$L$42,""),"")</f>
        <v/>
      </c>
      <c r="I16" s="172" t="str">
        <f>IF(H16="","",VLOOKUP(F16,Berechnung4!$I$15:$J$25,2,FALSE))</f>
        <v/>
      </c>
      <c r="J16" s="237" t="str">
        <f t="shared" si="2"/>
        <v/>
      </c>
      <c r="L16" s="94" t="str">
        <f t="array" aca="1" ref="L16" ca="1">IF(ROW()-ROW($F$2:$F$57)+1&gt;ROWS($E$2:$E$57)-COUNTBLANK($E$2:$E$57),"",INDIRECT(ADDRESS(SMALL((IF($E$2:$E$57&gt;"",ROW($E$2:$E$57),ROW()+ROWS($E$2:$E$57))),ROW()-ROW($F$2:$F$57)+1),COLUMN($E$2:$E$57),4)))</f>
        <v/>
      </c>
      <c r="M16" s="94" t="str">
        <f t="array" aca="1" ref="M16" ca="1">IF(ROW()-ROW($G$2:$G$57)+1&gt;ROWS($F$2:$F$57)-COUNTBLANK($F$2:$F$57),"",INDIRECT(ADDRESS(SMALL((IF($F$2:$F$57&lt;&gt;"",ROW($F$2:$F$57),ROW()+ROWS($F$2:$F$57))),ROW()-ROW($G$2:$G$57)+1),COLUMN($F$2:$F$57),4)))</f>
        <v/>
      </c>
      <c r="N16" s="94" t="str">
        <f t="array" aca="1" ref="N16" ca="1">IF(ROW()-ROW($H$2:$H$57)+1&gt;ROWS($G$2:$G$57)-COUNTBLANK($G$2:$G$57),"",INDIRECT(ADDRESS(SMALL((IF($G$2:$G$57&lt;&gt;"",ROW($G$2:$G$57),ROW()+ROWS($G$2:$G$57))),ROW()-ROW($H$2:$H$57)+1),COLUMN($G$2:$G$57),4)))</f>
        <v/>
      </c>
      <c r="O16" s="184" t="str">
        <f t="array" aca="1" ref="O16" ca="1">IF(ROW()-ROW($I$2:$I$57)+1&gt;ROWS($H$2:$H$57)-COUNTBLANK($H$2:$H$57),"",INDIRECT(ADDRESS(SMALL((IF($H$2:$H$57&lt;&gt;"",ROW($H$2:$H$57),ROW()+ROWS($H$2:$H$57))),ROW()-ROW($I$2:$I$57)+1),COLUMN($H$2:$H$57),4)))</f>
        <v/>
      </c>
      <c r="P16" s="184" t="str">
        <f t="array" aca="1" ref="P16" ca="1">IF(ROW()-ROW($J$2:$J$57)+1&gt;ROWS($I$2:$I$57)-COUNTBLANK($I$2:$I$57),"",INDIRECT(ADDRESS(SMALL((IF($I$2:$I$57&lt;&gt;"",ROW($I$2:$I$57),ROW()+ROWS($I$2:$I$57))),ROW()-ROW($J$2:$J$57)+1),COLUMN($I$2:$I$57),4)))</f>
        <v/>
      </c>
    </row>
    <row r="17" spans="4:16" x14ac:dyDescent="0.45">
      <c r="D17" s="913"/>
      <c r="E17" s="34" t="str">
        <f>IF(H17="","","2016")</f>
        <v/>
      </c>
      <c r="F17" s="34" t="str">
        <f t="shared" si="4"/>
        <v/>
      </c>
      <c r="G17" s="34" t="str">
        <f t="shared" si="1"/>
        <v/>
      </c>
      <c r="H17" s="173" t="str">
        <f>IF(A5="relevant",IF('Matrix-Rectum'!O26&lt;Berechnung4!$G$42,Berechnung4!$L$42,""),"")</f>
        <v/>
      </c>
      <c r="I17" s="172" t="str">
        <f>IF(H17="","",VLOOKUP(F17,Berechnung4!$I$15:$J$25,2,FALSE))</f>
        <v/>
      </c>
      <c r="J17" s="237" t="str">
        <f t="shared" si="2"/>
        <v/>
      </c>
      <c r="L17" s="94" t="str">
        <f t="array" aca="1" ref="L17" ca="1">IF(ROW()-ROW($F$2:$F$57)+1&gt;ROWS($E$2:$E$57)-COUNTBLANK($E$2:$E$57),"",INDIRECT(ADDRESS(SMALL((IF($E$2:$E$57&gt;"",ROW($E$2:$E$57),ROW()+ROWS($E$2:$E$57))),ROW()-ROW($F$2:$F$57)+1),COLUMN($E$2:$E$57),4)))</f>
        <v/>
      </c>
      <c r="M17" s="94" t="str">
        <f t="array" aca="1" ref="M17" ca="1">IF(ROW()-ROW($G$2:$G$57)+1&gt;ROWS($F$2:$F$57)-COUNTBLANK($F$2:$F$57),"",INDIRECT(ADDRESS(SMALL((IF($F$2:$F$57&lt;&gt;"",ROW($F$2:$F$57),ROW()+ROWS($F$2:$F$57))),ROW()-ROW($G$2:$G$57)+1),COLUMN($F$2:$F$57),4)))</f>
        <v/>
      </c>
      <c r="N17" s="94" t="str">
        <f t="array" aca="1" ref="N17" ca="1">IF(ROW()-ROW($H$2:$H$57)+1&gt;ROWS($G$2:$G$57)-COUNTBLANK($G$2:$G$57),"",INDIRECT(ADDRESS(SMALL((IF($G$2:$G$57&lt;&gt;"",ROW($G$2:$G$57),ROW()+ROWS($G$2:$G$57))),ROW()-ROW($H$2:$H$57)+1),COLUMN($G$2:$G$57),4)))</f>
        <v/>
      </c>
      <c r="O17" s="184" t="str">
        <f t="array" aca="1" ref="O17" ca="1">IF(ROW()-ROW($I$2:$I$57)+1&gt;ROWS($H$2:$H$57)-COUNTBLANK($H$2:$H$57),"",INDIRECT(ADDRESS(SMALL((IF($H$2:$H$57&lt;&gt;"",ROW($H$2:$H$57),ROW()+ROWS($H$2:$H$57))),ROW()-ROW($I$2:$I$57)+1),COLUMN($H$2:$H$57),4)))</f>
        <v/>
      </c>
      <c r="P17" s="184" t="str">
        <f t="array" aca="1" ref="P17" ca="1">IF(ROW()-ROW($J$2:$J$57)+1&gt;ROWS($I$2:$I$57)-COUNTBLANK($I$2:$I$57),"",INDIRECT(ADDRESS(SMALL((IF($I$2:$I$57&lt;&gt;"",ROW($I$2:$I$57),ROW()+ROWS($I$2:$I$57))),ROW()-ROW($J$2:$J$57)+1),COLUMN($I$2:$I$57),4)))</f>
        <v/>
      </c>
    </row>
    <row r="18" spans="4:16" x14ac:dyDescent="0.45">
      <c r="D18" s="913"/>
      <c r="E18" s="34" t="str">
        <f>IF(H18="","","2017")</f>
        <v/>
      </c>
      <c r="F18" s="34" t="str">
        <f t="shared" si="4"/>
        <v/>
      </c>
      <c r="G18" s="34" t="str">
        <f t="shared" si="1"/>
        <v/>
      </c>
      <c r="H18" s="173" t="str">
        <f>IF(A6="relevant",IF('Matrix-Rectum'!O27&lt;Berechnung4!$G$42,Berechnung4!$L$42,""),"")</f>
        <v/>
      </c>
      <c r="I18" s="172" t="str">
        <f>IF(H18="","",VLOOKUP(F18,Berechnung4!$I$15:$J$25,2,FALSE))</f>
        <v/>
      </c>
      <c r="J18" s="237" t="str">
        <f t="shared" si="2"/>
        <v/>
      </c>
      <c r="L18" s="94" t="str">
        <f t="array" aca="1" ref="L18" ca="1">IF(ROW()-ROW($F$2:$F$57)+1&gt;ROWS($E$2:$E$57)-COUNTBLANK($E$2:$E$57),"",INDIRECT(ADDRESS(SMALL((IF($E$2:$E$57&gt;"",ROW($E$2:$E$57),ROW()+ROWS($E$2:$E$57))),ROW()-ROW($F$2:$F$57)+1),COLUMN($E$2:$E$57),4)))</f>
        <v/>
      </c>
      <c r="M18" s="94" t="str">
        <f t="array" aca="1" ref="M18" ca="1">IF(ROW()-ROW($G$2:$G$57)+1&gt;ROWS($F$2:$F$57)-COUNTBLANK($F$2:$F$57),"",INDIRECT(ADDRESS(SMALL((IF($F$2:$F$57&lt;&gt;"",ROW($F$2:$F$57),ROW()+ROWS($F$2:$F$57))),ROW()-ROW($G$2:$G$57)+1),COLUMN($F$2:$F$57),4)))</f>
        <v/>
      </c>
      <c r="N18" s="94" t="str">
        <f t="array" aca="1" ref="N18" ca="1">IF(ROW()-ROW($H$2:$H$57)+1&gt;ROWS($G$2:$G$57)-COUNTBLANK($G$2:$G$57),"",INDIRECT(ADDRESS(SMALL((IF($G$2:$G$57&lt;&gt;"",ROW($G$2:$G$57),ROW()+ROWS($G$2:$G$57))),ROW()-ROW($H$2:$H$57)+1),COLUMN($G$2:$G$57),4)))</f>
        <v/>
      </c>
      <c r="O18" s="184" t="str">
        <f t="array" aca="1" ref="O18" ca="1">IF(ROW()-ROW($I$2:$I$57)+1&gt;ROWS($H$2:$H$57)-COUNTBLANK($H$2:$H$57),"",INDIRECT(ADDRESS(SMALL((IF($H$2:$H$57&lt;&gt;"",ROW($H$2:$H$57),ROW()+ROWS($H$2:$H$57))),ROW()-ROW($I$2:$I$57)+1),COLUMN($H$2:$H$57),4)))</f>
        <v/>
      </c>
      <c r="P18" s="184" t="str">
        <f t="array" aca="1" ref="P18" ca="1">IF(ROW()-ROW($J$2:$J$57)+1&gt;ROWS($I$2:$I$57)-COUNTBLANK($I$2:$I$57),"",INDIRECT(ADDRESS(SMALL((IF($I$2:$I$57&lt;&gt;"",ROW($I$2:$I$57),ROW()+ROWS($I$2:$I$57))),ROW()-ROW($J$2:$J$57)+1),COLUMN($I$2:$I$57),4)))</f>
        <v/>
      </c>
    </row>
    <row r="19" spans="4:16" ht="14.65" thickBot="1" x14ac:dyDescent="0.5">
      <c r="D19" s="174" t="s">
        <v>129</v>
      </c>
      <c r="E19" s="244" t="str">
        <f>IF(H19="","","2018")</f>
        <v/>
      </c>
      <c r="F19" s="244" t="str">
        <f t="shared" si="4"/>
        <v/>
      </c>
      <c r="G19" s="244" t="str">
        <f t="shared" si="1"/>
        <v/>
      </c>
      <c r="H19" s="242"/>
      <c r="I19" s="245" t="str">
        <f>IF(H19="","",VLOOKUP(F19,Berechnung4!$I$15:$J$25,2,FALSE))</f>
        <v/>
      </c>
      <c r="J19" s="246" t="str">
        <f t="shared" si="2"/>
        <v/>
      </c>
      <c r="L19" s="94" t="str">
        <f t="array" aca="1" ref="L19" ca="1">IF(ROW()-ROW($F$2:$F$57)+1&gt;ROWS($E$2:$E$57)-COUNTBLANK($E$2:$E$57),"",INDIRECT(ADDRESS(SMALL((IF($E$2:$E$57&gt;"",ROW($E$2:$E$57),ROW()+ROWS($E$2:$E$57))),ROW()-ROW($F$2:$F$57)+1),COLUMN($E$2:$E$57),4)))</f>
        <v/>
      </c>
      <c r="M19" s="94" t="str">
        <f t="array" aca="1" ref="M19" ca="1">IF(ROW()-ROW($G$2:$G$57)+1&gt;ROWS($F$2:$F$57)-COUNTBLANK($F$2:$F$57),"",INDIRECT(ADDRESS(SMALL((IF($F$2:$F$57&lt;&gt;"",ROW($F$2:$F$57),ROW()+ROWS($F$2:$F$57))),ROW()-ROW($G$2:$G$57)+1),COLUMN($F$2:$F$57),4)))</f>
        <v/>
      </c>
      <c r="N19" s="94" t="str">
        <f t="array" aca="1" ref="N19" ca="1">IF(ROW()-ROW($H$2:$H$57)+1&gt;ROWS($G$2:$G$57)-COUNTBLANK($G$2:$G$57),"",INDIRECT(ADDRESS(SMALL((IF($G$2:$G$57&lt;&gt;"",ROW($G$2:$G$57),ROW()+ROWS($G$2:$G$57))),ROW()-ROW($H$2:$H$57)+1),COLUMN($G$2:$G$57),4)))</f>
        <v/>
      </c>
      <c r="O19" s="184" t="str">
        <f t="array" aca="1" ref="O19" ca="1">IF(ROW()-ROW($I$2:$I$57)+1&gt;ROWS($H$2:$H$57)-COUNTBLANK($H$2:$H$57),"",INDIRECT(ADDRESS(SMALL((IF($H$2:$H$57&lt;&gt;"",ROW($H$2:$H$57),ROW()+ROWS($H$2:$H$57))),ROW()-ROW($I$2:$I$57)+1),COLUMN($H$2:$H$57),4)))</f>
        <v/>
      </c>
      <c r="P19" s="184" t="str">
        <f t="array" aca="1" ref="P19" ca="1">IF(ROW()-ROW($J$2:$J$57)+1&gt;ROWS($I$2:$I$57)-COUNTBLANK($I$2:$I$57),"",INDIRECT(ADDRESS(SMALL((IF($I$2:$I$57&lt;&gt;"",ROW($I$2:$I$57),ROW()+ROWS($I$2:$I$57))),ROW()-ROW($J$2:$J$57)+1),COLUMN($I$2:$I$57),4)))</f>
        <v/>
      </c>
    </row>
    <row r="20" spans="4:16" x14ac:dyDescent="0.45">
      <c r="D20" s="145" t="s">
        <v>314</v>
      </c>
      <c r="E20" s="156" t="str">
        <f>IF(H20="","","2013")</f>
        <v/>
      </c>
      <c r="F20" s="156" t="str">
        <f t="shared" ref="F20:F25" si="5">IF(H20="","","d")</f>
        <v/>
      </c>
      <c r="G20" s="156" t="str">
        <f t="shared" si="1"/>
        <v/>
      </c>
      <c r="H20" s="186" t="str">
        <f>IF(A2="relevant",IF(AND('Matrix-Rectum'!Q23="",'Matrix-Rectum'!R23="",'Matrix-Rectum'!S23="",'Matrix-Rectum'!T23=""),"",IF('Matrix-Rectum'!Q23&lt;MAX('Matrix-Rectum'!R23:T23),Berechnung2!$L$40,"")),"")</f>
        <v/>
      </c>
      <c r="I20" s="239" t="str">
        <f>IF(H20="","",VLOOKUP(F20,Berechnung4!$I$15:$J$25,2,FALSE))</f>
        <v/>
      </c>
      <c r="J20" s="238" t="str">
        <f t="shared" si="2"/>
        <v/>
      </c>
      <c r="L20" s="94" t="str">
        <f t="array" aca="1" ref="L20" ca="1">IF(ROW()-ROW($F$2:$F$57)+1&gt;ROWS($E$2:$E$57)-COUNTBLANK($E$2:$E$57),"",INDIRECT(ADDRESS(SMALL((IF($E$2:$E$57&gt;"",ROW($E$2:$E$57),ROW()+ROWS($E$2:$E$57))),ROW()-ROW($F$2:$F$57)+1),COLUMN($E$2:$E$57),4)))</f>
        <v/>
      </c>
      <c r="M20" s="94" t="str">
        <f t="array" aca="1" ref="M20" ca="1">IF(ROW()-ROW($G$2:$G$57)+1&gt;ROWS($F$2:$F$57)-COUNTBLANK($F$2:$F$57),"",INDIRECT(ADDRESS(SMALL((IF($F$2:$F$57&lt;&gt;"",ROW($F$2:$F$57),ROW()+ROWS($F$2:$F$57))),ROW()-ROW($G$2:$G$57)+1),COLUMN($F$2:$F$57),4)))</f>
        <v/>
      </c>
      <c r="N20" s="94" t="str">
        <f t="array" aca="1" ref="N20" ca="1">IF(ROW()-ROW($H$2:$H$57)+1&gt;ROWS($G$2:$G$57)-COUNTBLANK($G$2:$G$57),"",INDIRECT(ADDRESS(SMALL((IF($G$2:$G$57&lt;&gt;"",ROW($G$2:$G$57),ROW()+ROWS($G$2:$G$57))),ROW()-ROW($H$2:$H$57)+1),COLUMN($G$2:$G$57),4)))</f>
        <v/>
      </c>
      <c r="O20" s="184" t="str">
        <f t="array" aca="1" ref="O20" ca="1">IF(ROW()-ROW($I$2:$I$57)+1&gt;ROWS($H$2:$H$57)-COUNTBLANK($H$2:$H$57),"",INDIRECT(ADDRESS(SMALL((IF($H$2:$H$57&lt;&gt;"",ROW($H$2:$H$57),ROW()+ROWS($H$2:$H$57))),ROW()-ROW($I$2:$I$57)+1),COLUMN($H$2:$H$57),4)))</f>
        <v/>
      </c>
      <c r="P20" s="184" t="str">
        <f t="array" aca="1" ref="P20" ca="1">IF(ROW()-ROW($J$2:$J$57)+1&gt;ROWS($I$2:$I$57)-COUNTBLANK($I$2:$I$57),"",INDIRECT(ADDRESS(SMALL((IF($I$2:$I$57&lt;&gt;"",ROW($I$2:$I$57),ROW()+ROWS($I$2:$I$57))),ROW()-ROW($J$2:$J$57)+1),COLUMN($I$2:$I$57),4)))</f>
        <v/>
      </c>
    </row>
    <row r="21" spans="4:16" x14ac:dyDescent="0.45">
      <c r="D21" s="913" t="s">
        <v>388</v>
      </c>
      <c r="E21" s="34" t="str">
        <f>IF(H21="","","2014")</f>
        <v/>
      </c>
      <c r="F21" s="34" t="str">
        <f t="shared" si="5"/>
        <v/>
      </c>
      <c r="G21" s="34" t="str">
        <f t="shared" si="1"/>
        <v/>
      </c>
      <c r="H21" s="173" t="str">
        <f>IF(A3="relevant",IF(AND('Matrix-Rectum'!Q24="",'Matrix-Rectum'!R24="",'Matrix-Rectum'!S24="",'Matrix-Rectum'!T24=""),"",IF('Matrix-Rectum'!Q24&lt;MAX('Matrix-Rectum'!R24:T24),Berechnung2!$L$40,"")),"")</f>
        <v/>
      </c>
      <c r="I21" s="172" t="str">
        <f>IF(H21="","",VLOOKUP(F21,Berechnung4!$I$15:$J$25,2,FALSE))</f>
        <v/>
      </c>
      <c r="J21" s="237" t="str">
        <f t="shared" si="2"/>
        <v/>
      </c>
      <c r="L21" s="94" t="str">
        <f t="array" aca="1" ref="L21" ca="1">IF(ROW()-ROW($F$2:$F$57)+1&gt;ROWS($E$2:$E$57)-COUNTBLANK($E$2:$E$57),"",INDIRECT(ADDRESS(SMALL((IF($E$2:$E$57&gt;"",ROW($E$2:$E$57),ROW()+ROWS($E$2:$E$57))),ROW()-ROW($F$2:$F$57)+1),COLUMN($E$2:$E$57),4)))</f>
        <v/>
      </c>
      <c r="M21" s="94" t="str">
        <f t="array" aca="1" ref="M21" ca="1">IF(ROW()-ROW($G$2:$G$57)+1&gt;ROWS($F$2:$F$57)-COUNTBLANK($F$2:$F$57),"",INDIRECT(ADDRESS(SMALL((IF($F$2:$F$57&lt;&gt;"",ROW($F$2:$F$57),ROW()+ROWS($F$2:$F$57))),ROW()-ROW($G$2:$G$57)+1),COLUMN($F$2:$F$57),4)))</f>
        <v/>
      </c>
      <c r="N21" s="94" t="str">
        <f t="array" aca="1" ref="N21" ca="1">IF(ROW()-ROW($H$2:$H$57)+1&gt;ROWS($G$2:$G$57)-COUNTBLANK($G$2:$G$57),"",INDIRECT(ADDRESS(SMALL((IF($G$2:$G$57&lt;&gt;"",ROW($G$2:$G$57),ROW()+ROWS($G$2:$G$57))),ROW()-ROW($H$2:$H$57)+1),COLUMN($G$2:$G$57),4)))</f>
        <v/>
      </c>
      <c r="O21" s="184" t="str">
        <f t="array" aca="1" ref="O21" ca="1">IF(ROW()-ROW($I$2:$I$57)+1&gt;ROWS($H$2:$H$57)-COUNTBLANK($H$2:$H$57),"",INDIRECT(ADDRESS(SMALL((IF($H$2:$H$57&lt;&gt;"",ROW($H$2:$H$57),ROW()+ROWS($H$2:$H$57))),ROW()-ROW($I$2:$I$57)+1),COLUMN($H$2:$H$57),4)))</f>
        <v/>
      </c>
      <c r="P21" s="184" t="str">
        <f t="array" aca="1" ref="P21" ca="1">IF(ROW()-ROW($J$2:$J$57)+1&gt;ROWS($I$2:$I$57)-COUNTBLANK($I$2:$I$57),"",INDIRECT(ADDRESS(SMALL((IF($I$2:$I$57&lt;&gt;"",ROW($I$2:$I$57),ROW()+ROWS($I$2:$I$57))),ROW()-ROW($J$2:$J$57)+1),COLUMN($I$2:$I$57),4)))</f>
        <v/>
      </c>
    </row>
    <row r="22" spans="4:16" x14ac:dyDescent="0.45">
      <c r="D22" s="913"/>
      <c r="E22" s="34" t="str">
        <f>IF(H22="","","2015")</f>
        <v/>
      </c>
      <c r="F22" s="34" t="str">
        <f t="shared" si="5"/>
        <v/>
      </c>
      <c r="G22" s="34" t="str">
        <f t="shared" si="1"/>
        <v/>
      </c>
      <c r="H22" s="173" t="str">
        <f>IF(A4="relevant",IF(AND('Matrix-Rectum'!Q25="",'Matrix-Rectum'!R25="",'Matrix-Rectum'!S25="",'Matrix-Rectum'!T25=""),"",IF('Matrix-Rectum'!Q25&lt;MAX('Matrix-Rectum'!R25:T25),Berechnung2!$L$40,"")),"")</f>
        <v/>
      </c>
      <c r="I22" s="172" t="str">
        <f>IF(H22="","",VLOOKUP(F22,Berechnung4!$I$15:$J$25,2,FALSE))</f>
        <v/>
      </c>
      <c r="J22" s="237" t="str">
        <f t="shared" si="2"/>
        <v/>
      </c>
      <c r="L22" s="94" t="str">
        <f t="array" aca="1" ref="L22" ca="1">IF(ROW()-ROW($F$2:$F$57)+1&gt;ROWS($E$2:$E$57)-COUNTBLANK($E$2:$E$57),"",INDIRECT(ADDRESS(SMALL((IF($E$2:$E$57&gt;"",ROW($E$2:$E$57),ROW()+ROWS($E$2:$E$57))),ROW()-ROW($F$2:$F$57)+1),COLUMN($E$2:$E$57),4)))</f>
        <v/>
      </c>
      <c r="M22" s="94" t="str">
        <f t="array" aca="1" ref="M22" ca="1">IF(ROW()-ROW($G$2:$G$57)+1&gt;ROWS($F$2:$F$57)-COUNTBLANK($F$2:$F$57),"",INDIRECT(ADDRESS(SMALL((IF($F$2:$F$57&lt;&gt;"",ROW($F$2:$F$57),ROW()+ROWS($F$2:$F$57))),ROW()-ROW($G$2:$G$57)+1),COLUMN($F$2:$F$57),4)))</f>
        <v/>
      </c>
      <c r="N22" s="94" t="str">
        <f t="array" aca="1" ref="N22" ca="1">IF(ROW()-ROW($H$2:$H$57)+1&gt;ROWS($G$2:$G$57)-COUNTBLANK($G$2:$G$57),"",INDIRECT(ADDRESS(SMALL((IF($G$2:$G$57&lt;&gt;"",ROW($G$2:$G$57),ROW()+ROWS($G$2:$G$57))),ROW()-ROW($H$2:$H$57)+1),COLUMN($G$2:$G$57),4)))</f>
        <v/>
      </c>
      <c r="O22" s="184" t="str">
        <f t="array" aca="1" ref="O22" ca="1">IF(ROW()-ROW($I$2:$I$57)+1&gt;ROWS($H$2:$H$57)-COUNTBLANK($H$2:$H$57),"",INDIRECT(ADDRESS(SMALL((IF($H$2:$H$57&lt;&gt;"",ROW($H$2:$H$57),ROW()+ROWS($H$2:$H$57))),ROW()-ROW($I$2:$I$57)+1),COLUMN($H$2:$H$57),4)))</f>
        <v/>
      </c>
      <c r="P22" s="184" t="str">
        <f t="array" aca="1" ref="P22" ca="1">IF(ROW()-ROW($J$2:$J$57)+1&gt;ROWS($I$2:$I$57)-COUNTBLANK($I$2:$I$57),"",INDIRECT(ADDRESS(SMALL((IF($I$2:$I$57&lt;&gt;"",ROW($I$2:$I$57),ROW()+ROWS($I$2:$I$57))),ROW()-ROW($J$2:$J$57)+1),COLUMN($I$2:$I$57),4)))</f>
        <v/>
      </c>
    </row>
    <row r="23" spans="4:16" x14ac:dyDescent="0.45">
      <c r="D23" s="913"/>
      <c r="E23" s="34" t="str">
        <f>IF(H23="","","2016")</f>
        <v/>
      </c>
      <c r="F23" s="34" t="str">
        <f t="shared" si="5"/>
        <v/>
      </c>
      <c r="G23" s="34" t="str">
        <f t="shared" si="1"/>
        <v/>
      </c>
      <c r="H23" s="173" t="str">
        <f>IF(A5="relevant",IF(AND('Matrix-Rectum'!Q26="",'Matrix-Rectum'!R26="",'Matrix-Rectum'!S26="",'Matrix-Rectum'!T26=""),"",IF('Matrix-Rectum'!Q26&lt;MAX('Matrix-Rectum'!R26:T26),Berechnung2!$L$40,"")),"")</f>
        <v/>
      </c>
      <c r="I23" s="172" t="str">
        <f>IF(H23="","",VLOOKUP(F23,Berechnung4!$I$15:$J$25,2,FALSE))</f>
        <v/>
      </c>
      <c r="J23" s="237" t="str">
        <f t="shared" si="2"/>
        <v/>
      </c>
      <c r="L23" s="94" t="str">
        <f t="array" aca="1" ref="L23" ca="1">IF(ROW()-ROW($F$2:$F$57)+1&gt;ROWS($E$2:$E$57)-COUNTBLANK($E$2:$E$57),"",INDIRECT(ADDRESS(SMALL((IF($E$2:$E$57&gt;"",ROW($E$2:$E$57),ROW()+ROWS($E$2:$E$57))),ROW()-ROW($F$2:$F$57)+1),COLUMN($E$2:$E$57),4)))</f>
        <v/>
      </c>
      <c r="M23" s="94" t="str">
        <f t="array" aca="1" ref="M23" ca="1">IF(ROW()-ROW($G$2:$G$57)+1&gt;ROWS($F$2:$F$57)-COUNTBLANK($F$2:$F$57),"",INDIRECT(ADDRESS(SMALL((IF($F$2:$F$57&lt;&gt;"",ROW($F$2:$F$57),ROW()+ROWS($F$2:$F$57))),ROW()-ROW($G$2:$G$57)+1),COLUMN($F$2:$F$57),4)))</f>
        <v/>
      </c>
      <c r="N23" s="94" t="str">
        <f t="array" aca="1" ref="N23" ca="1">IF(ROW()-ROW($H$2:$H$57)+1&gt;ROWS($G$2:$G$57)-COUNTBLANK($G$2:$G$57),"",INDIRECT(ADDRESS(SMALL((IF($G$2:$G$57&lt;&gt;"",ROW($G$2:$G$57),ROW()+ROWS($G$2:$G$57))),ROW()-ROW($H$2:$H$57)+1),COLUMN($G$2:$G$57),4)))</f>
        <v/>
      </c>
      <c r="O23" s="184" t="str">
        <f t="array" aca="1" ref="O23" ca="1">IF(ROW()-ROW($I$2:$I$57)+1&gt;ROWS($H$2:$H$57)-COUNTBLANK($H$2:$H$57),"",INDIRECT(ADDRESS(SMALL((IF($H$2:$H$57&lt;&gt;"",ROW($H$2:$H$57),ROW()+ROWS($H$2:$H$57))),ROW()-ROW($I$2:$I$57)+1),COLUMN($H$2:$H$57),4)))</f>
        <v/>
      </c>
      <c r="P23" s="184" t="str">
        <f t="array" aca="1" ref="P23" ca="1">IF(ROW()-ROW($J$2:$J$57)+1&gt;ROWS($I$2:$I$57)-COUNTBLANK($I$2:$I$57),"",INDIRECT(ADDRESS(SMALL((IF($I$2:$I$57&lt;&gt;"",ROW($I$2:$I$57),ROW()+ROWS($I$2:$I$57))),ROW()-ROW($J$2:$J$57)+1),COLUMN($I$2:$I$57),4)))</f>
        <v/>
      </c>
    </row>
    <row r="24" spans="4:16" x14ac:dyDescent="0.45">
      <c r="D24" s="913"/>
      <c r="E24" s="34" t="str">
        <f>IF(H24="","","2017")</f>
        <v/>
      </c>
      <c r="F24" s="34" t="str">
        <f t="shared" si="5"/>
        <v/>
      </c>
      <c r="G24" s="34" t="str">
        <f t="shared" si="1"/>
        <v/>
      </c>
      <c r="H24" s="173" t="str">
        <f>IF(A6="relevant",IF(AND('Matrix-Rectum'!Q27="",'Matrix-Rectum'!R27="",'Matrix-Rectum'!S27="",'Matrix-Rectum'!T27=""),"",IF('Matrix-Rectum'!Q27&lt;MAX('Matrix-Rectum'!R27:T27),Berechnung2!$L$40,"")),"")</f>
        <v/>
      </c>
      <c r="I24" s="172" t="str">
        <f>IF(H24="","",VLOOKUP(F24,Berechnung4!$I$15:$J$25,2,FALSE))</f>
        <v/>
      </c>
      <c r="J24" s="237" t="str">
        <f t="shared" si="2"/>
        <v/>
      </c>
      <c r="L24" s="94" t="str">
        <f t="array" aca="1" ref="L24" ca="1">IF(ROW()-ROW($F$2:$F$57)+1&gt;ROWS($E$2:$E$57)-COUNTBLANK($E$2:$E$57),"",INDIRECT(ADDRESS(SMALL((IF($E$2:$E$57&gt;"",ROW($E$2:$E$57),ROW()+ROWS($E$2:$E$57))),ROW()-ROW($F$2:$F$57)+1),COLUMN($E$2:$E$57),4)))</f>
        <v/>
      </c>
      <c r="M24" s="94" t="str">
        <f t="array" aca="1" ref="M24" ca="1">IF(ROW()-ROW($G$2:$G$57)+1&gt;ROWS($F$2:$F$57)-COUNTBLANK($F$2:$F$57),"",INDIRECT(ADDRESS(SMALL((IF($F$2:$F$57&lt;&gt;"",ROW($F$2:$F$57),ROW()+ROWS($F$2:$F$57))),ROW()-ROW($G$2:$G$57)+1),COLUMN($F$2:$F$57),4)))</f>
        <v/>
      </c>
      <c r="N24" s="94" t="str">
        <f t="array" aca="1" ref="N24" ca="1">IF(ROW()-ROW($H$2:$H$57)+1&gt;ROWS($G$2:$G$57)-COUNTBLANK($G$2:$G$57),"",INDIRECT(ADDRESS(SMALL((IF($G$2:$G$57&lt;&gt;"",ROW($G$2:$G$57),ROW()+ROWS($G$2:$G$57))),ROW()-ROW($H$2:$H$57)+1),COLUMN($G$2:$G$57),4)))</f>
        <v/>
      </c>
      <c r="O24" s="184" t="str">
        <f t="array" aca="1" ref="O24" ca="1">IF(ROW()-ROW($I$2:$I$57)+1&gt;ROWS($H$2:$H$57)-COUNTBLANK($H$2:$H$57),"",INDIRECT(ADDRESS(SMALL((IF($H$2:$H$57&lt;&gt;"",ROW($H$2:$H$57),ROW()+ROWS($H$2:$H$57))),ROW()-ROW($I$2:$I$57)+1),COLUMN($H$2:$H$57),4)))</f>
        <v/>
      </c>
      <c r="P24" s="184" t="str">
        <f t="array" aca="1" ref="P24" ca="1">IF(ROW()-ROW($J$2:$J$57)+1&gt;ROWS($I$2:$I$57)-COUNTBLANK($I$2:$I$57),"",INDIRECT(ADDRESS(SMALL((IF($I$2:$I$57&lt;&gt;"",ROW($I$2:$I$57),ROW()+ROWS($I$2:$I$57))),ROW()-ROW($J$2:$J$57)+1),COLUMN($I$2:$I$57),4)))</f>
        <v/>
      </c>
    </row>
    <row r="25" spans="4:16" ht="14.65" thickBot="1" x14ac:dyDescent="0.5">
      <c r="D25" s="144" t="s">
        <v>131</v>
      </c>
      <c r="E25" s="155" t="str">
        <f>IF(H25="","","2018")</f>
        <v/>
      </c>
      <c r="F25" s="155" t="str">
        <f t="shared" si="5"/>
        <v/>
      </c>
      <c r="G25" s="155" t="str">
        <f t="shared" si="1"/>
        <v/>
      </c>
      <c r="H25" s="185" t="str">
        <f>IF(A7="relevant",IF(AND('Matrix-Rectum'!Q28="",'Matrix-Rectum'!R28="",'Matrix-Rectum'!S28="",'Matrix-Rectum'!T28=""),"",IF('Matrix-Rectum'!Q28&lt;MAX('Matrix-Rectum'!R28:T28),Berechnung2!$L$40,"")),"")</f>
        <v/>
      </c>
      <c r="I25" s="219" t="str">
        <f>IF(H25="","",VLOOKUP(F25,Berechnung4!$I$15:$J$25,2,FALSE))</f>
        <v/>
      </c>
      <c r="J25" s="220" t="str">
        <f t="shared" si="2"/>
        <v/>
      </c>
      <c r="L25" s="94" t="str">
        <f t="array" aca="1" ref="L25" ca="1">IF(ROW()-ROW($F$2:$F$57)+1&gt;ROWS($E$2:$E$57)-COUNTBLANK($E$2:$E$57),"",INDIRECT(ADDRESS(SMALL((IF($E$2:$E$57&gt;"",ROW($E$2:$E$57),ROW()+ROWS($E$2:$E$57))),ROW()-ROW($F$2:$F$57)+1),COLUMN($E$2:$E$57),4)))</f>
        <v/>
      </c>
      <c r="M25" s="94" t="str">
        <f t="array" aca="1" ref="M25" ca="1">IF(ROW()-ROW($G$2:$G$57)+1&gt;ROWS($F$2:$F$57)-COUNTBLANK($F$2:$F$57),"",INDIRECT(ADDRESS(SMALL((IF($F$2:$F$57&lt;&gt;"",ROW($F$2:$F$57),ROW()+ROWS($F$2:$F$57))),ROW()-ROW($G$2:$G$57)+1),COLUMN($F$2:$F$57),4)))</f>
        <v/>
      </c>
      <c r="N25" s="94" t="str">
        <f t="array" aca="1" ref="N25" ca="1">IF(ROW()-ROW($H$2:$H$57)+1&gt;ROWS($G$2:$G$57)-COUNTBLANK($G$2:$G$57),"",INDIRECT(ADDRESS(SMALL((IF($G$2:$G$57&lt;&gt;"",ROW($G$2:$G$57),ROW()+ROWS($G$2:$G$57))),ROW()-ROW($H$2:$H$57)+1),COLUMN($G$2:$G$57),4)))</f>
        <v/>
      </c>
      <c r="O25" s="184" t="str">
        <f t="array" aca="1" ref="O25" ca="1">IF(ROW()-ROW($I$2:$I$57)+1&gt;ROWS($H$2:$H$57)-COUNTBLANK($H$2:$H$57),"",INDIRECT(ADDRESS(SMALL((IF($H$2:$H$57&lt;&gt;"",ROW($H$2:$H$57),ROW()+ROWS($H$2:$H$57))),ROW()-ROW($I$2:$I$57)+1),COLUMN($H$2:$H$57),4)))</f>
        <v/>
      </c>
      <c r="P25" s="184" t="str">
        <f t="array" aca="1" ref="P25" ca="1">IF(ROW()-ROW($J$2:$J$57)+1&gt;ROWS($I$2:$I$57)-COUNTBLANK($I$2:$I$57),"",INDIRECT(ADDRESS(SMALL((IF($I$2:$I$57&lt;&gt;"",ROW($I$2:$I$57),ROW()+ROWS($I$2:$I$57))),ROW()-ROW($J$2:$J$57)+1),COLUMN($I$2:$I$57),4)))</f>
        <v/>
      </c>
    </row>
    <row r="26" spans="4:16" ht="20.65" thickBot="1" x14ac:dyDescent="0.5">
      <c r="D26" s="247" t="s">
        <v>130</v>
      </c>
      <c r="E26" s="248" t="str">
        <f>IF(H26="","","2-4 Jahre")</f>
        <v/>
      </c>
      <c r="F26" s="248" t="str">
        <f>IF(H26="","","e")</f>
        <v/>
      </c>
      <c r="G26" s="248" t="str">
        <f>IF(H26="","","5")</f>
        <v/>
      </c>
      <c r="H26" s="251" t="str">
        <f>IF(OR('Matrix-Rectum'!$M$30="-----",'Matrix-Rectum'!$M$30=""),"",IF(AND(ROUND('Matrix-Rectum'!M30,4)&gt;=Berechnung4!G38,ROUND('Matrix-Rectum'!M30,4)&lt;Berechnung4!J38),Berechnung4!L38,""))</f>
        <v/>
      </c>
      <c r="I26" s="249" t="str">
        <f>IF(H26="","",VLOOKUP(F26,Berechnung4!$I$15:$J$25,2,FALSE))</f>
        <v/>
      </c>
      <c r="J26" s="250" t="str">
        <f t="shared" si="2"/>
        <v/>
      </c>
      <c r="L26" s="94" t="str">
        <f t="array" aca="1" ref="L26" ca="1">IF(ROW()-ROW($F$2:$F$57)+1&gt;ROWS($E$2:$E$57)-COUNTBLANK($E$2:$E$57),"",INDIRECT(ADDRESS(SMALL((IF($E$2:$E$57&gt;"",ROW($E$2:$E$57),ROW()+ROWS($E$2:$E$57))),ROW()-ROW($F$2:$F$57)+1),COLUMN($E$2:$E$57),4)))</f>
        <v/>
      </c>
      <c r="M26" s="94" t="str">
        <f t="array" aca="1" ref="M26" ca="1">IF(ROW()-ROW($G$2:$G$57)+1&gt;ROWS($F$2:$F$57)-COUNTBLANK($F$2:$F$57),"",INDIRECT(ADDRESS(SMALL((IF($F$2:$F$57&lt;&gt;"",ROW($F$2:$F$57),ROW()+ROWS($F$2:$F$57))),ROW()-ROW($G$2:$G$57)+1),COLUMN($F$2:$F$57),4)))</f>
        <v/>
      </c>
      <c r="N26" s="94" t="str">
        <f t="array" aca="1" ref="N26" ca="1">IF(ROW()-ROW($H$2:$H$57)+1&gt;ROWS($G$2:$G$57)-COUNTBLANK($G$2:$G$57),"",INDIRECT(ADDRESS(SMALL((IF($G$2:$G$57&lt;&gt;"",ROW($G$2:$G$57),ROW()+ROWS($G$2:$G$57))),ROW()-ROW($H$2:$H$57)+1),COLUMN($G$2:$G$57),4)))</f>
        <v/>
      </c>
      <c r="O26" s="184" t="str">
        <f t="array" aca="1" ref="O26" ca="1">IF(ROW()-ROW($I$2:$I$57)+1&gt;ROWS($H$2:$H$57)-COUNTBLANK($H$2:$H$57),"",INDIRECT(ADDRESS(SMALL((IF($H$2:$H$57&lt;&gt;"",ROW($H$2:$H$57),ROW()+ROWS($H$2:$H$57))),ROW()-ROW($I$2:$I$57)+1),COLUMN($H$2:$H$57),4)))</f>
        <v/>
      </c>
      <c r="P26" s="184" t="str">
        <f t="array" aca="1" ref="P26" ca="1">IF(ROW()-ROW($J$2:$J$57)+1&gt;ROWS($I$2:$I$57)-COUNTBLANK($I$2:$I$57),"",INDIRECT(ADDRESS(SMALL((IF($I$2:$I$57&lt;&gt;"",ROW($I$2:$I$57),ROW()+ROWS($I$2:$I$57))),ROW()-ROW($J$2:$J$57)+1),COLUMN($I$2:$I$57),4)))</f>
        <v/>
      </c>
    </row>
    <row r="27" spans="4:16" x14ac:dyDescent="0.45">
      <c r="D27" s="143" t="s">
        <v>307</v>
      </c>
      <c r="E27" s="156" t="str">
        <f>IF(H27="","","2013")</f>
        <v/>
      </c>
      <c r="F27" s="156" t="str">
        <f t="shared" ref="F27:F32" si="6">IF(H27="","","f")</f>
        <v/>
      </c>
      <c r="G27" s="156" t="str">
        <f>IF(H27="","","6")</f>
        <v/>
      </c>
      <c r="H27" s="186" t="str">
        <f>IF(A2="relevant",IF('Matrix-Rectum'!C23="","",IF('Matrix-Rectum'!C23&lt;Berechnung4!$G$35,Berechnung4!$L$35,"")),"")</f>
        <v/>
      </c>
      <c r="I27" s="239" t="str">
        <f>IF(H27="","",VLOOKUP(F27,Berechnung4!$I$15:$J$25,2,FALSE))</f>
        <v/>
      </c>
      <c r="J27" s="238" t="str">
        <f t="shared" si="2"/>
        <v/>
      </c>
      <c r="L27" s="94" t="str">
        <f t="array" aca="1" ref="L27" ca="1">IF(ROW()-ROW($F$2:$F$57)+1&gt;ROWS($E$2:$E$57)-COUNTBLANK($E$2:$E$57),"",INDIRECT(ADDRESS(SMALL((IF($E$2:$E$57&gt;"",ROW($E$2:$E$57),ROW()+ROWS($E$2:$E$57))),ROW()-ROW($F$2:$F$57)+1),COLUMN($E$2:$E$57),4)))</f>
        <v/>
      </c>
      <c r="M27" s="94" t="str">
        <f t="array" aca="1" ref="M27" ca="1">IF(ROW()-ROW($G$2:$G$57)+1&gt;ROWS($F$2:$F$57)-COUNTBLANK($F$2:$F$57),"",INDIRECT(ADDRESS(SMALL((IF($F$2:$F$57&lt;&gt;"",ROW($F$2:$F$57),ROW()+ROWS($F$2:$F$57))),ROW()-ROW($G$2:$G$57)+1),COLUMN($F$2:$F$57),4)))</f>
        <v/>
      </c>
      <c r="N27" s="94" t="str">
        <f t="array" aca="1" ref="N27" ca="1">IF(ROW()-ROW($H$2:$H$57)+1&gt;ROWS($G$2:$G$57)-COUNTBLANK($G$2:$G$57),"",INDIRECT(ADDRESS(SMALL((IF($G$2:$G$57&lt;&gt;"",ROW($G$2:$G$57),ROW()+ROWS($G$2:$G$57))),ROW()-ROW($H$2:$H$57)+1),COLUMN($G$2:$G$57),4)))</f>
        <v/>
      </c>
      <c r="O27" s="184" t="str">
        <f t="array" aca="1" ref="O27" ca="1">IF(ROW()-ROW($I$2:$I$57)+1&gt;ROWS($H$2:$H$57)-COUNTBLANK($H$2:$H$57),"",INDIRECT(ADDRESS(SMALL((IF($H$2:$H$57&lt;&gt;"",ROW($H$2:$H$57),ROW()+ROWS($H$2:$H$57))),ROW()-ROW($I$2:$I$57)+1),COLUMN($H$2:$H$57),4)))</f>
        <v/>
      </c>
      <c r="P27" s="184" t="str">
        <f t="array" aca="1" ref="P27" ca="1">IF(ROW()-ROW($J$2:$J$57)+1&gt;ROWS($I$2:$I$57)-COUNTBLANK($I$2:$I$57),"",INDIRECT(ADDRESS(SMALL((IF($I$2:$I$57&lt;&gt;"",ROW($I$2:$I$57),ROW()+ROWS($I$2:$I$57))),ROW()-ROW($J$2:$J$57)+1),COLUMN($I$2:$I$57),4)))</f>
        <v/>
      </c>
    </row>
    <row r="28" spans="4:16" x14ac:dyDescent="0.45">
      <c r="D28" s="912" t="s">
        <v>353</v>
      </c>
      <c r="E28" s="34" t="str">
        <f>IF(H28="","","2014")</f>
        <v/>
      </c>
      <c r="F28" s="34" t="str">
        <f t="shared" si="6"/>
        <v/>
      </c>
      <c r="G28" s="34" t="str">
        <f t="shared" ref="G28:G57" si="7">IF(H28="","","6")</f>
        <v/>
      </c>
      <c r="H28" s="173" t="str">
        <f>IF(A3="relevant",IF('Matrix-Rectum'!C24="","",IF('Matrix-Rectum'!C24&lt;Berechnung4!$G$35,Berechnung4!$L$35,"")),"")</f>
        <v/>
      </c>
      <c r="I28" s="172" t="str">
        <f>IF(H28="","",VLOOKUP(F28,Berechnung4!$I$15:$J$25,2,FALSE))</f>
        <v/>
      </c>
      <c r="J28" s="237" t="str">
        <f t="shared" si="2"/>
        <v/>
      </c>
      <c r="L28" s="94" t="str">
        <f t="array" aca="1" ref="L28" ca="1">IF(ROW()-ROW($F$2:$F$57)+1&gt;ROWS($E$2:$E$57)-COUNTBLANK($E$2:$E$57),"",INDIRECT(ADDRESS(SMALL((IF($E$2:$E$57&gt;"",ROW($E$2:$E$57),ROW()+ROWS($E$2:$E$57))),ROW()-ROW($F$2:$F$57)+1),COLUMN($E$2:$E$57),4)))</f>
        <v/>
      </c>
      <c r="M28" s="94" t="str">
        <f t="array" aca="1" ref="M28" ca="1">IF(ROW()-ROW($G$2:$G$57)+1&gt;ROWS($F$2:$F$57)-COUNTBLANK($F$2:$F$57),"",INDIRECT(ADDRESS(SMALL((IF($F$2:$F$57&lt;&gt;"",ROW($F$2:$F$57),ROW()+ROWS($F$2:$F$57))),ROW()-ROW($G$2:$G$57)+1),COLUMN($F$2:$F$57),4)))</f>
        <v/>
      </c>
      <c r="N28" s="94" t="str">
        <f t="array" aca="1" ref="N28" ca="1">IF(ROW()-ROW($H$2:$H$57)+1&gt;ROWS($G$2:$G$57)-COUNTBLANK($G$2:$G$57),"",INDIRECT(ADDRESS(SMALL((IF($G$2:$G$57&lt;&gt;"",ROW($G$2:$G$57),ROW()+ROWS($G$2:$G$57))),ROW()-ROW($H$2:$H$57)+1),COLUMN($G$2:$G$57),4)))</f>
        <v/>
      </c>
      <c r="O28" s="184" t="str">
        <f t="array" aca="1" ref="O28" ca="1">IF(ROW()-ROW($I$2:$I$57)+1&gt;ROWS($H$2:$H$57)-COUNTBLANK($H$2:$H$57),"",INDIRECT(ADDRESS(SMALL((IF($H$2:$H$57&lt;&gt;"",ROW($H$2:$H$57),ROW()+ROWS($H$2:$H$57))),ROW()-ROW($I$2:$I$57)+1),COLUMN($H$2:$H$57),4)))</f>
        <v/>
      </c>
      <c r="P28" s="184" t="str">
        <f t="array" aca="1" ref="P28" ca="1">IF(ROW()-ROW($J$2:$J$57)+1&gt;ROWS($I$2:$I$57)-COUNTBLANK($I$2:$I$57),"",INDIRECT(ADDRESS(SMALL((IF($I$2:$I$57&lt;&gt;"",ROW($I$2:$I$57),ROW()+ROWS($I$2:$I$57))),ROW()-ROW($J$2:$J$57)+1),COLUMN($I$2:$I$57),4)))</f>
        <v/>
      </c>
    </row>
    <row r="29" spans="4:16" x14ac:dyDescent="0.45">
      <c r="D29" s="912"/>
      <c r="E29" s="34" t="str">
        <f>IF(H29="","","2015")</f>
        <v/>
      </c>
      <c r="F29" s="34" t="str">
        <f t="shared" si="6"/>
        <v/>
      </c>
      <c r="G29" s="34" t="str">
        <f t="shared" si="7"/>
        <v/>
      </c>
      <c r="H29" s="173" t="str">
        <f>IF(A4="relevant",IF('Matrix-Rectum'!C25="","",IF('Matrix-Rectum'!C25&lt;Berechnung4!$G$35,Berechnung4!$L$35,"")),"")</f>
        <v/>
      </c>
      <c r="I29" s="172" t="str">
        <f>IF(H29="","",VLOOKUP(F29,Berechnung4!$I$15:$J$25,2,FALSE))</f>
        <v/>
      </c>
      <c r="J29" s="237" t="str">
        <f t="shared" si="2"/>
        <v/>
      </c>
      <c r="L29" s="94" t="str">
        <f t="array" aca="1" ref="L29" ca="1">IF(ROW()-ROW($F$2:$F$57)+1&gt;ROWS($E$2:$E$57)-COUNTBLANK($E$2:$E$57),"",INDIRECT(ADDRESS(SMALL((IF($E$2:$E$57&gt;"",ROW($E$2:$E$57),ROW()+ROWS($E$2:$E$57))),ROW()-ROW($F$2:$F$57)+1),COLUMN($E$2:$E$57),4)))</f>
        <v/>
      </c>
      <c r="M29" s="94" t="str">
        <f t="array" aca="1" ref="M29" ca="1">IF(ROW()-ROW($G$2:$G$57)+1&gt;ROWS($F$2:$F$57)-COUNTBLANK($F$2:$F$57),"",INDIRECT(ADDRESS(SMALL((IF($F$2:$F$57&lt;&gt;"",ROW($F$2:$F$57),ROW()+ROWS($F$2:$F$57))),ROW()-ROW($G$2:$G$57)+1),COLUMN($F$2:$F$57),4)))</f>
        <v/>
      </c>
      <c r="N29" s="94" t="str">
        <f t="array" aca="1" ref="N29" ca="1">IF(ROW()-ROW($H$2:$H$57)+1&gt;ROWS($G$2:$G$57)-COUNTBLANK($G$2:$G$57),"",INDIRECT(ADDRESS(SMALL((IF($G$2:$G$57&lt;&gt;"",ROW($G$2:$G$57),ROW()+ROWS($G$2:$G$57))),ROW()-ROW($H$2:$H$57)+1),COLUMN($G$2:$G$57),4)))</f>
        <v/>
      </c>
      <c r="O29" s="184" t="str">
        <f t="array" aca="1" ref="O29" ca="1">IF(ROW()-ROW($I$2:$I$57)+1&gt;ROWS($H$2:$H$57)-COUNTBLANK($H$2:$H$57),"",INDIRECT(ADDRESS(SMALL((IF($H$2:$H$57&lt;&gt;"",ROW($H$2:$H$57),ROW()+ROWS($H$2:$H$57))),ROW()-ROW($I$2:$I$57)+1),COLUMN($H$2:$H$57),4)))</f>
        <v/>
      </c>
      <c r="P29" s="184" t="str">
        <f t="array" aca="1" ref="P29" ca="1">IF(ROW()-ROW($J$2:$J$57)+1&gt;ROWS($I$2:$I$57)-COUNTBLANK($I$2:$I$57),"",INDIRECT(ADDRESS(SMALL((IF($I$2:$I$57&lt;&gt;"",ROW($I$2:$I$57),ROW()+ROWS($I$2:$I$57))),ROW()-ROW($J$2:$J$57)+1),COLUMN($I$2:$I$57),4)))</f>
        <v/>
      </c>
    </row>
    <row r="30" spans="4:16" x14ac:dyDescent="0.45">
      <c r="D30" s="912"/>
      <c r="E30" s="34" t="str">
        <f>IF(H30="","","2016")</f>
        <v/>
      </c>
      <c r="F30" s="34" t="str">
        <f t="shared" si="6"/>
        <v/>
      </c>
      <c r="G30" s="34" t="str">
        <f t="shared" si="7"/>
        <v/>
      </c>
      <c r="H30" s="173" t="str">
        <f>IF(A5="relevant",IF('Matrix-Rectum'!C26="","",IF('Matrix-Rectum'!C26&lt;Berechnung4!$G$35,Berechnung4!$L$35,"")),"")</f>
        <v/>
      </c>
      <c r="I30" s="172" t="str">
        <f>IF(H30="","",VLOOKUP(F30,Berechnung4!$I$15:$J$25,2,FALSE))</f>
        <v/>
      </c>
      <c r="J30" s="237" t="str">
        <f t="shared" si="2"/>
        <v/>
      </c>
      <c r="L30" s="94" t="str">
        <f t="array" aca="1" ref="L30" ca="1">IF(ROW()-ROW($F$2:$F$57)+1&gt;ROWS($E$2:$E$57)-COUNTBLANK($E$2:$E$57),"",INDIRECT(ADDRESS(SMALL((IF($E$2:$E$57&gt;"",ROW($E$2:$E$57),ROW()+ROWS($E$2:$E$57))),ROW()-ROW($F$2:$F$57)+1),COLUMN($E$2:$E$57),4)))</f>
        <v/>
      </c>
      <c r="M30" s="94" t="str">
        <f t="array" aca="1" ref="M30" ca="1">IF(ROW()-ROW($G$2:$G$57)+1&gt;ROWS($F$2:$F$57)-COUNTBLANK($F$2:$F$57),"",INDIRECT(ADDRESS(SMALL((IF($F$2:$F$57&lt;&gt;"",ROW($F$2:$F$57),ROW()+ROWS($F$2:$F$57))),ROW()-ROW($G$2:$G$57)+1),COLUMN($F$2:$F$57),4)))</f>
        <v/>
      </c>
      <c r="N30" s="94" t="str">
        <f t="array" aca="1" ref="N30" ca="1">IF(ROW()-ROW($H$2:$H$57)+1&gt;ROWS($G$2:$G$57)-COUNTBLANK($G$2:$G$57),"",INDIRECT(ADDRESS(SMALL((IF($G$2:$G$57&lt;&gt;"",ROW($G$2:$G$57),ROW()+ROWS($G$2:$G$57))),ROW()-ROW($H$2:$H$57)+1),COLUMN($G$2:$G$57),4)))</f>
        <v/>
      </c>
      <c r="O30" s="184" t="str">
        <f t="array" aca="1" ref="O30" ca="1">IF(ROW()-ROW($I$2:$I$57)+1&gt;ROWS($H$2:$H$57)-COUNTBLANK($H$2:$H$57),"",INDIRECT(ADDRESS(SMALL((IF($H$2:$H$57&lt;&gt;"",ROW($H$2:$H$57),ROW()+ROWS($H$2:$H$57))),ROW()-ROW($I$2:$I$57)+1),COLUMN($H$2:$H$57),4)))</f>
        <v/>
      </c>
      <c r="P30" s="184" t="str">
        <f t="array" aca="1" ref="P30" ca="1">IF(ROW()-ROW($J$2:$J$57)+1&gt;ROWS($I$2:$I$57)-COUNTBLANK($I$2:$I$57),"",INDIRECT(ADDRESS(SMALL((IF($I$2:$I$57&lt;&gt;"",ROW($I$2:$I$57),ROW()+ROWS($I$2:$I$57))),ROW()-ROW($J$2:$J$57)+1),COLUMN($I$2:$I$57),4)))</f>
        <v/>
      </c>
    </row>
    <row r="31" spans="4:16" x14ac:dyDescent="0.45">
      <c r="D31" s="912"/>
      <c r="E31" s="34" t="str">
        <f>IF(H31="","","2017")</f>
        <v/>
      </c>
      <c r="F31" s="34" t="str">
        <f t="shared" si="6"/>
        <v/>
      </c>
      <c r="G31" s="34" t="str">
        <f t="shared" si="7"/>
        <v/>
      </c>
      <c r="H31" s="173" t="str">
        <f>IF(A6="relevant",IF('Matrix-Rectum'!C27="","",IF('Matrix-Rectum'!C27&lt;Berechnung4!$G$35,Berechnung4!$L$35,"")),"")</f>
        <v/>
      </c>
      <c r="I31" s="172" t="str">
        <f>IF(H31="","",VLOOKUP(F31,Berechnung4!$I$15:$J$25,2,FALSE))</f>
        <v/>
      </c>
      <c r="J31" s="237" t="str">
        <f t="shared" si="2"/>
        <v/>
      </c>
      <c r="L31" s="94" t="str">
        <f t="array" aca="1" ref="L31" ca="1">IF(ROW()-ROW($F$2:$F$57)+1&gt;ROWS($E$2:$E$57)-COUNTBLANK($E$2:$E$57),"",INDIRECT(ADDRESS(SMALL((IF($E$2:$E$57&gt;"",ROW($E$2:$E$57),ROW()+ROWS($E$2:$E$57))),ROW()-ROW($F$2:$F$57)+1),COLUMN($E$2:$E$57),4)))</f>
        <v/>
      </c>
      <c r="M31" s="94" t="str">
        <f t="array" aca="1" ref="M31" ca="1">IF(ROW()-ROW($G$2:$G$57)+1&gt;ROWS($F$2:$F$57)-COUNTBLANK($F$2:$F$57),"",INDIRECT(ADDRESS(SMALL((IF($F$2:$F$57&lt;&gt;"",ROW($F$2:$F$57),ROW()+ROWS($F$2:$F$57))),ROW()-ROW($G$2:$G$57)+1),COLUMN($F$2:$F$57),4)))</f>
        <v/>
      </c>
      <c r="N31" s="94" t="str">
        <f t="array" aca="1" ref="N31" ca="1">IF(ROW()-ROW($H$2:$H$57)+1&gt;ROWS($G$2:$G$57)-COUNTBLANK($G$2:$G$57),"",INDIRECT(ADDRESS(SMALL((IF($G$2:$G$57&lt;&gt;"",ROW($G$2:$G$57),ROW()+ROWS($G$2:$G$57))),ROW()-ROW($H$2:$H$57)+1),COLUMN($G$2:$G$57),4)))</f>
        <v/>
      </c>
      <c r="O31" s="184" t="str">
        <f t="array" aca="1" ref="O31" ca="1">IF(ROW()-ROW($I$2:$I$57)+1&gt;ROWS($H$2:$H$57)-COUNTBLANK($H$2:$H$57),"",INDIRECT(ADDRESS(SMALL((IF($H$2:$H$57&lt;&gt;"",ROW($H$2:$H$57),ROW()+ROWS($H$2:$H$57))),ROW()-ROW($I$2:$I$57)+1),COLUMN($H$2:$H$57),4)))</f>
        <v/>
      </c>
      <c r="P31" s="184" t="str">
        <f t="array" aca="1" ref="P31" ca="1">IF(ROW()-ROW($J$2:$J$57)+1&gt;ROWS($I$2:$I$57)-COUNTBLANK($I$2:$I$57),"",INDIRECT(ADDRESS(SMALL((IF($I$2:$I$57&lt;&gt;"",ROW($I$2:$I$57),ROW()+ROWS($I$2:$I$57))),ROW()-ROW($J$2:$J$57)+1),COLUMN($I$2:$I$57),4)))</f>
        <v/>
      </c>
    </row>
    <row r="32" spans="4:16" ht="14.65" thickBot="1" x14ac:dyDescent="0.5">
      <c r="D32" s="142" t="s">
        <v>132</v>
      </c>
      <c r="E32" s="155" t="str">
        <f>IF(H32="","","2018")</f>
        <v/>
      </c>
      <c r="F32" s="155" t="str">
        <f t="shared" si="6"/>
        <v/>
      </c>
      <c r="G32" s="155" t="str">
        <f t="shared" si="7"/>
        <v/>
      </c>
      <c r="H32" s="185" t="str">
        <f>IF(A7="relevant",IF('Matrix-Rectum'!C28="","",IF('Matrix-Rectum'!C28&lt;Berechnung4!$G$35,Berechnung4!$L$35,"")),"")</f>
        <v/>
      </c>
      <c r="I32" s="219" t="str">
        <f>IF(H32="","",VLOOKUP(F32,Berechnung4!$I$15:$J$25,2,FALSE))</f>
        <v/>
      </c>
      <c r="J32" s="220" t="str">
        <f t="shared" si="2"/>
        <v/>
      </c>
      <c r="L32" s="94" t="str">
        <f t="array" aca="1" ref="L32" ca="1">IF(ROW()-ROW($F$2:$F$57)+1&gt;ROWS($E$2:$E$57)-COUNTBLANK($E$2:$E$57),"",INDIRECT(ADDRESS(SMALL((IF($E$2:$E$57&gt;"",ROW($E$2:$E$57),ROW()+ROWS($E$2:$E$57))),ROW()-ROW($F$2:$F$57)+1),COLUMN($E$2:$E$57),4)))</f>
        <v/>
      </c>
      <c r="M32" s="94" t="str">
        <f t="array" aca="1" ref="M32" ca="1">IF(ROW()-ROW($G$2:$G$57)+1&gt;ROWS($F$2:$F$57)-COUNTBLANK($F$2:$F$57),"",INDIRECT(ADDRESS(SMALL((IF($F$2:$F$57&lt;&gt;"",ROW($F$2:$F$57),ROW()+ROWS($F$2:$F$57))),ROW()-ROW($G$2:$G$57)+1),COLUMN($F$2:$F$57),4)))</f>
        <v/>
      </c>
      <c r="N32" s="94" t="str">
        <f t="array" aca="1" ref="N32" ca="1">IF(ROW()-ROW($H$2:$H$57)+1&gt;ROWS($G$2:$G$57)-COUNTBLANK($G$2:$G$57),"",INDIRECT(ADDRESS(SMALL((IF($G$2:$G$57&lt;&gt;"",ROW($G$2:$G$57),ROW()+ROWS($G$2:$G$57))),ROW()-ROW($H$2:$H$57)+1),COLUMN($G$2:$G$57),4)))</f>
        <v/>
      </c>
      <c r="O32" s="184" t="str">
        <f t="array" aca="1" ref="O32" ca="1">IF(ROW()-ROW($I$2:$I$57)+1&gt;ROWS($H$2:$H$57)-COUNTBLANK($H$2:$H$57),"",INDIRECT(ADDRESS(SMALL((IF($H$2:$H$57&lt;&gt;"",ROW($H$2:$H$57),ROW()+ROWS($H$2:$H$57))),ROW()-ROW($I$2:$I$57)+1),COLUMN($H$2:$H$57),4)))</f>
        <v/>
      </c>
      <c r="P32" s="184" t="str">
        <f t="array" aca="1" ref="P32" ca="1">IF(ROW()-ROW($J$2:$J$57)+1&gt;ROWS($I$2:$I$57)-COUNTBLANK($I$2:$I$57),"",INDIRECT(ADDRESS(SMALL((IF($I$2:$I$57&lt;&gt;"",ROW($I$2:$I$57),ROW()+ROWS($I$2:$I$57))),ROW()-ROW($J$2:$J$57)+1),COLUMN($I$2:$I$57),4)))</f>
        <v/>
      </c>
    </row>
    <row r="33" spans="4:16" ht="20.65" thickBot="1" x14ac:dyDescent="0.5">
      <c r="D33" s="153" t="s">
        <v>133</v>
      </c>
      <c r="E33" s="154" t="str">
        <f>IF(H33="","","2-4 Jahre")</f>
        <v/>
      </c>
      <c r="F33" s="154" t="str">
        <f>IF(H33="","","g")</f>
        <v/>
      </c>
      <c r="G33" s="154" t="str">
        <f t="shared" si="7"/>
        <v/>
      </c>
      <c r="H33" s="190" t="str">
        <f>IF(OR('Matrix-Rectum'!M30="-----",'Matrix-Rectum'!M30=""),"",IF(ROUND('Matrix-Rectum'!M30,4)&gt;Berechnung4!J39,Berechnung4!L39,""))</f>
        <v/>
      </c>
      <c r="I33" s="222" t="str">
        <f>IF(H33="","",VLOOKUP(F33,Berechnung4!$I$15:$J$25,2,FALSE))</f>
        <v/>
      </c>
      <c r="J33" s="223" t="str">
        <f t="shared" si="2"/>
        <v/>
      </c>
      <c r="L33" s="94" t="str">
        <f t="array" aca="1" ref="L33" ca="1">IF(ROW()-ROW($F$2:$F$57)+1&gt;ROWS($E$2:$E$57)-COUNTBLANK($E$2:$E$57),"",INDIRECT(ADDRESS(SMALL((IF($E$2:$E$57&gt;"",ROW($E$2:$E$57),ROW()+ROWS($E$2:$E$57))),ROW()-ROW($F$2:$F$57)+1),COLUMN($E$2:$E$57),4)))</f>
        <v/>
      </c>
      <c r="M33" s="94" t="str">
        <f t="array" aca="1" ref="M33" ca="1">IF(ROW()-ROW($G$2:$G$57)+1&gt;ROWS($F$2:$F$57)-COUNTBLANK($F$2:$F$57),"",INDIRECT(ADDRESS(SMALL((IF($F$2:$F$57&lt;&gt;"",ROW($F$2:$F$57),ROW()+ROWS($F$2:$F$57))),ROW()-ROW($G$2:$G$57)+1),COLUMN($F$2:$F$57),4)))</f>
        <v/>
      </c>
      <c r="N33" s="94" t="str">
        <f t="array" aca="1" ref="N33" ca="1">IF(ROW()-ROW($H$2:$H$57)+1&gt;ROWS($G$2:$G$57)-COUNTBLANK($G$2:$G$57),"",INDIRECT(ADDRESS(SMALL((IF($G$2:$G$57&lt;&gt;"",ROW($G$2:$G$57),ROW()+ROWS($G$2:$G$57))),ROW()-ROW($H$2:$H$57)+1),COLUMN($G$2:$G$57),4)))</f>
        <v/>
      </c>
      <c r="O33" s="184" t="str">
        <f t="array" aca="1" ref="O33" ca="1">IF(ROW()-ROW($I$2:$I$57)+1&gt;ROWS($H$2:$H$57)-COUNTBLANK($H$2:$H$57),"",INDIRECT(ADDRESS(SMALL((IF($H$2:$H$57&lt;&gt;"",ROW($H$2:$H$57),ROW()+ROWS($H$2:$H$57))),ROW()-ROW($I$2:$I$57)+1),COLUMN($H$2:$H$57),4)))</f>
        <v/>
      </c>
      <c r="P33" s="184" t="str">
        <f t="array" aca="1" ref="P33" ca="1">IF(ROW()-ROW($J$2:$J$57)+1&gt;ROWS($I$2:$I$57)-COUNTBLANK($I$2:$I$57),"",INDIRECT(ADDRESS(SMALL((IF($I$2:$I$57&lt;&gt;"",ROW($I$2:$I$57),ROW()+ROWS($I$2:$I$57))),ROW()-ROW($J$2:$J$57)+1),COLUMN($I$2:$I$57),4)))</f>
        <v/>
      </c>
    </row>
    <row r="34" spans="4:16" x14ac:dyDescent="0.45">
      <c r="D34" s="143" t="s">
        <v>307</v>
      </c>
      <c r="E34" s="156" t="str">
        <f>IF(H34="","","2013")</f>
        <v/>
      </c>
      <c r="F34" s="156" t="str">
        <f t="shared" ref="F34:F39" si="8">IF(H34="","","h")</f>
        <v/>
      </c>
      <c r="G34" s="156" t="str">
        <f t="shared" si="7"/>
        <v/>
      </c>
      <c r="H34" s="186" t="str">
        <f>IF(A2="relevant",IF('Matrix-Rectum'!M23="","",IF(ROUND('Matrix-Rectum'!M23,4)&lt;Berechnung4!$J$37,Berechnung4!$L$37,"")),"")</f>
        <v/>
      </c>
      <c r="I34" s="239" t="str">
        <f>IF(H34="","",VLOOKUP(F34,Berechnung4!$I$15:$J$25,2,FALSE))</f>
        <v/>
      </c>
      <c r="J34" s="238" t="str">
        <f t="shared" si="2"/>
        <v/>
      </c>
      <c r="L34" s="94" t="str">
        <f t="array" aca="1" ref="L34" ca="1">IF(ROW()-ROW($F$2:$F$57)+1&gt;ROWS($E$2:$E$57)-COUNTBLANK($E$2:$E$57),"",INDIRECT(ADDRESS(SMALL((IF($E$2:$E$57&gt;"",ROW($E$2:$E$57),ROW()+ROWS($E$2:$E$57))),ROW()-ROW($F$2:$F$57)+1),COLUMN($E$2:$E$57),4)))</f>
        <v/>
      </c>
      <c r="M34" s="94" t="str">
        <f t="array" aca="1" ref="M34" ca="1">IF(ROW()-ROW($G$2:$G$57)+1&gt;ROWS($F$2:$F$57)-COUNTBLANK($F$2:$F$57),"",INDIRECT(ADDRESS(SMALL((IF($F$2:$F$57&lt;&gt;"",ROW($F$2:$F$57),ROW()+ROWS($F$2:$F$57))),ROW()-ROW($G$2:$G$57)+1),COLUMN($F$2:$F$57),4)))</f>
        <v/>
      </c>
      <c r="N34" s="94" t="str">
        <f t="array" aca="1" ref="N34" ca="1">IF(ROW()-ROW($H$2:$H$57)+1&gt;ROWS($G$2:$G$57)-COUNTBLANK($G$2:$G$57),"",INDIRECT(ADDRESS(SMALL((IF($G$2:$G$57&lt;&gt;"",ROW($G$2:$G$57),ROW()+ROWS($G$2:$G$57))),ROW()-ROW($H$2:$H$57)+1),COLUMN($G$2:$G$57),4)))</f>
        <v/>
      </c>
      <c r="O34" s="184" t="str">
        <f t="array" aca="1" ref="O34" ca="1">IF(ROW()-ROW($I$2:$I$57)+1&gt;ROWS($H$2:$H$57)-COUNTBLANK($H$2:$H$57),"",INDIRECT(ADDRESS(SMALL((IF($H$2:$H$57&lt;&gt;"",ROW($H$2:$H$57),ROW()+ROWS($H$2:$H$57))),ROW()-ROW($I$2:$I$57)+1),COLUMN($H$2:$H$57),4)))</f>
        <v/>
      </c>
      <c r="P34" s="184" t="str">
        <f t="array" aca="1" ref="P34" ca="1">IF(ROW()-ROW($J$2:$J$57)+1&gt;ROWS($I$2:$I$57)-COUNTBLANK($I$2:$I$57),"",INDIRECT(ADDRESS(SMALL((IF($I$2:$I$57&lt;&gt;"",ROW($I$2:$I$57),ROW()+ROWS($I$2:$I$57))),ROW()-ROW($J$2:$J$57)+1),COLUMN($I$2:$I$57),4)))</f>
        <v/>
      </c>
    </row>
    <row r="35" spans="4:16" x14ac:dyDescent="0.45">
      <c r="D35" s="914" t="s">
        <v>32</v>
      </c>
      <c r="E35" s="34" t="str">
        <f>IF(H35="","","2014")</f>
        <v/>
      </c>
      <c r="F35" s="34" t="str">
        <f t="shared" si="8"/>
        <v/>
      </c>
      <c r="G35" s="34" t="str">
        <f t="shared" si="7"/>
        <v/>
      </c>
      <c r="H35" s="173" t="str">
        <f>IF(A3="relevant",IF('Matrix-Rectum'!M24="","",IF(ROUND('Matrix-Rectum'!M24,4)&lt;Berechnung4!$J$37,Berechnung4!$L$37,"")),"")</f>
        <v/>
      </c>
      <c r="I35" s="172" t="str">
        <f>IF(H35="","",VLOOKUP(F35,Berechnung4!$I$15:$J$25,2,FALSE))</f>
        <v/>
      </c>
      <c r="J35" s="237" t="str">
        <f t="shared" si="2"/>
        <v/>
      </c>
      <c r="L35" s="94" t="str">
        <f t="array" aca="1" ref="L35" ca="1">IF(ROW()-ROW($F$2:$F$57)+1&gt;ROWS($E$2:$E$57)-COUNTBLANK($E$2:$E$57),"",INDIRECT(ADDRESS(SMALL((IF($E$2:$E$57&gt;"",ROW($E$2:$E$57),ROW()+ROWS($E$2:$E$57))),ROW()-ROW($F$2:$F$57)+1),COLUMN($E$2:$E$57),4)))</f>
        <v/>
      </c>
      <c r="M35" s="94" t="str">
        <f t="array" aca="1" ref="M35" ca="1">IF(ROW()-ROW($G$2:$G$57)+1&gt;ROWS($F$2:$F$57)-COUNTBLANK($F$2:$F$57),"",INDIRECT(ADDRESS(SMALL((IF($F$2:$F$57&lt;&gt;"",ROW($F$2:$F$57),ROW()+ROWS($F$2:$F$57))),ROW()-ROW($G$2:$G$57)+1),COLUMN($F$2:$F$57),4)))</f>
        <v/>
      </c>
      <c r="N35" s="94" t="str">
        <f t="array" aca="1" ref="N35" ca="1">IF(ROW()-ROW($H$2:$H$57)+1&gt;ROWS($G$2:$G$57)-COUNTBLANK($G$2:$G$57),"",INDIRECT(ADDRESS(SMALL((IF($G$2:$G$57&lt;&gt;"",ROW($G$2:$G$57),ROW()+ROWS($G$2:$G$57))),ROW()-ROW($H$2:$H$57)+1),COLUMN($G$2:$G$57),4)))</f>
        <v/>
      </c>
      <c r="O35" s="184" t="str">
        <f t="array" aca="1" ref="O35" ca="1">IF(ROW()-ROW($I$2:$I$57)+1&gt;ROWS($H$2:$H$57)-COUNTBLANK($H$2:$H$57),"",INDIRECT(ADDRESS(SMALL((IF($H$2:$H$57&lt;&gt;"",ROW($H$2:$H$57),ROW()+ROWS($H$2:$H$57))),ROW()-ROW($I$2:$I$57)+1),COLUMN($H$2:$H$57),4)))</f>
        <v/>
      </c>
      <c r="P35" s="184" t="str">
        <f t="array" aca="1" ref="P35" ca="1">IF(ROW()-ROW($J$2:$J$57)+1&gt;ROWS($I$2:$I$57)-COUNTBLANK($I$2:$I$57),"",INDIRECT(ADDRESS(SMALL((IF($I$2:$I$57&lt;&gt;"",ROW($I$2:$I$57),ROW()+ROWS($I$2:$I$57))),ROW()-ROW($J$2:$J$57)+1),COLUMN($I$2:$I$57),4)))</f>
        <v/>
      </c>
    </row>
    <row r="36" spans="4:16" x14ac:dyDescent="0.45">
      <c r="D36" s="914"/>
      <c r="E36" s="34" t="str">
        <f>IF(H36="","","2015")</f>
        <v/>
      </c>
      <c r="F36" s="34" t="str">
        <f t="shared" si="8"/>
        <v/>
      </c>
      <c r="G36" s="34" t="str">
        <f t="shared" si="7"/>
        <v/>
      </c>
      <c r="H36" s="173" t="str">
        <f>IF(A4="relevant",IF('Matrix-Rectum'!M25="","",IF(ROUND('Matrix-Rectum'!M25,4)&lt;Berechnung4!$J$37,Berechnung4!$L$37,"")),"")</f>
        <v/>
      </c>
      <c r="I36" s="172" t="str">
        <f>IF(H36="","",VLOOKUP(F36,Berechnung4!$I$15:$J$25,2,FALSE))</f>
        <v/>
      </c>
      <c r="J36" s="237" t="str">
        <f t="shared" si="2"/>
        <v/>
      </c>
      <c r="L36" s="94" t="str">
        <f t="array" aca="1" ref="L36" ca="1">IF(ROW()-ROW($F$2:$F$57)+1&gt;ROWS($E$2:$E$57)-COUNTBLANK($E$2:$E$57),"",INDIRECT(ADDRESS(SMALL((IF($E$2:$E$57&gt;"",ROW($E$2:$E$57),ROW()+ROWS($E$2:$E$57))),ROW()-ROW($F$2:$F$57)+1),COLUMN($E$2:$E$57),4)))</f>
        <v/>
      </c>
      <c r="M36" s="94" t="str">
        <f t="array" aca="1" ref="M36" ca="1">IF(ROW()-ROW($G$2:$G$57)+1&gt;ROWS($F$2:$F$57)-COUNTBLANK($F$2:$F$57),"",INDIRECT(ADDRESS(SMALL((IF($F$2:$F$57&lt;&gt;"",ROW($F$2:$F$57),ROW()+ROWS($F$2:$F$57))),ROW()-ROW($G$2:$G$57)+1),COLUMN($F$2:$F$57),4)))</f>
        <v/>
      </c>
      <c r="N36" s="94" t="str">
        <f t="array" aca="1" ref="N36" ca="1">IF(ROW()-ROW($H$2:$H$57)+1&gt;ROWS($G$2:$G$57)-COUNTBLANK($G$2:$G$57),"",INDIRECT(ADDRESS(SMALL((IF($G$2:$G$57&lt;&gt;"",ROW($G$2:$G$57),ROW()+ROWS($G$2:$G$57))),ROW()-ROW($H$2:$H$57)+1),COLUMN($G$2:$G$57),4)))</f>
        <v/>
      </c>
      <c r="O36" s="184" t="str">
        <f t="array" aca="1" ref="O36" ca="1">IF(ROW()-ROW($I$2:$I$57)+1&gt;ROWS($H$2:$H$57)-COUNTBLANK($H$2:$H$57),"",INDIRECT(ADDRESS(SMALL((IF($H$2:$H$57&lt;&gt;"",ROW($H$2:$H$57),ROW()+ROWS($H$2:$H$57))),ROW()-ROW($I$2:$I$57)+1),COLUMN($H$2:$H$57),4)))</f>
        <v/>
      </c>
      <c r="P36" s="184" t="str">
        <f t="array" aca="1" ref="P36" ca="1">IF(ROW()-ROW($J$2:$J$57)+1&gt;ROWS($I$2:$I$57)-COUNTBLANK($I$2:$I$57),"",INDIRECT(ADDRESS(SMALL((IF($I$2:$I$57&lt;&gt;"",ROW($I$2:$I$57),ROW()+ROWS($I$2:$I$57))),ROW()-ROW($J$2:$J$57)+1),COLUMN($I$2:$I$57),4)))</f>
        <v/>
      </c>
    </row>
    <row r="37" spans="4:16" x14ac:dyDescent="0.45">
      <c r="D37" s="914"/>
      <c r="E37" s="34" t="str">
        <f>IF(H37="","","2016")</f>
        <v/>
      </c>
      <c r="F37" s="34" t="str">
        <f t="shared" si="8"/>
        <v/>
      </c>
      <c r="G37" s="34" t="str">
        <f t="shared" si="7"/>
        <v/>
      </c>
      <c r="H37" s="173" t="str">
        <f>IF(A5="relevant",IF('Matrix-Rectum'!M26="","",IF(ROUND('Matrix-Rectum'!M26,4)&lt;Berechnung4!$J$37,Berechnung4!$L$37,"")),"")</f>
        <v/>
      </c>
      <c r="I37" s="172" t="str">
        <f>IF(H37="","",VLOOKUP(F37,Berechnung4!$I$15:$J$25,2,FALSE))</f>
        <v/>
      </c>
      <c r="J37" s="237" t="str">
        <f t="shared" si="2"/>
        <v/>
      </c>
      <c r="L37" s="94" t="str">
        <f t="array" aca="1" ref="L37" ca="1">IF(ROW()-ROW($F$2:$F$57)+1&gt;ROWS($E$2:$E$57)-COUNTBLANK($E$2:$E$57),"",INDIRECT(ADDRESS(SMALL((IF($E$2:$E$57&gt;"",ROW($E$2:$E$57),ROW()+ROWS($E$2:$E$57))),ROW()-ROW($F$2:$F$57)+1),COLUMN($E$2:$E$57),4)))</f>
        <v/>
      </c>
      <c r="M37" s="94" t="str">
        <f t="array" aca="1" ref="M37" ca="1">IF(ROW()-ROW($G$2:$G$57)+1&gt;ROWS($F$2:$F$57)-COUNTBLANK($F$2:$F$57),"",INDIRECT(ADDRESS(SMALL((IF($F$2:$F$57&lt;&gt;"",ROW($F$2:$F$57),ROW()+ROWS($F$2:$F$57))),ROW()-ROW($G$2:$G$57)+1),COLUMN($F$2:$F$57),4)))</f>
        <v/>
      </c>
      <c r="N37" s="94" t="str">
        <f t="array" aca="1" ref="N37" ca="1">IF(ROW()-ROW($H$2:$H$57)+1&gt;ROWS($G$2:$G$57)-COUNTBLANK($G$2:$G$57),"",INDIRECT(ADDRESS(SMALL((IF($G$2:$G$57&lt;&gt;"",ROW($G$2:$G$57),ROW()+ROWS($G$2:$G$57))),ROW()-ROW($H$2:$H$57)+1),COLUMN($G$2:$G$57),4)))</f>
        <v/>
      </c>
      <c r="O37" s="184" t="str">
        <f t="array" aca="1" ref="O37" ca="1">IF(ROW()-ROW($I$2:$I$57)+1&gt;ROWS($H$2:$H$57)-COUNTBLANK($H$2:$H$57),"",INDIRECT(ADDRESS(SMALL((IF($H$2:$H$57&lt;&gt;"",ROW($H$2:$H$57),ROW()+ROWS($H$2:$H$57))),ROW()-ROW($I$2:$I$57)+1),COLUMN($H$2:$H$57),4)))</f>
        <v/>
      </c>
      <c r="P37" s="184" t="str">
        <f t="array" aca="1" ref="P37" ca="1">IF(ROW()-ROW($J$2:$J$57)+1&gt;ROWS($I$2:$I$57)-COUNTBLANK($I$2:$I$57),"",INDIRECT(ADDRESS(SMALL((IF($I$2:$I$57&lt;&gt;"",ROW($I$2:$I$57),ROW()+ROWS($I$2:$I$57))),ROW()-ROW($J$2:$J$57)+1),COLUMN($I$2:$I$57),4)))</f>
        <v/>
      </c>
    </row>
    <row r="38" spans="4:16" x14ac:dyDescent="0.45">
      <c r="D38" s="914"/>
      <c r="E38" s="34" t="str">
        <f>IF(H38="","","2017")</f>
        <v/>
      </c>
      <c r="F38" s="34" t="str">
        <f t="shared" si="8"/>
        <v/>
      </c>
      <c r="G38" s="34" t="str">
        <f t="shared" si="7"/>
        <v/>
      </c>
      <c r="H38" s="173" t="str">
        <f>IF(A6="relevant",IF('Matrix-Rectum'!M27="","",IF(ROUND('Matrix-Rectum'!M27,4)&lt;Berechnung4!$J$37,Berechnung4!$L$37,"")),"")</f>
        <v/>
      </c>
      <c r="I38" s="172" t="str">
        <f>IF(H38="","",VLOOKUP(F38,Berechnung4!$I$15:$J$25,2,FALSE))</f>
        <v/>
      </c>
      <c r="J38" s="237" t="str">
        <f t="shared" si="2"/>
        <v/>
      </c>
      <c r="L38" s="94" t="str">
        <f t="array" aca="1" ref="L38" ca="1">IF(ROW()-ROW($F$2:$F$57)+1&gt;ROWS($E$2:$E$57)-COUNTBLANK($E$2:$E$57),"",INDIRECT(ADDRESS(SMALL((IF($E$2:$E$57&gt;"",ROW($E$2:$E$57),ROW()+ROWS($E$2:$E$57))),ROW()-ROW($F$2:$F$57)+1),COLUMN($E$2:$E$57),4)))</f>
        <v/>
      </c>
      <c r="M38" s="94" t="str">
        <f t="array" aca="1" ref="M38" ca="1">IF(ROW()-ROW($G$2:$G$57)+1&gt;ROWS($F$2:$F$57)-COUNTBLANK($F$2:$F$57),"",INDIRECT(ADDRESS(SMALL((IF($F$2:$F$57&lt;&gt;"",ROW($F$2:$F$57),ROW()+ROWS($F$2:$F$57))),ROW()-ROW($G$2:$G$57)+1),COLUMN($F$2:$F$57),4)))</f>
        <v/>
      </c>
      <c r="N38" s="94" t="str">
        <f t="array" aca="1" ref="N38" ca="1">IF(ROW()-ROW($H$2:$H$57)+1&gt;ROWS($G$2:$G$57)-COUNTBLANK($G$2:$G$57),"",INDIRECT(ADDRESS(SMALL((IF($G$2:$G$57&lt;&gt;"",ROW($G$2:$G$57),ROW()+ROWS($G$2:$G$57))),ROW()-ROW($H$2:$H$57)+1),COLUMN($G$2:$G$57),4)))</f>
        <v/>
      </c>
      <c r="O38" s="184" t="str">
        <f t="array" aca="1" ref="O38" ca="1">IF(ROW()-ROW($I$2:$I$57)+1&gt;ROWS($H$2:$H$57)-COUNTBLANK($H$2:$H$57),"",INDIRECT(ADDRESS(SMALL((IF($H$2:$H$57&lt;&gt;"",ROW($H$2:$H$57),ROW()+ROWS($H$2:$H$57))),ROW()-ROW($I$2:$I$57)+1),COLUMN($H$2:$H$57),4)))</f>
        <v/>
      </c>
      <c r="P38" s="184" t="str">
        <f t="array" aca="1" ref="P38" ca="1">IF(ROW()-ROW($J$2:$J$57)+1&gt;ROWS($I$2:$I$57)-COUNTBLANK($I$2:$I$57),"",INDIRECT(ADDRESS(SMALL((IF($I$2:$I$57&lt;&gt;"",ROW($I$2:$I$57),ROW()+ROWS($I$2:$I$57))),ROW()-ROW($J$2:$J$57)+1),COLUMN($I$2:$I$57),4)))</f>
        <v/>
      </c>
    </row>
    <row r="39" spans="4:16" ht="14.65" thickBot="1" x14ac:dyDescent="0.5">
      <c r="D39" s="142" t="s">
        <v>134</v>
      </c>
      <c r="E39" s="155" t="str">
        <f>IF(H39="","","2018")</f>
        <v/>
      </c>
      <c r="F39" s="155" t="str">
        <f t="shared" si="8"/>
        <v/>
      </c>
      <c r="G39" s="155" t="str">
        <f t="shared" si="7"/>
        <v/>
      </c>
      <c r="H39" s="185"/>
      <c r="I39" s="219" t="str">
        <f>IF(H39="","",VLOOKUP(F39,Berechnung4!$I$15:$J$25,2,FALSE))</f>
        <v/>
      </c>
      <c r="J39" s="220" t="str">
        <f t="shared" si="2"/>
        <v/>
      </c>
      <c r="L39" s="94" t="str">
        <f t="array" aca="1" ref="L39" ca="1">IF(ROW()-ROW($F$2:$F$57)+1&gt;ROWS($E$2:$E$57)-COUNTBLANK($E$2:$E$57),"",INDIRECT(ADDRESS(SMALL((IF($E$2:$E$57&gt;"",ROW($E$2:$E$57),ROW()+ROWS($E$2:$E$57))),ROW()-ROW($F$2:$F$57)+1),COLUMN($E$2:$E$57),4)))</f>
        <v/>
      </c>
      <c r="M39" s="94" t="str">
        <f t="array" aca="1" ref="M39" ca="1">IF(ROW()-ROW($G$2:$G$57)+1&gt;ROWS($F$2:$F$57)-COUNTBLANK($F$2:$F$57),"",INDIRECT(ADDRESS(SMALL((IF($F$2:$F$57&lt;&gt;"",ROW($F$2:$F$57),ROW()+ROWS($F$2:$F$57))),ROW()-ROW($G$2:$G$57)+1),COLUMN($F$2:$F$57),4)))</f>
        <v/>
      </c>
      <c r="N39" s="94" t="str">
        <f t="array" aca="1" ref="N39" ca="1">IF(ROW()-ROW($H$2:$H$57)+1&gt;ROWS($G$2:$G$57)-COUNTBLANK($G$2:$G$57),"",INDIRECT(ADDRESS(SMALL((IF($G$2:$G$57&lt;&gt;"",ROW($G$2:$G$57),ROW()+ROWS($G$2:$G$57))),ROW()-ROW($H$2:$H$57)+1),COLUMN($G$2:$G$57),4)))</f>
        <v/>
      </c>
      <c r="O39" s="184" t="str">
        <f t="array" aca="1" ref="O39" ca="1">IF(ROW()-ROW($I$2:$I$57)+1&gt;ROWS($H$2:$H$57)-COUNTBLANK($H$2:$H$57),"",INDIRECT(ADDRESS(SMALL((IF($H$2:$H$57&lt;&gt;"",ROW($H$2:$H$57),ROW()+ROWS($H$2:$H$57))),ROW()-ROW($I$2:$I$57)+1),COLUMN($H$2:$H$57),4)))</f>
        <v/>
      </c>
      <c r="P39" s="184" t="str">
        <f t="array" aca="1" ref="P39" ca="1">IF(ROW()-ROW($J$2:$J$57)+1&gt;ROWS($I$2:$I$57)-COUNTBLANK($I$2:$I$57),"",INDIRECT(ADDRESS(SMALL((IF($I$2:$I$57&lt;&gt;"",ROW($I$2:$I$57),ROW()+ROWS($I$2:$I$57))),ROW()-ROW($J$2:$J$57)+1),COLUMN($I$2:$I$57),4)))</f>
        <v/>
      </c>
    </row>
    <row r="40" spans="4:16" x14ac:dyDescent="0.45">
      <c r="D40" s="143" t="s">
        <v>307</v>
      </c>
      <c r="E40" s="156" t="str">
        <f>IF(H40="","","2013")</f>
        <v/>
      </c>
      <c r="F40" s="156" t="str">
        <f t="shared" ref="F40:F45" si="9">IF(H40="","","i")</f>
        <v/>
      </c>
      <c r="G40" s="156" t="str">
        <f t="shared" si="7"/>
        <v/>
      </c>
      <c r="H40" s="186" t="str">
        <f>IF(A2="relevant",IF('Matrix-Rectum'!P23="","",IF(AND(ROUND('Matrix-Rectum'!P23,4)&lt;Berechnung4!$J$33,(ROUND('Matrix-Rectum'!P23,4))&gt;=0),Berechnung4!$L$33,"")),"")</f>
        <v/>
      </c>
      <c r="I40" s="239" t="str">
        <f>IF(H40="","",VLOOKUP(F40,Berechnung4!$I$15:$J$25,2,FALSE))</f>
        <v/>
      </c>
      <c r="J40" s="238" t="str">
        <f t="shared" si="2"/>
        <v/>
      </c>
      <c r="L40" s="94" t="str">
        <f t="array" aca="1" ref="L40" ca="1">IF(ROW()-ROW($F$2:$F$57)+1&gt;ROWS($E$2:$E$57)-COUNTBLANK($E$2:$E$57),"",INDIRECT(ADDRESS(SMALL((IF($E$2:$E$57&gt;"",ROW($E$2:$E$57),ROW()+ROWS($E$2:$E$57))),ROW()-ROW($F$2:$F$57)+1),COLUMN($E$2:$E$57),4)))</f>
        <v/>
      </c>
      <c r="M40" s="94" t="str">
        <f t="array" aca="1" ref="M40" ca="1">IF(ROW()-ROW($G$2:$G$57)+1&gt;ROWS($F$2:$F$57)-COUNTBLANK($F$2:$F$57),"",INDIRECT(ADDRESS(SMALL((IF($F$2:$F$57&lt;&gt;"",ROW($F$2:$F$57),ROW()+ROWS($F$2:$F$57))),ROW()-ROW($G$2:$G$57)+1),COLUMN($F$2:$F$57),4)))</f>
        <v/>
      </c>
      <c r="N40" s="94" t="str">
        <f t="array" aca="1" ref="N40" ca="1">IF(ROW()-ROW($H$2:$H$57)+1&gt;ROWS($G$2:$G$57)-COUNTBLANK($G$2:$G$57),"",INDIRECT(ADDRESS(SMALL((IF($G$2:$G$57&lt;&gt;"",ROW($G$2:$G$57),ROW()+ROWS($G$2:$G$57))),ROW()-ROW($H$2:$H$57)+1),COLUMN($G$2:$G$57),4)))</f>
        <v/>
      </c>
      <c r="O40" s="184" t="str">
        <f t="array" aca="1" ref="O40" ca="1">IF(ROW()-ROW($I$2:$I$57)+1&gt;ROWS($H$2:$H$57)-COUNTBLANK($H$2:$H$57),"",INDIRECT(ADDRESS(SMALL((IF($H$2:$H$57&lt;&gt;"",ROW($H$2:$H$57),ROW()+ROWS($H$2:$H$57))),ROW()-ROW($I$2:$I$57)+1),COLUMN($H$2:$H$57),4)))</f>
        <v/>
      </c>
      <c r="P40" s="184" t="str">
        <f t="array" aca="1" ref="P40" ca="1">IF(ROW()-ROW($J$2:$J$57)+1&gt;ROWS($I$2:$I$57)-COUNTBLANK($I$2:$I$57),"",INDIRECT(ADDRESS(SMALL((IF($I$2:$I$57&lt;&gt;"",ROW($I$2:$I$57),ROW()+ROWS($I$2:$I$57))),ROW()-ROW($J$2:$J$57)+1),COLUMN($I$2:$I$57),4)))</f>
        <v/>
      </c>
    </row>
    <row r="41" spans="4:16" x14ac:dyDescent="0.45">
      <c r="D41" s="914" t="s">
        <v>352</v>
      </c>
      <c r="E41" s="34" t="str">
        <f>IF(H41="","","2014")</f>
        <v/>
      </c>
      <c r="F41" s="34" t="str">
        <f t="shared" si="9"/>
        <v/>
      </c>
      <c r="G41" s="34" t="str">
        <f t="shared" si="7"/>
        <v/>
      </c>
      <c r="H41" s="173" t="str">
        <f>IF(A3="relevant",IF('Matrix-Rectum'!P24="","",IF(AND(ROUND('Matrix-Rectum'!P24,4)&lt;Berechnung4!$J$33,(ROUND('Matrix-Rectum'!P24,4))&gt;=0),Berechnung4!$L$33,"")),"")</f>
        <v/>
      </c>
      <c r="I41" s="172" t="str">
        <f>IF(H41="","",VLOOKUP(F41,Berechnung4!$I$15:$J$25,2,FALSE))</f>
        <v/>
      </c>
      <c r="J41" s="237" t="str">
        <f t="shared" si="2"/>
        <v/>
      </c>
      <c r="L41" s="94" t="str">
        <f t="array" aca="1" ref="L41" ca="1">IF(ROW()-ROW($F$2:$F$57)+1&gt;ROWS($E$2:$E$57)-COUNTBLANK($E$2:$E$57),"",INDIRECT(ADDRESS(SMALL((IF($E$2:$E$57&gt;"",ROW($E$2:$E$57),ROW()+ROWS($E$2:$E$57))),ROW()-ROW($F$2:$F$57)+1),COLUMN($E$2:$E$57),4)))</f>
        <v/>
      </c>
      <c r="M41" s="94" t="str">
        <f t="array" aca="1" ref="M41" ca="1">IF(ROW()-ROW($G$2:$G$57)+1&gt;ROWS($F$2:$F$57)-COUNTBLANK($F$2:$F$57),"",INDIRECT(ADDRESS(SMALL((IF($F$2:$F$57&lt;&gt;"",ROW($F$2:$F$57),ROW()+ROWS($F$2:$F$57))),ROW()-ROW($G$2:$G$57)+1),COLUMN($F$2:$F$57),4)))</f>
        <v/>
      </c>
      <c r="N41" s="94" t="str">
        <f t="array" aca="1" ref="N41" ca="1">IF(ROW()-ROW($H$2:$H$57)+1&gt;ROWS($G$2:$G$57)-COUNTBLANK($G$2:$G$57),"",INDIRECT(ADDRESS(SMALL((IF($G$2:$G$57&lt;&gt;"",ROW($G$2:$G$57),ROW()+ROWS($G$2:$G$57))),ROW()-ROW($H$2:$H$57)+1),COLUMN($G$2:$G$57),4)))</f>
        <v/>
      </c>
      <c r="O41" s="184" t="str">
        <f t="array" aca="1" ref="O41" ca="1">IF(ROW()-ROW($I$2:$I$57)+1&gt;ROWS($H$2:$H$57)-COUNTBLANK($H$2:$H$57),"",INDIRECT(ADDRESS(SMALL((IF($H$2:$H$57&lt;&gt;"",ROW($H$2:$H$57),ROW()+ROWS($H$2:$H$57))),ROW()-ROW($I$2:$I$57)+1),COLUMN($H$2:$H$57),4)))</f>
        <v/>
      </c>
      <c r="P41" s="184" t="str">
        <f t="array" aca="1" ref="P41" ca="1">IF(ROW()-ROW($J$2:$J$57)+1&gt;ROWS($I$2:$I$57)-COUNTBLANK($I$2:$I$57),"",INDIRECT(ADDRESS(SMALL((IF($I$2:$I$57&lt;&gt;"",ROW($I$2:$I$57),ROW()+ROWS($I$2:$I$57))),ROW()-ROW($J$2:$J$57)+1),COLUMN($I$2:$I$57),4)))</f>
        <v/>
      </c>
    </row>
    <row r="42" spans="4:16" x14ac:dyDescent="0.45">
      <c r="D42" s="914"/>
      <c r="E42" s="34" t="str">
        <f>IF(H42="","","2015")</f>
        <v/>
      </c>
      <c r="F42" s="34" t="str">
        <f t="shared" si="9"/>
        <v/>
      </c>
      <c r="G42" s="34" t="str">
        <f t="shared" si="7"/>
        <v/>
      </c>
      <c r="H42" s="173" t="str">
        <f>IF(A4="relevant",IF('Matrix-Rectum'!P25="","",IF(AND(ROUND('Matrix-Rectum'!P25,4)&lt;Berechnung4!$J$33,(ROUND('Matrix-Rectum'!P25,4))&gt;=0),Berechnung4!$L$33,"")),"")</f>
        <v/>
      </c>
      <c r="I42" s="172" t="str">
        <f>IF(H42="","",VLOOKUP(F42,Berechnung4!$I$15:$J$25,2,FALSE))</f>
        <v/>
      </c>
      <c r="J42" s="237" t="str">
        <f t="shared" si="2"/>
        <v/>
      </c>
      <c r="L42" s="94" t="str">
        <f t="array" aca="1" ref="L42" ca="1">IF(ROW()-ROW($F$2:$F$57)+1&gt;ROWS($E$2:$E$57)-COUNTBLANK($E$2:$E$57),"",INDIRECT(ADDRESS(SMALL((IF($E$2:$E$57&gt;"",ROW($E$2:$E$57),ROW()+ROWS($E$2:$E$57))),ROW()-ROW($F$2:$F$57)+1),COLUMN($E$2:$E$57),4)))</f>
        <v/>
      </c>
      <c r="M42" s="94" t="str">
        <f t="array" aca="1" ref="M42" ca="1">IF(ROW()-ROW($G$2:$G$57)+1&gt;ROWS($F$2:$F$57)-COUNTBLANK($F$2:$F$57),"",INDIRECT(ADDRESS(SMALL((IF($F$2:$F$57&lt;&gt;"",ROW($F$2:$F$57),ROW()+ROWS($F$2:$F$57))),ROW()-ROW($G$2:$G$57)+1),COLUMN($F$2:$F$57),4)))</f>
        <v/>
      </c>
      <c r="N42" s="94" t="str">
        <f t="array" aca="1" ref="N42" ca="1">IF(ROW()-ROW($H$2:$H$57)+1&gt;ROWS($G$2:$G$57)-COUNTBLANK($G$2:$G$57),"",INDIRECT(ADDRESS(SMALL((IF($G$2:$G$57&lt;&gt;"",ROW($G$2:$G$57),ROW()+ROWS($G$2:$G$57))),ROW()-ROW($H$2:$H$57)+1),COLUMN($G$2:$G$57),4)))</f>
        <v/>
      </c>
      <c r="O42" s="184" t="str">
        <f t="array" aca="1" ref="O42" ca="1">IF(ROW()-ROW($I$2:$I$57)+1&gt;ROWS($H$2:$H$57)-COUNTBLANK($H$2:$H$57),"",INDIRECT(ADDRESS(SMALL((IF($H$2:$H$57&lt;&gt;"",ROW($H$2:$H$57),ROW()+ROWS($H$2:$H$57))),ROW()-ROW($I$2:$I$57)+1),COLUMN($H$2:$H$57),4)))</f>
        <v/>
      </c>
      <c r="P42" s="184" t="str">
        <f t="array" aca="1" ref="P42" ca="1">IF(ROW()-ROW($J$2:$J$57)+1&gt;ROWS($I$2:$I$57)-COUNTBLANK($I$2:$I$57),"",INDIRECT(ADDRESS(SMALL((IF($I$2:$I$57&lt;&gt;"",ROW($I$2:$I$57),ROW()+ROWS($I$2:$I$57))),ROW()-ROW($J$2:$J$57)+1),COLUMN($I$2:$I$57),4)))</f>
        <v/>
      </c>
    </row>
    <row r="43" spans="4:16" x14ac:dyDescent="0.45">
      <c r="D43" s="914"/>
      <c r="E43" s="34" t="str">
        <f>IF(H43="","","2016")</f>
        <v/>
      </c>
      <c r="F43" s="34" t="str">
        <f t="shared" si="9"/>
        <v/>
      </c>
      <c r="G43" s="34" t="str">
        <f t="shared" si="7"/>
        <v/>
      </c>
      <c r="H43" s="173" t="str">
        <f>IF(A5="relevant",IF('Matrix-Rectum'!P26="","",IF(AND(ROUND('Matrix-Rectum'!P26,4)&lt;Berechnung4!$J$33,(ROUND('Matrix-Rectum'!P26,4))&gt;=0),Berechnung4!$L$33,"")),"")</f>
        <v/>
      </c>
      <c r="I43" s="172" t="str">
        <f>IF(H43="","",VLOOKUP(F43,Berechnung4!$I$15:$J$25,2,FALSE))</f>
        <v/>
      </c>
      <c r="J43" s="237" t="str">
        <f t="shared" si="2"/>
        <v/>
      </c>
      <c r="L43" s="94" t="str">
        <f t="array" aca="1" ref="L43" ca="1">IF(ROW()-ROW($F$2:$F$57)+1&gt;ROWS($E$2:$E$57)-COUNTBLANK($E$2:$E$57),"",INDIRECT(ADDRESS(SMALL((IF($E$2:$E$57&gt;"",ROW($E$2:$E$57),ROW()+ROWS($E$2:$E$57))),ROW()-ROW($F$2:$F$57)+1),COLUMN($E$2:$E$57),4)))</f>
        <v/>
      </c>
      <c r="M43" s="94" t="str">
        <f t="array" aca="1" ref="M43" ca="1">IF(ROW()-ROW($G$2:$G$57)+1&gt;ROWS($F$2:$F$57)-COUNTBLANK($F$2:$F$57),"",INDIRECT(ADDRESS(SMALL((IF($F$2:$F$57&lt;&gt;"",ROW($F$2:$F$57),ROW()+ROWS($F$2:$F$57))),ROW()-ROW($G$2:$G$57)+1),COLUMN($F$2:$F$57),4)))</f>
        <v/>
      </c>
      <c r="N43" s="94" t="str">
        <f t="array" aca="1" ref="N43" ca="1">IF(ROW()-ROW($H$2:$H$57)+1&gt;ROWS($G$2:$G$57)-COUNTBLANK($G$2:$G$57),"",INDIRECT(ADDRESS(SMALL((IF($G$2:$G$57&lt;&gt;"",ROW($G$2:$G$57),ROW()+ROWS($G$2:$G$57))),ROW()-ROW($H$2:$H$57)+1),COLUMN($G$2:$G$57),4)))</f>
        <v/>
      </c>
      <c r="O43" s="184" t="str">
        <f t="array" aca="1" ref="O43" ca="1">IF(ROW()-ROW($I$2:$I$57)+1&gt;ROWS($H$2:$H$57)-COUNTBLANK($H$2:$H$57),"",INDIRECT(ADDRESS(SMALL((IF($H$2:$H$57&lt;&gt;"",ROW($H$2:$H$57),ROW()+ROWS($H$2:$H$57))),ROW()-ROW($I$2:$I$57)+1),COLUMN($H$2:$H$57),4)))</f>
        <v/>
      </c>
      <c r="P43" s="184" t="str">
        <f t="array" aca="1" ref="P43" ca="1">IF(ROW()-ROW($J$2:$J$57)+1&gt;ROWS($I$2:$I$57)-COUNTBLANK($I$2:$I$57),"",INDIRECT(ADDRESS(SMALL((IF($I$2:$I$57&lt;&gt;"",ROW($I$2:$I$57),ROW()+ROWS($I$2:$I$57))),ROW()-ROW($J$2:$J$57)+1),COLUMN($I$2:$I$57),4)))</f>
        <v/>
      </c>
    </row>
    <row r="44" spans="4:16" x14ac:dyDescent="0.45">
      <c r="D44" s="914"/>
      <c r="E44" s="34" t="str">
        <f>IF(H44="","","2017")</f>
        <v/>
      </c>
      <c r="F44" s="34" t="str">
        <f t="shared" si="9"/>
        <v/>
      </c>
      <c r="G44" s="34" t="str">
        <f t="shared" si="7"/>
        <v/>
      </c>
      <c r="H44" s="173" t="str">
        <f>IF(A6="relevant",IF('Matrix-Rectum'!P27="","",IF(AND(ROUND('Matrix-Rectum'!P27,4)&lt;Berechnung4!$J$33,(ROUND('Matrix-Rectum'!P27,4))&gt;=0),Berechnung4!$L$33,"")),"")</f>
        <v/>
      </c>
      <c r="I44" s="172" t="str">
        <f>IF(H44="","",VLOOKUP(F44,Berechnung4!$I$15:$J$25,2,FALSE))</f>
        <v/>
      </c>
      <c r="J44" s="237" t="str">
        <f t="shared" si="2"/>
        <v/>
      </c>
      <c r="L44" s="94" t="str">
        <f t="array" aca="1" ref="L44" ca="1">IF(ROW()-ROW($F$2:$F$57)+1&gt;ROWS($E$2:$E$57)-COUNTBLANK($E$2:$E$57),"",INDIRECT(ADDRESS(SMALL((IF($E$2:$E$57&gt;"",ROW($E$2:$E$57),ROW()+ROWS($E$2:$E$57))),ROW()-ROW($F$2:$F$57)+1),COLUMN($E$2:$E$57),4)))</f>
        <v/>
      </c>
      <c r="M44" s="94" t="str">
        <f t="array" aca="1" ref="M44" ca="1">IF(ROW()-ROW($G$2:$G$57)+1&gt;ROWS($F$2:$F$57)-COUNTBLANK($F$2:$F$57),"",INDIRECT(ADDRESS(SMALL((IF($F$2:$F$57&lt;&gt;"",ROW($F$2:$F$57),ROW()+ROWS($F$2:$F$57))),ROW()-ROW($G$2:$G$57)+1),COLUMN($F$2:$F$57),4)))</f>
        <v/>
      </c>
      <c r="N44" s="94" t="str">
        <f t="array" aca="1" ref="N44" ca="1">IF(ROW()-ROW($H$2:$H$57)+1&gt;ROWS($G$2:$G$57)-COUNTBLANK($G$2:$G$57),"",INDIRECT(ADDRESS(SMALL((IF($G$2:$G$57&lt;&gt;"",ROW($G$2:$G$57),ROW()+ROWS($G$2:$G$57))),ROW()-ROW($H$2:$H$57)+1),COLUMN($G$2:$G$57),4)))</f>
        <v/>
      </c>
      <c r="O44" s="184" t="str">
        <f t="array" aca="1" ref="O44" ca="1">IF(ROW()-ROW($I$2:$I$57)+1&gt;ROWS($H$2:$H$57)-COUNTBLANK($H$2:$H$57),"",INDIRECT(ADDRESS(SMALL((IF($H$2:$H$57&lt;&gt;"",ROW($H$2:$H$57),ROW()+ROWS($H$2:$H$57))),ROW()-ROW($I$2:$I$57)+1),COLUMN($H$2:$H$57),4)))</f>
        <v/>
      </c>
      <c r="P44" s="184" t="str">
        <f t="array" aca="1" ref="P44" ca="1">IF(ROW()-ROW($J$2:$J$57)+1&gt;ROWS($I$2:$I$57)-COUNTBLANK($I$2:$I$57),"",INDIRECT(ADDRESS(SMALL((IF($I$2:$I$57&lt;&gt;"",ROW($I$2:$I$57),ROW()+ROWS($I$2:$I$57))),ROW()-ROW($J$2:$J$57)+1),COLUMN($I$2:$I$57),4)))</f>
        <v/>
      </c>
    </row>
    <row r="45" spans="4:16" ht="14.65" thickBot="1" x14ac:dyDescent="0.5">
      <c r="D45" s="142" t="s">
        <v>135</v>
      </c>
      <c r="E45" s="155" t="str">
        <f>IF(H45="","","2018")</f>
        <v/>
      </c>
      <c r="F45" s="155" t="str">
        <f t="shared" si="9"/>
        <v/>
      </c>
      <c r="G45" s="155" t="str">
        <f t="shared" si="7"/>
        <v/>
      </c>
      <c r="H45" s="189"/>
      <c r="I45" s="219" t="str">
        <f>IF(H45="","",VLOOKUP(F45,Berechnung4!$I$15:$J$25,2,FALSE))</f>
        <v/>
      </c>
      <c r="J45" s="220" t="str">
        <f t="shared" si="2"/>
        <v/>
      </c>
      <c r="L45" s="94" t="str">
        <f t="array" aca="1" ref="L45" ca="1">IF(ROW()-ROW($F$2:$F$57)+1&gt;ROWS($E$2:$E$57)-COUNTBLANK($E$2:$E$57),"",INDIRECT(ADDRESS(SMALL((IF($E$2:$E$57&gt;"",ROW($E$2:$E$57),ROW()+ROWS($E$2:$E$57))),ROW()-ROW($F$2:$F$57)+1),COLUMN($E$2:$E$57),4)))</f>
        <v/>
      </c>
      <c r="M45" s="94" t="str">
        <f t="array" aca="1" ref="M45" ca="1">IF(ROW()-ROW($G$2:$G$57)+1&gt;ROWS($F$2:$F$57)-COUNTBLANK($F$2:$F$57),"",INDIRECT(ADDRESS(SMALL((IF($F$2:$F$57&lt;&gt;"",ROW($F$2:$F$57),ROW()+ROWS($F$2:$F$57))),ROW()-ROW($G$2:$G$57)+1),COLUMN($F$2:$F$57),4)))</f>
        <v/>
      </c>
      <c r="N45" s="94" t="str">
        <f t="array" aca="1" ref="N45" ca="1">IF(ROW()-ROW($H$2:$H$57)+1&gt;ROWS($G$2:$G$57)-COUNTBLANK($G$2:$G$57),"",INDIRECT(ADDRESS(SMALL((IF($G$2:$G$57&lt;&gt;"",ROW($G$2:$G$57),ROW()+ROWS($G$2:$G$57))),ROW()-ROW($H$2:$H$57)+1),COLUMN($G$2:$G$57),4)))</f>
        <v/>
      </c>
      <c r="O45" s="184" t="str">
        <f t="array" aca="1" ref="O45" ca="1">IF(ROW()-ROW($I$2:$I$57)+1&gt;ROWS($H$2:$H$57)-COUNTBLANK($H$2:$H$57),"",INDIRECT(ADDRESS(SMALL((IF($H$2:$H$57&lt;&gt;"",ROW($H$2:$H$57),ROW()+ROWS($H$2:$H$57))),ROW()-ROW($I$2:$I$57)+1),COLUMN($H$2:$H$57),4)))</f>
        <v/>
      </c>
      <c r="P45" s="184" t="str">
        <f t="array" aca="1" ref="P45" ca="1">IF(ROW()-ROW($J$2:$J$57)+1&gt;ROWS($I$2:$I$57)-COUNTBLANK($I$2:$I$57),"",INDIRECT(ADDRESS(SMALL((IF($I$2:$I$57&lt;&gt;"",ROW($I$2:$I$57),ROW()+ROWS($I$2:$I$57))),ROW()-ROW($J$2:$J$57)+1),COLUMN($I$2:$I$57),4)))</f>
        <v/>
      </c>
    </row>
    <row r="46" spans="4:16" x14ac:dyDescent="0.45">
      <c r="D46" s="143" t="s">
        <v>307</v>
      </c>
      <c r="E46" s="156" t="str">
        <f>IF(H46="","","2013")</f>
        <v/>
      </c>
      <c r="F46" s="156" t="str">
        <f t="shared" ref="F46:F51" si="10">IF(H46="","","j")</f>
        <v/>
      </c>
      <c r="G46" s="156" t="str">
        <f t="shared" si="7"/>
        <v/>
      </c>
      <c r="H46" s="186" t="str">
        <f>IF(A2="relevant",IF('Matrix-Rectum'!Y23="","",IF(AND(ROUND('Matrix-Rectum'!Y23,4)&gt;=Berechnung4!E47,ROUND('Matrix-Rectum'!Y23,4)&lt;=Berechnung4!G47),Berechnung4!L47,IF(ROUND('Matrix-Rectum'!Y23,4)&gt;Berechnung4!J47,Berechnung4!M47,""))),"")</f>
        <v/>
      </c>
      <c r="I46" s="239" t="str">
        <f>IF(H46="","",VLOOKUP(F46,Berechnung4!$I$15:$J$25,2,FALSE))</f>
        <v/>
      </c>
      <c r="J46" s="238" t="str">
        <f t="shared" si="2"/>
        <v/>
      </c>
      <c r="L46" s="94" t="str">
        <f t="array" aca="1" ref="L46" ca="1">IF(ROW()-ROW($F$2:$F$57)+1&gt;ROWS($E$2:$E$57)-COUNTBLANK($E$2:$E$57),"",INDIRECT(ADDRESS(SMALL((IF($E$2:$E$57&gt;"",ROW($E$2:$E$57),ROW()+ROWS($E$2:$E$57))),ROW()-ROW($F$2:$F$57)+1),COLUMN($E$2:$E$57),4)))</f>
        <v/>
      </c>
      <c r="M46" s="94" t="str">
        <f t="array" aca="1" ref="M46" ca="1">IF(ROW()-ROW($G$2:$G$57)+1&gt;ROWS($F$2:$F$57)-COUNTBLANK($F$2:$F$57),"",INDIRECT(ADDRESS(SMALL((IF($F$2:$F$57&lt;&gt;"",ROW($F$2:$F$57),ROW()+ROWS($F$2:$F$57))),ROW()-ROW($G$2:$G$57)+1),COLUMN($F$2:$F$57),4)))</f>
        <v/>
      </c>
      <c r="N46" s="94" t="str">
        <f t="array" aca="1" ref="N46" ca="1">IF(ROW()-ROW($H$2:$H$57)+1&gt;ROWS($G$2:$G$57)-COUNTBLANK($G$2:$G$57),"",INDIRECT(ADDRESS(SMALL((IF($G$2:$G$57&lt;&gt;"",ROW($G$2:$G$57),ROW()+ROWS($G$2:$G$57))),ROW()-ROW($H$2:$H$57)+1),COLUMN($G$2:$G$57),4)))</f>
        <v/>
      </c>
      <c r="O46" s="184" t="str">
        <f t="array" aca="1" ref="O46" ca="1">IF(ROW()-ROW($I$2:$I$57)+1&gt;ROWS($H$2:$H$57)-COUNTBLANK($H$2:$H$57),"",INDIRECT(ADDRESS(SMALL((IF($H$2:$H$57&lt;&gt;"",ROW($H$2:$H$57),ROW()+ROWS($H$2:$H$57))),ROW()-ROW($I$2:$I$57)+1),COLUMN($H$2:$H$57),4)))</f>
        <v/>
      </c>
      <c r="P46" s="184" t="str">
        <f t="array" aca="1" ref="P46" ca="1">IF(ROW()-ROW($J$2:$J$57)+1&gt;ROWS($I$2:$I$57)-COUNTBLANK($I$2:$I$57),"",INDIRECT(ADDRESS(SMALL((IF($I$2:$I$57&lt;&gt;"",ROW($I$2:$I$57),ROW()+ROWS($I$2:$I$57))),ROW()-ROW($J$2:$J$57)+1),COLUMN($I$2:$I$57),4)))</f>
        <v/>
      </c>
    </row>
    <row r="47" spans="4:16" x14ac:dyDescent="0.45">
      <c r="D47" s="912" t="s">
        <v>357</v>
      </c>
      <c r="E47" s="34" t="str">
        <f>IF(H47="","","2014")</f>
        <v/>
      </c>
      <c r="F47" s="34" t="str">
        <f t="shared" si="10"/>
        <v/>
      </c>
      <c r="G47" s="34" t="str">
        <f t="shared" si="7"/>
        <v/>
      </c>
      <c r="H47" s="173" t="str">
        <f>IF(A3="relevant",IF('Matrix-Rectum'!Y24="","",IF(AND(ROUND('Matrix-Rectum'!Y24,4)&gt;=Berechnung4!E48,ROUND('Matrix-Rectum'!Y24,4)&lt;=Berechnung4!G48),Berechnung4!L48,IF(ROUND('Matrix-Rectum'!Y24,4)&gt;Berechnung4!J48,Berechnung4!M48,""))),"")</f>
        <v/>
      </c>
      <c r="I47" s="172" t="str">
        <f>IF(H47="","",VLOOKUP(F47,Berechnung4!$I$15:$J$25,2,FALSE))</f>
        <v/>
      </c>
      <c r="J47" s="237" t="str">
        <f t="shared" si="2"/>
        <v/>
      </c>
      <c r="L47" s="94" t="str">
        <f t="array" aca="1" ref="L47" ca="1">IF(ROW()-ROW($F$2:$F$57)+1&gt;ROWS($E$2:$E$57)-COUNTBLANK($E$2:$E$57),"",INDIRECT(ADDRESS(SMALL((IF($E$2:$E$57&gt;"",ROW($E$2:$E$57),ROW()+ROWS($E$2:$E$57))),ROW()-ROW($F$2:$F$57)+1),COLUMN($E$2:$E$57),4)))</f>
        <v/>
      </c>
      <c r="M47" s="94" t="str">
        <f t="array" aca="1" ref="M47" ca="1">IF(ROW()-ROW($G$2:$G$57)+1&gt;ROWS($F$2:$F$57)-COUNTBLANK($F$2:$F$57),"",INDIRECT(ADDRESS(SMALL((IF($F$2:$F$57&lt;&gt;"",ROW($F$2:$F$57),ROW()+ROWS($F$2:$F$57))),ROW()-ROW($G$2:$G$57)+1),COLUMN($F$2:$F$57),4)))</f>
        <v/>
      </c>
      <c r="N47" s="94" t="str">
        <f t="array" aca="1" ref="N47" ca="1">IF(ROW()-ROW($H$2:$H$57)+1&gt;ROWS($G$2:$G$57)-COUNTBLANK($G$2:$G$57),"",INDIRECT(ADDRESS(SMALL((IF($G$2:$G$57&lt;&gt;"",ROW($G$2:$G$57),ROW()+ROWS($G$2:$G$57))),ROW()-ROW($H$2:$H$57)+1),COLUMN($G$2:$G$57),4)))</f>
        <v/>
      </c>
      <c r="O47" s="184" t="str">
        <f t="array" aca="1" ref="O47" ca="1">IF(ROW()-ROW($I$2:$I$57)+1&gt;ROWS($H$2:$H$57)-COUNTBLANK($H$2:$H$57),"",INDIRECT(ADDRESS(SMALL((IF($H$2:$H$57&lt;&gt;"",ROW($H$2:$H$57),ROW()+ROWS($H$2:$H$57))),ROW()-ROW($I$2:$I$57)+1),COLUMN($H$2:$H$57),4)))</f>
        <v/>
      </c>
      <c r="P47" s="184" t="str">
        <f t="array" aca="1" ref="P47" ca="1">IF(ROW()-ROW($J$2:$J$57)+1&gt;ROWS($I$2:$I$57)-COUNTBLANK($I$2:$I$57),"",INDIRECT(ADDRESS(SMALL((IF($I$2:$I$57&lt;&gt;"",ROW($I$2:$I$57),ROW()+ROWS($I$2:$I$57))),ROW()-ROW($J$2:$J$57)+1),COLUMN($I$2:$I$57),4)))</f>
        <v/>
      </c>
    </row>
    <row r="48" spans="4:16" x14ac:dyDescent="0.45">
      <c r="D48" s="912"/>
      <c r="E48" s="34" t="str">
        <f>IF(H48="","","2015")</f>
        <v/>
      </c>
      <c r="F48" s="34" t="str">
        <f t="shared" si="10"/>
        <v/>
      </c>
      <c r="G48" s="34" t="str">
        <f t="shared" si="7"/>
        <v/>
      </c>
      <c r="H48" s="173" t="str">
        <f>IF(A4="relevant",IF('Matrix-Rectum'!Y25="","",IF(AND(ROUND('Matrix-Rectum'!Y25,4)&gt;=Berechnung4!E49,ROUND('Matrix-Rectum'!Y25,4)&lt;=Berechnung4!G49),Berechnung4!L49,IF(ROUND('Matrix-Rectum'!Y25,4)&gt;Berechnung4!J49,Berechnung4!M49,""))),"")</f>
        <v/>
      </c>
      <c r="I48" s="172" t="str">
        <f>IF(H48="","",VLOOKUP(F48,Berechnung4!$I$15:$J$25,2,FALSE))</f>
        <v/>
      </c>
      <c r="J48" s="237" t="str">
        <f t="shared" si="2"/>
        <v/>
      </c>
      <c r="L48" s="94" t="str">
        <f t="array" aca="1" ref="L48" ca="1">IF(ROW()-ROW($F$2:$F$57)+1&gt;ROWS($E$2:$E$57)-COUNTBLANK($E$2:$E$57),"",INDIRECT(ADDRESS(SMALL((IF($E$2:$E$57&gt;"",ROW($E$2:$E$57),ROW()+ROWS($E$2:$E$57))),ROW()-ROW($F$2:$F$57)+1),COLUMN($E$2:$E$57),4)))</f>
        <v/>
      </c>
      <c r="M48" s="94" t="str">
        <f t="array" aca="1" ref="M48" ca="1">IF(ROW()-ROW($G$2:$G$57)+1&gt;ROWS($F$2:$F$57)-COUNTBLANK($F$2:$F$57),"",INDIRECT(ADDRESS(SMALL((IF($F$2:$F$57&lt;&gt;"",ROW($F$2:$F$57),ROW()+ROWS($F$2:$F$57))),ROW()-ROW($G$2:$G$57)+1),COLUMN($F$2:$F$57),4)))</f>
        <v/>
      </c>
      <c r="N48" s="94" t="str">
        <f t="array" aca="1" ref="N48" ca="1">IF(ROW()-ROW($H$2:$H$57)+1&gt;ROWS($G$2:$G$57)-COUNTBLANK($G$2:$G$57),"",INDIRECT(ADDRESS(SMALL((IF($G$2:$G$57&lt;&gt;"",ROW($G$2:$G$57),ROW()+ROWS($G$2:$G$57))),ROW()-ROW($H$2:$H$57)+1),COLUMN($G$2:$G$57),4)))</f>
        <v/>
      </c>
      <c r="O48" s="184" t="str">
        <f t="array" aca="1" ref="O48" ca="1">IF(ROW()-ROW($I$2:$I$57)+1&gt;ROWS($H$2:$H$57)-COUNTBLANK($H$2:$H$57),"",INDIRECT(ADDRESS(SMALL((IF($H$2:$H$57&lt;&gt;"",ROW($H$2:$H$57),ROW()+ROWS($H$2:$H$57))),ROW()-ROW($I$2:$I$57)+1),COLUMN($H$2:$H$57),4)))</f>
        <v/>
      </c>
      <c r="P48" s="184" t="str">
        <f t="array" aca="1" ref="P48" ca="1">IF(ROW()-ROW($J$2:$J$57)+1&gt;ROWS($I$2:$I$57)-COUNTBLANK($I$2:$I$57),"",INDIRECT(ADDRESS(SMALL((IF($I$2:$I$57&lt;&gt;"",ROW($I$2:$I$57),ROW()+ROWS($I$2:$I$57))),ROW()-ROW($J$2:$J$57)+1),COLUMN($I$2:$I$57),4)))</f>
        <v/>
      </c>
    </row>
    <row r="49" spans="4:16" x14ac:dyDescent="0.45">
      <c r="D49" s="912"/>
      <c r="E49" s="34" t="str">
        <f>IF(H49="","","2016")</f>
        <v/>
      </c>
      <c r="F49" s="34" t="str">
        <f t="shared" si="10"/>
        <v/>
      </c>
      <c r="G49" s="34" t="str">
        <f t="shared" si="7"/>
        <v/>
      </c>
      <c r="H49" s="173" t="str">
        <f>IF(A5="relevant",IF('Matrix-Rectum'!Y26="","",IF(AND(ROUND('Matrix-Rectum'!Y26,4)&gt;=Berechnung4!E50,ROUND('Matrix-Rectum'!Y26,4)&lt;=Berechnung4!G50),Berechnung4!L50,IF(ROUND('Matrix-Rectum'!Y26,4)&gt;Berechnung4!J50,Berechnung4!M50,""))),"")</f>
        <v/>
      </c>
      <c r="I49" s="172" t="str">
        <f>IF(H49="","",VLOOKUP(F49,Berechnung4!$I$15:$J$25,2,FALSE))</f>
        <v/>
      </c>
      <c r="J49" s="237" t="str">
        <f t="shared" si="2"/>
        <v/>
      </c>
      <c r="L49" s="94" t="str">
        <f t="array" aca="1" ref="L49" ca="1">IF(ROW()-ROW($F$2:$F$57)+1&gt;ROWS($E$2:$E$57)-COUNTBLANK($E$2:$E$57),"",INDIRECT(ADDRESS(SMALL((IF($E$2:$E$57&gt;"",ROW($E$2:$E$57),ROW()+ROWS($E$2:$E$57))),ROW()-ROW($F$2:$F$57)+1),COLUMN($E$2:$E$57),4)))</f>
        <v/>
      </c>
      <c r="M49" s="94" t="str">
        <f t="array" aca="1" ref="M49" ca="1">IF(ROW()-ROW($G$2:$G$57)+1&gt;ROWS($F$2:$F$57)-COUNTBLANK($F$2:$F$57),"",INDIRECT(ADDRESS(SMALL((IF($F$2:$F$57&lt;&gt;"",ROW($F$2:$F$57),ROW()+ROWS($F$2:$F$57))),ROW()-ROW($G$2:$G$57)+1),COLUMN($F$2:$F$57),4)))</f>
        <v/>
      </c>
      <c r="N49" s="94" t="str">
        <f t="array" aca="1" ref="N49" ca="1">IF(ROW()-ROW($H$2:$H$57)+1&gt;ROWS($G$2:$G$57)-COUNTBLANK($G$2:$G$57),"",INDIRECT(ADDRESS(SMALL((IF($G$2:$G$57&lt;&gt;"",ROW($G$2:$G$57),ROW()+ROWS($G$2:$G$57))),ROW()-ROW($H$2:$H$57)+1),COLUMN($G$2:$G$57),4)))</f>
        <v/>
      </c>
      <c r="O49" s="184" t="str">
        <f t="array" aca="1" ref="O49" ca="1">IF(ROW()-ROW($I$2:$I$57)+1&gt;ROWS($H$2:$H$57)-COUNTBLANK($H$2:$H$57),"",INDIRECT(ADDRESS(SMALL((IF($H$2:$H$57&lt;&gt;"",ROW($H$2:$H$57),ROW()+ROWS($H$2:$H$57))),ROW()-ROW($I$2:$I$57)+1),COLUMN($H$2:$H$57),4)))</f>
        <v/>
      </c>
      <c r="P49" s="184" t="str">
        <f t="array" aca="1" ref="P49" ca="1">IF(ROW()-ROW($J$2:$J$57)+1&gt;ROWS($I$2:$I$57)-COUNTBLANK($I$2:$I$57),"",INDIRECT(ADDRESS(SMALL((IF($I$2:$I$57&lt;&gt;"",ROW($I$2:$I$57),ROW()+ROWS($I$2:$I$57))),ROW()-ROW($J$2:$J$57)+1),COLUMN($I$2:$I$57),4)))</f>
        <v/>
      </c>
    </row>
    <row r="50" spans="4:16" x14ac:dyDescent="0.45">
      <c r="D50" s="912"/>
      <c r="E50" s="34" t="str">
        <f>IF(H50="","","2017")</f>
        <v/>
      </c>
      <c r="F50" s="34" t="str">
        <f t="shared" si="10"/>
        <v/>
      </c>
      <c r="G50" s="34" t="str">
        <f t="shared" si="7"/>
        <v/>
      </c>
      <c r="H50" s="173" t="str">
        <f>IF(A6="relevant",IF('Matrix-Rectum'!Y27="","",IF(AND(ROUND('Matrix-Rectum'!Y27,4)&gt;=Berechnung4!E51,ROUND('Matrix-Rectum'!Y27,4)&lt;=Berechnung4!G51),Berechnung4!L51,IF(ROUND('Matrix-Rectum'!Y27,4)&gt;Berechnung4!J51,Berechnung4!M51,""))),"")</f>
        <v/>
      </c>
      <c r="I50" s="172" t="str">
        <f>IF(H50="","",VLOOKUP(F50,Berechnung4!$I$15:$J$25,2,FALSE))</f>
        <v/>
      </c>
      <c r="J50" s="237" t="str">
        <f t="shared" si="2"/>
        <v/>
      </c>
      <c r="L50" s="94" t="str">
        <f t="array" aca="1" ref="L50" ca="1">IF(ROW()-ROW($F$2:$F$57)+1&gt;ROWS($E$2:$E$57)-COUNTBLANK($E$2:$E$57),"",INDIRECT(ADDRESS(SMALL((IF($E$2:$E$57&gt;"",ROW($E$2:$E$57),ROW()+ROWS($E$2:$E$57))),ROW()-ROW($F$2:$F$57)+1),COLUMN($E$2:$E$57),4)))</f>
        <v/>
      </c>
      <c r="M50" s="94" t="str">
        <f t="array" aca="1" ref="M50" ca="1">IF(ROW()-ROW($G$2:$G$57)+1&gt;ROWS($F$2:$F$57)-COUNTBLANK($F$2:$F$57),"",INDIRECT(ADDRESS(SMALL((IF($F$2:$F$57&lt;&gt;"",ROW($F$2:$F$57),ROW()+ROWS($F$2:$F$57))),ROW()-ROW($G$2:$G$57)+1),COLUMN($F$2:$F$57),4)))</f>
        <v/>
      </c>
      <c r="N50" s="94" t="str">
        <f t="array" aca="1" ref="N50" ca="1">IF(ROW()-ROW($H$2:$H$57)+1&gt;ROWS($G$2:$G$57)-COUNTBLANK($G$2:$G$57),"",INDIRECT(ADDRESS(SMALL((IF($G$2:$G$57&lt;&gt;"",ROW($G$2:$G$57),ROW()+ROWS($G$2:$G$57))),ROW()-ROW($H$2:$H$57)+1),COLUMN($G$2:$G$57),4)))</f>
        <v/>
      </c>
      <c r="O50" s="184" t="str">
        <f t="array" aca="1" ref="O50" ca="1">IF(ROW()-ROW($I$2:$I$57)+1&gt;ROWS($H$2:$H$57)-COUNTBLANK($H$2:$H$57),"",INDIRECT(ADDRESS(SMALL((IF($H$2:$H$57&lt;&gt;"",ROW($H$2:$H$57),ROW()+ROWS($H$2:$H$57))),ROW()-ROW($I$2:$I$57)+1),COLUMN($H$2:$H$57),4)))</f>
        <v/>
      </c>
      <c r="P50" s="184" t="str">
        <f t="array" aca="1" ref="P50" ca="1">IF(ROW()-ROW($J$2:$J$57)+1&gt;ROWS($I$2:$I$57)-COUNTBLANK($I$2:$I$57),"",INDIRECT(ADDRESS(SMALL((IF($I$2:$I$57&lt;&gt;"",ROW($I$2:$I$57),ROW()+ROWS($I$2:$I$57))),ROW()-ROW($J$2:$J$57)+1),COLUMN($I$2:$I$57),4)))</f>
        <v/>
      </c>
    </row>
    <row r="51" spans="4:16" ht="14.65" thickBot="1" x14ac:dyDescent="0.5">
      <c r="D51" s="142" t="s">
        <v>136</v>
      </c>
      <c r="E51" s="155" t="str">
        <f>IF(H51="","","2018")</f>
        <v/>
      </c>
      <c r="F51" s="155" t="str">
        <f t="shared" si="10"/>
        <v/>
      </c>
      <c r="G51" s="155" t="str">
        <f t="shared" si="7"/>
        <v/>
      </c>
      <c r="H51" s="189"/>
      <c r="I51" s="219" t="str">
        <f>IF(H51="","",VLOOKUP(F51,Berechnung4!$I$15:$J$25,2,FALSE))</f>
        <v/>
      </c>
      <c r="J51" s="220" t="str">
        <f t="shared" si="2"/>
        <v/>
      </c>
      <c r="L51" s="94" t="str">
        <f t="array" aca="1" ref="L51" ca="1">IF(ROW()-ROW($F$2:$F$57)+1&gt;ROWS($E$2:$E$57)-COUNTBLANK($E$2:$E$57),"",INDIRECT(ADDRESS(SMALL((IF($E$2:$E$57&gt;"",ROW($E$2:$E$57),ROW()+ROWS($E$2:$E$57))),ROW()-ROW($F$2:$F$57)+1),COLUMN($E$2:$E$57),4)))</f>
        <v/>
      </c>
      <c r="M51" s="94" t="str">
        <f t="array" aca="1" ref="M51" ca="1">IF(ROW()-ROW($G$2:$G$57)+1&gt;ROWS($F$2:$F$57)-COUNTBLANK($F$2:$F$57),"",INDIRECT(ADDRESS(SMALL((IF($F$2:$F$57&lt;&gt;"",ROW($F$2:$F$57),ROW()+ROWS($F$2:$F$57))),ROW()-ROW($G$2:$G$57)+1),COLUMN($F$2:$F$57),4)))</f>
        <v/>
      </c>
      <c r="N51" s="94" t="str">
        <f t="array" aca="1" ref="N51" ca="1">IF(ROW()-ROW($H$2:$H$57)+1&gt;ROWS($G$2:$G$57)-COUNTBLANK($G$2:$G$57),"",INDIRECT(ADDRESS(SMALL((IF($G$2:$G$57&lt;&gt;"",ROW($G$2:$G$57),ROW()+ROWS($G$2:$G$57))),ROW()-ROW($H$2:$H$57)+1),COLUMN($G$2:$G$57),4)))</f>
        <v/>
      </c>
      <c r="O51" s="184" t="str">
        <f t="array" aca="1" ref="O51" ca="1">IF(ROW()-ROW($I$2:$I$57)+1&gt;ROWS($H$2:$H$57)-COUNTBLANK($H$2:$H$57),"",INDIRECT(ADDRESS(SMALL((IF($H$2:$H$57&lt;&gt;"",ROW($H$2:$H$57),ROW()+ROWS($H$2:$H$57))),ROW()-ROW($I$2:$I$57)+1),COLUMN($H$2:$H$57),4)))</f>
        <v/>
      </c>
      <c r="P51" s="184" t="str">
        <f t="array" aca="1" ref="P51" ca="1">IF(ROW()-ROW($J$2:$J$57)+1&gt;ROWS($I$2:$I$57)-COUNTBLANK($I$2:$I$57),"",INDIRECT(ADDRESS(SMALL((IF($I$2:$I$57&lt;&gt;"",ROW($I$2:$I$57),ROW()+ROWS($I$2:$I$57))),ROW()-ROW($J$2:$J$57)+1),COLUMN($I$2:$I$57),4)))</f>
        <v/>
      </c>
    </row>
    <row r="52" spans="4:16" x14ac:dyDescent="0.45">
      <c r="D52" s="143" t="s">
        <v>307</v>
      </c>
      <c r="E52" s="156" t="str">
        <f>IF(H52="","","2013")</f>
        <v/>
      </c>
      <c r="F52" s="156" t="str">
        <f t="shared" ref="F52:F57" si="11">IF(H52="","","k")</f>
        <v/>
      </c>
      <c r="G52" s="156" t="str">
        <f t="shared" si="7"/>
        <v/>
      </c>
      <c r="H52" s="186" t="str">
        <f>IF(A2="relevant",IF('Matrix-Rectum'!Z23="","",IF(AND(ROUND('Matrix-Rectum'!Z23,4)&gt;=Berechnung4!E56,ROUND('Matrix-Rectum'!Z23,4)&lt;=Berechnung4!G56),Berechnung4!L56,IF(ROUND('Matrix-Rectum'!Z23,4)&gt;Berechnung4!J56,Berechnung4!M56,""))),"")</f>
        <v/>
      </c>
      <c r="I52" s="239" t="str">
        <f>IF(H52="","",VLOOKUP(F52,Berechnung4!$I$15:$J$25,2,FALSE))</f>
        <v/>
      </c>
      <c r="J52" s="238" t="str">
        <f t="shared" si="2"/>
        <v/>
      </c>
      <c r="L52" s="94" t="str">
        <f t="array" aca="1" ref="L52" ca="1">IF(ROW()-ROW($F$2:$F$57)+1&gt;ROWS($E$2:$E$57)-COUNTBLANK($E$2:$E$57),"",INDIRECT(ADDRESS(SMALL((IF($E$2:$E$57&gt;"",ROW($E$2:$E$57),ROW()+ROWS($E$2:$E$57))),ROW()-ROW($F$2:$F$57)+1),COLUMN($E$2:$E$57),4)))</f>
        <v/>
      </c>
      <c r="M52" s="94" t="str">
        <f t="array" aca="1" ref="M52" ca="1">IF(ROW()-ROW($G$2:$G$57)+1&gt;ROWS($F$2:$F$57)-COUNTBLANK($F$2:$F$57),"",INDIRECT(ADDRESS(SMALL((IF($F$2:$F$57&lt;&gt;"",ROW($F$2:$F$57),ROW()+ROWS($F$2:$F$57))),ROW()-ROW($G$2:$G$57)+1),COLUMN($F$2:$F$57),4)))</f>
        <v/>
      </c>
      <c r="N52" s="94" t="str">
        <f t="array" aca="1" ref="N52" ca="1">IF(ROW()-ROW($H$2:$H$57)+1&gt;ROWS($G$2:$G$57)-COUNTBLANK($G$2:$G$57),"",INDIRECT(ADDRESS(SMALL((IF($G$2:$G$57&lt;&gt;"",ROW($G$2:$G$57),ROW()+ROWS($G$2:$G$57))),ROW()-ROW($H$2:$H$57)+1),COLUMN($G$2:$G$57),4)))</f>
        <v/>
      </c>
      <c r="O52" s="184" t="str">
        <f t="array" aca="1" ref="O52" ca="1">IF(ROW()-ROW($I$2:$I$57)+1&gt;ROWS($H$2:$H$57)-COUNTBLANK($H$2:$H$57),"",INDIRECT(ADDRESS(SMALL((IF($H$2:$H$57&lt;&gt;"",ROW($H$2:$H$57),ROW()+ROWS($H$2:$H$57))),ROW()-ROW($I$2:$I$57)+1),COLUMN($H$2:$H$57),4)))</f>
        <v/>
      </c>
      <c r="P52" s="184" t="str">
        <f t="array" aca="1" ref="P52" ca="1">IF(ROW()-ROW($J$2:$J$57)+1&gt;ROWS($I$2:$I$57)-COUNTBLANK($I$2:$I$57),"",INDIRECT(ADDRESS(SMALL((IF($I$2:$I$57&lt;&gt;"",ROW($I$2:$I$57),ROW()+ROWS($I$2:$I$57))),ROW()-ROW($J$2:$J$57)+1),COLUMN($I$2:$I$57),4)))</f>
        <v/>
      </c>
    </row>
    <row r="53" spans="4:16" x14ac:dyDescent="0.45">
      <c r="D53" s="912" t="s">
        <v>358</v>
      </c>
      <c r="E53" s="34" t="str">
        <f>IF(H53="","","2014")</f>
        <v/>
      </c>
      <c r="F53" s="34" t="str">
        <f t="shared" si="11"/>
        <v/>
      </c>
      <c r="G53" s="34" t="str">
        <f t="shared" si="7"/>
        <v/>
      </c>
      <c r="H53" s="173" t="str">
        <f>IF(A3="relevant",IF('Matrix-Rectum'!Z24="","",IF(AND(ROUND('Matrix-Rectum'!Z24,4)&gt;=Berechnung4!E57,ROUND('Matrix-Rectum'!Z24,4)&lt;=Berechnung4!G57),Berechnung4!L57,IF(ROUND('Matrix-Rectum'!Z24,4)&gt;Berechnung4!J57,Berechnung4!M57,""))),"")</f>
        <v/>
      </c>
      <c r="I53" s="172" t="str">
        <f>IF(H53="","",VLOOKUP(F53,Berechnung4!$I$15:$J$25,2,FALSE))</f>
        <v/>
      </c>
      <c r="J53" s="237" t="str">
        <f t="shared" si="2"/>
        <v/>
      </c>
      <c r="L53" s="94" t="str">
        <f t="array" aca="1" ref="L53" ca="1">IF(ROW()-ROW($F$2:$F$57)+1&gt;ROWS($E$2:$E$57)-COUNTBLANK($E$2:$E$57),"",INDIRECT(ADDRESS(SMALL((IF($E$2:$E$57&gt;"",ROW($E$2:$E$57),ROW()+ROWS($E$2:$E$57))),ROW()-ROW($F$2:$F$57)+1),COLUMN($E$2:$E$57),4)))</f>
        <v/>
      </c>
      <c r="M53" s="94" t="str">
        <f t="array" aca="1" ref="M53" ca="1">IF(ROW()-ROW($G$2:$G$57)+1&gt;ROWS($F$2:$F$57)-COUNTBLANK($F$2:$F$57),"",INDIRECT(ADDRESS(SMALL((IF($F$2:$F$57&lt;&gt;"",ROW($F$2:$F$57),ROW()+ROWS($F$2:$F$57))),ROW()-ROW($G$2:$G$57)+1),COLUMN($F$2:$F$57),4)))</f>
        <v/>
      </c>
      <c r="N53" s="94" t="str">
        <f t="array" aca="1" ref="N53" ca="1">IF(ROW()-ROW($H$2:$H$57)+1&gt;ROWS($G$2:$G$57)-COUNTBLANK($G$2:$G$57),"",INDIRECT(ADDRESS(SMALL((IF($G$2:$G$57&lt;&gt;"",ROW($G$2:$G$57),ROW()+ROWS($G$2:$G$57))),ROW()-ROW($H$2:$H$57)+1),COLUMN($G$2:$G$57),4)))</f>
        <v/>
      </c>
      <c r="O53" s="184" t="str">
        <f t="array" aca="1" ref="O53" ca="1">IF(ROW()-ROW($I$2:$I$57)+1&gt;ROWS($H$2:$H$57)-COUNTBLANK($H$2:$H$57),"",INDIRECT(ADDRESS(SMALL((IF($H$2:$H$57&lt;&gt;"",ROW($H$2:$H$57),ROW()+ROWS($H$2:$H$57))),ROW()-ROW($I$2:$I$57)+1),COLUMN($H$2:$H$57),4)))</f>
        <v/>
      </c>
      <c r="P53" s="184" t="str">
        <f t="array" aca="1" ref="P53" ca="1">IF(ROW()-ROW($J$2:$J$57)+1&gt;ROWS($I$2:$I$57)-COUNTBLANK($I$2:$I$57),"",INDIRECT(ADDRESS(SMALL((IF($I$2:$I$57&lt;&gt;"",ROW($I$2:$I$57),ROW()+ROWS($I$2:$I$57))),ROW()-ROW($J$2:$J$57)+1),COLUMN($I$2:$I$57),4)))</f>
        <v/>
      </c>
    </row>
    <row r="54" spans="4:16" x14ac:dyDescent="0.45">
      <c r="D54" s="912"/>
      <c r="E54" s="34" t="str">
        <f>IF(H54="","","2015")</f>
        <v/>
      </c>
      <c r="F54" s="34" t="str">
        <f t="shared" si="11"/>
        <v/>
      </c>
      <c r="G54" s="34" t="str">
        <f t="shared" si="7"/>
        <v/>
      </c>
      <c r="H54" s="173" t="str">
        <f>IF(A4="relevant",IF('Matrix-Rectum'!Z25="","",IF(AND(ROUND('Matrix-Rectum'!Z25,4)&gt;=Berechnung4!E58,ROUND('Matrix-Rectum'!Z25,4)&lt;=Berechnung4!G58),Berechnung4!L58,IF(ROUND('Matrix-Rectum'!Z25,4)&gt;Berechnung4!J58,Berechnung4!M58,""))),"")</f>
        <v/>
      </c>
      <c r="I54" s="172" t="str">
        <f>IF(H54="","",VLOOKUP(F54,Berechnung4!$I$15:$J$25,2,FALSE))</f>
        <v/>
      </c>
      <c r="J54" s="237" t="str">
        <f t="shared" si="2"/>
        <v/>
      </c>
      <c r="L54" s="94" t="str">
        <f t="array" aca="1" ref="L54" ca="1">IF(ROW()-ROW($F$2:$F$57)+1&gt;ROWS($E$2:$E$57)-COUNTBLANK($E$2:$E$57),"",INDIRECT(ADDRESS(SMALL((IF($E$2:$E$57&gt;"",ROW($E$2:$E$57),ROW()+ROWS($E$2:$E$57))),ROW()-ROW($F$2:$F$57)+1),COLUMN($E$2:$E$57),4)))</f>
        <v/>
      </c>
      <c r="M54" s="94" t="str">
        <f t="array" aca="1" ref="M54" ca="1">IF(ROW()-ROW($G$2:$G$57)+1&gt;ROWS($F$2:$F$57)-COUNTBLANK($F$2:$F$57),"",INDIRECT(ADDRESS(SMALL((IF($F$2:$F$57&lt;&gt;"",ROW($F$2:$F$57),ROW()+ROWS($F$2:$F$57))),ROW()-ROW($G$2:$G$57)+1),COLUMN($F$2:$F$57),4)))</f>
        <v/>
      </c>
      <c r="N54" s="94" t="str">
        <f t="array" aca="1" ref="N54" ca="1">IF(ROW()-ROW($H$2:$H$57)+1&gt;ROWS($G$2:$G$57)-COUNTBLANK($G$2:$G$57),"",INDIRECT(ADDRESS(SMALL((IF($G$2:$G$57&lt;&gt;"",ROW($G$2:$G$57),ROW()+ROWS($G$2:$G$57))),ROW()-ROW($H$2:$H$57)+1),COLUMN($G$2:$G$57),4)))</f>
        <v/>
      </c>
      <c r="O54" s="184" t="str">
        <f t="array" aca="1" ref="O54" ca="1">IF(ROW()-ROW($I$2:$I$57)+1&gt;ROWS($H$2:$H$57)-COUNTBLANK($H$2:$H$57),"",INDIRECT(ADDRESS(SMALL((IF($H$2:$H$57&lt;&gt;"",ROW($H$2:$H$57),ROW()+ROWS($H$2:$H$57))),ROW()-ROW($I$2:$I$57)+1),COLUMN($H$2:$H$57),4)))</f>
        <v/>
      </c>
      <c r="P54" s="184" t="str">
        <f t="array" aca="1" ref="P54" ca="1">IF(ROW()-ROW($J$2:$J$57)+1&gt;ROWS($I$2:$I$57)-COUNTBLANK($I$2:$I$57),"",INDIRECT(ADDRESS(SMALL((IF($I$2:$I$57&lt;&gt;"",ROW($I$2:$I$57),ROW()+ROWS($I$2:$I$57))),ROW()-ROW($J$2:$J$57)+1),COLUMN($I$2:$I$57),4)))</f>
        <v/>
      </c>
    </row>
    <row r="55" spans="4:16" x14ac:dyDescent="0.45">
      <c r="D55" s="912"/>
      <c r="E55" s="34" t="str">
        <f>IF(H55="","","2016")</f>
        <v/>
      </c>
      <c r="F55" s="34" t="str">
        <f t="shared" si="11"/>
        <v/>
      </c>
      <c r="G55" s="34" t="str">
        <f t="shared" si="7"/>
        <v/>
      </c>
      <c r="H55" s="173" t="str">
        <f>IF(A5="relevant",IF('Matrix-Rectum'!Z26="","",IF(AND(ROUND('Matrix-Rectum'!Z26,4)&gt;=Berechnung4!E59,ROUND('Matrix-Rectum'!Z26,4)&lt;=Berechnung4!G59),Berechnung4!L59,IF(ROUND('Matrix-Rectum'!Z26,4)&gt;Berechnung4!J59,Berechnung4!M59,""))),"")</f>
        <v/>
      </c>
      <c r="I55" s="172" t="str">
        <f>IF(H55="","",VLOOKUP(F55,Berechnung4!$I$15:$J$25,2,FALSE))</f>
        <v/>
      </c>
      <c r="J55" s="237" t="str">
        <f t="shared" si="2"/>
        <v/>
      </c>
      <c r="L55" s="94" t="str">
        <f t="array" aca="1" ref="L55" ca="1">IF(ROW()-ROW($F$2:$F$57)+1&gt;ROWS($E$2:$E$57)-COUNTBLANK($E$2:$E$57),"",INDIRECT(ADDRESS(SMALL((IF($E$2:$E$57&gt;"",ROW($E$2:$E$57),ROW()+ROWS($E$2:$E$57))),ROW()-ROW($F$2:$F$57)+1),COLUMN($E$2:$E$57),4)))</f>
        <v/>
      </c>
      <c r="M55" s="94" t="str">
        <f t="array" aca="1" ref="M55" ca="1">IF(ROW()-ROW($G$2:$G$57)+1&gt;ROWS($F$2:$F$57)-COUNTBLANK($F$2:$F$57),"",INDIRECT(ADDRESS(SMALL((IF($F$2:$F$57&lt;&gt;"",ROW($F$2:$F$57),ROW()+ROWS($F$2:$F$57))),ROW()-ROW($G$2:$G$57)+1),COLUMN($F$2:$F$57),4)))</f>
        <v/>
      </c>
      <c r="N55" s="94" t="str">
        <f t="array" aca="1" ref="N55" ca="1">IF(ROW()-ROW($H$2:$H$57)+1&gt;ROWS($G$2:$G$57)-COUNTBLANK($G$2:$G$57),"",INDIRECT(ADDRESS(SMALL((IF($G$2:$G$57&lt;&gt;"",ROW($G$2:$G$57),ROW()+ROWS($G$2:$G$57))),ROW()-ROW($H$2:$H$57)+1),COLUMN($G$2:$G$57),4)))</f>
        <v/>
      </c>
      <c r="O55" s="184" t="str">
        <f t="array" aca="1" ref="O55" ca="1">IF(ROW()-ROW($I$2:$I$57)+1&gt;ROWS($H$2:$H$57)-COUNTBLANK($H$2:$H$57),"",INDIRECT(ADDRESS(SMALL((IF($H$2:$H$57&lt;&gt;"",ROW($H$2:$H$57),ROW()+ROWS($H$2:$H$57))),ROW()-ROW($I$2:$I$57)+1),COLUMN($H$2:$H$57),4)))</f>
        <v/>
      </c>
      <c r="P55" s="184" t="str">
        <f t="array" aca="1" ref="P55" ca="1">IF(ROW()-ROW($J$2:$J$57)+1&gt;ROWS($I$2:$I$57)-COUNTBLANK($I$2:$I$57),"",INDIRECT(ADDRESS(SMALL((IF($I$2:$I$57&lt;&gt;"",ROW($I$2:$I$57),ROW()+ROWS($I$2:$I$57))),ROW()-ROW($J$2:$J$57)+1),COLUMN($I$2:$I$57),4)))</f>
        <v/>
      </c>
    </row>
    <row r="56" spans="4:16" x14ac:dyDescent="0.45">
      <c r="D56" s="912"/>
      <c r="E56" s="34" t="str">
        <f>IF(H56="","","2017")</f>
        <v/>
      </c>
      <c r="F56" s="34" t="str">
        <f t="shared" si="11"/>
        <v/>
      </c>
      <c r="G56" s="34" t="str">
        <f t="shared" si="7"/>
        <v/>
      </c>
      <c r="H56" s="173" t="str">
        <f>IF(A6="relevant",IF('Matrix-Rectum'!Z27="","",IF(AND(ROUND('Matrix-Rectum'!Z27,4)&gt;=Berechnung4!E60,ROUND('Matrix-Rectum'!Z27,4)&lt;=Berechnung4!G60),Berechnung4!L60,IF(ROUND('Matrix-Rectum'!Z27,4)&gt;Berechnung4!J60,Berechnung4!M60,""))),"")</f>
        <v/>
      </c>
      <c r="I56" s="172" t="str">
        <f>IF(H56="","",VLOOKUP(F56,Berechnung4!$I$15:$J$25,2,FALSE))</f>
        <v/>
      </c>
      <c r="J56" s="237" t="str">
        <f t="shared" si="2"/>
        <v/>
      </c>
      <c r="L56" s="94" t="str">
        <f t="array" aca="1" ref="L56" ca="1">IF(ROW()-ROW($F$2:$F$57)+1&gt;ROWS($E$2:$E$57)-COUNTBLANK($E$2:$E$57),"",INDIRECT(ADDRESS(SMALL((IF($E$2:$E$57&gt;"",ROW($E$2:$E$57),ROW()+ROWS($E$2:$E$57))),ROW()-ROW($F$2:$F$57)+1),COLUMN($E$2:$E$57),4)))</f>
        <v/>
      </c>
      <c r="M56" s="94" t="str">
        <f t="array" aca="1" ref="M56" ca="1">IF(ROW()-ROW($G$2:$G$57)+1&gt;ROWS($F$2:$F$57)-COUNTBLANK($F$2:$F$57),"",INDIRECT(ADDRESS(SMALL((IF($F$2:$F$57&lt;&gt;"",ROW($F$2:$F$57),ROW()+ROWS($F$2:$F$57))),ROW()-ROW($G$2:$G$57)+1),COLUMN($F$2:$F$57),4)))</f>
        <v/>
      </c>
      <c r="N56" s="94" t="str">
        <f t="array" aca="1" ref="N56" ca="1">IF(ROW()-ROW($H$2:$H$57)+1&gt;ROWS($G$2:$G$57)-COUNTBLANK($G$2:$G$57),"",INDIRECT(ADDRESS(SMALL((IF($G$2:$G$57&lt;&gt;"",ROW($G$2:$G$57),ROW()+ROWS($G$2:$G$57))),ROW()-ROW($H$2:$H$57)+1),COLUMN($G$2:$G$57),4)))</f>
        <v/>
      </c>
      <c r="O56" s="184" t="str">
        <f t="array" aca="1" ref="O56" ca="1">IF(ROW()-ROW($I$2:$I$57)+1&gt;ROWS($H$2:$H$57)-COUNTBLANK($H$2:$H$57),"",INDIRECT(ADDRESS(SMALL((IF($H$2:$H$57&lt;&gt;"",ROW($H$2:$H$57),ROW()+ROWS($H$2:$H$57))),ROW()-ROW($I$2:$I$57)+1),COLUMN($H$2:$H$57),4)))</f>
        <v/>
      </c>
      <c r="P56" s="184" t="str">
        <f t="array" aca="1" ref="P56" ca="1">IF(ROW()-ROW($J$2:$J$57)+1&gt;ROWS($I$2:$I$57)-COUNTBLANK($I$2:$I$57),"",INDIRECT(ADDRESS(SMALL((IF($I$2:$I$57&lt;&gt;"",ROW($I$2:$I$57),ROW()+ROWS($I$2:$I$57))),ROW()-ROW($J$2:$J$57)+1),COLUMN($I$2:$I$57),4)))</f>
        <v/>
      </c>
    </row>
    <row r="57" spans="4:16" ht="14.65" thickBot="1" x14ac:dyDescent="0.5">
      <c r="D57" s="142" t="s">
        <v>137</v>
      </c>
      <c r="E57" s="155" t="str">
        <f>IF(H57="","","2018")</f>
        <v/>
      </c>
      <c r="F57" s="155" t="str">
        <f t="shared" si="11"/>
        <v/>
      </c>
      <c r="G57" s="155" t="str">
        <f t="shared" si="7"/>
        <v/>
      </c>
      <c r="H57" s="189"/>
      <c r="I57" s="219" t="str">
        <f>IF(H57="","",VLOOKUP(F57,Berechnung4!$I$15:$J$25,2,FALSE))</f>
        <v/>
      </c>
      <c r="J57" s="220" t="str">
        <f>IF(H57&lt;&gt;"",1,"")</f>
        <v/>
      </c>
      <c r="L57" s="94" t="str">
        <f t="array" aca="1" ref="L57" ca="1">IF(ROW()-ROW($F$2:$F$57)+1&gt;ROWS($E$2:$E$57)-COUNTBLANK($E$2:$E$57),"",INDIRECT(ADDRESS(SMALL((IF($E$2:$E$57&gt;"",ROW($E$2:$E$57),ROW()+ROWS($E$2:$E$57))),ROW()-ROW($F$2:$F$57)+1),COLUMN($E$2:$E$57),4)))</f>
        <v/>
      </c>
      <c r="M57" s="94" t="str">
        <f t="array" aca="1" ref="M57" ca="1">IF(ROW()-ROW($G$2:$G$57)+1&gt;ROWS($F$2:$F$57)-COUNTBLANK($F$2:$F$57),"",INDIRECT(ADDRESS(SMALL((IF($F$2:$F$57&lt;&gt;"",ROW($F$2:$F$57),ROW()+ROWS($F$2:$F$57))),ROW()-ROW($G$2:$G$57)+1),COLUMN($F$2:$F$57),4)))</f>
        <v/>
      </c>
      <c r="N57" s="94" t="str">
        <f t="array" aca="1" ref="N57" ca="1">IF(ROW()-ROW($H$2:$H$57)+1&gt;ROWS($G$2:$G$57)-COUNTBLANK($G$2:$G$57),"",INDIRECT(ADDRESS(SMALL((IF($G$2:$G$57&lt;&gt;"",ROW($G$2:$G$57),ROW()+ROWS($G$2:$G$57))),ROW()-ROW($H$2:$H$57)+1),COLUMN($G$2:$G$57),4)))</f>
        <v/>
      </c>
      <c r="O57" s="184" t="str">
        <f t="array" aca="1" ref="O57" ca="1">IF(ROW()-ROW($I$2:$I$57)+1&gt;ROWS($H$2:$H$57)-COUNTBLANK($H$2:$H$57),"",INDIRECT(ADDRESS(SMALL((IF($H$2:$H$57&lt;&gt;"",ROW($H$2:$H$57),ROW()+ROWS($H$2:$H$57))),ROW()-ROW($I$2:$I$57)+1),COLUMN($H$2:$H$57),4)))</f>
        <v/>
      </c>
      <c r="P57" s="184" t="str">
        <f t="array" aca="1" ref="P57" ca="1">IF(ROW()-ROW($J$2:$J$57)+1&gt;ROWS($I$2:$I$57)-COUNTBLANK($I$2:$I$57),"",INDIRECT(ADDRESS(SMALL((IF($I$2:$I$57&lt;&gt;"",ROW($I$2:$I$57),ROW()+ROWS($I$2:$I$57))),ROW()-ROW($J$2:$J$57)+1),COLUMN($I$2:$I$57),4)))</f>
        <v/>
      </c>
    </row>
    <row r="59" spans="4:16" x14ac:dyDescent="0.45">
      <c r="I59" s="225" t="s">
        <v>315</v>
      </c>
      <c r="J59" s="226">
        <f>IF(SUM(J2:J7)=0,0,SUM(J2:J7))</f>
        <v>0</v>
      </c>
    </row>
    <row r="60" spans="4:16" x14ac:dyDescent="0.45">
      <c r="I60" s="225" t="s">
        <v>314</v>
      </c>
      <c r="J60" s="227">
        <f>IF(SUM(J8:J25)=0,0,SUM(J8:J25))</f>
        <v>0</v>
      </c>
    </row>
    <row r="61" spans="4:16" x14ac:dyDescent="0.45">
      <c r="I61" s="228" t="s">
        <v>307</v>
      </c>
      <c r="J61" s="229">
        <f>IF(SUM(J27:J57)=0,0,SUM(J27:J57))</f>
        <v>0</v>
      </c>
    </row>
    <row r="62" spans="4:16" x14ac:dyDescent="0.45">
      <c r="I62" s="230" t="s">
        <v>179</v>
      </c>
      <c r="J62" s="231">
        <f>IF(J26="",0,J26)</f>
        <v>0</v>
      </c>
    </row>
  </sheetData>
  <mergeCells count="9">
    <mergeCell ref="D47:D50"/>
    <mergeCell ref="D53:D56"/>
    <mergeCell ref="D28:D31"/>
    <mergeCell ref="D3:D6"/>
    <mergeCell ref="D9:D12"/>
    <mergeCell ref="D15:D18"/>
    <mergeCell ref="D21:D24"/>
    <mergeCell ref="D35:D38"/>
    <mergeCell ref="D41:D44"/>
  </mergeCells>
  <phoneticPr fontId="75" type="noConversion"/>
  <conditionalFormatting sqref="E2:J7">
    <cfRule type="expression" dxfId="33" priority="10" stopIfTrue="1">
      <formula>OR($A2="EZ",$A2="nicht relevant")</formula>
    </cfRule>
  </conditionalFormatting>
  <conditionalFormatting sqref="E8:J13">
    <cfRule type="expression" dxfId="32" priority="9" stopIfTrue="1">
      <formula>OR($A2="EZ",$A2="nicht relevant")</formula>
    </cfRule>
  </conditionalFormatting>
  <conditionalFormatting sqref="E14:J19">
    <cfRule type="expression" dxfId="31" priority="8" stopIfTrue="1">
      <formula>OR($A2="EZ",$A2="nicht relevant")</formula>
    </cfRule>
  </conditionalFormatting>
  <conditionalFormatting sqref="E20:J25">
    <cfRule type="expression" dxfId="30" priority="7" stopIfTrue="1">
      <formula>OR($A2="EZ",$A2="nicht relevant")</formula>
    </cfRule>
  </conditionalFormatting>
  <conditionalFormatting sqref="E27:J32">
    <cfRule type="expression" dxfId="29" priority="6" stopIfTrue="1">
      <formula>OR($A2="EZ",$A2="nicht relevant")</formula>
    </cfRule>
  </conditionalFormatting>
  <conditionalFormatting sqref="E34:J39">
    <cfRule type="expression" dxfId="28" priority="5" stopIfTrue="1">
      <formula>OR($A2="EZ",$A2="nicht relevant")</formula>
    </cfRule>
  </conditionalFormatting>
  <conditionalFormatting sqref="E40:J45">
    <cfRule type="expression" dxfId="27" priority="4" stopIfTrue="1">
      <formula>OR($A2="EZ",$A2="nicht relevant")</formula>
    </cfRule>
  </conditionalFormatting>
  <conditionalFormatting sqref="E46:J51">
    <cfRule type="expression" dxfId="26" priority="3" stopIfTrue="1">
      <formula>OR($A2="EZ",$A2="nicht relevant")</formula>
    </cfRule>
  </conditionalFormatting>
  <conditionalFormatting sqref="E52:J57">
    <cfRule type="expression" dxfId="25" priority="2" stopIfTrue="1">
      <formula>OR($A2="EZ",$A2="nicht relevant")</formula>
    </cfRule>
  </conditionalFormatting>
  <conditionalFormatting sqref="B2:B7">
    <cfRule type="expression" dxfId="24" priority="1"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dimension ref="A1:N27"/>
  <sheetViews>
    <sheetView showGridLines="0" zoomScaleNormal="100" zoomScaleSheetLayoutView="100" workbookViewId="0">
      <selection activeCell="C19" sqref="C19:G19"/>
    </sheetView>
  </sheetViews>
  <sheetFormatPr baseColWidth="10" defaultColWidth="9" defaultRowHeight="13.5" x14ac:dyDescent="0.35"/>
  <cols>
    <col min="1" max="1" width="14.1328125" style="8" customWidth="1"/>
    <col min="2" max="2" width="22.86328125" style="8" customWidth="1"/>
    <col min="3" max="3" width="20.73046875" style="8" customWidth="1"/>
    <col min="4" max="4" width="24.73046875" style="8" customWidth="1"/>
    <col min="5" max="6" width="21.73046875" style="8" customWidth="1"/>
    <col min="7" max="182" width="11.3984375" style="8" customWidth="1"/>
    <col min="183" max="16384" width="9" style="8"/>
  </cols>
  <sheetData>
    <row r="1" spans="1:14" ht="9.9499999999999993" customHeight="1" x14ac:dyDescent="0.35">
      <c r="B1" s="31"/>
      <c r="E1" s="19"/>
    </row>
    <row r="2" spans="1:14" ht="12.95" customHeight="1" x14ac:dyDescent="0.35">
      <c r="A2" s="26" t="s">
        <v>812</v>
      </c>
      <c r="E2" s="19"/>
    </row>
    <row r="3" spans="1:14" ht="16.899999999999999" x14ac:dyDescent="0.5">
      <c r="A3" s="22" t="s">
        <v>386</v>
      </c>
      <c r="E3" s="19"/>
      <c r="F3" s="20"/>
    </row>
    <row r="4" spans="1:14" ht="16.899999999999999" x14ac:dyDescent="0.5">
      <c r="A4" s="22"/>
      <c r="J4" s="23"/>
    </row>
    <row r="5" spans="1:14" ht="15" customHeight="1" x14ac:dyDescent="0.4">
      <c r="D5" s="15"/>
      <c r="E5" s="15"/>
      <c r="F5" s="15"/>
      <c r="G5" s="15"/>
      <c r="H5" s="15"/>
      <c r="I5" s="15"/>
      <c r="J5" s="23"/>
    </row>
    <row r="6" spans="1:14" s="26" customFormat="1" ht="15" customHeight="1" x14ac:dyDescent="0.45">
      <c r="B6" s="29" t="s">
        <v>359</v>
      </c>
      <c r="C6" s="670" t="str">
        <f>IF('Basic data'!B8=0,"",'Basic data'!B8)</f>
        <v/>
      </c>
      <c r="D6" s="673"/>
      <c r="E6" s="673"/>
      <c r="F6" s="674"/>
      <c r="G6" s="15"/>
      <c r="H6" s="15"/>
      <c r="J6" s="23"/>
      <c r="K6" s="23"/>
      <c r="L6" s="21"/>
      <c r="M6" s="23"/>
      <c r="N6" s="23"/>
    </row>
    <row r="7" spans="1:14" s="26" customFormat="1" ht="6.95" customHeight="1" x14ac:dyDescent="0.4">
      <c r="B7" s="10"/>
      <c r="C7" s="15"/>
      <c r="D7" s="15"/>
      <c r="E7" s="15"/>
      <c r="F7" s="15"/>
      <c r="G7" s="15"/>
      <c r="H7" s="15"/>
      <c r="J7" s="23"/>
      <c r="K7" s="23"/>
      <c r="L7" s="21"/>
      <c r="M7" s="23"/>
      <c r="N7" s="23"/>
    </row>
    <row r="8" spans="1:14" s="26" customFormat="1" ht="15" customHeight="1" x14ac:dyDescent="0.4">
      <c r="B8" s="29" t="s">
        <v>308</v>
      </c>
      <c r="C8" s="38" t="str">
        <f>IF('Basic data'!B6=0,"",'Basic data'!B6)</f>
        <v>Not listed</v>
      </c>
      <c r="D8" s="23"/>
      <c r="E8" s="9" t="s">
        <v>306</v>
      </c>
      <c r="F8" s="37" t="str">
        <f>IF('Basic data'!G12=0,"",'Basic data'!G12)</f>
        <v/>
      </c>
      <c r="H8" s="8"/>
      <c r="J8" s="23"/>
      <c r="K8" s="23"/>
      <c r="L8" s="21"/>
      <c r="M8" s="23"/>
      <c r="N8" s="23"/>
    </row>
    <row r="9" spans="1:14" s="26" customFormat="1" ht="8.25" customHeight="1" x14ac:dyDescent="0.4">
      <c r="B9" s="28"/>
      <c r="C9" s="8"/>
      <c r="E9" s="8"/>
      <c r="I9" s="17"/>
      <c r="J9" s="24"/>
      <c r="K9" s="24"/>
      <c r="L9" s="24"/>
      <c r="M9" s="24"/>
      <c r="N9" s="24"/>
    </row>
    <row r="10" spans="1:14" ht="6.75" customHeight="1" x14ac:dyDescent="0.35">
      <c r="I10" s="18"/>
      <c r="J10" s="33"/>
      <c r="K10" s="33"/>
      <c r="L10" s="33"/>
      <c r="M10" s="33"/>
      <c r="N10" s="33"/>
    </row>
    <row r="11" spans="1:14" ht="13.9" x14ac:dyDescent="0.4">
      <c r="A11" s="32" t="s">
        <v>318</v>
      </c>
    </row>
    <row r="12" spans="1:14" ht="13.5" customHeight="1" x14ac:dyDescent="0.35">
      <c r="B12" s="73" t="str">
        <f>IF(OR(B13="",B13="Matrix kann eingereicht werden"),"In Ordnung",IF(B13="die inkorrekten und unvollständigen Einträge beheben","Nicht in Ordnung"))</f>
        <v>In Ordnung</v>
      </c>
      <c r="C12" s="58" t="s">
        <v>307</v>
      </c>
      <c r="D12" s="39" t="s">
        <v>179</v>
      </c>
      <c r="E12" s="44" t="s">
        <v>314</v>
      </c>
      <c r="F12" s="45" t="s">
        <v>389</v>
      </c>
    </row>
    <row r="13" spans="1:14" ht="18.75" customHeight="1" x14ac:dyDescent="0.35">
      <c r="B13" s="258" t="str">
        <f>Berechnung4!B6</f>
        <v/>
      </c>
      <c r="C13" s="64">
        <f>Berechnung4!C6</f>
        <v>0</v>
      </c>
      <c r="D13" s="65">
        <f>Berechnung4!D6</f>
        <v>0</v>
      </c>
      <c r="E13" s="85">
        <f>Berechnung4!E6</f>
        <v>0</v>
      </c>
      <c r="F13" s="86">
        <f>Berechnung4!F6</f>
        <v>0</v>
      </c>
    </row>
    <row r="14" spans="1:14" s="26" customFormat="1" ht="9.75" customHeight="1" x14ac:dyDescent="0.35">
      <c r="B14" s="16"/>
      <c r="C14" s="16"/>
    </row>
    <row r="15" spans="1:14" s="26" customFormat="1" ht="13.5" customHeight="1" x14ac:dyDescent="0.35">
      <c r="A15" s="47" t="str">
        <f>IF(SUM(C13:F13)&gt;0,IF(A19&gt;"","","FEHLER - Bearbeitungshinweise müssen beachtet werden!!! Siehe Tabellenblatt Matrix ab Zeile 45"),"")</f>
        <v/>
      </c>
      <c r="C15" s="16"/>
    </row>
    <row r="16" spans="1:14" s="26" customFormat="1" ht="6" customHeight="1" x14ac:dyDescent="0.35">
      <c r="B16" s="16"/>
      <c r="C16" s="16"/>
    </row>
    <row r="17" spans="1:7" ht="14.25" customHeight="1" x14ac:dyDescent="0.35">
      <c r="A17" s="938" t="s">
        <v>340</v>
      </c>
      <c r="B17" s="940" t="s">
        <v>265</v>
      </c>
      <c r="C17" s="942" t="s">
        <v>57</v>
      </c>
      <c r="D17" s="943"/>
      <c r="E17" s="943"/>
      <c r="F17" s="943"/>
      <c r="G17" s="944"/>
    </row>
    <row r="18" spans="1:7" ht="10.5" customHeight="1" x14ac:dyDescent="0.35">
      <c r="A18" s="939"/>
      <c r="B18" s="941"/>
      <c r="C18" s="945"/>
      <c r="D18" s="946"/>
      <c r="E18" s="946"/>
      <c r="F18" s="946"/>
      <c r="G18" s="947"/>
    </row>
    <row r="19" spans="1:7" ht="66" customHeight="1" x14ac:dyDescent="0.45">
      <c r="A19" s="34" t="str">
        <f>IF(ISERROR(Berechnung4!G15),"",Berechnung4!G15)</f>
        <v/>
      </c>
      <c r="B19" s="34" t="str">
        <f>IF(ISERROR(Berechnung4!H15),"",Berechnung4!H15)</f>
        <v/>
      </c>
      <c r="C19" s="921"/>
      <c r="D19" s="922"/>
      <c r="E19" s="922"/>
      <c r="F19" s="922"/>
      <c r="G19" s="924"/>
    </row>
    <row r="20" spans="1:7" ht="66" customHeight="1" x14ac:dyDescent="0.45">
      <c r="A20" s="34" t="str">
        <f>IF(ISERROR(Berechnung4!G16),"",Berechnung4!G16)</f>
        <v/>
      </c>
      <c r="B20" s="34" t="str">
        <f>IF(ISERROR(Berechnung4!H16),"",Berechnung4!H16)</f>
        <v/>
      </c>
      <c r="C20" s="921"/>
      <c r="D20" s="922"/>
      <c r="E20" s="922"/>
      <c r="F20" s="922"/>
      <c r="G20" s="924"/>
    </row>
    <row r="21" spans="1:7" ht="66" customHeight="1" x14ac:dyDescent="0.45">
      <c r="A21" s="34" t="str">
        <f>IF(ISERROR(Berechnung4!G17),"",Berechnung4!G17)</f>
        <v/>
      </c>
      <c r="B21" s="34" t="str">
        <f>IF(ISERROR(Berechnung4!H17),"",Berechnung4!H17)</f>
        <v/>
      </c>
      <c r="C21" s="921"/>
      <c r="D21" s="922"/>
      <c r="E21" s="922"/>
      <c r="F21" s="922"/>
      <c r="G21" s="924"/>
    </row>
    <row r="22" spans="1:7" ht="66" customHeight="1" x14ac:dyDescent="0.45">
      <c r="A22" s="34" t="str">
        <f>IF(ISERROR(Berechnung4!G18),"",Berechnung4!G18)</f>
        <v/>
      </c>
      <c r="B22" s="34" t="str">
        <f>IF(ISERROR(Berechnung4!H18),"",Berechnung4!H18)</f>
        <v/>
      </c>
      <c r="C22" s="921"/>
      <c r="D22" s="922"/>
      <c r="E22" s="922"/>
      <c r="F22" s="922"/>
      <c r="G22" s="924"/>
    </row>
    <row r="23" spans="1:7" ht="66" customHeight="1" x14ac:dyDescent="0.45">
      <c r="A23" s="34" t="str">
        <f>IF(ISERROR(Berechnung4!G19),"",Berechnung4!G19)</f>
        <v/>
      </c>
      <c r="B23" s="34" t="str">
        <f>IF(ISERROR(Berechnung4!H19),"",Berechnung4!H19)</f>
        <v/>
      </c>
      <c r="C23" s="921"/>
      <c r="D23" s="922"/>
      <c r="E23" s="922"/>
      <c r="F23" s="922"/>
      <c r="G23" s="924"/>
    </row>
    <row r="24" spans="1:7" ht="66" customHeight="1" x14ac:dyDescent="0.45">
      <c r="A24" s="34" t="str">
        <f>IF(ISERROR(Berechnung4!G20),"",Berechnung4!G20)</f>
        <v/>
      </c>
      <c r="B24" s="34" t="str">
        <f>IF(ISERROR(Berechnung4!H20),"",Berechnung4!H20)</f>
        <v/>
      </c>
      <c r="C24" s="921"/>
      <c r="D24" s="922"/>
      <c r="E24" s="922"/>
      <c r="F24" s="922"/>
      <c r="G24" s="924"/>
    </row>
    <row r="25" spans="1:7" ht="66" customHeight="1" x14ac:dyDescent="0.45">
      <c r="A25" s="34" t="str">
        <f>IF(ISERROR(Berechnung4!G21),"",Berechnung4!G21)</f>
        <v/>
      </c>
      <c r="B25" s="34" t="str">
        <f>IF(ISERROR(Berechnung4!H21),"",Berechnung4!H21)</f>
        <v/>
      </c>
      <c r="C25" s="921"/>
      <c r="D25" s="922"/>
      <c r="E25" s="922"/>
      <c r="F25" s="922"/>
      <c r="G25" s="924"/>
    </row>
    <row r="26" spans="1:7" ht="66" customHeight="1" x14ac:dyDescent="0.45">
      <c r="A26" s="34" t="str">
        <f>IF(ISERROR(Berechnung4!G22),"",Berechnung4!G22)</f>
        <v/>
      </c>
      <c r="B26" s="34" t="str">
        <f>IF(ISERROR(Berechnung4!H22),"",Berechnung4!H22)</f>
        <v/>
      </c>
      <c r="C26" s="921"/>
      <c r="D26" s="922"/>
      <c r="E26" s="922"/>
      <c r="F26" s="922"/>
      <c r="G26" s="924"/>
    </row>
    <row r="27" spans="1:7" ht="66" customHeight="1" x14ac:dyDescent="0.45">
      <c r="A27" s="34" t="str">
        <f>IF(ISERROR(Berechnung4!G23),"",Berechnung4!G23)</f>
        <v/>
      </c>
      <c r="B27" s="34" t="str">
        <f>IF(ISERROR(Berechnung4!H23),"",Berechnung4!H23)</f>
        <v/>
      </c>
      <c r="C27" s="921"/>
      <c r="D27" s="922"/>
      <c r="E27" s="922"/>
      <c r="F27" s="922"/>
      <c r="G27" s="924"/>
    </row>
  </sheetData>
  <sheetProtection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75" type="noConversion"/>
  <conditionalFormatting sqref="C19">
    <cfRule type="notContainsBlanks" dxfId="23" priority="23" stopIfTrue="1">
      <formula>LEN(TRIM(C19))&gt;0</formula>
    </cfRule>
    <cfRule type="expression" dxfId="22" priority="24" stopIfTrue="1">
      <formula>A19&lt;&gt;""</formula>
    </cfRule>
  </conditionalFormatting>
  <conditionalFormatting sqref="B19:B27">
    <cfRule type="expression" dxfId="21" priority="25" stopIfTrue="1">
      <formula>SEARCH("Unvollständig",$B19,1)</formula>
    </cfRule>
    <cfRule type="expression" dxfId="20" priority="26" stopIfTrue="1">
      <formula>SEARCH($D$12,$B19,1)</formula>
    </cfRule>
    <cfRule type="expression" dxfId="19" priority="27" stopIfTrue="1">
      <formula>SEARCH($C$12,$B19,1)</formula>
    </cfRule>
    <cfRule type="expression" dxfId="18" priority="28" stopIfTrue="1">
      <formula>SEARCH($E$12,$B19,1)</formula>
    </cfRule>
  </conditionalFormatting>
  <conditionalFormatting sqref="C20">
    <cfRule type="notContainsBlanks" dxfId="17" priority="21" stopIfTrue="1">
      <formula>LEN(TRIM(C20))&gt;0</formula>
    </cfRule>
    <cfRule type="expression" dxfId="16" priority="22" stopIfTrue="1">
      <formula>A20&lt;&gt;""</formula>
    </cfRule>
  </conditionalFormatting>
  <conditionalFormatting sqref="C21">
    <cfRule type="notContainsBlanks" dxfId="15" priority="19" stopIfTrue="1">
      <formula>LEN(TRIM(C21))&gt;0</formula>
    </cfRule>
    <cfRule type="expression" dxfId="14" priority="20" stopIfTrue="1">
      <formula>A21&lt;&gt;""</formula>
    </cfRule>
  </conditionalFormatting>
  <conditionalFormatting sqref="C22">
    <cfRule type="notContainsBlanks" dxfId="13" priority="17" stopIfTrue="1">
      <formula>LEN(TRIM(C22))&gt;0</formula>
    </cfRule>
    <cfRule type="expression" dxfId="12" priority="18" stopIfTrue="1">
      <formula>A22&lt;&gt;""</formula>
    </cfRule>
  </conditionalFormatting>
  <conditionalFormatting sqref="C23">
    <cfRule type="notContainsBlanks" dxfId="11" priority="15" stopIfTrue="1">
      <formula>LEN(TRIM(C23))&gt;0</formula>
    </cfRule>
    <cfRule type="expression" dxfId="10" priority="16" stopIfTrue="1">
      <formula>A23&lt;&gt;""</formula>
    </cfRule>
  </conditionalFormatting>
  <conditionalFormatting sqref="C24">
    <cfRule type="notContainsBlanks" dxfId="9" priority="13" stopIfTrue="1">
      <formula>LEN(TRIM(C24))&gt;0</formula>
    </cfRule>
    <cfRule type="expression" dxfId="8" priority="14" stopIfTrue="1">
      <formula>A24&lt;&gt;""</formula>
    </cfRule>
  </conditionalFormatting>
  <conditionalFormatting sqref="C25">
    <cfRule type="notContainsBlanks" dxfId="7" priority="11" stopIfTrue="1">
      <formula>LEN(TRIM(C25))&gt;0</formula>
    </cfRule>
    <cfRule type="expression" dxfId="6" priority="12" stopIfTrue="1">
      <formula>A25&lt;&gt;""</formula>
    </cfRule>
  </conditionalFormatting>
  <conditionalFormatting sqref="C26">
    <cfRule type="notContainsBlanks" dxfId="5" priority="9" stopIfTrue="1">
      <formula>LEN(TRIM(C26))&gt;0</formula>
    </cfRule>
    <cfRule type="expression" dxfId="4" priority="10" stopIfTrue="1">
      <formula>A26&lt;&gt;""</formula>
    </cfRule>
  </conditionalFormatting>
  <conditionalFormatting sqref="C27">
    <cfRule type="notContainsBlanks" dxfId="3" priority="7" stopIfTrue="1">
      <formula>LEN(TRIM(C27))&gt;0</formula>
    </cfRule>
    <cfRule type="expression" dxfId="2" priority="8" stopIfTrue="1">
      <formula>A27&lt;&gt;""</formula>
    </cfRule>
  </conditionalFormatting>
  <conditionalFormatting sqref="B12">
    <cfRule type="expression" dxfId="1" priority="2" stopIfTrue="1">
      <formula>$B$12="Nicht in Ordnung"</formula>
    </cfRule>
  </conditionalFormatting>
  <conditionalFormatting sqref="B13">
    <cfRule type="expression" dxfId="0" priority="1" stopIfTrue="1">
      <formula>$B$13="die inkorrekten und unvollständigen Einträge beheben"</formula>
    </cfRule>
  </conditionalFormatting>
  <dataValidations count="1">
    <dataValidation type="textLength" allowBlank="1" showErrorMessage="1" errorTitle="Zeichenlänge" error="Minimal 30 Zeichen und max. 450 Zeichen." sqref="C19:G27" xr:uid="{00000000-0002-0000-12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W8"/>
  <sheetViews>
    <sheetView workbookViewId="0">
      <selection activeCell="C8" sqref="C8"/>
    </sheetView>
  </sheetViews>
  <sheetFormatPr baseColWidth="10" defaultColWidth="9.1328125" defaultRowHeight="10.15" x14ac:dyDescent="0.45"/>
  <cols>
    <col min="1" max="1" width="13.86328125" style="134" customWidth="1"/>
    <col min="2" max="2" width="9.1328125" style="114" customWidth="1"/>
    <col min="3" max="3" width="9.1328125" style="134" customWidth="1"/>
    <col min="4" max="7" width="7.73046875" style="134" customWidth="1"/>
    <col min="8" max="8" width="9.1328125" style="134" customWidth="1"/>
    <col min="9" max="9" width="12.265625" style="134" customWidth="1"/>
    <col min="10" max="10" width="9.1328125" style="134" customWidth="1"/>
    <col min="11" max="11" width="12.59765625" style="134" customWidth="1"/>
    <col min="12" max="19" width="9.1328125" style="134" customWidth="1"/>
    <col min="20" max="20" width="12.3984375" style="134" customWidth="1"/>
    <col min="21" max="16384" width="9.1328125" style="134"/>
  </cols>
  <sheetData>
    <row r="1" spans="1:23" s="192" customFormat="1" ht="86.25" customHeight="1" x14ac:dyDescent="0.45">
      <c r="A1" s="191" t="str">
        <f>'Matrix-Rectum'!A21</f>
        <v>Relevante Nachsorgejahre</v>
      </c>
      <c r="B1" s="191" t="str">
        <f>'Matrix-Rectum'!B21</f>
        <v>Jahr der Erstdiagnose</v>
      </c>
      <c r="C1" s="191" t="str">
        <f>'Matrix-Rectum'!C21</f>
        <v>Anzahl Primärpatienten</v>
      </c>
      <c r="D1" s="191" t="str">
        <f>LEFT('Matrix-Rectum'!D21,6)</f>
        <v>UICC I</v>
      </c>
      <c r="E1" s="191" t="str">
        <f>LEFT('Matrix-Rectum'!E21,7)</f>
        <v>UICC II</v>
      </c>
      <c r="F1" s="191" t="str">
        <f>LEFT('Matrix-Rectum'!F21,8)</f>
        <v>UICC III</v>
      </c>
      <c r="G1" s="191" t="str">
        <f>LEFT('Matrix-Rectum'!G21,9)</f>
        <v xml:space="preserve">UICC IV  </v>
      </c>
      <c r="H1" s="191" t="str">
        <f>LEFT('Matrix-Rectum'!I21,59)</f>
        <v xml:space="preserve">Patienten  „im Follow-Up“
(aus Grundgesamtheit Primärpat.) </v>
      </c>
      <c r="I1" s="191" t="str">
        <f>LEFT('Matrix-Rectum'!J21,33)</f>
        <v>Follow-Up-Daten vom Krebsregister</v>
      </c>
      <c r="J1" s="191" t="str">
        <f>LEFT('Matrix-Rectum'!K21,57)</f>
        <v>Follow-Up-Daten vom Zentrum  
(bzw. Quelle nicht bekannt)</v>
      </c>
      <c r="K1" s="191" t="str">
        <f>LEFT('Matrix-Rectum'!L21,18)</f>
        <v xml:space="preserve">Keine Rückmeldung </v>
      </c>
      <c r="L1" s="191" t="str">
        <f>'Matrix-Rectum'!M21</f>
        <v>Follow-Up Quote in %
= (J + K) / I</v>
      </c>
      <c r="M1" s="191" t="str">
        <f>'Matrix-Rectum'!O21</f>
        <v>Patienten tumorfrei</v>
      </c>
      <c r="N1" s="191" t="str">
        <f>'Matrix-Rectum'!P21</f>
        <v>Relative Quote tumorfrei 
= O / (J + K)</v>
      </c>
      <c r="O1" s="191" t="str">
        <f>LEFT('Matrix-Rectum'!Q21,59)</f>
        <v>Patienten mit mindestens 1 der Ereignisse in Spalte R bis T</v>
      </c>
      <c r="P1" s="191" t="str">
        <f>'Matrix-Rectum'!R21</f>
        <v xml:space="preserve"> Pat. mit lokoregionärem Rezidiv</v>
      </c>
      <c r="Q1" s="191" t="str">
        <f>'Matrix-Rectum'!S21</f>
        <v xml:space="preserve"> Pat. mit Lymphknotenrezidiv</v>
      </c>
      <c r="R1" s="191" t="str">
        <f>'Matrix-Rectum'!T21</f>
        <v xml:space="preserve"> Pat. mit Fernmetastasen</v>
      </c>
      <c r="S1" s="191" t="str">
        <f>'Matrix-Rectum'!U21</f>
        <v>Diagnose Zweitmalignom im Verlauf</v>
      </c>
      <c r="T1" s="191" t="str">
        <f>'Matrix-Rectum'!V21</f>
        <v>Tumorbedingt gestorben (bezüglich jeder Tumorentität)</v>
      </c>
      <c r="U1" s="191" t="str">
        <f>'Matrix-Rectum'!W21</f>
        <v>Nicht tumorbedingt gestorben bzw. Todesursache unbekannt</v>
      </c>
      <c r="V1" s="191" t="str">
        <f>'Matrix-Rectum'!Y21</f>
        <v>DFS nach Kaplan-Meier
(Disease Free Survival) in %</v>
      </c>
      <c r="W1" s="191" t="str">
        <f>'Matrix-Rectum'!Z21</f>
        <v>OAS nach Kaplan-Meier    
(Overall Survival) in %</v>
      </c>
    </row>
    <row r="2" spans="1:23" x14ac:dyDescent="0.45">
      <c r="A2" s="193" t="str">
        <f>'Matrix-Rectum'!A23</f>
        <v>nicht relevant</v>
      </c>
      <c r="B2" s="241">
        <v>2013</v>
      </c>
      <c r="C2" s="241">
        <f>IF('Matrix-Rectum'!C23="","---",'Matrix-Rectum'!C23)</f>
        <v>0</v>
      </c>
      <c r="D2" s="241" t="str">
        <f>IF('Matrix-Rectum'!D23="","",'Matrix-Rectum'!D23)</f>
        <v/>
      </c>
      <c r="E2" s="241" t="str">
        <f>IF('Matrix-Rectum'!E23="","",'Matrix-Rectum'!E23)</f>
        <v/>
      </c>
      <c r="F2" s="241" t="str">
        <f>IF('Matrix-Rectum'!F23="","",'Matrix-Rectum'!F23)</f>
        <v/>
      </c>
      <c r="G2" s="241" t="str">
        <f>IF('Matrix-Rectum'!G23="","",'Matrix-Rectum'!G23)</f>
        <v/>
      </c>
      <c r="H2" s="241" t="str">
        <f>IF('Matrix-Rectum'!I23="","",'Matrix-Rectum'!I23)</f>
        <v/>
      </c>
      <c r="I2" s="241" t="str">
        <f>IF('Matrix-Rectum'!J23="","",'Matrix-Rectum'!J23)</f>
        <v/>
      </c>
      <c r="J2" s="241" t="str">
        <f>IF('Matrix-Rectum'!K23="","",'Matrix-Rectum'!K23)</f>
        <v/>
      </c>
      <c r="K2" s="241" t="str">
        <f>IF('Matrix-Rectum'!L23="","",'Matrix-Rectum'!L23)</f>
        <v/>
      </c>
      <c r="L2" s="194" t="str">
        <f>IF('Matrix-Rectum'!M23="","",'Matrix-Rectum'!M23*100)</f>
        <v/>
      </c>
      <c r="M2" s="241" t="str">
        <f>IF('Matrix-Rectum'!O23="","",'Matrix-Rectum'!O23)</f>
        <v/>
      </c>
      <c r="N2" s="194" t="str">
        <f>IF('Matrix-Rectum'!P23="","",'Matrix-Rectum'!P23*100)</f>
        <v/>
      </c>
      <c r="O2" s="241" t="str">
        <f>IF('Matrix-Rectum'!Q23="","",'Matrix-Rectum'!Q23)</f>
        <v/>
      </c>
      <c r="P2" s="241" t="str">
        <f>IF('Matrix-Rectum'!R23="","",'Matrix-Rectum'!R23)</f>
        <v/>
      </c>
      <c r="Q2" s="241" t="str">
        <f>IF('Matrix-Rectum'!S23="","",'Matrix-Rectum'!S23)</f>
        <v/>
      </c>
      <c r="R2" s="241" t="str">
        <f>IF('Matrix-Rectum'!T23="","",'Matrix-Rectum'!T23)</f>
        <v/>
      </c>
      <c r="S2" s="241" t="str">
        <f>IF('Matrix-Rectum'!U23="","",'Matrix-Rectum'!U23)</f>
        <v/>
      </c>
      <c r="T2" s="241" t="str">
        <f>IF('Matrix-Rectum'!V23="","",'Matrix-Rectum'!V23)</f>
        <v/>
      </c>
      <c r="U2" s="241" t="str">
        <f>IF('Matrix-Rectum'!W23="","",'Matrix-Rectum'!W23)</f>
        <v/>
      </c>
      <c r="V2" s="194" t="str">
        <f>IF('Matrix-Rectum'!Y23="","",'Matrix-Rectum'!Y23*100)</f>
        <v/>
      </c>
      <c r="W2" s="194" t="str">
        <f>IF('Matrix-Rectum'!Z23="","",'Matrix-Rectum'!Z23*100)</f>
        <v/>
      </c>
    </row>
    <row r="3" spans="1:23" x14ac:dyDescent="0.45">
      <c r="A3" s="236" t="str">
        <f>'Matrix-Rectum'!A24</f>
        <v>nicht relevant</v>
      </c>
      <c r="B3" s="217">
        <v>2014</v>
      </c>
      <c r="C3" s="217">
        <f>IF('Matrix-Rectum'!C24="","---",'Matrix-Rectum'!C24)</f>
        <v>0</v>
      </c>
      <c r="D3" s="241" t="str">
        <f>IF('Matrix-Rectum'!D24="","",'Matrix-Rectum'!D24)</f>
        <v/>
      </c>
      <c r="E3" s="241" t="str">
        <f>IF('Matrix-Rectum'!E24="","",'Matrix-Rectum'!E24)</f>
        <v/>
      </c>
      <c r="F3" s="241" t="str">
        <f>IF('Matrix-Rectum'!F24="","",'Matrix-Rectum'!F24)</f>
        <v/>
      </c>
      <c r="G3" s="241" t="str">
        <f>IF('Matrix-Rectum'!G24="","",'Matrix-Rectum'!G24)</f>
        <v/>
      </c>
      <c r="H3" s="241" t="str">
        <f>IF('Matrix-Rectum'!I24="","",'Matrix-Rectum'!I24)</f>
        <v/>
      </c>
      <c r="I3" s="241" t="str">
        <f>IF('Matrix-Rectum'!J24="","",'Matrix-Rectum'!J24)</f>
        <v/>
      </c>
      <c r="J3" s="241" t="str">
        <f>IF('Matrix-Rectum'!K24="","",'Matrix-Rectum'!K24)</f>
        <v/>
      </c>
      <c r="K3" s="241" t="str">
        <f>IF('Matrix-Rectum'!L24="","",'Matrix-Rectum'!L24)</f>
        <v/>
      </c>
      <c r="L3" s="194" t="str">
        <f>IF('Matrix-Rectum'!M24="","",'Matrix-Rectum'!M24*100)</f>
        <v/>
      </c>
      <c r="M3" s="241" t="str">
        <f>IF('Matrix-Rectum'!O24="","",'Matrix-Rectum'!O24)</f>
        <v/>
      </c>
      <c r="N3" s="194" t="str">
        <f>IF('Matrix-Rectum'!P24="","",'Matrix-Rectum'!P24*100)</f>
        <v/>
      </c>
      <c r="O3" s="241" t="str">
        <f>IF('Matrix-Rectum'!Q24="","",'Matrix-Rectum'!Q24)</f>
        <v/>
      </c>
      <c r="P3" s="241" t="str">
        <f>IF('Matrix-Rectum'!R24="","",'Matrix-Rectum'!R24)</f>
        <v/>
      </c>
      <c r="Q3" s="241" t="str">
        <f>IF('Matrix-Rectum'!S24="","",'Matrix-Rectum'!S24)</f>
        <v/>
      </c>
      <c r="R3" s="241" t="str">
        <f>IF('Matrix-Rectum'!T24="","",'Matrix-Rectum'!T24)</f>
        <v/>
      </c>
      <c r="S3" s="241" t="str">
        <f>IF('Matrix-Rectum'!U24="","",'Matrix-Rectum'!U24)</f>
        <v/>
      </c>
      <c r="T3" s="241" t="str">
        <f>IF('Matrix-Rectum'!V24="","",'Matrix-Rectum'!V24)</f>
        <v/>
      </c>
      <c r="U3" s="241" t="str">
        <f>IF('Matrix-Rectum'!W24="","",'Matrix-Rectum'!W24)</f>
        <v/>
      </c>
      <c r="V3" s="194" t="str">
        <f>IF('Matrix-Rectum'!Y24="","",'Matrix-Rectum'!Y24*100)</f>
        <v/>
      </c>
      <c r="W3" s="194" t="str">
        <f>IF('Matrix-Rectum'!Z24="","",'Matrix-Rectum'!Z24*100)</f>
        <v/>
      </c>
    </row>
    <row r="4" spans="1:23" x14ac:dyDescent="0.45">
      <c r="A4" s="236" t="str">
        <f>'Matrix-Rectum'!A25</f>
        <v>nicht relevant</v>
      </c>
      <c r="B4" s="217">
        <v>2015</v>
      </c>
      <c r="C4" s="217">
        <f>IF('Matrix-Rectum'!C25="","---",'Matrix-Rectum'!C25)</f>
        <v>0</v>
      </c>
      <c r="D4" s="241" t="str">
        <f>IF('Matrix-Rectum'!D25="","",'Matrix-Rectum'!D25)</f>
        <v/>
      </c>
      <c r="E4" s="241" t="str">
        <f>IF('Matrix-Rectum'!E25="","",'Matrix-Rectum'!E25)</f>
        <v/>
      </c>
      <c r="F4" s="241" t="str">
        <f>IF('Matrix-Rectum'!F25="","",'Matrix-Rectum'!F25)</f>
        <v/>
      </c>
      <c r="G4" s="241" t="str">
        <f>IF('Matrix-Rectum'!G25="","",'Matrix-Rectum'!G25)</f>
        <v/>
      </c>
      <c r="H4" s="241" t="str">
        <f>IF('Matrix-Rectum'!I25="","",'Matrix-Rectum'!I25)</f>
        <v/>
      </c>
      <c r="I4" s="241" t="str">
        <f>IF('Matrix-Rectum'!J25="","",'Matrix-Rectum'!J25)</f>
        <v/>
      </c>
      <c r="J4" s="241" t="str">
        <f>IF('Matrix-Rectum'!K25="","",'Matrix-Rectum'!K25)</f>
        <v/>
      </c>
      <c r="K4" s="241" t="str">
        <f>IF('Matrix-Rectum'!L25="","",'Matrix-Rectum'!L25)</f>
        <v/>
      </c>
      <c r="L4" s="194" t="str">
        <f>IF('Matrix-Rectum'!M25="","",'Matrix-Rectum'!M25*100)</f>
        <v/>
      </c>
      <c r="M4" s="241" t="str">
        <f>IF('Matrix-Rectum'!O25="","",'Matrix-Rectum'!O25)</f>
        <v/>
      </c>
      <c r="N4" s="194" t="str">
        <f>IF('Matrix-Rectum'!P25="","",'Matrix-Rectum'!P25*100)</f>
        <v/>
      </c>
      <c r="O4" s="241" t="str">
        <f>IF('Matrix-Rectum'!Q25="","",'Matrix-Rectum'!Q25)</f>
        <v/>
      </c>
      <c r="P4" s="241" t="str">
        <f>IF('Matrix-Rectum'!R25="","",'Matrix-Rectum'!R25)</f>
        <v/>
      </c>
      <c r="Q4" s="241" t="str">
        <f>IF('Matrix-Rectum'!S25="","",'Matrix-Rectum'!S25)</f>
        <v/>
      </c>
      <c r="R4" s="241" t="str">
        <f>IF('Matrix-Rectum'!T25="","",'Matrix-Rectum'!T25)</f>
        <v/>
      </c>
      <c r="S4" s="241" t="str">
        <f>IF('Matrix-Rectum'!U25="","",'Matrix-Rectum'!U25)</f>
        <v/>
      </c>
      <c r="T4" s="241" t="str">
        <f>IF('Matrix-Rectum'!V25="","",'Matrix-Rectum'!V25)</f>
        <v/>
      </c>
      <c r="U4" s="241" t="str">
        <f>IF('Matrix-Rectum'!W25="","",'Matrix-Rectum'!W25)</f>
        <v/>
      </c>
      <c r="V4" s="194" t="str">
        <f>IF('Matrix-Rectum'!Y25="","",'Matrix-Rectum'!Y25*100)</f>
        <v/>
      </c>
      <c r="W4" s="194" t="str">
        <f>IF('Matrix-Rectum'!Z25="","",'Matrix-Rectum'!Z25*100)</f>
        <v/>
      </c>
    </row>
    <row r="5" spans="1:23" x14ac:dyDescent="0.45">
      <c r="A5" s="236" t="str">
        <f>'Matrix-Rectum'!A26</f>
        <v>nicht relevant</v>
      </c>
      <c r="B5" s="217">
        <v>2016</v>
      </c>
      <c r="C5" s="217">
        <f>IF('Matrix-Rectum'!C26="","---",'Matrix-Rectum'!C26)</f>
        <v>0</v>
      </c>
      <c r="D5" s="241" t="str">
        <f>IF('Matrix-Rectum'!D26="","",'Matrix-Rectum'!D26)</f>
        <v/>
      </c>
      <c r="E5" s="241" t="str">
        <f>IF('Matrix-Rectum'!E26="","",'Matrix-Rectum'!E26)</f>
        <v/>
      </c>
      <c r="F5" s="241" t="str">
        <f>IF('Matrix-Rectum'!F26="","",'Matrix-Rectum'!F26)</f>
        <v/>
      </c>
      <c r="G5" s="241" t="str">
        <f>IF('Matrix-Rectum'!G26="","",'Matrix-Rectum'!G26)</f>
        <v/>
      </c>
      <c r="H5" s="241" t="str">
        <f>IF('Matrix-Rectum'!I26="","",'Matrix-Rectum'!I26)</f>
        <v/>
      </c>
      <c r="I5" s="241" t="str">
        <f>IF('Matrix-Rectum'!J26="","",'Matrix-Rectum'!J26)</f>
        <v/>
      </c>
      <c r="J5" s="241" t="str">
        <f>IF('Matrix-Rectum'!K26="","",'Matrix-Rectum'!K26)</f>
        <v/>
      </c>
      <c r="K5" s="241" t="str">
        <f>IF('Matrix-Rectum'!L26="","",'Matrix-Rectum'!L26)</f>
        <v/>
      </c>
      <c r="L5" s="194" t="str">
        <f>IF('Matrix-Rectum'!M26="","",'Matrix-Rectum'!M26*100)</f>
        <v/>
      </c>
      <c r="M5" s="241" t="str">
        <f>IF('Matrix-Rectum'!O26="","",'Matrix-Rectum'!O26)</f>
        <v/>
      </c>
      <c r="N5" s="194" t="str">
        <f>IF('Matrix-Rectum'!P26="","",'Matrix-Rectum'!P26*100)</f>
        <v/>
      </c>
      <c r="O5" s="241" t="str">
        <f>IF('Matrix-Rectum'!Q26="","",'Matrix-Rectum'!Q26)</f>
        <v/>
      </c>
      <c r="P5" s="241" t="str">
        <f>IF('Matrix-Rectum'!R26="","",'Matrix-Rectum'!R26)</f>
        <v/>
      </c>
      <c r="Q5" s="241" t="str">
        <f>IF('Matrix-Rectum'!S26="","",'Matrix-Rectum'!S26)</f>
        <v/>
      </c>
      <c r="R5" s="241" t="str">
        <f>IF('Matrix-Rectum'!T26="","",'Matrix-Rectum'!T26)</f>
        <v/>
      </c>
      <c r="S5" s="241" t="str">
        <f>IF('Matrix-Rectum'!U26="","",'Matrix-Rectum'!U26)</f>
        <v/>
      </c>
      <c r="T5" s="241" t="str">
        <f>IF('Matrix-Rectum'!V26="","",'Matrix-Rectum'!V26)</f>
        <v/>
      </c>
      <c r="U5" s="241" t="str">
        <f>IF('Matrix-Rectum'!W26="","",'Matrix-Rectum'!W26)</f>
        <v/>
      </c>
      <c r="V5" s="194" t="str">
        <f>IF('Matrix-Rectum'!Y26="","",'Matrix-Rectum'!Y26*100)</f>
        <v/>
      </c>
      <c r="W5" s="194" t="str">
        <f>IF('Matrix-Rectum'!Z26="","",'Matrix-Rectum'!Z26*100)</f>
        <v/>
      </c>
    </row>
    <row r="6" spans="1:23" x14ac:dyDescent="0.45">
      <c r="A6" s="236" t="str">
        <f>'Matrix-Rectum'!A27</f>
        <v>nicht relevant</v>
      </c>
      <c r="B6" s="217">
        <v>2017</v>
      </c>
      <c r="C6" s="217">
        <f>IF('Matrix-Rectum'!C27="","---",'Matrix-Rectum'!C27)</f>
        <v>0</v>
      </c>
      <c r="D6" s="241" t="str">
        <f>IF('Matrix-Rectum'!D27="","",'Matrix-Rectum'!D27)</f>
        <v/>
      </c>
      <c r="E6" s="241" t="str">
        <f>IF('Matrix-Rectum'!E27="","",'Matrix-Rectum'!E27)</f>
        <v/>
      </c>
      <c r="F6" s="241" t="str">
        <f>IF('Matrix-Rectum'!F27="","",'Matrix-Rectum'!F27)</f>
        <v/>
      </c>
      <c r="G6" s="241" t="str">
        <f>IF('Matrix-Rectum'!G27="","",'Matrix-Rectum'!G27)</f>
        <v/>
      </c>
      <c r="H6" s="241" t="str">
        <f>IF('Matrix-Rectum'!I27="","",'Matrix-Rectum'!I27)</f>
        <v/>
      </c>
      <c r="I6" s="241" t="str">
        <f>IF('Matrix-Rectum'!J27="","",'Matrix-Rectum'!J27)</f>
        <v/>
      </c>
      <c r="J6" s="241" t="str">
        <f>IF('Matrix-Rectum'!K27="","",'Matrix-Rectum'!K27)</f>
        <v/>
      </c>
      <c r="K6" s="241" t="str">
        <f>IF('Matrix-Rectum'!L27="","",'Matrix-Rectum'!L27)</f>
        <v/>
      </c>
      <c r="L6" s="194" t="str">
        <f>IF('Matrix-Rectum'!M27="","",'Matrix-Rectum'!M27*100)</f>
        <v/>
      </c>
      <c r="M6" s="241" t="str">
        <f>IF('Matrix-Rectum'!O27="","",'Matrix-Rectum'!O27)</f>
        <v/>
      </c>
      <c r="N6" s="194" t="str">
        <f>IF('Matrix-Rectum'!P27="","",'Matrix-Rectum'!P27*100)</f>
        <v/>
      </c>
      <c r="O6" s="241" t="str">
        <f>IF('Matrix-Rectum'!Q27="","",'Matrix-Rectum'!Q27)</f>
        <v/>
      </c>
      <c r="P6" s="241" t="str">
        <f>IF('Matrix-Rectum'!R27="","",'Matrix-Rectum'!R27)</f>
        <v/>
      </c>
      <c r="Q6" s="241" t="str">
        <f>IF('Matrix-Rectum'!S27="","",'Matrix-Rectum'!S27)</f>
        <v/>
      </c>
      <c r="R6" s="241" t="str">
        <f>IF('Matrix-Rectum'!T27="","",'Matrix-Rectum'!T27)</f>
        <v/>
      </c>
      <c r="S6" s="241" t="str">
        <f>IF('Matrix-Rectum'!U27="","",'Matrix-Rectum'!U27)</f>
        <v/>
      </c>
      <c r="T6" s="241" t="str">
        <f>IF('Matrix-Rectum'!V27="","",'Matrix-Rectum'!V27)</f>
        <v/>
      </c>
      <c r="U6" s="241" t="str">
        <f>IF('Matrix-Rectum'!W27="","",'Matrix-Rectum'!W27)</f>
        <v/>
      </c>
      <c r="V6" s="194" t="str">
        <f>IF('Matrix-Rectum'!Y27="","",'Matrix-Rectum'!Y27*100)</f>
        <v/>
      </c>
      <c r="W6" s="194" t="str">
        <f>IF('Matrix-Rectum'!Z27="","",'Matrix-Rectum'!Z27*100)</f>
        <v/>
      </c>
    </row>
    <row r="7" spans="1:23" x14ac:dyDescent="0.45">
      <c r="A7" s="172" t="s">
        <v>169</v>
      </c>
      <c r="B7" s="217">
        <v>2018</v>
      </c>
      <c r="C7" s="217">
        <v>0</v>
      </c>
      <c r="D7" s="241"/>
      <c r="E7" s="241"/>
      <c r="F7" s="241"/>
      <c r="G7" s="241"/>
      <c r="H7" s="241"/>
      <c r="I7" s="241"/>
      <c r="J7" s="241"/>
      <c r="K7" s="241"/>
      <c r="L7" s="194"/>
      <c r="M7" s="241"/>
      <c r="N7" s="194"/>
      <c r="O7" s="241"/>
      <c r="P7" s="241"/>
      <c r="Q7" s="241"/>
      <c r="R7" s="241"/>
      <c r="S7" s="241"/>
      <c r="T7" s="241"/>
      <c r="U7" s="241"/>
      <c r="V7" s="194"/>
      <c r="W7" s="194"/>
    </row>
    <row r="8" spans="1:23" x14ac:dyDescent="0.45">
      <c r="A8" s="236" t="str">
        <f>'Matrix-Rectum'!A28</f>
        <v>nicht relevant</v>
      </c>
      <c r="B8" s="217">
        <v>2019</v>
      </c>
      <c r="C8" s="217">
        <f>IF('Matrix-Rectum'!C28="","---",'Matrix-Rectum'!C28)</f>
        <v>0</v>
      </c>
      <c r="D8" s="241" t="str">
        <f>IF('Matrix-Rectum'!D28="","",'Matrix-Rectum'!D28)</f>
        <v/>
      </c>
      <c r="E8" s="241" t="str">
        <f>IF('Matrix-Rectum'!E28="","",'Matrix-Rectum'!E28)</f>
        <v/>
      </c>
      <c r="F8" s="241" t="str">
        <f>IF('Matrix-Rectum'!F28="","",'Matrix-Rectum'!F28)</f>
        <v/>
      </c>
      <c r="G8" s="241" t="str">
        <f>IF('Matrix-Rectum'!G28="","",'Matrix-Rectum'!G28)</f>
        <v/>
      </c>
      <c r="H8" s="241" t="str">
        <f>IF('Matrix-Rectum'!I28="","",'Matrix-Rectum'!I28)</f>
        <v/>
      </c>
      <c r="I8" s="241" t="str">
        <f>IF('Matrix-Rectum'!J28="","",'Matrix-Rectum'!J28)</f>
        <v/>
      </c>
      <c r="J8" s="241" t="str">
        <f>IF('Matrix-Rectum'!K28="","",'Matrix-Rectum'!K28)</f>
        <v/>
      </c>
      <c r="K8" s="241" t="str">
        <f>IF('Matrix-Rectum'!L28="","",'Matrix-Rectum'!L28)</f>
        <v/>
      </c>
      <c r="L8" s="194" t="str">
        <f>IF('Matrix-Rectum'!M28="","",'Matrix-Rectum'!M28*100)</f>
        <v/>
      </c>
      <c r="M8" s="241" t="str">
        <f>IF('Matrix-Rectum'!O28="","",'Matrix-Rectum'!O28)</f>
        <v/>
      </c>
      <c r="N8" s="194" t="str">
        <f>IF('Matrix-Rectum'!P28="","",'Matrix-Rectum'!P28*100)</f>
        <v/>
      </c>
      <c r="O8" s="241" t="str">
        <f>IF('Matrix-Rectum'!Q28="","",'Matrix-Rectum'!Q28)</f>
        <v/>
      </c>
      <c r="P8" s="241" t="str">
        <f>IF('Matrix-Rectum'!R28="","",'Matrix-Rectum'!R28)</f>
        <v/>
      </c>
      <c r="Q8" s="241" t="str">
        <f>IF('Matrix-Rectum'!S28="","",'Matrix-Rectum'!S28)</f>
        <v/>
      </c>
      <c r="R8" s="241" t="str">
        <f>IF('Matrix-Rectum'!T28="","",'Matrix-Rectum'!T28)</f>
        <v/>
      </c>
      <c r="S8" s="241" t="str">
        <f>IF('Matrix-Rectum'!U28="","",'Matrix-Rectum'!U28)</f>
        <v/>
      </c>
      <c r="T8" s="241" t="str">
        <f>IF('Matrix-Rectum'!V28="","",'Matrix-Rectum'!V28)</f>
        <v/>
      </c>
      <c r="U8" s="241" t="str">
        <f>IF('Matrix-Rectum'!W28="","",'Matrix-Rectum'!W28)</f>
        <v/>
      </c>
      <c r="V8" s="194" t="str">
        <f>IF('Matrix-Rectum'!Y28="","",'Matrix-Rectum'!Y28*100)</f>
        <v/>
      </c>
      <c r="W8" s="194" t="str">
        <f>IF('Matrix-Rectum'!Z28="","",'Matrix-Rectum'!Z28*100)</f>
        <v/>
      </c>
    </row>
  </sheetData>
  <phoneticPr fontId="75"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D57"/>
  <sheetViews>
    <sheetView workbookViewId="0">
      <selection activeCell="C3" sqref="C3"/>
    </sheetView>
  </sheetViews>
  <sheetFormatPr baseColWidth="10" defaultColWidth="9.1328125" defaultRowHeight="11.65" x14ac:dyDescent="0.45"/>
  <cols>
    <col min="1" max="1" width="19" style="150" customWidth="1"/>
    <col min="2" max="2" width="22.1328125" style="150" customWidth="1"/>
    <col min="3" max="3" width="45.59765625" style="183" customWidth="1"/>
    <col min="4" max="4" width="71" style="183" customWidth="1"/>
    <col min="5" max="16384" width="9.1328125" style="149"/>
  </cols>
  <sheetData>
    <row r="1" spans="1:4" ht="23.25" x14ac:dyDescent="0.45">
      <c r="A1" s="151" t="s">
        <v>340</v>
      </c>
      <c r="B1" s="152" t="s">
        <v>140</v>
      </c>
      <c r="C1" s="151" t="s">
        <v>265</v>
      </c>
      <c r="D1" s="151" t="s">
        <v>57</v>
      </c>
    </row>
    <row r="2" spans="1:4" x14ac:dyDescent="0.45">
      <c r="A2" s="150" t="str">
        <f ca="1">Berechnung5!L2</f>
        <v/>
      </c>
      <c r="B2" s="150" t="str">
        <f ca="1">Berechnung5!N2</f>
        <v/>
      </c>
      <c r="C2" s="183" t="str">
        <f ca="1">Berechnung5!O2</f>
        <v/>
      </c>
      <c r="D2" s="183" t="str">
        <f ca="1">Berechnung5!P2</f>
        <v/>
      </c>
    </row>
    <row r="3" spans="1:4" x14ac:dyDescent="0.45">
      <c r="A3" s="150" t="str">
        <f ca="1">Berechnung5!L3</f>
        <v/>
      </c>
      <c r="B3" s="150" t="str">
        <f ca="1">Berechnung5!N3</f>
        <v/>
      </c>
      <c r="C3" s="183" t="str">
        <f ca="1">Berechnung5!O3</f>
        <v/>
      </c>
      <c r="D3" s="183" t="str">
        <f ca="1">Berechnung5!P3</f>
        <v/>
      </c>
    </row>
    <row r="4" spans="1:4" x14ac:dyDescent="0.45">
      <c r="A4" s="150" t="str">
        <f ca="1">Berechnung5!L4</f>
        <v/>
      </c>
      <c r="B4" s="150" t="str">
        <f ca="1">Berechnung5!N4</f>
        <v/>
      </c>
      <c r="C4" s="183" t="str">
        <f ca="1">Berechnung5!O4</f>
        <v/>
      </c>
      <c r="D4" s="183" t="str">
        <f ca="1">Berechnung5!P4</f>
        <v/>
      </c>
    </row>
    <row r="5" spans="1:4" x14ac:dyDescent="0.45">
      <c r="A5" s="150" t="str">
        <f ca="1">Berechnung5!L5</f>
        <v/>
      </c>
      <c r="B5" s="150" t="str">
        <f ca="1">Berechnung5!N5</f>
        <v/>
      </c>
      <c r="C5" s="183" t="str">
        <f ca="1">Berechnung5!O5</f>
        <v/>
      </c>
      <c r="D5" s="183" t="str">
        <f ca="1">Berechnung5!P5</f>
        <v/>
      </c>
    </row>
    <row r="6" spans="1:4" x14ac:dyDescent="0.45">
      <c r="A6" s="150" t="str">
        <f ca="1">Berechnung5!L6</f>
        <v/>
      </c>
      <c r="B6" s="150" t="str">
        <f ca="1">Berechnung5!N6</f>
        <v/>
      </c>
      <c r="C6" s="183" t="str">
        <f ca="1">Berechnung5!O6</f>
        <v/>
      </c>
      <c r="D6" s="183" t="str">
        <f ca="1">Berechnung5!P6</f>
        <v/>
      </c>
    </row>
    <row r="7" spans="1:4" x14ac:dyDescent="0.45">
      <c r="A7" s="150" t="str">
        <f ca="1">Berechnung5!L7</f>
        <v/>
      </c>
      <c r="B7" s="150" t="str">
        <f ca="1">Berechnung5!N7</f>
        <v/>
      </c>
      <c r="C7" s="183" t="str">
        <f ca="1">Berechnung5!O7</f>
        <v/>
      </c>
      <c r="D7" s="183" t="str">
        <f ca="1">Berechnung5!P7</f>
        <v/>
      </c>
    </row>
    <row r="8" spans="1:4" x14ac:dyDescent="0.45">
      <c r="A8" s="150" t="str">
        <f ca="1">Berechnung5!L8</f>
        <v/>
      </c>
      <c r="B8" s="150" t="str">
        <f ca="1">Berechnung5!N8</f>
        <v/>
      </c>
      <c r="C8" s="183" t="str">
        <f ca="1">Berechnung5!O8</f>
        <v/>
      </c>
      <c r="D8" s="183" t="str">
        <f ca="1">Berechnung5!P8</f>
        <v/>
      </c>
    </row>
    <row r="9" spans="1:4" x14ac:dyDescent="0.45">
      <c r="A9" s="150" t="str">
        <f ca="1">Berechnung5!L9</f>
        <v/>
      </c>
      <c r="B9" s="150" t="str">
        <f ca="1">Berechnung5!N9</f>
        <v/>
      </c>
      <c r="C9" s="183" t="str">
        <f ca="1">Berechnung5!O9</f>
        <v/>
      </c>
      <c r="D9" s="183" t="str">
        <f ca="1">Berechnung5!P9</f>
        <v/>
      </c>
    </row>
    <row r="10" spans="1:4" x14ac:dyDescent="0.45">
      <c r="A10" s="150" t="str">
        <f ca="1">Berechnung5!L10</f>
        <v/>
      </c>
      <c r="B10" s="150" t="str">
        <f ca="1">Berechnung5!N10</f>
        <v/>
      </c>
      <c r="C10" s="183" t="str">
        <f ca="1">Berechnung5!O10</f>
        <v/>
      </c>
      <c r="D10" s="183" t="str">
        <f ca="1">Berechnung5!P10</f>
        <v/>
      </c>
    </row>
    <row r="11" spans="1:4" x14ac:dyDescent="0.45">
      <c r="A11" s="150" t="str">
        <f ca="1">Berechnung5!L11</f>
        <v/>
      </c>
      <c r="B11" s="150" t="str">
        <f ca="1">Berechnung5!N11</f>
        <v/>
      </c>
      <c r="C11" s="183" t="str">
        <f ca="1">Berechnung5!O11</f>
        <v/>
      </c>
      <c r="D11" s="183" t="str">
        <f ca="1">Berechnung5!P11</f>
        <v/>
      </c>
    </row>
    <row r="12" spans="1:4" x14ac:dyDescent="0.45">
      <c r="A12" s="150" t="str">
        <f ca="1">Berechnung5!L12</f>
        <v/>
      </c>
      <c r="B12" s="150" t="str">
        <f ca="1">Berechnung5!N12</f>
        <v/>
      </c>
      <c r="C12" s="183" t="str">
        <f ca="1">Berechnung5!O12</f>
        <v/>
      </c>
      <c r="D12" s="183" t="str">
        <f ca="1">Berechnung5!P12</f>
        <v/>
      </c>
    </row>
    <row r="13" spans="1:4" x14ac:dyDescent="0.45">
      <c r="A13" s="150" t="str">
        <f ca="1">Berechnung5!L13</f>
        <v/>
      </c>
      <c r="B13" s="150" t="str">
        <f ca="1">Berechnung5!N13</f>
        <v/>
      </c>
      <c r="C13" s="183" t="str">
        <f ca="1">Berechnung5!O13</f>
        <v/>
      </c>
      <c r="D13" s="183" t="str">
        <f ca="1">Berechnung5!P13</f>
        <v/>
      </c>
    </row>
    <row r="14" spans="1:4" x14ac:dyDescent="0.45">
      <c r="A14" s="150" t="str">
        <f ca="1">Berechnung5!L14</f>
        <v/>
      </c>
      <c r="B14" s="150" t="str">
        <f ca="1">Berechnung5!N14</f>
        <v/>
      </c>
      <c r="C14" s="183" t="str">
        <f ca="1">Berechnung5!O14</f>
        <v/>
      </c>
      <c r="D14" s="183" t="str">
        <f ca="1">Berechnung5!P14</f>
        <v/>
      </c>
    </row>
    <row r="15" spans="1:4" x14ac:dyDescent="0.45">
      <c r="A15" s="150" t="str">
        <f ca="1">Berechnung5!L15</f>
        <v/>
      </c>
      <c r="B15" s="150" t="str">
        <f ca="1">Berechnung5!N15</f>
        <v/>
      </c>
      <c r="C15" s="183" t="str">
        <f ca="1">Berechnung5!O15</f>
        <v/>
      </c>
      <c r="D15" s="183" t="str">
        <f ca="1">Berechnung5!P15</f>
        <v/>
      </c>
    </row>
    <row r="16" spans="1:4" x14ac:dyDescent="0.45">
      <c r="A16" s="150" t="str">
        <f ca="1">Berechnung5!L16</f>
        <v/>
      </c>
      <c r="B16" s="150" t="str">
        <f ca="1">Berechnung5!N16</f>
        <v/>
      </c>
      <c r="C16" s="183" t="str">
        <f ca="1">Berechnung5!O16</f>
        <v/>
      </c>
      <c r="D16" s="183" t="str">
        <f ca="1">Berechnung5!P16</f>
        <v/>
      </c>
    </row>
    <row r="17" spans="1:4" x14ac:dyDescent="0.45">
      <c r="A17" s="150" t="str">
        <f ca="1">Berechnung5!L17</f>
        <v/>
      </c>
      <c r="B17" s="150" t="str">
        <f ca="1">Berechnung5!N17</f>
        <v/>
      </c>
      <c r="C17" s="183" t="str">
        <f ca="1">Berechnung5!O17</f>
        <v/>
      </c>
      <c r="D17" s="183" t="str">
        <f ca="1">Berechnung5!P17</f>
        <v/>
      </c>
    </row>
    <row r="18" spans="1:4" x14ac:dyDescent="0.45">
      <c r="A18" s="150" t="str">
        <f ca="1">Berechnung5!L18</f>
        <v/>
      </c>
      <c r="B18" s="150" t="str">
        <f ca="1">Berechnung5!N18</f>
        <v/>
      </c>
      <c r="C18" s="183" t="str">
        <f ca="1">Berechnung5!O18</f>
        <v/>
      </c>
      <c r="D18" s="183" t="str">
        <f ca="1">Berechnung5!P18</f>
        <v/>
      </c>
    </row>
    <row r="19" spans="1:4" x14ac:dyDescent="0.45">
      <c r="A19" s="150" t="str">
        <f ca="1">Berechnung5!L19</f>
        <v/>
      </c>
      <c r="B19" s="150" t="str">
        <f ca="1">Berechnung5!N19</f>
        <v/>
      </c>
      <c r="C19" s="183" t="str">
        <f ca="1">Berechnung5!O19</f>
        <v/>
      </c>
      <c r="D19" s="183" t="str">
        <f ca="1">Berechnung5!P19</f>
        <v/>
      </c>
    </row>
    <row r="20" spans="1:4" x14ac:dyDescent="0.45">
      <c r="A20" s="150" t="str">
        <f ca="1">Berechnung5!L20</f>
        <v/>
      </c>
      <c r="B20" s="150" t="str">
        <f ca="1">Berechnung5!N20</f>
        <v/>
      </c>
      <c r="C20" s="183" t="str">
        <f ca="1">Berechnung5!O20</f>
        <v/>
      </c>
      <c r="D20" s="183" t="str">
        <f ca="1">Berechnung5!P20</f>
        <v/>
      </c>
    </row>
    <row r="21" spans="1:4" x14ac:dyDescent="0.45">
      <c r="A21" s="150" t="str">
        <f ca="1">Berechnung5!L21</f>
        <v/>
      </c>
      <c r="B21" s="150" t="str">
        <f ca="1">Berechnung5!N21</f>
        <v/>
      </c>
      <c r="C21" s="183" t="str">
        <f ca="1">Berechnung5!O21</f>
        <v/>
      </c>
      <c r="D21" s="183" t="str">
        <f ca="1">Berechnung5!P21</f>
        <v/>
      </c>
    </row>
    <row r="22" spans="1:4" x14ac:dyDescent="0.45">
      <c r="A22" s="150" t="str">
        <f ca="1">Berechnung5!L22</f>
        <v/>
      </c>
      <c r="B22" s="150" t="str">
        <f ca="1">Berechnung5!N22</f>
        <v/>
      </c>
      <c r="C22" s="183" t="str">
        <f ca="1">Berechnung5!O22</f>
        <v/>
      </c>
      <c r="D22" s="183" t="str">
        <f ca="1">Berechnung5!P22</f>
        <v/>
      </c>
    </row>
    <row r="23" spans="1:4" x14ac:dyDescent="0.45">
      <c r="A23" s="150" t="str">
        <f ca="1">Berechnung5!L23</f>
        <v/>
      </c>
      <c r="B23" s="150" t="str">
        <f ca="1">Berechnung5!N23</f>
        <v/>
      </c>
      <c r="C23" s="183" t="str">
        <f ca="1">Berechnung5!O23</f>
        <v/>
      </c>
      <c r="D23" s="183" t="str">
        <f ca="1">Berechnung5!P23</f>
        <v/>
      </c>
    </row>
    <row r="24" spans="1:4" x14ac:dyDescent="0.45">
      <c r="A24" s="150" t="str">
        <f ca="1">Berechnung5!L24</f>
        <v/>
      </c>
      <c r="B24" s="150" t="str">
        <f ca="1">Berechnung5!N24</f>
        <v/>
      </c>
      <c r="C24" s="183" t="str">
        <f ca="1">Berechnung5!O24</f>
        <v/>
      </c>
      <c r="D24" s="183" t="str">
        <f ca="1">Berechnung5!P24</f>
        <v/>
      </c>
    </row>
    <row r="25" spans="1:4" x14ac:dyDescent="0.45">
      <c r="A25" s="150" t="str">
        <f ca="1">Berechnung5!L25</f>
        <v/>
      </c>
      <c r="B25" s="150" t="str">
        <f ca="1">Berechnung5!N25</f>
        <v/>
      </c>
      <c r="C25" s="183" t="str">
        <f ca="1">Berechnung5!O25</f>
        <v/>
      </c>
      <c r="D25" s="183" t="str">
        <f ca="1">Berechnung5!P25</f>
        <v/>
      </c>
    </row>
    <row r="26" spans="1:4" x14ac:dyDescent="0.45">
      <c r="A26" s="150" t="str">
        <f ca="1">Berechnung5!L26</f>
        <v/>
      </c>
      <c r="B26" s="150" t="str">
        <f ca="1">Berechnung5!N26</f>
        <v/>
      </c>
      <c r="C26" s="183" t="str">
        <f ca="1">Berechnung5!O26</f>
        <v/>
      </c>
      <c r="D26" s="183" t="str">
        <f ca="1">Berechnung5!P26</f>
        <v/>
      </c>
    </row>
    <row r="27" spans="1:4" x14ac:dyDescent="0.45">
      <c r="A27" s="150" t="str">
        <f ca="1">Berechnung5!L27</f>
        <v/>
      </c>
      <c r="B27" s="150" t="str">
        <f ca="1">Berechnung5!N27</f>
        <v/>
      </c>
      <c r="C27" s="183" t="str">
        <f ca="1">Berechnung5!O27</f>
        <v/>
      </c>
      <c r="D27" s="183" t="str">
        <f ca="1">Berechnung5!P27</f>
        <v/>
      </c>
    </row>
    <row r="28" spans="1:4" x14ac:dyDescent="0.45">
      <c r="A28" s="150" t="str">
        <f ca="1">Berechnung5!L28</f>
        <v/>
      </c>
      <c r="B28" s="150" t="str">
        <f ca="1">Berechnung5!N28</f>
        <v/>
      </c>
      <c r="C28" s="183" t="str">
        <f ca="1">Berechnung5!O28</f>
        <v/>
      </c>
      <c r="D28" s="183" t="str">
        <f ca="1">Berechnung5!P28</f>
        <v/>
      </c>
    </row>
    <row r="29" spans="1:4" x14ac:dyDescent="0.45">
      <c r="A29" s="150" t="str">
        <f ca="1">Berechnung5!L29</f>
        <v/>
      </c>
      <c r="B29" s="150" t="str">
        <f ca="1">Berechnung5!N29</f>
        <v/>
      </c>
      <c r="C29" s="183" t="str">
        <f ca="1">Berechnung5!O29</f>
        <v/>
      </c>
      <c r="D29" s="183" t="str">
        <f ca="1">Berechnung5!P29</f>
        <v/>
      </c>
    </row>
    <row r="30" spans="1:4" x14ac:dyDescent="0.45">
      <c r="A30" s="150" t="str">
        <f ca="1">Berechnung5!L30</f>
        <v/>
      </c>
      <c r="B30" s="150" t="str">
        <f ca="1">Berechnung5!N30</f>
        <v/>
      </c>
      <c r="C30" s="183" t="str">
        <f ca="1">Berechnung5!O30</f>
        <v/>
      </c>
      <c r="D30" s="183" t="str">
        <f ca="1">Berechnung5!P30</f>
        <v/>
      </c>
    </row>
    <row r="31" spans="1:4" x14ac:dyDescent="0.45">
      <c r="A31" s="150" t="str">
        <f ca="1">Berechnung5!L31</f>
        <v/>
      </c>
      <c r="B31" s="150" t="str">
        <f ca="1">Berechnung5!N31</f>
        <v/>
      </c>
      <c r="C31" s="183" t="str">
        <f ca="1">Berechnung5!O31</f>
        <v/>
      </c>
      <c r="D31" s="183" t="str">
        <f ca="1">Berechnung5!P31</f>
        <v/>
      </c>
    </row>
    <row r="32" spans="1:4" x14ac:dyDescent="0.45">
      <c r="A32" s="150" t="str">
        <f ca="1">Berechnung5!L32</f>
        <v/>
      </c>
      <c r="B32" s="150" t="str">
        <f ca="1">Berechnung5!N32</f>
        <v/>
      </c>
      <c r="C32" s="183" t="str">
        <f ca="1">Berechnung5!O32</f>
        <v/>
      </c>
      <c r="D32" s="183" t="str">
        <f ca="1">Berechnung5!P32</f>
        <v/>
      </c>
    </row>
    <row r="33" spans="1:4" x14ac:dyDescent="0.45">
      <c r="A33" s="150" t="str">
        <f ca="1">Berechnung5!L33</f>
        <v/>
      </c>
      <c r="B33" s="150" t="str">
        <f ca="1">Berechnung5!N33</f>
        <v/>
      </c>
      <c r="C33" s="183" t="str">
        <f ca="1">Berechnung5!O33</f>
        <v/>
      </c>
      <c r="D33" s="183" t="str">
        <f ca="1">Berechnung5!P33</f>
        <v/>
      </c>
    </row>
    <row r="34" spans="1:4" x14ac:dyDescent="0.45">
      <c r="A34" s="150" t="str">
        <f ca="1">Berechnung5!L34</f>
        <v/>
      </c>
      <c r="B34" s="150" t="str">
        <f ca="1">Berechnung5!N34</f>
        <v/>
      </c>
      <c r="C34" s="183" t="str">
        <f ca="1">Berechnung5!O34</f>
        <v/>
      </c>
      <c r="D34" s="183" t="str">
        <f ca="1">Berechnung5!P34</f>
        <v/>
      </c>
    </row>
    <row r="35" spans="1:4" x14ac:dyDescent="0.45">
      <c r="A35" s="150" t="str">
        <f ca="1">Berechnung5!L35</f>
        <v/>
      </c>
      <c r="B35" s="150" t="str">
        <f ca="1">Berechnung5!N35</f>
        <v/>
      </c>
      <c r="C35" s="183" t="str">
        <f ca="1">Berechnung5!O35</f>
        <v/>
      </c>
      <c r="D35" s="183" t="str">
        <f ca="1">Berechnung5!P35</f>
        <v/>
      </c>
    </row>
    <row r="36" spans="1:4" x14ac:dyDescent="0.45">
      <c r="A36" s="150" t="str">
        <f ca="1">Berechnung5!L36</f>
        <v/>
      </c>
      <c r="B36" s="150" t="str">
        <f ca="1">Berechnung5!N36</f>
        <v/>
      </c>
      <c r="C36" s="183" t="str">
        <f ca="1">Berechnung5!O36</f>
        <v/>
      </c>
      <c r="D36" s="183" t="str">
        <f ca="1">Berechnung5!P36</f>
        <v/>
      </c>
    </row>
    <row r="37" spans="1:4" x14ac:dyDescent="0.45">
      <c r="A37" s="150" t="str">
        <f ca="1">Berechnung5!L37</f>
        <v/>
      </c>
      <c r="B37" s="150" t="str">
        <f ca="1">Berechnung5!N37</f>
        <v/>
      </c>
      <c r="C37" s="183" t="str">
        <f ca="1">Berechnung5!O37</f>
        <v/>
      </c>
      <c r="D37" s="183" t="str">
        <f ca="1">Berechnung5!P37</f>
        <v/>
      </c>
    </row>
    <row r="38" spans="1:4" x14ac:dyDescent="0.45">
      <c r="A38" s="150" t="str">
        <f ca="1">Berechnung5!L38</f>
        <v/>
      </c>
      <c r="B38" s="150" t="str">
        <f ca="1">Berechnung5!N38</f>
        <v/>
      </c>
      <c r="C38" s="183" t="str">
        <f ca="1">Berechnung5!O38</f>
        <v/>
      </c>
      <c r="D38" s="183" t="str">
        <f ca="1">Berechnung5!P38</f>
        <v/>
      </c>
    </row>
    <row r="39" spans="1:4" x14ac:dyDescent="0.45">
      <c r="A39" s="150" t="str">
        <f ca="1">Berechnung5!L39</f>
        <v/>
      </c>
      <c r="B39" s="150" t="str">
        <f ca="1">Berechnung5!N39</f>
        <v/>
      </c>
      <c r="C39" s="183" t="str">
        <f ca="1">Berechnung5!O39</f>
        <v/>
      </c>
      <c r="D39" s="183" t="str">
        <f ca="1">Berechnung5!P39</f>
        <v/>
      </c>
    </row>
    <row r="40" spans="1:4" x14ac:dyDescent="0.45">
      <c r="A40" s="150" t="str">
        <f ca="1">Berechnung5!L40</f>
        <v/>
      </c>
      <c r="B40" s="150" t="str">
        <f ca="1">Berechnung5!N40</f>
        <v/>
      </c>
      <c r="C40" s="183" t="str">
        <f ca="1">Berechnung5!O40</f>
        <v/>
      </c>
      <c r="D40" s="183" t="str">
        <f ca="1">Berechnung5!P40</f>
        <v/>
      </c>
    </row>
    <row r="41" spans="1:4" x14ac:dyDescent="0.45">
      <c r="A41" s="150" t="str">
        <f ca="1">Berechnung5!L41</f>
        <v/>
      </c>
      <c r="B41" s="150" t="str">
        <f ca="1">Berechnung5!N41</f>
        <v/>
      </c>
      <c r="C41" s="183" t="str">
        <f ca="1">Berechnung5!O41</f>
        <v/>
      </c>
      <c r="D41" s="183" t="str">
        <f ca="1">Berechnung5!P41</f>
        <v/>
      </c>
    </row>
    <row r="42" spans="1:4" x14ac:dyDescent="0.45">
      <c r="A42" s="150" t="str">
        <f ca="1">Berechnung5!L42</f>
        <v/>
      </c>
      <c r="B42" s="150" t="str">
        <f ca="1">Berechnung5!N42</f>
        <v/>
      </c>
      <c r="C42" s="183" t="str">
        <f ca="1">Berechnung5!O42</f>
        <v/>
      </c>
      <c r="D42" s="183" t="str">
        <f ca="1">Berechnung5!P42</f>
        <v/>
      </c>
    </row>
    <row r="43" spans="1:4" x14ac:dyDescent="0.45">
      <c r="A43" s="150" t="str">
        <f ca="1">Berechnung5!L43</f>
        <v/>
      </c>
      <c r="B43" s="150" t="str">
        <f ca="1">Berechnung5!N43</f>
        <v/>
      </c>
      <c r="C43" s="183" t="str">
        <f ca="1">Berechnung5!O43</f>
        <v/>
      </c>
      <c r="D43" s="183" t="str">
        <f ca="1">Berechnung5!P43</f>
        <v/>
      </c>
    </row>
    <row r="44" spans="1:4" x14ac:dyDescent="0.45">
      <c r="A44" s="150" t="str">
        <f ca="1">Berechnung5!L44</f>
        <v/>
      </c>
      <c r="B44" s="150" t="str">
        <f ca="1">Berechnung5!N44</f>
        <v/>
      </c>
      <c r="C44" s="183" t="str">
        <f ca="1">Berechnung5!O44</f>
        <v/>
      </c>
      <c r="D44" s="183" t="str">
        <f ca="1">Berechnung5!P44</f>
        <v/>
      </c>
    </row>
    <row r="45" spans="1:4" x14ac:dyDescent="0.45">
      <c r="A45" s="150" t="str">
        <f ca="1">Berechnung5!L45</f>
        <v/>
      </c>
      <c r="B45" s="150" t="str">
        <f ca="1">Berechnung5!N45</f>
        <v/>
      </c>
      <c r="C45" s="183" t="str">
        <f ca="1">Berechnung5!O45</f>
        <v/>
      </c>
      <c r="D45" s="183" t="str">
        <f ca="1">Berechnung5!P45</f>
        <v/>
      </c>
    </row>
    <row r="46" spans="1:4" x14ac:dyDescent="0.45">
      <c r="A46" s="150" t="str">
        <f ca="1">Berechnung5!L46</f>
        <v/>
      </c>
      <c r="B46" s="150" t="str">
        <f ca="1">Berechnung5!N46</f>
        <v/>
      </c>
      <c r="C46" s="183" t="str">
        <f ca="1">Berechnung5!O46</f>
        <v/>
      </c>
      <c r="D46" s="183" t="str">
        <f ca="1">Berechnung5!P46</f>
        <v/>
      </c>
    </row>
    <row r="47" spans="1:4" x14ac:dyDescent="0.45">
      <c r="A47" s="150" t="str">
        <f ca="1">Berechnung5!L47</f>
        <v/>
      </c>
      <c r="B47" s="150" t="str">
        <f ca="1">Berechnung5!N47</f>
        <v/>
      </c>
      <c r="C47" s="183" t="str">
        <f ca="1">Berechnung5!O47</f>
        <v/>
      </c>
      <c r="D47" s="183" t="str">
        <f ca="1">Berechnung5!P47</f>
        <v/>
      </c>
    </row>
    <row r="48" spans="1:4" x14ac:dyDescent="0.45">
      <c r="A48" s="150" t="str">
        <f ca="1">Berechnung5!L48</f>
        <v/>
      </c>
      <c r="B48" s="150" t="str">
        <f ca="1">Berechnung5!N48</f>
        <v/>
      </c>
      <c r="C48" s="183" t="str">
        <f ca="1">Berechnung5!O48</f>
        <v/>
      </c>
      <c r="D48" s="183" t="str">
        <f ca="1">Berechnung5!P48</f>
        <v/>
      </c>
    </row>
    <row r="49" spans="1:4" x14ac:dyDescent="0.45">
      <c r="A49" s="150" t="str">
        <f ca="1">Berechnung5!L49</f>
        <v/>
      </c>
      <c r="B49" s="150" t="str">
        <f ca="1">Berechnung5!N49</f>
        <v/>
      </c>
      <c r="C49" s="183" t="str">
        <f ca="1">Berechnung5!O49</f>
        <v/>
      </c>
      <c r="D49" s="183" t="str">
        <f ca="1">Berechnung5!P49</f>
        <v/>
      </c>
    </row>
    <row r="50" spans="1:4" x14ac:dyDescent="0.45">
      <c r="A50" s="150" t="str">
        <f ca="1">Berechnung5!L50</f>
        <v/>
      </c>
      <c r="B50" s="150" t="str">
        <f ca="1">Berechnung5!N50</f>
        <v/>
      </c>
      <c r="C50" s="183" t="str">
        <f ca="1">Berechnung5!O50</f>
        <v/>
      </c>
      <c r="D50" s="183" t="str">
        <f ca="1">Berechnung5!P50</f>
        <v/>
      </c>
    </row>
    <row r="51" spans="1:4" x14ac:dyDescent="0.45">
      <c r="A51" s="150" t="str">
        <f ca="1">Berechnung5!L51</f>
        <v/>
      </c>
      <c r="B51" s="150" t="str">
        <f ca="1">Berechnung5!N51</f>
        <v/>
      </c>
      <c r="C51" s="183" t="str">
        <f ca="1">Berechnung5!O51</f>
        <v/>
      </c>
      <c r="D51" s="183" t="str">
        <f ca="1">Berechnung5!P51</f>
        <v/>
      </c>
    </row>
    <row r="52" spans="1:4" x14ac:dyDescent="0.45">
      <c r="A52" s="150" t="str">
        <f ca="1">Berechnung5!L52</f>
        <v/>
      </c>
      <c r="B52" s="150" t="str">
        <f ca="1">Berechnung5!N52</f>
        <v/>
      </c>
      <c r="C52" s="183" t="str">
        <f ca="1">Berechnung5!O52</f>
        <v/>
      </c>
      <c r="D52" s="183" t="str">
        <f ca="1">Berechnung5!P52</f>
        <v/>
      </c>
    </row>
    <row r="53" spans="1:4" x14ac:dyDescent="0.45">
      <c r="A53" s="150" t="str">
        <f ca="1">Berechnung5!L53</f>
        <v/>
      </c>
      <c r="B53" s="150" t="str">
        <f ca="1">Berechnung5!N53</f>
        <v/>
      </c>
      <c r="C53" s="183" t="str">
        <f ca="1">Berechnung5!O53</f>
        <v/>
      </c>
      <c r="D53" s="183" t="str">
        <f ca="1">Berechnung5!P53</f>
        <v/>
      </c>
    </row>
    <row r="54" spans="1:4" x14ac:dyDescent="0.45">
      <c r="A54" s="150" t="str">
        <f ca="1">Berechnung5!L54</f>
        <v/>
      </c>
      <c r="B54" s="150" t="str">
        <f ca="1">Berechnung5!N54</f>
        <v/>
      </c>
      <c r="C54" s="183" t="str">
        <f ca="1">Berechnung5!O54</f>
        <v/>
      </c>
      <c r="D54" s="183" t="str">
        <f ca="1">Berechnung5!P54</f>
        <v/>
      </c>
    </row>
    <row r="55" spans="1:4" x14ac:dyDescent="0.45">
      <c r="A55" s="150" t="str">
        <f ca="1">Berechnung5!L55</f>
        <v/>
      </c>
      <c r="B55" s="150" t="str">
        <f ca="1">Berechnung5!N55</f>
        <v/>
      </c>
      <c r="C55" s="183" t="str">
        <f ca="1">Berechnung5!O55</f>
        <v/>
      </c>
      <c r="D55" s="183" t="str">
        <f ca="1">Berechnung5!P55</f>
        <v/>
      </c>
    </row>
    <row r="56" spans="1:4" x14ac:dyDescent="0.45">
      <c r="A56" s="150" t="str">
        <f ca="1">Berechnung5!L56</f>
        <v/>
      </c>
      <c r="B56" s="150" t="str">
        <f ca="1">Berechnung5!N56</f>
        <v/>
      </c>
      <c r="C56" s="183" t="str">
        <f ca="1">Berechnung5!O56</f>
        <v/>
      </c>
      <c r="D56" s="183" t="str">
        <f ca="1">Berechnung5!P56</f>
        <v/>
      </c>
    </row>
    <row r="57" spans="1:4" x14ac:dyDescent="0.45">
      <c r="A57" s="150" t="str">
        <f ca="1">Berechnung5!L57</f>
        <v/>
      </c>
      <c r="B57" s="150" t="str">
        <f ca="1">Berechnung5!N57</f>
        <v/>
      </c>
      <c r="C57" s="183" t="str">
        <f ca="1">Berechnung5!O57</f>
        <v/>
      </c>
      <c r="D57" s="183" t="str">
        <f ca="1">Berechnung5!P57</f>
        <v/>
      </c>
    </row>
  </sheetData>
  <phoneticPr fontId="75"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7"/>
  <dimension ref="A1:W8"/>
  <sheetViews>
    <sheetView workbookViewId="0">
      <selection activeCell="B9" sqref="B9"/>
    </sheetView>
  </sheetViews>
  <sheetFormatPr baseColWidth="10" defaultColWidth="9.1328125" defaultRowHeight="10.15" x14ac:dyDescent="0.45"/>
  <cols>
    <col min="1" max="1" width="13.265625" style="134" customWidth="1"/>
    <col min="2" max="2" width="9.1328125" style="134" customWidth="1"/>
    <col min="3" max="3" width="13.59765625" style="134" customWidth="1"/>
    <col min="4" max="7" width="7.3984375" style="134" customWidth="1"/>
    <col min="8" max="8" width="12.86328125" style="134" customWidth="1"/>
    <col min="9" max="9" width="12.1328125" style="134" customWidth="1"/>
    <col min="10" max="10" width="9.1328125" style="134" customWidth="1"/>
    <col min="11" max="11" width="12.1328125" style="134" customWidth="1"/>
    <col min="12" max="19" width="9.1328125" style="134" customWidth="1"/>
    <col min="20" max="20" width="12.73046875" style="134" customWidth="1"/>
    <col min="21" max="16384" width="9.1328125" style="134"/>
  </cols>
  <sheetData>
    <row r="1" spans="1:23" ht="86.25" customHeight="1" x14ac:dyDescent="0.45">
      <c r="A1" s="191" t="str">
        <f>'Matrix-Colon'!A21</f>
        <v>Relevante Nachsorgejahre</v>
      </c>
      <c r="B1" s="191" t="str">
        <f>'Matrix-Colon'!B21</f>
        <v xml:space="preserve">Jahr der Erstdiagnose  </v>
      </c>
      <c r="C1" s="191" t="str">
        <f>'Matrix-Colon'!C21</f>
        <v>Anzahl Primärpatienten</v>
      </c>
      <c r="D1" s="191" t="str">
        <f>LEFT('Matrix-Colon'!D21,6)</f>
        <v>UICC I</v>
      </c>
      <c r="E1" s="191" t="str">
        <f>LEFT('Matrix-Colon'!E21,7)</f>
        <v>UICC II</v>
      </c>
      <c r="F1" s="191" t="str">
        <f>LEFT('Matrix-Colon'!F21,8)</f>
        <v>UICC III</v>
      </c>
      <c r="G1" s="191" t="str">
        <f>LEFT('Matrix-Colon'!G21,9)</f>
        <v xml:space="preserve">UICC IV  </v>
      </c>
      <c r="H1" s="191" t="str">
        <f>LEFT('Matrix-Colon'!I21,59)</f>
        <v xml:space="preserve">Patienten  „im Follow-Up“
(aus Grundgesamtheit Primärpat.) </v>
      </c>
      <c r="I1" s="191" t="str">
        <f>LEFT('Matrix-Colon'!J21,33)</f>
        <v>Follow-Up-Daten vom Krebsregister</v>
      </c>
      <c r="J1" s="191" t="str">
        <f>LEFT('Matrix-Colon'!K21,57)</f>
        <v>Follow-Up-Daten vom Zentrum  
(bzw. Quelle nicht bekannt)</v>
      </c>
      <c r="K1" s="191" t="str">
        <f>LEFT('Matrix-Colon'!L21,18)</f>
        <v xml:space="preserve">Keine Rückmeldung </v>
      </c>
      <c r="L1" s="191" t="str">
        <f>'Matrix-Colon'!M21</f>
        <v>Follow-Up Quote in %
= (J + K) / I</v>
      </c>
      <c r="M1" s="191" t="str">
        <f>'Matrix-Colon'!O21</f>
        <v>Patienten tumorfrei</v>
      </c>
      <c r="N1" s="191" t="str">
        <f>'Matrix-Colon'!P21</f>
        <v>Relative Quote tumorfrei 
= O / (J + K)</v>
      </c>
      <c r="O1" s="191" t="str">
        <f>LEFT('Matrix-Colon'!Q21,59)</f>
        <v>Patienten mit mindestens 1 der Ereignisse in Spalte R bis T</v>
      </c>
      <c r="P1" s="191" t="str">
        <f>'Matrix-Colon'!R21</f>
        <v xml:space="preserve"> Pat. mit lokoregionärem Rezidiv</v>
      </c>
      <c r="Q1" s="191" t="str">
        <f>'Matrix-Colon'!S21</f>
        <v xml:space="preserve"> Pat. mit Lymphknotenrezidiv</v>
      </c>
      <c r="R1" s="191" t="str">
        <f>'Matrix-Colon'!T21</f>
        <v xml:space="preserve"> Pat. mit Fernmetastasen</v>
      </c>
      <c r="S1" s="191" t="str">
        <f>'Matrix-Colon'!U21</f>
        <v>Diagnose Zweitmalignom im Verlauf</v>
      </c>
      <c r="T1" s="191" t="str">
        <f>'Matrix-Colon'!V21</f>
        <v>Tumorbedingt gestorben (bezüglich jeder Tumorentität)</v>
      </c>
      <c r="U1" s="191" t="str">
        <f>'Matrix-Colon'!W21</f>
        <v>Nicht tumorbedingt gestorben bzw. Todesursache unbekannt</v>
      </c>
      <c r="V1" s="191" t="str">
        <f>'Matrix-Colon'!Y21</f>
        <v>DFS nach Kaplan-Meier
(Disease Free Survival) in %</v>
      </c>
      <c r="W1" s="191" t="str">
        <f>'Matrix-Colon'!Z21</f>
        <v>OAS nach Kaplan-Meier    
(Overall Survival) in %</v>
      </c>
    </row>
    <row r="2" spans="1:23" x14ac:dyDescent="0.45">
      <c r="A2" s="193" t="str">
        <f>'Matrix-Colon'!A23</f>
        <v>nicht relevant</v>
      </c>
      <c r="B2" s="241">
        <v>2013</v>
      </c>
      <c r="C2" s="241">
        <f>IF('Matrix-Colon'!C23="","---",'Matrix-Colon'!C23)</f>
        <v>0</v>
      </c>
      <c r="D2" s="241" t="str">
        <f>IF('Matrix-Colon'!D23="","",'Matrix-Colon'!D23)</f>
        <v/>
      </c>
      <c r="E2" s="241" t="str">
        <f>IF('Matrix-Colon'!E23="","",'Matrix-Colon'!E23)</f>
        <v/>
      </c>
      <c r="F2" s="241" t="str">
        <f>IF('Matrix-Colon'!F23="","",'Matrix-Colon'!F23)</f>
        <v/>
      </c>
      <c r="G2" s="241" t="str">
        <f>IF('Matrix-Colon'!G23="","",'Matrix-Colon'!G23)</f>
        <v/>
      </c>
      <c r="H2" s="241" t="str">
        <f>IF('Matrix-Colon'!I23="","",'Matrix-Colon'!I23)</f>
        <v/>
      </c>
      <c r="I2" s="241" t="str">
        <f>IF('Matrix-Colon'!J23="","",'Matrix-Colon'!J23)</f>
        <v/>
      </c>
      <c r="J2" s="241" t="str">
        <f>IF('Matrix-Colon'!K23="","",'Matrix-Colon'!K23)</f>
        <v/>
      </c>
      <c r="K2" s="241" t="str">
        <f>IF('Matrix-Colon'!L23="","",'Matrix-Colon'!L23)</f>
        <v/>
      </c>
      <c r="L2" s="194" t="str">
        <f>IF('Matrix-Colon'!M23="","",'Matrix-Colon'!M23*100)</f>
        <v/>
      </c>
      <c r="M2" s="241" t="str">
        <f>IF('Matrix-Colon'!O23="","",'Matrix-Colon'!O23)</f>
        <v/>
      </c>
      <c r="N2" s="194" t="str">
        <f>IF('Matrix-Colon'!P23="","",'Matrix-Colon'!P23*100)</f>
        <v/>
      </c>
      <c r="O2" s="241" t="str">
        <f>IF('Matrix-Colon'!Q23="","",'Matrix-Colon'!Q23)</f>
        <v/>
      </c>
      <c r="P2" s="241" t="str">
        <f>IF('Matrix-Colon'!R23="","",'Matrix-Colon'!R23)</f>
        <v/>
      </c>
      <c r="Q2" s="241" t="str">
        <f>IF('Matrix-Colon'!S23="","",'Matrix-Colon'!S23)</f>
        <v/>
      </c>
      <c r="R2" s="241" t="str">
        <f>IF('Matrix-Colon'!T23="","",'Matrix-Colon'!T23)</f>
        <v/>
      </c>
      <c r="S2" s="241" t="str">
        <f>IF('Matrix-Colon'!U23="","",'Matrix-Colon'!U23)</f>
        <v/>
      </c>
      <c r="T2" s="241" t="str">
        <f>IF('Matrix-Colon'!V23="","",'Matrix-Colon'!V23)</f>
        <v/>
      </c>
      <c r="U2" s="241" t="str">
        <f>IF('Matrix-Colon'!W23="","",'Matrix-Colon'!W23)</f>
        <v/>
      </c>
      <c r="V2" s="194" t="str">
        <f>IF('Matrix-Colon'!Y23="","",'Matrix-Colon'!Y23*100)</f>
        <v/>
      </c>
      <c r="W2" s="194" t="str">
        <f>IF('Matrix-Colon'!Z23="","",'Matrix-Colon'!Z23*100)</f>
        <v/>
      </c>
    </row>
    <row r="3" spans="1:23" x14ac:dyDescent="0.45">
      <c r="A3" s="236" t="str">
        <f>'Matrix-Colon'!A24</f>
        <v>nicht relevant</v>
      </c>
      <c r="B3" s="217">
        <v>2014</v>
      </c>
      <c r="C3" s="217">
        <f>IF('Matrix-Colon'!C24="","---",'Matrix-Colon'!C24)</f>
        <v>0</v>
      </c>
      <c r="D3" s="241" t="str">
        <f>IF('Matrix-Colon'!D24="","",'Matrix-Colon'!D24)</f>
        <v/>
      </c>
      <c r="E3" s="241" t="str">
        <f>IF('Matrix-Colon'!E24="","",'Matrix-Colon'!E24)</f>
        <v/>
      </c>
      <c r="F3" s="241" t="str">
        <f>IF('Matrix-Colon'!F24="","",'Matrix-Colon'!F24)</f>
        <v/>
      </c>
      <c r="G3" s="241" t="str">
        <f>IF('Matrix-Colon'!G24="","",'Matrix-Colon'!G24)</f>
        <v/>
      </c>
      <c r="H3" s="241" t="str">
        <f>IF('Matrix-Colon'!I24="","",'Matrix-Colon'!I24)</f>
        <v/>
      </c>
      <c r="I3" s="241" t="str">
        <f>IF('Matrix-Colon'!J24="","",'Matrix-Colon'!J24)</f>
        <v/>
      </c>
      <c r="J3" s="241" t="str">
        <f>IF('Matrix-Colon'!K24="","",'Matrix-Colon'!K24)</f>
        <v/>
      </c>
      <c r="K3" s="241" t="str">
        <f>IF('Matrix-Colon'!L24="","",'Matrix-Colon'!L24)</f>
        <v/>
      </c>
      <c r="L3" s="194" t="str">
        <f>IF('Matrix-Colon'!M24="","",'Matrix-Colon'!M24*100)</f>
        <v/>
      </c>
      <c r="M3" s="241" t="str">
        <f>IF('Matrix-Colon'!O24="","",'Matrix-Colon'!O24)</f>
        <v/>
      </c>
      <c r="N3" s="194" t="str">
        <f>IF('Matrix-Colon'!P24="","",'Matrix-Colon'!P24*100)</f>
        <v/>
      </c>
      <c r="O3" s="241" t="str">
        <f>IF('Matrix-Colon'!Q24="","",'Matrix-Colon'!Q24)</f>
        <v/>
      </c>
      <c r="P3" s="241" t="str">
        <f>IF('Matrix-Colon'!R24="","",'Matrix-Colon'!R24)</f>
        <v/>
      </c>
      <c r="Q3" s="241" t="str">
        <f>IF('Matrix-Colon'!S24="","",'Matrix-Colon'!S24)</f>
        <v/>
      </c>
      <c r="R3" s="241" t="str">
        <f>IF('Matrix-Colon'!T24="","",'Matrix-Colon'!T24)</f>
        <v/>
      </c>
      <c r="S3" s="241" t="str">
        <f>IF('Matrix-Colon'!U24="","",'Matrix-Colon'!U24)</f>
        <v/>
      </c>
      <c r="T3" s="241" t="str">
        <f>IF('Matrix-Colon'!V24="","",'Matrix-Colon'!V24)</f>
        <v/>
      </c>
      <c r="U3" s="241" t="str">
        <f>IF('Matrix-Colon'!W24="","",'Matrix-Colon'!W24)</f>
        <v/>
      </c>
      <c r="V3" s="194" t="str">
        <f>IF('Matrix-Colon'!Y24="","",'Matrix-Colon'!Y24*100)</f>
        <v/>
      </c>
      <c r="W3" s="194" t="str">
        <f>IF('Matrix-Colon'!Z24="","",'Matrix-Colon'!Z24*100)</f>
        <v/>
      </c>
    </row>
    <row r="4" spans="1:23" x14ac:dyDescent="0.45">
      <c r="A4" s="236" t="str">
        <f>'Matrix-Colon'!A25</f>
        <v>nicht relevant</v>
      </c>
      <c r="B4" s="217">
        <v>2015</v>
      </c>
      <c r="C4" s="217">
        <f>IF('Matrix-Colon'!C25="","---",'Matrix-Colon'!C25)</f>
        <v>0</v>
      </c>
      <c r="D4" s="241" t="str">
        <f>IF('Matrix-Colon'!D25="","",'Matrix-Colon'!D25)</f>
        <v/>
      </c>
      <c r="E4" s="241" t="str">
        <f>IF('Matrix-Colon'!E25="","",'Matrix-Colon'!E25)</f>
        <v/>
      </c>
      <c r="F4" s="241" t="str">
        <f>IF('Matrix-Colon'!F25="","",'Matrix-Colon'!F25)</f>
        <v/>
      </c>
      <c r="G4" s="241" t="str">
        <f>IF('Matrix-Colon'!G25="","",'Matrix-Colon'!G25)</f>
        <v/>
      </c>
      <c r="H4" s="241" t="str">
        <f>IF('Matrix-Colon'!I25="","",'Matrix-Colon'!I25)</f>
        <v/>
      </c>
      <c r="I4" s="241" t="str">
        <f>IF('Matrix-Colon'!J25="","",'Matrix-Colon'!J25)</f>
        <v/>
      </c>
      <c r="J4" s="241" t="str">
        <f>IF('Matrix-Colon'!K25="","",'Matrix-Colon'!K25)</f>
        <v/>
      </c>
      <c r="K4" s="241" t="str">
        <f>IF('Matrix-Colon'!L25="","",'Matrix-Colon'!L25)</f>
        <v/>
      </c>
      <c r="L4" s="194" t="str">
        <f>IF('Matrix-Colon'!M25="","",'Matrix-Colon'!M25*100)</f>
        <v/>
      </c>
      <c r="M4" s="241" t="str">
        <f>IF('Matrix-Colon'!O25="","",'Matrix-Colon'!O25)</f>
        <v/>
      </c>
      <c r="N4" s="194" t="str">
        <f>IF('Matrix-Colon'!P25="","",'Matrix-Colon'!P25*100)</f>
        <v/>
      </c>
      <c r="O4" s="241" t="str">
        <f>IF('Matrix-Colon'!Q25="","",'Matrix-Colon'!Q25)</f>
        <v/>
      </c>
      <c r="P4" s="241" t="str">
        <f>IF('Matrix-Colon'!R25="","",'Matrix-Colon'!R25)</f>
        <v/>
      </c>
      <c r="Q4" s="241" t="str">
        <f>IF('Matrix-Colon'!S25="","",'Matrix-Colon'!S25)</f>
        <v/>
      </c>
      <c r="R4" s="241" t="str">
        <f>IF('Matrix-Colon'!T25="","",'Matrix-Colon'!T25)</f>
        <v/>
      </c>
      <c r="S4" s="241" t="str">
        <f>IF('Matrix-Colon'!U25="","",'Matrix-Colon'!U25)</f>
        <v/>
      </c>
      <c r="T4" s="241" t="str">
        <f>IF('Matrix-Colon'!V25="","",'Matrix-Colon'!V25)</f>
        <v/>
      </c>
      <c r="U4" s="241" t="str">
        <f>IF('Matrix-Colon'!W25="","",'Matrix-Colon'!W25)</f>
        <v/>
      </c>
      <c r="V4" s="194" t="str">
        <f>IF('Matrix-Colon'!Y25="","",'Matrix-Colon'!Y25*100)</f>
        <v/>
      </c>
      <c r="W4" s="194" t="str">
        <f>IF('Matrix-Colon'!Z25="","",'Matrix-Colon'!Z25*100)</f>
        <v/>
      </c>
    </row>
    <row r="5" spans="1:23" x14ac:dyDescent="0.45">
      <c r="A5" s="236" t="str">
        <f>'Matrix-Colon'!A26</f>
        <v>nicht relevant</v>
      </c>
      <c r="B5" s="217">
        <v>2016</v>
      </c>
      <c r="C5" s="217">
        <f>IF('Matrix-Colon'!C26="","---",'Matrix-Colon'!C26)</f>
        <v>0</v>
      </c>
      <c r="D5" s="241" t="str">
        <f>IF('Matrix-Colon'!D26="","",'Matrix-Colon'!D26)</f>
        <v/>
      </c>
      <c r="E5" s="241" t="str">
        <f>IF('Matrix-Colon'!E26="","",'Matrix-Colon'!E26)</f>
        <v/>
      </c>
      <c r="F5" s="241" t="str">
        <f>IF('Matrix-Colon'!F26="","",'Matrix-Colon'!F26)</f>
        <v/>
      </c>
      <c r="G5" s="241" t="str">
        <f>IF('Matrix-Colon'!G26="","",'Matrix-Colon'!G26)</f>
        <v/>
      </c>
      <c r="H5" s="241" t="str">
        <f>IF('Matrix-Colon'!I26="","",'Matrix-Colon'!I26)</f>
        <v/>
      </c>
      <c r="I5" s="241" t="str">
        <f>IF('Matrix-Colon'!J26="","",'Matrix-Colon'!J26)</f>
        <v/>
      </c>
      <c r="J5" s="241" t="str">
        <f>IF('Matrix-Colon'!K26="","",'Matrix-Colon'!K26)</f>
        <v/>
      </c>
      <c r="K5" s="241" t="str">
        <f>IF('Matrix-Colon'!L26="","",'Matrix-Colon'!L26)</f>
        <v/>
      </c>
      <c r="L5" s="194" t="str">
        <f>IF('Matrix-Colon'!M26="","",'Matrix-Colon'!M26*100)</f>
        <v/>
      </c>
      <c r="M5" s="241" t="str">
        <f>IF('Matrix-Colon'!O26="","",'Matrix-Colon'!O26)</f>
        <v/>
      </c>
      <c r="N5" s="194" t="str">
        <f>IF('Matrix-Colon'!P26="","",'Matrix-Colon'!P26*100)</f>
        <v/>
      </c>
      <c r="O5" s="241" t="str">
        <f>IF('Matrix-Colon'!Q26="","",'Matrix-Colon'!Q26)</f>
        <v/>
      </c>
      <c r="P5" s="241" t="str">
        <f>IF('Matrix-Colon'!R26="","",'Matrix-Colon'!R26)</f>
        <v/>
      </c>
      <c r="Q5" s="241" t="str">
        <f>IF('Matrix-Colon'!S26="","",'Matrix-Colon'!S26)</f>
        <v/>
      </c>
      <c r="R5" s="241" t="str">
        <f>IF('Matrix-Colon'!T26="","",'Matrix-Colon'!T26)</f>
        <v/>
      </c>
      <c r="S5" s="241" t="str">
        <f>IF('Matrix-Colon'!U26="","",'Matrix-Colon'!U26)</f>
        <v/>
      </c>
      <c r="T5" s="241" t="str">
        <f>IF('Matrix-Colon'!V26="","",'Matrix-Colon'!V26)</f>
        <v/>
      </c>
      <c r="U5" s="241" t="str">
        <f>IF('Matrix-Colon'!W26="","",'Matrix-Colon'!W26)</f>
        <v/>
      </c>
      <c r="V5" s="194" t="str">
        <f>IF('Matrix-Colon'!Y26="","",'Matrix-Colon'!Y26*100)</f>
        <v/>
      </c>
      <c r="W5" s="194" t="str">
        <f>IF('Matrix-Colon'!Z26="","",'Matrix-Colon'!Z26*100)</f>
        <v/>
      </c>
    </row>
    <row r="6" spans="1:23" x14ac:dyDescent="0.45">
      <c r="A6" s="236" t="str">
        <f>'Matrix-Colon'!A27</f>
        <v>nicht relevant</v>
      </c>
      <c r="B6" s="217">
        <v>2017</v>
      </c>
      <c r="C6" s="217">
        <f>IF('Matrix-Colon'!C27="","---",'Matrix-Colon'!C27)</f>
        <v>0</v>
      </c>
      <c r="D6" s="241" t="str">
        <f>IF('Matrix-Colon'!D27="","",'Matrix-Colon'!D27)</f>
        <v/>
      </c>
      <c r="E6" s="241" t="str">
        <f>IF('Matrix-Colon'!E27="","",'Matrix-Colon'!E27)</f>
        <v/>
      </c>
      <c r="F6" s="241" t="str">
        <f>IF('Matrix-Colon'!F27="","",'Matrix-Colon'!F27)</f>
        <v/>
      </c>
      <c r="G6" s="241" t="str">
        <f>IF('Matrix-Colon'!G27="","",'Matrix-Colon'!G27)</f>
        <v/>
      </c>
      <c r="H6" s="241" t="str">
        <f>IF('Matrix-Colon'!I27="","",'Matrix-Colon'!I27)</f>
        <v/>
      </c>
      <c r="I6" s="241" t="str">
        <f>IF('Matrix-Colon'!J27="","",'Matrix-Colon'!J27)</f>
        <v/>
      </c>
      <c r="J6" s="241" t="str">
        <f>IF('Matrix-Colon'!K27="","",'Matrix-Colon'!K27)</f>
        <v/>
      </c>
      <c r="K6" s="241" t="str">
        <f>IF('Matrix-Colon'!L27="","",'Matrix-Colon'!L27)</f>
        <v/>
      </c>
      <c r="L6" s="194" t="str">
        <f>IF('Matrix-Colon'!M27="","",'Matrix-Colon'!M27*100)</f>
        <v/>
      </c>
      <c r="M6" s="241" t="str">
        <f>IF('Matrix-Colon'!O27="","",'Matrix-Colon'!O27)</f>
        <v/>
      </c>
      <c r="N6" s="194" t="str">
        <f>IF('Matrix-Colon'!P27="","",'Matrix-Colon'!P27*100)</f>
        <v/>
      </c>
      <c r="O6" s="241" t="str">
        <f>IF('Matrix-Colon'!Q27="","",'Matrix-Colon'!Q27)</f>
        <v/>
      </c>
      <c r="P6" s="241" t="str">
        <f>IF('Matrix-Colon'!R27="","",'Matrix-Colon'!R27)</f>
        <v/>
      </c>
      <c r="Q6" s="241" t="str">
        <f>IF('Matrix-Colon'!S27="","",'Matrix-Colon'!S27)</f>
        <v/>
      </c>
      <c r="R6" s="241" t="str">
        <f>IF('Matrix-Colon'!T27="","",'Matrix-Colon'!T27)</f>
        <v/>
      </c>
      <c r="S6" s="241" t="str">
        <f>IF('Matrix-Colon'!U27="","",'Matrix-Colon'!U27)</f>
        <v/>
      </c>
      <c r="T6" s="241" t="str">
        <f>IF('Matrix-Colon'!V27="","",'Matrix-Colon'!V27)</f>
        <v/>
      </c>
      <c r="U6" s="241" t="str">
        <f>IF('Matrix-Colon'!W27="","",'Matrix-Colon'!W27)</f>
        <v/>
      </c>
      <c r="V6" s="194" t="str">
        <f>IF('Matrix-Colon'!Y27="","",'Matrix-Colon'!Y27*100)</f>
        <v/>
      </c>
      <c r="W6" s="194" t="str">
        <f>IF('Matrix-Colon'!Z27="","",'Matrix-Colon'!Z27*100)</f>
        <v/>
      </c>
    </row>
    <row r="7" spans="1:23" x14ac:dyDescent="0.45">
      <c r="A7" s="172" t="s">
        <v>169</v>
      </c>
      <c r="B7" s="217">
        <v>2018</v>
      </c>
      <c r="C7" s="217">
        <v>0</v>
      </c>
      <c r="D7" s="241"/>
      <c r="E7" s="241"/>
      <c r="F7" s="241"/>
      <c r="G7" s="241"/>
      <c r="H7" s="241"/>
      <c r="I7" s="241"/>
      <c r="J7" s="241"/>
      <c r="K7" s="241"/>
      <c r="L7" s="194"/>
      <c r="M7" s="241"/>
      <c r="N7" s="194"/>
      <c r="O7" s="241"/>
      <c r="P7" s="241"/>
      <c r="Q7" s="241"/>
      <c r="R7" s="241"/>
      <c r="S7" s="241"/>
      <c r="T7" s="241"/>
      <c r="U7" s="241"/>
      <c r="V7" s="194"/>
      <c r="W7" s="194"/>
    </row>
    <row r="8" spans="1:23" x14ac:dyDescent="0.45">
      <c r="A8" s="236" t="str">
        <f>'Matrix-Colon'!A28</f>
        <v>nicht relevant</v>
      </c>
      <c r="B8" s="217">
        <v>2019</v>
      </c>
      <c r="C8" s="217">
        <f>IF('Matrix-Colon'!C28="","---",'Matrix-Colon'!C28)</f>
        <v>0</v>
      </c>
      <c r="D8" s="241" t="str">
        <f>IF('Matrix-Colon'!D28="","",'Matrix-Colon'!D28)</f>
        <v/>
      </c>
      <c r="E8" s="241" t="str">
        <f>IF('Matrix-Colon'!E28="","",'Matrix-Colon'!E28)</f>
        <v/>
      </c>
      <c r="F8" s="241" t="str">
        <f>IF('Matrix-Colon'!F28="","",'Matrix-Colon'!F28)</f>
        <v/>
      </c>
      <c r="G8" s="241" t="str">
        <f>IF('Matrix-Colon'!G28="","",'Matrix-Colon'!G28)</f>
        <v/>
      </c>
      <c r="H8" s="241" t="str">
        <f>IF('Matrix-Colon'!I28="","",'Matrix-Colon'!I28)</f>
        <v/>
      </c>
      <c r="I8" s="241" t="str">
        <f>IF('Matrix-Colon'!J28="","",'Matrix-Colon'!J28)</f>
        <v/>
      </c>
      <c r="J8" s="241" t="str">
        <f>IF('Matrix-Colon'!K28="","",'Matrix-Colon'!K28)</f>
        <v/>
      </c>
      <c r="K8" s="241" t="str">
        <f>IF('Matrix-Colon'!L28="","",'Matrix-Colon'!L28)</f>
        <v/>
      </c>
      <c r="L8" s="194" t="str">
        <f>IF('Matrix-Colon'!M28="","",'Matrix-Colon'!M28*100)</f>
        <v/>
      </c>
      <c r="M8" s="241" t="str">
        <f>IF('Matrix-Colon'!O28="","",'Matrix-Colon'!O28)</f>
        <v/>
      </c>
      <c r="N8" s="194" t="str">
        <f>IF('Matrix-Colon'!P28="","",'Matrix-Colon'!P28*100)</f>
        <v/>
      </c>
      <c r="O8" s="241" t="str">
        <f>IF('Matrix-Colon'!Q28="","",'Matrix-Colon'!Q28)</f>
        <v/>
      </c>
      <c r="P8" s="241" t="str">
        <f>IF('Matrix-Colon'!R28="","",'Matrix-Colon'!R28)</f>
        <v/>
      </c>
      <c r="Q8" s="241" t="str">
        <f>IF('Matrix-Colon'!S28="","",'Matrix-Colon'!S28)</f>
        <v/>
      </c>
      <c r="R8" s="241" t="str">
        <f>IF('Matrix-Colon'!T28="","",'Matrix-Colon'!T28)</f>
        <v/>
      </c>
      <c r="S8" s="241" t="str">
        <f>IF('Matrix-Colon'!U28="","",'Matrix-Colon'!U28)</f>
        <v/>
      </c>
      <c r="T8" s="241" t="str">
        <f>IF('Matrix-Colon'!V28="","",'Matrix-Colon'!V28)</f>
        <v/>
      </c>
      <c r="U8" s="241" t="str">
        <f>IF('Matrix-Colon'!W28="","",'Matrix-Colon'!W28)</f>
        <v/>
      </c>
      <c r="V8" s="194" t="str">
        <f>IF('Matrix-Colon'!Y28="","",'Matrix-Colon'!Y28*100)</f>
        <v/>
      </c>
      <c r="W8" s="194" t="str">
        <f>IF('Matrix-Colon'!Z28="","",'Matrix-Colon'!Z28*100)</f>
        <v/>
      </c>
    </row>
  </sheetData>
  <phoneticPr fontId="75"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2"/>
  <dimension ref="A1:D57"/>
  <sheetViews>
    <sheetView workbookViewId="0">
      <selection activeCell="A2" sqref="A2"/>
    </sheetView>
  </sheetViews>
  <sheetFormatPr baseColWidth="10" defaultColWidth="9.1328125" defaultRowHeight="11.65" x14ac:dyDescent="0.45"/>
  <cols>
    <col min="1" max="1" width="20.59765625" style="150" customWidth="1"/>
    <col min="2" max="2" width="21.1328125" style="150" customWidth="1"/>
    <col min="3" max="4" width="66.265625" style="148" customWidth="1"/>
    <col min="5" max="16384" width="9.1328125" style="149"/>
  </cols>
  <sheetData>
    <row r="1" spans="1:4" ht="31.5" customHeight="1" x14ac:dyDescent="0.45">
      <c r="A1" s="151" t="s">
        <v>340</v>
      </c>
      <c r="B1" s="152" t="s">
        <v>140</v>
      </c>
      <c r="C1" s="152" t="s">
        <v>265</v>
      </c>
      <c r="D1" s="151" t="s">
        <v>57</v>
      </c>
    </row>
    <row r="2" spans="1:4" x14ac:dyDescent="0.45">
      <c r="A2" s="150" t="str">
        <f ca="1">Berechnung3!L2</f>
        <v/>
      </c>
      <c r="B2" s="150" t="str">
        <f ca="1">Berechnung3!N2</f>
        <v/>
      </c>
      <c r="C2" s="148" t="str">
        <f ca="1">Berechnung3!O2</f>
        <v/>
      </c>
      <c r="D2" s="148" t="str">
        <f ca="1">Berechnung3!P2</f>
        <v/>
      </c>
    </row>
    <row r="3" spans="1:4" x14ac:dyDescent="0.45">
      <c r="A3" s="150" t="str">
        <f ca="1">Berechnung3!L3</f>
        <v/>
      </c>
      <c r="B3" s="150" t="str">
        <f ca="1">Berechnung3!N3</f>
        <v/>
      </c>
      <c r="C3" s="148" t="str">
        <f ca="1">Berechnung3!O3</f>
        <v/>
      </c>
      <c r="D3" s="148" t="str">
        <f ca="1">Berechnung3!P3</f>
        <v/>
      </c>
    </row>
    <row r="4" spans="1:4" x14ac:dyDescent="0.45">
      <c r="A4" s="150" t="str">
        <f ca="1">Berechnung3!L4</f>
        <v/>
      </c>
      <c r="B4" s="150" t="str">
        <f ca="1">Berechnung3!N4</f>
        <v/>
      </c>
      <c r="C4" s="148" t="str">
        <f ca="1">Berechnung3!O4</f>
        <v/>
      </c>
      <c r="D4" s="148" t="str">
        <f ca="1">Berechnung3!P4</f>
        <v/>
      </c>
    </row>
    <row r="5" spans="1:4" x14ac:dyDescent="0.45">
      <c r="A5" s="150" t="str">
        <f ca="1">Berechnung3!L5</f>
        <v/>
      </c>
      <c r="B5" s="150" t="str">
        <f ca="1">Berechnung3!N5</f>
        <v/>
      </c>
      <c r="C5" s="148" t="str">
        <f ca="1">Berechnung3!O5</f>
        <v/>
      </c>
      <c r="D5" s="148" t="str">
        <f ca="1">Berechnung3!P5</f>
        <v/>
      </c>
    </row>
    <row r="6" spans="1:4" x14ac:dyDescent="0.45">
      <c r="A6" s="150" t="str">
        <f ca="1">Berechnung3!L6</f>
        <v/>
      </c>
      <c r="B6" s="150" t="str">
        <f ca="1">Berechnung3!N6</f>
        <v/>
      </c>
      <c r="C6" s="148" t="str">
        <f ca="1">Berechnung3!O6</f>
        <v/>
      </c>
      <c r="D6" s="148" t="str">
        <f ca="1">Berechnung3!P6</f>
        <v/>
      </c>
    </row>
    <row r="7" spans="1:4" x14ac:dyDescent="0.45">
      <c r="A7" s="150" t="str">
        <f ca="1">Berechnung3!L7</f>
        <v/>
      </c>
      <c r="B7" s="150" t="str">
        <f ca="1">Berechnung3!N7</f>
        <v/>
      </c>
      <c r="C7" s="148" t="str">
        <f ca="1">Berechnung3!O7</f>
        <v/>
      </c>
      <c r="D7" s="148" t="str">
        <f ca="1">Berechnung3!P7</f>
        <v/>
      </c>
    </row>
    <row r="8" spans="1:4" x14ac:dyDescent="0.45">
      <c r="A8" s="150" t="str">
        <f ca="1">Berechnung3!L8</f>
        <v/>
      </c>
      <c r="B8" s="150" t="str">
        <f ca="1">Berechnung3!N8</f>
        <v/>
      </c>
      <c r="C8" s="148" t="str">
        <f ca="1">Berechnung3!O8</f>
        <v/>
      </c>
      <c r="D8" s="148" t="str">
        <f ca="1">Berechnung3!P8</f>
        <v/>
      </c>
    </row>
    <row r="9" spans="1:4" x14ac:dyDescent="0.45">
      <c r="A9" s="150" t="str">
        <f ca="1">Berechnung3!L9</f>
        <v/>
      </c>
      <c r="B9" s="150" t="str">
        <f ca="1">Berechnung3!N9</f>
        <v/>
      </c>
      <c r="C9" s="148" t="str">
        <f ca="1">Berechnung3!O9</f>
        <v/>
      </c>
      <c r="D9" s="148" t="str">
        <f ca="1">Berechnung3!P9</f>
        <v/>
      </c>
    </row>
    <row r="10" spans="1:4" x14ac:dyDescent="0.45">
      <c r="A10" s="150" t="str">
        <f ca="1">Berechnung3!L10</f>
        <v/>
      </c>
      <c r="B10" s="150" t="str">
        <f ca="1">Berechnung3!N10</f>
        <v/>
      </c>
      <c r="C10" s="148" t="str">
        <f ca="1">Berechnung3!O10</f>
        <v/>
      </c>
      <c r="D10" s="148" t="str">
        <f ca="1">Berechnung3!P10</f>
        <v/>
      </c>
    </row>
    <row r="11" spans="1:4" x14ac:dyDescent="0.45">
      <c r="A11" s="150" t="str">
        <f ca="1">Berechnung3!L11</f>
        <v/>
      </c>
      <c r="B11" s="150" t="str">
        <f ca="1">Berechnung3!N11</f>
        <v/>
      </c>
      <c r="C11" s="148" t="str">
        <f ca="1">Berechnung3!O11</f>
        <v/>
      </c>
      <c r="D11" s="148" t="str">
        <f ca="1">Berechnung3!P11</f>
        <v/>
      </c>
    </row>
    <row r="12" spans="1:4" x14ac:dyDescent="0.45">
      <c r="A12" s="150" t="str">
        <f ca="1">Berechnung3!L12</f>
        <v/>
      </c>
      <c r="B12" s="150" t="str">
        <f ca="1">Berechnung3!N12</f>
        <v/>
      </c>
      <c r="C12" s="148" t="str">
        <f ca="1">Berechnung3!O12</f>
        <v/>
      </c>
      <c r="D12" s="148" t="str">
        <f ca="1">Berechnung3!P12</f>
        <v/>
      </c>
    </row>
    <row r="13" spans="1:4" x14ac:dyDescent="0.45">
      <c r="A13" s="150" t="str">
        <f ca="1">Berechnung3!L13</f>
        <v/>
      </c>
      <c r="B13" s="150" t="str">
        <f ca="1">Berechnung3!N13</f>
        <v/>
      </c>
      <c r="C13" s="148" t="str">
        <f ca="1">Berechnung3!O13</f>
        <v/>
      </c>
      <c r="D13" s="148" t="str">
        <f ca="1">Berechnung3!P13</f>
        <v/>
      </c>
    </row>
    <row r="14" spans="1:4" x14ac:dyDescent="0.45">
      <c r="A14" s="150" t="str">
        <f ca="1">Berechnung3!L14</f>
        <v/>
      </c>
      <c r="B14" s="150" t="str">
        <f ca="1">Berechnung3!N14</f>
        <v/>
      </c>
      <c r="C14" s="148" t="str">
        <f ca="1">Berechnung3!O14</f>
        <v/>
      </c>
      <c r="D14" s="148" t="str">
        <f ca="1">Berechnung3!P14</f>
        <v/>
      </c>
    </row>
    <row r="15" spans="1:4" x14ac:dyDescent="0.45">
      <c r="A15" s="150" t="str">
        <f ca="1">Berechnung3!L15</f>
        <v/>
      </c>
      <c r="B15" s="150" t="str">
        <f ca="1">Berechnung3!N15</f>
        <v/>
      </c>
      <c r="C15" s="148" t="str">
        <f ca="1">Berechnung3!O15</f>
        <v/>
      </c>
      <c r="D15" s="148" t="str">
        <f ca="1">Berechnung3!P15</f>
        <v/>
      </c>
    </row>
    <row r="16" spans="1:4" x14ac:dyDescent="0.45">
      <c r="A16" s="150" t="str">
        <f ca="1">Berechnung3!L16</f>
        <v/>
      </c>
      <c r="B16" s="150" t="str">
        <f ca="1">Berechnung3!N16</f>
        <v/>
      </c>
      <c r="C16" s="148" t="str">
        <f ca="1">Berechnung3!O16</f>
        <v/>
      </c>
      <c r="D16" s="148" t="str">
        <f ca="1">Berechnung3!P16</f>
        <v/>
      </c>
    </row>
    <row r="17" spans="1:4" x14ac:dyDescent="0.45">
      <c r="A17" s="150" t="str">
        <f ca="1">Berechnung3!L17</f>
        <v/>
      </c>
      <c r="B17" s="150" t="str">
        <f ca="1">Berechnung3!N17</f>
        <v/>
      </c>
      <c r="C17" s="148" t="str">
        <f ca="1">Berechnung3!O17</f>
        <v/>
      </c>
      <c r="D17" s="148" t="str">
        <f ca="1">Berechnung3!P17</f>
        <v/>
      </c>
    </row>
    <row r="18" spans="1:4" x14ac:dyDescent="0.45">
      <c r="A18" s="150" t="str">
        <f ca="1">Berechnung3!L18</f>
        <v/>
      </c>
      <c r="B18" s="150" t="str">
        <f ca="1">Berechnung3!N18</f>
        <v/>
      </c>
      <c r="C18" s="148" t="str">
        <f ca="1">Berechnung3!O18</f>
        <v/>
      </c>
      <c r="D18" s="148" t="str">
        <f ca="1">Berechnung3!P18</f>
        <v/>
      </c>
    </row>
    <row r="19" spans="1:4" x14ac:dyDescent="0.45">
      <c r="A19" s="150" t="str">
        <f ca="1">Berechnung3!L19</f>
        <v/>
      </c>
      <c r="B19" s="150" t="str">
        <f ca="1">Berechnung3!N19</f>
        <v/>
      </c>
      <c r="C19" s="148" t="str">
        <f ca="1">Berechnung3!O19</f>
        <v/>
      </c>
      <c r="D19" s="148" t="str">
        <f ca="1">Berechnung3!P19</f>
        <v/>
      </c>
    </row>
    <row r="20" spans="1:4" x14ac:dyDescent="0.45">
      <c r="A20" s="150" t="str">
        <f ca="1">Berechnung3!L20</f>
        <v/>
      </c>
      <c r="B20" s="150" t="str">
        <f ca="1">Berechnung3!N20</f>
        <v/>
      </c>
      <c r="C20" s="148" t="str">
        <f ca="1">Berechnung3!O20</f>
        <v/>
      </c>
      <c r="D20" s="148" t="str">
        <f ca="1">Berechnung3!P20</f>
        <v/>
      </c>
    </row>
    <row r="21" spans="1:4" x14ac:dyDescent="0.45">
      <c r="A21" s="150" t="str">
        <f ca="1">Berechnung3!L21</f>
        <v/>
      </c>
      <c r="B21" s="150" t="str">
        <f ca="1">Berechnung3!N21</f>
        <v/>
      </c>
      <c r="C21" s="148" t="str">
        <f ca="1">Berechnung3!O21</f>
        <v/>
      </c>
      <c r="D21" s="148" t="str">
        <f ca="1">Berechnung3!P21</f>
        <v/>
      </c>
    </row>
    <row r="22" spans="1:4" x14ac:dyDescent="0.45">
      <c r="A22" s="150" t="str">
        <f ca="1">Berechnung3!L22</f>
        <v/>
      </c>
      <c r="B22" s="150" t="str">
        <f ca="1">Berechnung3!N22</f>
        <v/>
      </c>
      <c r="C22" s="148" t="str">
        <f ca="1">Berechnung3!O22</f>
        <v/>
      </c>
      <c r="D22" s="148" t="str">
        <f ca="1">Berechnung3!P22</f>
        <v/>
      </c>
    </row>
    <row r="23" spans="1:4" x14ac:dyDescent="0.45">
      <c r="A23" s="150" t="str">
        <f ca="1">Berechnung3!L23</f>
        <v/>
      </c>
      <c r="B23" s="150" t="str">
        <f ca="1">Berechnung3!N23</f>
        <v/>
      </c>
      <c r="C23" s="148" t="str">
        <f ca="1">Berechnung3!O23</f>
        <v/>
      </c>
      <c r="D23" s="148" t="str">
        <f ca="1">Berechnung3!P23</f>
        <v/>
      </c>
    </row>
    <row r="24" spans="1:4" x14ac:dyDescent="0.45">
      <c r="A24" s="150" t="str">
        <f ca="1">Berechnung3!L24</f>
        <v/>
      </c>
      <c r="B24" s="150" t="str">
        <f ca="1">Berechnung3!N24</f>
        <v/>
      </c>
      <c r="C24" s="148" t="str">
        <f ca="1">Berechnung3!O24</f>
        <v/>
      </c>
      <c r="D24" s="148" t="str">
        <f ca="1">Berechnung3!P24</f>
        <v/>
      </c>
    </row>
    <row r="25" spans="1:4" x14ac:dyDescent="0.45">
      <c r="A25" s="150" t="str">
        <f ca="1">Berechnung3!L25</f>
        <v/>
      </c>
      <c r="B25" s="150" t="str">
        <f ca="1">Berechnung3!N25</f>
        <v/>
      </c>
      <c r="C25" s="148" t="str">
        <f ca="1">Berechnung3!O25</f>
        <v/>
      </c>
      <c r="D25" s="148" t="str">
        <f ca="1">Berechnung3!P25</f>
        <v/>
      </c>
    </row>
    <row r="26" spans="1:4" x14ac:dyDescent="0.45">
      <c r="A26" s="150" t="str">
        <f ca="1">Berechnung3!L26</f>
        <v/>
      </c>
      <c r="B26" s="150" t="str">
        <f ca="1">Berechnung3!N26</f>
        <v/>
      </c>
      <c r="C26" s="148" t="str">
        <f ca="1">Berechnung3!O26</f>
        <v/>
      </c>
      <c r="D26" s="148" t="str">
        <f ca="1">Berechnung3!P26</f>
        <v/>
      </c>
    </row>
    <row r="27" spans="1:4" x14ac:dyDescent="0.45">
      <c r="A27" s="150" t="str">
        <f ca="1">Berechnung3!L27</f>
        <v/>
      </c>
      <c r="B27" s="150" t="str">
        <f ca="1">Berechnung3!N27</f>
        <v/>
      </c>
      <c r="C27" s="148" t="str">
        <f ca="1">Berechnung3!O27</f>
        <v/>
      </c>
      <c r="D27" s="148" t="str">
        <f ca="1">Berechnung3!P27</f>
        <v/>
      </c>
    </row>
    <row r="28" spans="1:4" x14ac:dyDescent="0.45">
      <c r="A28" s="150" t="str">
        <f ca="1">Berechnung3!L28</f>
        <v/>
      </c>
      <c r="B28" s="150" t="str">
        <f ca="1">Berechnung3!N28</f>
        <v/>
      </c>
      <c r="C28" s="148" t="str">
        <f ca="1">Berechnung3!O28</f>
        <v/>
      </c>
      <c r="D28" s="148" t="str">
        <f ca="1">Berechnung3!P28</f>
        <v/>
      </c>
    </row>
    <row r="29" spans="1:4" x14ac:dyDescent="0.45">
      <c r="A29" s="150" t="str">
        <f ca="1">Berechnung3!L29</f>
        <v/>
      </c>
      <c r="B29" s="150" t="str">
        <f ca="1">Berechnung3!N29</f>
        <v/>
      </c>
      <c r="C29" s="148" t="str">
        <f ca="1">Berechnung3!O29</f>
        <v/>
      </c>
      <c r="D29" s="148" t="str">
        <f ca="1">Berechnung3!P29</f>
        <v/>
      </c>
    </row>
    <row r="30" spans="1:4" x14ac:dyDescent="0.45">
      <c r="A30" s="150" t="str">
        <f ca="1">Berechnung3!L30</f>
        <v/>
      </c>
      <c r="B30" s="150" t="str">
        <f ca="1">Berechnung3!N30</f>
        <v/>
      </c>
      <c r="C30" s="148" t="str">
        <f ca="1">Berechnung3!O30</f>
        <v/>
      </c>
      <c r="D30" s="148" t="str">
        <f ca="1">Berechnung3!P30</f>
        <v/>
      </c>
    </row>
    <row r="31" spans="1:4" x14ac:dyDescent="0.45">
      <c r="A31" s="150" t="str">
        <f ca="1">Berechnung3!L31</f>
        <v/>
      </c>
      <c r="B31" s="150" t="str">
        <f ca="1">Berechnung3!N31</f>
        <v/>
      </c>
      <c r="C31" s="148" t="str">
        <f ca="1">Berechnung3!O31</f>
        <v/>
      </c>
      <c r="D31" s="148" t="str">
        <f ca="1">Berechnung3!P31</f>
        <v/>
      </c>
    </row>
    <row r="32" spans="1:4" x14ac:dyDescent="0.45">
      <c r="A32" s="150" t="str">
        <f ca="1">Berechnung3!L32</f>
        <v/>
      </c>
      <c r="B32" s="150" t="str">
        <f ca="1">Berechnung3!N32</f>
        <v/>
      </c>
      <c r="C32" s="148" t="str">
        <f ca="1">Berechnung3!O32</f>
        <v/>
      </c>
      <c r="D32" s="148" t="str">
        <f ca="1">Berechnung3!P32</f>
        <v/>
      </c>
    </row>
    <row r="33" spans="1:4" x14ac:dyDescent="0.45">
      <c r="A33" s="150" t="str">
        <f ca="1">Berechnung3!L33</f>
        <v/>
      </c>
      <c r="B33" s="150" t="str">
        <f ca="1">Berechnung3!N33</f>
        <v/>
      </c>
      <c r="C33" s="148" t="str">
        <f ca="1">Berechnung3!O33</f>
        <v/>
      </c>
      <c r="D33" s="148" t="str">
        <f ca="1">Berechnung3!P33</f>
        <v/>
      </c>
    </row>
    <row r="34" spans="1:4" x14ac:dyDescent="0.45">
      <c r="A34" s="150" t="str">
        <f ca="1">Berechnung3!L34</f>
        <v/>
      </c>
      <c r="B34" s="150" t="str">
        <f ca="1">Berechnung3!N34</f>
        <v/>
      </c>
      <c r="C34" s="148" t="str">
        <f ca="1">Berechnung3!O34</f>
        <v/>
      </c>
      <c r="D34" s="148" t="str">
        <f ca="1">Berechnung3!P34</f>
        <v/>
      </c>
    </row>
    <row r="35" spans="1:4" x14ac:dyDescent="0.45">
      <c r="A35" s="150" t="str">
        <f ca="1">Berechnung3!L35</f>
        <v/>
      </c>
      <c r="B35" s="150" t="str">
        <f ca="1">Berechnung3!N35</f>
        <v/>
      </c>
      <c r="C35" s="148" t="str">
        <f ca="1">Berechnung3!O35</f>
        <v/>
      </c>
      <c r="D35" s="148" t="str">
        <f ca="1">Berechnung3!P35</f>
        <v/>
      </c>
    </row>
    <row r="36" spans="1:4" x14ac:dyDescent="0.45">
      <c r="A36" s="150" t="str">
        <f ca="1">Berechnung3!L36</f>
        <v/>
      </c>
      <c r="B36" s="150" t="str">
        <f ca="1">Berechnung3!N36</f>
        <v/>
      </c>
      <c r="C36" s="148" t="str">
        <f ca="1">Berechnung3!O36</f>
        <v/>
      </c>
      <c r="D36" s="148" t="str">
        <f ca="1">Berechnung3!P36</f>
        <v/>
      </c>
    </row>
    <row r="37" spans="1:4" x14ac:dyDescent="0.45">
      <c r="A37" s="150" t="str">
        <f ca="1">Berechnung3!L37</f>
        <v/>
      </c>
      <c r="B37" s="150" t="str">
        <f ca="1">Berechnung3!N37</f>
        <v/>
      </c>
      <c r="C37" s="148" t="str">
        <f ca="1">Berechnung3!O37</f>
        <v/>
      </c>
      <c r="D37" s="148" t="str">
        <f ca="1">Berechnung3!P37</f>
        <v/>
      </c>
    </row>
    <row r="38" spans="1:4" x14ac:dyDescent="0.45">
      <c r="A38" s="150" t="str">
        <f ca="1">Berechnung3!L38</f>
        <v/>
      </c>
      <c r="B38" s="150" t="str">
        <f ca="1">Berechnung3!N38</f>
        <v/>
      </c>
      <c r="C38" s="148" t="str">
        <f ca="1">Berechnung3!O38</f>
        <v/>
      </c>
      <c r="D38" s="148" t="str">
        <f ca="1">Berechnung3!P38</f>
        <v/>
      </c>
    </row>
    <row r="39" spans="1:4" x14ac:dyDescent="0.45">
      <c r="A39" s="150" t="str">
        <f ca="1">Berechnung3!L39</f>
        <v/>
      </c>
      <c r="B39" s="150" t="str">
        <f ca="1">Berechnung3!N39</f>
        <v/>
      </c>
      <c r="C39" s="148" t="str">
        <f ca="1">Berechnung3!O39</f>
        <v/>
      </c>
      <c r="D39" s="148" t="str">
        <f ca="1">Berechnung3!P39</f>
        <v/>
      </c>
    </row>
    <row r="40" spans="1:4" x14ac:dyDescent="0.45">
      <c r="A40" s="150" t="str">
        <f ca="1">Berechnung3!L40</f>
        <v/>
      </c>
      <c r="B40" s="150" t="str">
        <f ca="1">Berechnung3!N40</f>
        <v/>
      </c>
      <c r="C40" s="148" t="str">
        <f ca="1">Berechnung3!O40</f>
        <v/>
      </c>
      <c r="D40" s="148" t="str">
        <f ca="1">Berechnung3!P40</f>
        <v/>
      </c>
    </row>
    <row r="41" spans="1:4" x14ac:dyDescent="0.45">
      <c r="A41" s="150" t="str">
        <f ca="1">Berechnung3!L41</f>
        <v/>
      </c>
      <c r="B41" s="150" t="str">
        <f ca="1">Berechnung3!N41</f>
        <v/>
      </c>
      <c r="C41" s="148" t="str">
        <f ca="1">Berechnung3!O41</f>
        <v/>
      </c>
      <c r="D41" s="148" t="str">
        <f ca="1">Berechnung3!P41</f>
        <v/>
      </c>
    </row>
    <row r="42" spans="1:4" x14ac:dyDescent="0.45">
      <c r="A42" s="150" t="str">
        <f ca="1">Berechnung3!L42</f>
        <v/>
      </c>
      <c r="B42" s="150" t="str">
        <f ca="1">Berechnung3!N42</f>
        <v/>
      </c>
      <c r="C42" s="148" t="str">
        <f ca="1">Berechnung3!O42</f>
        <v/>
      </c>
      <c r="D42" s="148" t="str">
        <f ca="1">Berechnung3!P42</f>
        <v/>
      </c>
    </row>
    <row r="43" spans="1:4" x14ac:dyDescent="0.45">
      <c r="A43" s="150" t="str">
        <f ca="1">Berechnung3!L43</f>
        <v/>
      </c>
      <c r="B43" s="150" t="str">
        <f ca="1">Berechnung3!N43</f>
        <v/>
      </c>
      <c r="C43" s="148" t="str">
        <f ca="1">Berechnung3!O43</f>
        <v/>
      </c>
      <c r="D43" s="148" t="str">
        <f ca="1">Berechnung3!P43</f>
        <v/>
      </c>
    </row>
    <row r="44" spans="1:4" x14ac:dyDescent="0.45">
      <c r="A44" s="150" t="str">
        <f ca="1">Berechnung3!L44</f>
        <v/>
      </c>
      <c r="B44" s="150" t="str">
        <f ca="1">Berechnung3!N44</f>
        <v/>
      </c>
      <c r="C44" s="148" t="str">
        <f ca="1">Berechnung3!O44</f>
        <v/>
      </c>
      <c r="D44" s="148" t="str">
        <f ca="1">Berechnung3!P44</f>
        <v/>
      </c>
    </row>
    <row r="45" spans="1:4" x14ac:dyDescent="0.45">
      <c r="A45" s="150" t="str">
        <f ca="1">Berechnung3!L45</f>
        <v/>
      </c>
      <c r="B45" s="150" t="str">
        <f ca="1">Berechnung3!N45</f>
        <v/>
      </c>
      <c r="C45" s="148" t="str">
        <f ca="1">Berechnung3!O45</f>
        <v/>
      </c>
      <c r="D45" s="148" t="str">
        <f ca="1">Berechnung3!P45</f>
        <v/>
      </c>
    </row>
    <row r="46" spans="1:4" x14ac:dyDescent="0.45">
      <c r="A46" s="150" t="str">
        <f ca="1">Berechnung3!L46</f>
        <v/>
      </c>
      <c r="B46" s="150" t="str">
        <f ca="1">Berechnung3!N46</f>
        <v/>
      </c>
      <c r="C46" s="148" t="str">
        <f ca="1">Berechnung3!O46</f>
        <v/>
      </c>
      <c r="D46" s="148" t="str">
        <f ca="1">Berechnung3!P46</f>
        <v/>
      </c>
    </row>
    <row r="47" spans="1:4" x14ac:dyDescent="0.45">
      <c r="A47" s="150" t="str">
        <f ca="1">Berechnung3!L47</f>
        <v/>
      </c>
      <c r="B47" s="150" t="str">
        <f ca="1">Berechnung3!N47</f>
        <v/>
      </c>
      <c r="C47" s="148" t="str">
        <f ca="1">Berechnung3!O47</f>
        <v/>
      </c>
      <c r="D47" s="148" t="str">
        <f ca="1">Berechnung3!P47</f>
        <v/>
      </c>
    </row>
    <row r="48" spans="1:4" x14ac:dyDescent="0.45">
      <c r="A48" s="150" t="str">
        <f ca="1">Berechnung3!L48</f>
        <v/>
      </c>
      <c r="B48" s="150" t="str">
        <f ca="1">Berechnung3!N48</f>
        <v/>
      </c>
      <c r="C48" s="148" t="str">
        <f ca="1">Berechnung3!O48</f>
        <v/>
      </c>
      <c r="D48" s="148" t="str">
        <f ca="1">Berechnung3!P48</f>
        <v/>
      </c>
    </row>
    <row r="49" spans="1:4" x14ac:dyDescent="0.45">
      <c r="A49" s="150" t="str">
        <f ca="1">Berechnung3!L49</f>
        <v/>
      </c>
      <c r="B49" s="150" t="str">
        <f ca="1">Berechnung3!N49</f>
        <v/>
      </c>
      <c r="C49" s="148" t="str">
        <f ca="1">Berechnung3!O49</f>
        <v/>
      </c>
      <c r="D49" s="148" t="str">
        <f ca="1">Berechnung3!P49</f>
        <v/>
      </c>
    </row>
    <row r="50" spans="1:4" x14ac:dyDescent="0.45">
      <c r="A50" s="150" t="str">
        <f ca="1">Berechnung3!L50</f>
        <v/>
      </c>
      <c r="B50" s="150" t="str">
        <f ca="1">Berechnung3!N50</f>
        <v/>
      </c>
      <c r="C50" s="148" t="str">
        <f ca="1">Berechnung3!O50</f>
        <v/>
      </c>
      <c r="D50" s="148" t="str">
        <f ca="1">Berechnung3!P50</f>
        <v/>
      </c>
    </row>
    <row r="51" spans="1:4" x14ac:dyDescent="0.45">
      <c r="A51" s="150" t="str">
        <f ca="1">Berechnung3!L51</f>
        <v/>
      </c>
      <c r="B51" s="150" t="str">
        <f ca="1">Berechnung3!N51</f>
        <v/>
      </c>
      <c r="C51" s="148" t="str">
        <f ca="1">Berechnung3!O51</f>
        <v/>
      </c>
      <c r="D51" s="148" t="str">
        <f ca="1">Berechnung3!P51</f>
        <v/>
      </c>
    </row>
    <row r="52" spans="1:4" x14ac:dyDescent="0.45">
      <c r="A52" s="150" t="str">
        <f ca="1">Berechnung3!L52</f>
        <v/>
      </c>
      <c r="B52" s="150" t="str">
        <f ca="1">Berechnung3!N52</f>
        <v/>
      </c>
      <c r="C52" s="148" t="str">
        <f ca="1">Berechnung3!O52</f>
        <v/>
      </c>
      <c r="D52" s="148" t="str">
        <f ca="1">Berechnung3!P52</f>
        <v/>
      </c>
    </row>
    <row r="53" spans="1:4" x14ac:dyDescent="0.45">
      <c r="A53" s="150" t="str">
        <f ca="1">Berechnung3!L53</f>
        <v/>
      </c>
      <c r="B53" s="150" t="str">
        <f ca="1">Berechnung3!N53</f>
        <v/>
      </c>
      <c r="C53" s="148" t="str">
        <f ca="1">Berechnung3!O53</f>
        <v/>
      </c>
      <c r="D53" s="148" t="str">
        <f ca="1">Berechnung3!P53</f>
        <v/>
      </c>
    </row>
    <row r="54" spans="1:4" x14ac:dyDescent="0.45">
      <c r="A54" s="150" t="str">
        <f ca="1">Berechnung3!L54</f>
        <v/>
      </c>
      <c r="B54" s="150" t="str">
        <f ca="1">Berechnung3!N54</f>
        <v/>
      </c>
      <c r="C54" s="148" t="str">
        <f ca="1">Berechnung3!O54</f>
        <v/>
      </c>
      <c r="D54" s="148" t="str">
        <f ca="1">Berechnung3!P54</f>
        <v/>
      </c>
    </row>
    <row r="55" spans="1:4" x14ac:dyDescent="0.45">
      <c r="A55" s="150" t="str">
        <f ca="1">Berechnung3!L55</f>
        <v/>
      </c>
      <c r="B55" s="150" t="str">
        <f ca="1">Berechnung3!N55</f>
        <v/>
      </c>
      <c r="C55" s="148" t="str">
        <f ca="1">Berechnung3!O55</f>
        <v/>
      </c>
      <c r="D55" s="148" t="str">
        <f ca="1">Berechnung3!P55</f>
        <v/>
      </c>
    </row>
    <row r="56" spans="1:4" x14ac:dyDescent="0.45">
      <c r="A56" s="150" t="str">
        <f ca="1">Berechnung3!L56</f>
        <v/>
      </c>
      <c r="B56" s="150" t="str">
        <f ca="1">Berechnung3!N56</f>
        <v/>
      </c>
      <c r="C56" s="148" t="str">
        <f ca="1">Berechnung3!O56</f>
        <v/>
      </c>
      <c r="D56" s="148" t="str">
        <f ca="1">Berechnung3!P56</f>
        <v/>
      </c>
    </row>
    <row r="57" spans="1:4" x14ac:dyDescent="0.45">
      <c r="A57" s="150" t="str">
        <f ca="1">Berechnung3!L57</f>
        <v/>
      </c>
      <c r="B57" s="150" t="str">
        <f ca="1">Berechnung3!N57</f>
        <v/>
      </c>
      <c r="C57" s="148" t="str">
        <f ca="1">Berechnung3!O57</f>
        <v/>
      </c>
      <c r="D57" s="148" t="str">
        <f ca="1">Berechnung3!P57</f>
        <v/>
      </c>
    </row>
  </sheetData>
  <phoneticPr fontId="7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17</vt:i4>
      </vt:variant>
    </vt:vector>
  </HeadingPairs>
  <TitlesOfParts>
    <vt:vector size="40" baseType="lpstr">
      <vt:lpstr>Basic data</vt:lpstr>
      <vt:lpstr>HilfstabelleB</vt:lpstr>
      <vt:lpstr>HilfstabelleSD</vt:lpstr>
      <vt:lpstr>Datenquelle</vt:lpstr>
      <vt:lpstr>Indicator sheet_(IS)</vt:lpstr>
      <vt:lpstr>HilfstabelleKB</vt:lpstr>
      <vt:lpstr>Berechnung1</vt:lpstr>
      <vt:lpstr>Hilfstabelle DatendefKB</vt:lpstr>
      <vt:lpstr>Data deficit_(IS)</vt:lpstr>
      <vt:lpstr>Kennzahlenbogen plus</vt:lpstr>
      <vt:lpstr>HilfstabellePlus</vt:lpstr>
      <vt:lpstr>Matrix-Colon</vt:lpstr>
      <vt:lpstr>Berechnung2</vt:lpstr>
      <vt:lpstr>Berechnung3</vt:lpstr>
      <vt:lpstr>Data deficit_Matrix-Colon</vt:lpstr>
      <vt:lpstr>Matrix-Rectum</vt:lpstr>
      <vt:lpstr>Berechnung4</vt:lpstr>
      <vt:lpstr>Berechnung5</vt:lpstr>
      <vt:lpstr>Data deficit_Matrix-Rectum</vt:lpstr>
      <vt:lpstr>HilfstabelleMR</vt:lpstr>
      <vt:lpstr>HilfstabelleDMR</vt:lpstr>
      <vt:lpstr>HilfstabelleMK</vt:lpstr>
      <vt:lpstr>HilfstabelleDMK</vt:lpstr>
      <vt:lpstr>countries</vt:lpstr>
      <vt:lpstr>'Basic data'!Druckbereich</vt:lpstr>
      <vt:lpstr>'Indicator sheet_(IS)'!Druckbereich</vt:lpstr>
      <vt:lpstr>'Matrix-Colon'!Druckbereich</vt:lpstr>
      <vt:lpstr>'Matrix-Rectum'!Druckbereich</vt:lpstr>
      <vt:lpstr>'Data deficit_(IS)'!Drucktitel</vt:lpstr>
      <vt:lpstr>'Data deficit_Matrix-Colon'!Drucktitel</vt:lpstr>
      <vt:lpstr>'Data deficit_Matrix-Rectum'!Drucktitel</vt:lpstr>
      <vt:lpstr>'Hilfstabelle DatendefKB'!Drucktitel</vt:lpstr>
      <vt:lpstr>'Indicator sheet_(IS)'!Drucktitel</vt:lpstr>
      <vt:lpstr>'Kennzahlenbogen plus'!Drucktitel</vt:lpstr>
      <vt:lpstr>Keine_Zusammenarbeit</vt:lpstr>
      <vt:lpstr>KrebsregisterZusammenarbeit</vt:lpstr>
      <vt:lpstr>myCategory</vt:lpstr>
      <vt:lpstr>OncoBox</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Nele Grapentin</cp:lastModifiedBy>
  <cp:lastPrinted>2022-12-22T07:36:26Z</cp:lastPrinted>
  <dcterms:created xsi:type="dcterms:W3CDTF">2012-04-12T09:13:43Z</dcterms:created>
  <dcterms:modified xsi:type="dcterms:W3CDTF">2023-03-20T08:27:26Z</dcterms:modified>
</cp:coreProperties>
</file>